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0DB288D-495E-4092-AF02-E4C1944D6A9B}" xr6:coauthVersionLast="47" xr6:coauthVersionMax="47" xr10:uidLastSave="{00000000-0000-0000-0000-000000000000}"/>
  <bookViews>
    <workbookView xWindow="405" yWindow="1245" windowWidth="27135" windowHeight="19875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2" i="2" l="1"/>
  <c r="S24" i="2"/>
  <c r="S23" i="2"/>
  <c r="S19" i="2"/>
  <c r="S18" i="2"/>
  <c r="S47" i="2"/>
  <c r="BG32" i="2"/>
  <c r="BG30" i="2"/>
  <c r="BM44" i="2"/>
  <c r="BL44" i="2"/>
  <c r="BK44" i="2"/>
  <c r="BJ44" i="2"/>
  <c r="BI44" i="2"/>
  <c r="BH44" i="2"/>
  <c r="BG44" i="2"/>
  <c r="AT44" i="2"/>
  <c r="AS44" i="2"/>
  <c r="AR44" i="2"/>
  <c r="AV44" i="2"/>
  <c r="AU44" i="2"/>
  <c r="BE44" i="2"/>
  <c r="BD44" i="2"/>
  <c r="BC44" i="2"/>
  <c r="BB44" i="2"/>
  <c r="BA44" i="2"/>
  <c r="AZ44" i="2"/>
  <c r="AY44" i="2"/>
  <c r="AX44" i="2"/>
  <c r="AW44" i="2"/>
  <c r="BF44" i="2"/>
  <c r="BF7" i="2"/>
  <c r="L42" i="2"/>
  <c r="K42" i="2"/>
  <c r="J42" i="2"/>
  <c r="L41" i="2"/>
  <c r="K41" i="2"/>
  <c r="J41" i="2"/>
  <c r="L40" i="2"/>
  <c r="K40" i="2"/>
  <c r="J40" i="2"/>
  <c r="M42" i="2"/>
  <c r="M41" i="2"/>
  <c r="M40" i="2"/>
  <c r="R40" i="2"/>
  <c r="P40" i="2"/>
  <c r="O40" i="2"/>
  <c r="N40" i="2"/>
  <c r="P42" i="2"/>
  <c r="O42" i="2"/>
  <c r="N42" i="2"/>
  <c r="R42" i="2"/>
  <c r="R41" i="2"/>
  <c r="P41" i="2"/>
  <c r="O41" i="2"/>
  <c r="N41" i="2"/>
  <c r="P8" i="2"/>
  <c r="Q8" i="2"/>
  <c r="R8" i="2"/>
  <c r="R5" i="2"/>
  <c r="Q5" i="2"/>
  <c r="P5" i="2"/>
  <c r="I89" i="2"/>
  <c r="I92" i="2" s="1"/>
  <c r="I83" i="2"/>
  <c r="I85" i="2" s="1"/>
  <c r="I78" i="2"/>
  <c r="I79" i="2" s="1"/>
  <c r="I96" i="2" s="1"/>
  <c r="I64" i="2"/>
  <c r="I65" i="2"/>
  <c r="I62" i="2"/>
  <c r="I57" i="2"/>
  <c r="I51" i="2"/>
  <c r="J89" i="2"/>
  <c r="J92" i="2" s="1"/>
  <c r="J83" i="2"/>
  <c r="J85" i="2" s="1"/>
  <c r="J78" i="2"/>
  <c r="J79" i="2" s="1"/>
  <c r="J96" i="2" s="1"/>
  <c r="J64" i="2"/>
  <c r="J65" i="2"/>
  <c r="J62" i="2"/>
  <c r="J51" i="2"/>
  <c r="J50" i="2" s="1"/>
  <c r="J57" i="2"/>
  <c r="Q89" i="2"/>
  <c r="Q92" i="2" s="1"/>
  <c r="Q83" i="2"/>
  <c r="Q85" i="2" s="1"/>
  <c r="Q78" i="2"/>
  <c r="Q79" i="2" s="1"/>
  <c r="Q96" i="2" s="1"/>
  <c r="R88" i="2"/>
  <c r="R92" i="2" s="1"/>
  <c r="R83" i="2"/>
  <c r="R85" i="2" s="1"/>
  <c r="R78" i="2"/>
  <c r="R79" i="2" s="1"/>
  <c r="R96" i="2" s="1"/>
  <c r="R64" i="2"/>
  <c r="R65" i="2"/>
  <c r="R62" i="2"/>
  <c r="R57" i="2"/>
  <c r="R51" i="2"/>
  <c r="R23" i="2"/>
  <c r="AQ43" i="2"/>
  <c r="AY47" i="2"/>
  <c r="AY46" i="2"/>
  <c r="AY28" i="2"/>
  <c r="AY23" i="2"/>
  <c r="AY20" i="2"/>
  <c r="AY37" i="2" s="1"/>
  <c r="AY102" i="2"/>
  <c r="AY103" i="2" s="1"/>
  <c r="AX37" i="2"/>
  <c r="AX28" i="2"/>
  <c r="AX24" i="2"/>
  <c r="AX102" i="2"/>
  <c r="AX103" i="2" s="1"/>
  <c r="AW68" i="2"/>
  <c r="AW65" i="2"/>
  <c r="AW64" i="2"/>
  <c r="AW62" i="2"/>
  <c r="AW57" i="2"/>
  <c r="AW54" i="2"/>
  <c r="AW51" i="2"/>
  <c r="AW37" i="2"/>
  <c r="AW28" i="2"/>
  <c r="AW24" i="2"/>
  <c r="AW29" i="2" s="1"/>
  <c r="AW31" i="2" s="1"/>
  <c r="AW102" i="2"/>
  <c r="AW103" i="2" s="1"/>
  <c r="AV68" i="2"/>
  <c r="AV65" i="2"/>
  <c r="AV62" i="2"/>
  <c r="AV57" i="2"/>
  <c r="AV54" i="2"/>
  <c r="AV51" i="2"/>
  <c r="AV37" i="2"/>
  <c r="AV28" i="2"/>
  <c r="AV24" i="2"/>
  <c r="AV43" i="2" s="1"/>
  <c r="AV102" i="2"/>
  <c r="AV103" i="2" s="1"/>
  <c r="AV109" i="2" s="1"/>
  <c r="AU68" i="2"/>
  <c r="AU65" i="2"/>
  <c r="AU62" i="2"/>
  <c r="AU57" i="2"/>
  <c r="AU54" i="2"/>
  <c r="AU51" i="2"/>
  <c r="AU37" i="2"/>
  <c r="AU28" i="2"/>
  <c r="AU24" i="2"/>
  <c r="AU43" i="2" s="1"/>
  <c r="AU102" i="2"/>
  <c r="AU103" i="2" s="1"/>
  <c r="AU109" i="2" s="1"/>
  <c r="AT68" i="2"/>
  <c r="AT66" i="2"/>
  <c r="AT65" i="2"/>
  <c r="AT70" i="2" s="1"/>
  <c r="AT57" i="2"/>
  <c r="AT58" i="2"/>
  <c r="AT54" i="2"/>
  <c r="AT51" i="2"/>
  <c r="AT50" i="2"/>
  <c r="AT37" i="2"/>
  <c r="AT28" i="2"/>
  <c r="AT24" i="2"/>
  <c r="AT43" i="2" s="1"/>
  <c r="AT102" i="2"/>
  <c r="AT103" i="2" s="1"/>
  <c r="AS68" i="2"/>
  <c r="AS65" i="2"/>
  <c r="AS62" i="2"/>
  <c r="AS57" i="2"/>
  <c r="AS54" i="2"/>
  <c r="AS51" i="2"/>
  <c r="AS37" i="2"/>
  <c r="AS28" i="2"/>
  <c r="AS24" i="2"/>
  <c r="AS43" i="2" s="1"/>
  <c r="AS102" i="2"/>
  <c r="AS103" i="2" s="1"/>
  <c r="AR68" i="2"/>
  <c r="AR62" i="2"/>
  <c r="AR65" i="2"/>
  <c r="AR64" i="2"/>
  <c r="AR61" i="2"/>
  <c r="AR58" i="2"/>
  <c r="AR57" i="2"/>
  <c r="AR54" i="2"/>
  <c r="AR51" i="2"/>
  <c r="AR37" i="2"/>
  <c r="AR28" i="2"/>
  <c r="AR24" i="2"/>
  <c r="AR102" i="2"/>
  <c r="AR103" i="2" s="1"/>
  <c r="AQ68" i="2"/>
  <c r="AQ65" i="2"/>
  <c r="AQ51" i="2"/>
  <c r="AQ50" i="2" s="1"/>
  <c r="AQ58" i="2"/>
  <c r="AQ57" i="2"/>
  <c r="AQ54" i="2"/>
  <c r="AQ28" i="2"/>
  <c r="AQ24" i="2"/>
  <c r="AQ37" i="2"/>
  <c r="AQ102" i="2"/>
  <c r="AQ103" i="2" s="1"/>
  <c r="AP68" i="2"/>
  <c r="AP65" i="2"/>
  <c r="AP70" i="2" s="1"/>
  <c r="AP58" i="2"/>
  <c r="AP57" i="2"/>
  <c r="AP54" i="2"/>
  <c r="AP51" i="2"/>
  <c r="AP59" i="2" s="1"/>
  <c r="AP50" i="2"/>
  <c r="AP28" i="2"/>
  <c r="AP24" i="2"/>
  <c r="AP43" i="2" s="1"/>
  <c r="AP37" i="2"/>
  <c r="AP102" i="2"/>
  <c r="AP103" i="2" s="1"/>
  <c r="AP109" i="2" s="1"/>
  <c r="AO68" i="2"/>
  <c r="AO65" i="2"/>
  <c r="AO58" i="2"/>
  <c r="AO57" i="2"/>
  <c r="AO54" i="2"/>
  <c r="AO51" i="2"/>
  <c r="AO50" i="2" s="1"/>
  <c r="AO28" i="2"/>
  <c r="AO24" i="2"/>
  <c r="AO29" i="2" s="1"/>
  <c r="AO31" i="2" s="1"/>
  <c r="AO33" i="2" s="1"/>
  <c r="AO34" i="2" s="1"/>
  <c r="AO37" i="2"/>
  <c r="AO102" i="2"/>
  <c r="AO103" i="2" s="1"/>
  <c r="AO109" i="2" s="1"/>
  <c r="AN65" i="2"/>
  <c r="AN64" i="2"/>
  <c r="AN70" i="2" s="1"/>
  <c r="AN58" i="2"/>
  <c r="AN57" i="2"/>
  <c r="AN54" i="2"/>
  <c r="AN51" i="2"/>
  <c r="AN50" i="2"/>
  <c r="AN28" i="2"/>
  <c r="AN24" i="2"/>
  <c r="AN29" i="2" s="1"/>
  <c r="AN31" i="2" s="1"/>
  <c r="AN33" i="2" s="1"/>
  <c r="AN34" i="2" s="1"/>
  <c r="AN37" i="2"/>
  <c r="AN102" i="2"/>
  <c r="AN103" i="2" s="1"/>
  <c r="AN109" i="2" s="1"/>
  <c r="AM65" i="2"/>
  <c r="AM70" i="2" s="1"/>
  <c r="AM58" i="2"/>
  <c r="AM57" i="2"/>
  <c r="AM54" i="2"/>
  <c r="AM51" i="2"/>
  <c r="AM50" i="2" s="1"/>
  <c r="AM28" i="2"/>
  <c r="AM24" i="2"/>
  <c r="AM43" i="2" s="1"/>
  <c r="AM37" i="2"/>
  <c r="AM102" i="2"/>
  <c r="AM103" i="2" s="1"/>
  <c r="AL68" i="2"/>
  <c r="AL65" i="2"/>
  <c r="AL70" i="2" s="1"/>
  <c r="AL57" i="2"/>
  <c r="AL51" i="2"/>
  <c r="AL50" i="2" s="1"/>
  <c r="AL54" i="2"/>
  <c r="AL28" i="2"/>
  <c r="AL24" i="2"/>
  <c r="AL37" i="2"/>
  <c r="AL102" i="2"/>
  <c r="AL103" i="2" s="1"/>
  <c r="AL104" i="2" s="1"/>
  <c r="AK68" i="2"/>
  <c r="AK65" i="2"/>
  <c r="AK70" i="2" s="1"/>
  <c r="AK57" i="2"/>
  <c r="AK51" i="2"/>
  <c r="AK50" i="2" s="1"/>
  <c r="AK54" i="2"/>
  <c r="AK37" i="2"/>
  <c r="AK28" i="2"/>
  <c r="AK24" i="2"/>
  <c r="AK29" i="2" s="1"/>
  <c r="AK31" i="2" s="1"/>
  <c r="AK45" i="2" s="1"/>
  <c r="AK102" i="2"/>
  <c r="AK103" i="2" s="1"/>
  <c r="AK109" i="2" s="1"/>
  <c r="AJ68" i="2"/>
  <c r="AJ70" i="2" s="1"/>
  <c r="AJ54" i="2"/>
  <c r="AJ51" i="2"/>
  <c r="AJ59" i="2" s="1"/>
  <c r="AJ50" i="2"/>
  <c r="AJ28" i="2"/>
  <c r="AJ24" i="2"/>
  <c r="AJ43" i="2" s="1"/>
  <c r="AJ37" i="2"/>
  <c r="AJ102" i="2"/>
  <c r="AJ103" i="2" s="1"/>
  <c r="AJ109" i="2" s="1"/>
  <c r="AI70" i="2"/>
  <c r="AI54" i="2"/>
  <c r="AI51" i="2"/>
  <c r="AI59" i="2" s="1"/>
  <c r="AI50" i="2"/>
  <c r="AI30" i="2"/>
  <c r="AI28" i="2"/>
  <c r="AI24" i="2"/>
  <c r="AI29" i="2" s="1"/>
  <c r="AI37" i="2"/>
  <c r="AI102" i="2"/>
  <c r="AI103" i="2" s="1"/>
  <c r="AG108" i="2"/>
  <c r="AC108" i="2"/>
  <c r="AH70" i="2"/>
  <c r="AH51" i="2"/>
  <c r="AH59" i="2" s="1"/>
  <c r="AH50" i="2"/>
  <c r="AH30" i="2"/>
  <c r="AH28" i="2"/>
  <c r="AH24" i="2"/>
  <c r="AH43" i="2" s="1"/>
  <c r="AH37" i="2"/>
  <c r="AH102" i="2"/>
  <c r="AH103" i="2" s="1"/>
  <c r="AH109" i="2" s="1"/>
  <c r="AG70" i="2"/>
  <c r="AG51" i="2"/>
  <c r="AG59" i="2" s="1"/>
  <c r="AG37" i="2"/>
  <c r="AG24" i="2"/>
  <c r="AG43" i="2" s="1"/>
  <c r="AG32" i="2"/>
  <c r="AG30" i="2"/>
  <c r="AG28" i="2"/>
  <c r="AG102" i="2"/>
  <c r="AG103" i="2" s="1"/>
  <c r="AG109" i="2" s="1"/>
  <c r="AF102" i="2"/>
  <c r="AF103" i="2" s="1"/>
  <c r="AF69" i="2"/>
  <c r="AF70" i="2"/>
  <c r="AF51" i="2"/>
  <c r="AF59" i="2" s="1"/>
  <c r="AF30" i="2"/>
  <c r="AF37" i="2"/>
  <c r="AF28" i="2"/>
  <c r="AF24" i="2"/>
  <c r="AF43" i="2" s="1"/>
  <c r="AE68" i="2"/>
  <c r="AE70" i="2" s="1"/>
  <c r="AE59" i="2"/>
  <c r="AE50" i="2"/>
  <c r="AE30" i="2"/>
  <c r="AE28" i="2"/>
  <c r="AE24" i="2"/>
  <c r="AE43" i="2" s="1"/>
  <c r="AC37" i="2"/>
  <c r="AE37" i="2"/>
  <c r="AE102" i="2"/>
  <c r="AE103" i="2" s="1"/>
  <c r="AE109" i="2" s="1"/>
  <c r="AD68" i="2"/>
  <c r="AD70" i="2" s="1"/>
  <c r="AD59" i="2"/>
  <c r="AD50" i="2"/>
  <c r="AD30" i="2"/>
  <c r="AD28" i="2"/>
  <c r="AD24" i="2"/>
  <c r="AD29" i="2" s="1"/>
  <c r="AD37" i="2"/>
  <c r="AD102" i="2"/>
  <c r="AD103" i="2" s="1"/>
  <c r="AC102" i="2"/>
  <c r="AC103" i="2" s="1"/>
  <c r="Z30" i="2"/>
  <c r="Y30" i="2"/>
  <c r="Z28" i="2"/>
  <c r="Y28" i="2"/>
  <c r="Z24" i="2"/>
  <c r="Z43" i="2" s="1"/>
  <c r="Y24" i="2"/>
  <c r="Y43" i="2" s="1"/>
  <c r="AC70" i="2"/>
  <c r="AC51" i="2"/>
  <c r="AC59" i="2" s="1"/>
  <c r="AA30" i="2"/>
  <c r="AA28" i="2"/>
  <c r="AA24" i="2"/>
  <c r="AA43" i="2" s="1"/>
  <c r="AB30" i="2"/>
  <c r="AB28" i="2"/>
  <c r="AB24" i="2"/>
  <c r="AB43" i="2" s="1"/>
  <c r="AC30" i="2"/>
  <c r="AC28" i="2"/>
  <c r="AC24" i="2"/>
  <c r="AB37" i="2"/>
  <c r="AA37" i="2"/>
  <c r="Z37" i="2"/>
  <c r="Q64" i="2"/>
  <c r="Q65" i="2"/>
  <c r="Q62" i="2"/>
  <c r="Q57" i="2"/>
  <c r="Q51" i="2"/>
  <c r="Q23" i="2"/>
  <c r="Q20" i="2"/>
  <c r="Q47" i="2"/>
  <c r="BC47" i="2"/>
  <c r="BB47" i="2"/>
  <c r="BA47" i="2"/>
  <c r="BC46" i="2"/>
  <c r="BB46" i="2"/>
  <c r="BA46" i="2"/>
  <c r="AZ47" i="2"/>
  <c r="AZ46" i="2"/>
  <c r="R47" i="2"/>
  <c r="G47" i="2"/>
  <c r="F47" i="2"/>
  <c r="I46" i="2"/>
  <c r="H46" i="2"/>
  <c r="G46" i="2"/>
  <c r="F46" i="2"/>
  <c r="K47" i="2"/>
  <c r="J47" i="2"/>
  <c r="I47" i="2"/>
  <c r="H47" i="2"/>
  <c r="L46" i="2"/>
  <c r="K46" i="2"/>
  <c r="J46" i="2"/>
  <c r="O47" i="2"/>
  <c r="N47" i="2"/>
  <c r="M47" i="2"/>
  <c r="L47" i="2"/>
  <c r="P47" i="2"/>
  <c r="O46" i="2"/>
  <c r="N46" i="2"/>
  <c r="M46" i="2"/>
  <c r="P46" i="2"/>
  <c r="U18" i="2"/>
  <c r="T19" i="2"/>
  <c r="T18" i="2"/>
  <c r="T20" i="2" s="1"/>
  <c r="T27" i="2"/>
  <c r="U26" i="2"/>
  <c r="T26" i="2"/>
  <c r="S26" i="2"/>
  <c r="T25" i="2"/>
  <c r="S25" i="2"/>
  <c r="S27" i="2"/>
  <c r="V19" i="2"/>
  <c r="V22" i="2" s="1"/>
  <c r="V47" i="2" s="1"/>
  <c r="V18" i="2"/>
  <c r="V21" i="2" s="1"/>
  <c r="Q16" i="2"/>
  <c r="Q42" i="2" s="1"/>
  <c r="Q15" i="2"/>
  <c r="Q41" i="2" s="1"/>
  <c r="Q14" i="2"/>
  <c r="BF14" i="2" s="1"/>
  <c r="P20" i="2"/>
  <c r="P89" i="2"/>
  <c r="P92" i="2" s="1"/>
  <c r="P83" i="2"/>
  <c r="P85" i="2" s="1"/>
  <c r="P78" i="2"/>
  <c r="P79" i="2" s="1"/>
  <c r="P96" i="2" s="1"/>
  <c r="P65" i="2"/>
  <c r="P64" i="2"/>
  <c r="P62" i="2"/>
  <c r="P57" i="2"/>
  <c r="P51" i="2"/>
  <c r="P28" i="2"/>
  <c r="P23" i="2"/>
  <c r="O23" i="2"/>
  <c r="S35" i="2"/>
  <c r="T35" i="2" s="1"/>
  <c r="U35" i="2" s="1"/>
  <c r="V35" i="2" s="1"/>
  <c r="T30" i="2"/>
  <c r="U30" i="2" s="1"/>
  <c r="V27" i="2"/>
  <c r="BF27" i="2"/>
  <c r="BG27" i="2" s="1"/>
  <c r="BH27" i="2" s="1"/>
  <c r="BI27" i="2" s="1"/>
  <c r="BJ27" i="2" s="1"/>
  <c r="BK27" i="2" s="1"/>
  <c r="BL27" i="2" s="1"/>
  <c r="BM27" i="2" s="1"/>
  <c r="V26" i="2"/>
  <c r="V25" i="2"/>
  <c r="O89" i="2"/>
  <c r="O92" i="2" s="1"/>
  <c r="O83" i="2"/>
  <c r="O85" i="2" s="1"/>
  <c r="O78" i="2"/>
  <c r="O79" i="2" s="1"/>
  <c r="O96" i="2" s="1"/>
  <c r="AT59" i="2" l="1"/>
  <c r="I70" i="2"/>
  <c r="Q40" i="2"/>
  <c r="AN45" i="2"/>
  <c r="R70" i="2"/>
  <c r="BF15" i="2"/>
  <c r="BF16" i="2"/>
  <c r="AC29" i="2"/>
  <c r="AG50" i="2"/>
  <c r="AG104" i="2" s="1"/>
  <c r="J59" i="2"/>
  <c r="AQ29" i="2"/>
  <c r="AQ31" i="2" s="1"/>
  <c r="AQ33" i="2" s="1"/>
  <c r="AQ34" i="2" s="1"/>
  <c r="AU50" i="2"/>
  <c r="AU104" i="2" s="1"/>
  <c r="AR29" i="2"/>
  <c r="AR31" i="2" s="1"/>
  <c r="AR33" i="2" s="1"/>
  <c r="AR34" i="2" s="1"/>
  <c r="AV59" i="2"/>
  <c r="AD43" i="2"/>
  <c r="Q50" i="2"/>
  <c r="AN59" i="2"/>
  <c r="R50" i="2"/>
  <c r="AU70" i="2"/>
  <c r="AO70" i="2"/>
  <c r="AQ70" i="2"/>
  <c r="AL59" i="2"/>
  <c r="AJ29" i="2"/>
  <c r="AJ31" i="2" s="1"/>
  <c r="AJ45" i="2" s="1"/>
  <c r="AQ59" i="2"/>
  <c r="AK43" i="2"/>
  <c r="AR70" i="2"/>
  <c r="AM104" i="2"/>
  <c r="AS70" i="2"/>
  <c r="AQ104" i="2"/>
  <c r="AQ109" i="2"/>
  <c r="J70" i="2"/>
  <c r="AI43" i="2"/>
  <c r="AW59" i="2"/>
  <c r="AW70" i="2"/>
  <c r="AS50" i="2"/>
  <c r="AS104" i="2" s="1"/>
  <c r="I50" i="2"/>
  <c r="Z29" i="2"/>
  <c r="Z31" i="2" s="1"/>
  <c r="AC43" i="2"/>
  <c r="I59" i="2"/>
  <c r="AE29" i="2"/>
  <c r="AE31" i="2" s="1"/>
  <c r="AE33" i="2" s="1"/>
  <c r="AE34" i="2" s="1"/>
  <c r="AD31" i="2"/>
  <c r="AD33" i="2" s="1"/>
  <c r="AD34" i="2" s="1"/>
  <c r="R94" i="2"/>
  <c r="AW43" i="2"/>
  <c r="AR50" i="2"/>
  <c r="AR104" i="2" s="1"/>
  <c r="AR105" i="2" s="1"/>
  <c r="AC31" i="2"/>
  <c r="AC33" i="2" s="1"/>
  <c r="AC34" i="2" s="1"/>
  <c r="AV70" i="2"/>
  <c r="AN43" i="2"/>
  <c r="AP29" i="2"/>
  <c r="AP31" i="2" s="1"/>
  <c r="AP33" i="2" s="1"/>
  <c r="AP34" i="2" s="1"/>
  <c r="AE104" i="2"/>
  <c r="AO43" i="2"/>
  <c r="AX109" i="2"/>
  <c r="AX104" i="2"/>
  <c r="AC109" i="2"/>
  <c r="AR109" i="2"/>
  <c r="I94" i="2"/>
  <c r="AO45" i="2"/>
  <c r="R59" i="2"/>
  <c r="J94" i="2"/>
  <c r="AK33" i="2"/>
  <c r="AK34" i="2" s="1"/>
  <c r="AH29" i="2"/>
  <c r="AH31" i="2" s="1"/>
  <c r="AR45" i="2"/>
  <c r="AC50" i="2"/>
  <c r="AC104" i="2" s="1"/>
  <c r="AM29" i="2"/>
  <c r="AM31" i="2" s="1"/>
  <c r="AL109" i="2"/>
  <c r="AS109" i="2"/>
  <c r="AD104" i="2"/>
  <c r="AM109" i="2"/>
  <c r="AK59" i="2"/>
  <c r="AF50" i="2"/>
  <c r="AF104" i="2" s="1"/>
  <c r="AV50" i="2"/>
  <c r="AV104" i="2" s="1"/>
  <c r="AX43" i="2"/>
  <c r="AX29" i="2"/>
  <c r="AX31" i="2" s="1"/>
  <c r="AU29" i="2"/>
  <c r="AU31" i="2" s="1"/>
  <c r="AY109" i="2"/>
  <c r="AY104" i="2"/>
  <c r="AK104" i="2"/>
  <c r="AS59" i="2"/>
  <c r="AF109" i="2"/>
  <c r="AO104" i="2"/>
  <c r="AO105" i="2" s="1"/>
  <c r="AP104" i="2"/>
  <c r="AY24" i="2"/>
  <c r="AY43" i="2" s="1"/>
  <c r="AI104" i="2"/>
  <c r="AJ104" i="2"/>
  <c r="AT109" i="2"/>
  <c r="AT104" i="2"/>
  <c r="AL29" i="2"/>
  <c r="AL31" i="2" s="1"/>
  <c r="AL43" i="2"/>
  <c r="AN104" i="2"/>
  <c r="AN105" i="2" s="1"/>
  <c r="AO59" i="2"/>
  <c r="AW109" i="2"/>
  <c r="AR59" i="2"/>
  <c r="AW45" i="2"/>
  <c r="AW33" i="2"/>
  <c r="AW34" i="2" s="1"/>
  <c r="AI109" i="2"/>
  <c r="AT29" i="2"/>
  <c r="AT31" i="2" s="1"/>
  <c r="AI31" i="2"/>
  <c r="Y29" i="2"/>
  <c r="Y31" i="2" s="1"/>
  <c r="AD109" i="2"/>
  <c r="AR43" i="2"/>
  <c r="AV29" i="2"/>
  <c r="AV31" i="2" s="1"/>
  <c r="AW50" i="2"/>
  <c r="AW104" i="2" s="1"/>
  <c r="AS29" i="2"/>
  <c r="AS31" i="2" s="1"/>
  <c r="AU59" i="2"/>
  <c r="AH104" i="2"/>
  <c r="AM59" i="2"/>
  <c r="R97" i="2"/>
  <c r="Q94" i="2"/>
  <c r="AG29" i="2"/>
  <c r="AG31" i="2" s="1"/>
  <c r="AG45" i="2" s="1"/>
  <c r="AF29" i="2"/>
  <c r="AF31" i="2" s="1"/>
  <c r="AA29" i="2"/>
  <c r="AA31" i="2" s="1"/>
  <c r="AB29" i="2"/>
  <c r="AB31" i="2" s="1"/>
  <c r="BF25" i="2"/>
  <c r="BG25" i="2" s="1"/>
  <c r="BH25" i="2" s="1"/>
  <c r="BI25" i="2" s="1"/>
  <c r="BJ25" i="2" s="1"/>
  <c r="BK25" i="2" s="1"/>
  <c r="BL25" i="2" s="1"/>
  <c r="BM25" i="2" s="1"/>
  <c r="Q24" i="2"/>
  <c r="Q43" i="2" s="1"/>
  <c r="V28" i="2"/>
  <c r="BF26" i="2"/>
  <c r="BG26" i="2" s="1"/>
  <c r="BH26" i="2" s="1"/>
  <c r="BI26" i="2" s="1"/>
  <c r="BJ26" i="2" s="1"/>
  <c r="BK26" i="2" s="1"/>
  <c r="BL26" i="2" s="1"/>
  <c r="BM26" i="2" s="1"/>
  <c r="V20" i="2"/>
  <c r="V24" i="2" s="1"/>
  <c r="V43" i="2" s="1"/>
  <c r="Q59" i="2"/>
  <c r="BF21" i="2"/>
  <c r="Q70" i="2"/>
  <c r="T22" i="2"/>
  <c r="T47" i="2" s="1"/>
  <c r="T21" i="2"/>
  <c r="T46" i="2" s="1"/>
  <c r="S46" i="2"/>
  <c r="BF35" i="2"/>
  <c r="BG35" i="2"/>
  <c r="BH35" i="2" s="1"/>
  <c r="BI35" i="2" s="1"/>
  <c r="BJ35" i="2" s="1"/>
  <c r="BK35" i="2" s="1"/>
  <c r="BL35" i="2" s="1"/>
  <c r="BM35" i="2" s="1"/>
  <c r="U21" i="2"/>
  <c r="U46" i="2" s="1"/>
  <c r="U19" i="2"/>
  <c r="U20" i="2" s="1"/>
  <c r="U24" i="2" s="1"/>
  <c r="U43" i="2" s="1"/>
  <c r="BF22" i="2"/>
  <c r="V46" i="2"/>
  <c r="T28" i="2"/>
  <c r="Q46" i="2"/>
  <c r="U25" i="2"/>
  <c r="BF18" i="2"/>
  <c r="S20" i="2"/>
  <c r="BF19" i="2"/>
  <c r="S28" i="2"/>
  <c r="T24" i="2"/>
  <c r="T37" i="2"/>
  <c r="U27" i="2"/>
  <c r="R20" i="2"/>
  <c r="V30" i="2"/>
  <c r="P50" i="2"/>
  <c r="R28" i="2"/>
  <c r="Q28" i="2"/>
  <c r="P59" i="2"/>
  <c r="P70" i="2"/>
  <c r="P24" i="2"/>
  <c r="P94" i="2"/>
  <c r="O94" i="2"/>
  <c r="O65" i="2"/>
  <c r="O64" i="2"/>
  <c r="O62" i="2"/>
  <c r="O57" i="2"/>
  <c r="O51" i="2"/>
  <c r="O28" i="2"/>
  <c r="O20" i="2"/>
  <c r="F28" i="2"/>
  <c r="F23" i="2"/>
  <c r="F20" i="2"/>
  <c r="AZ28" i="2"/>
  <c r="AZ23" i="2"/>
  <c r="AZ20" i="2"/>
  <c r="AZ37" i="2" s="1"/>
  <c r="BA28" i="2"/>
  <c r="BA23" i="2"/>
  <c r="BA20" i="2"/>
  <c r="BG2" i="2"/>
  <c r="BH2" i="2" s="1"/>
  <c r="BI2" i="2" s="1"/>
  <c r="BJ2" i="2" s="1"/>
  <c r="BK2" i="2" s="1"/>
  <c r="BL2" i="2" s="1"/>
  <c r="BM2" i="2" s="1"/>
  <c r="BE32" i="2"/>
  <c r="BE30" i="2"/>
  <c r="BE35" i="2"/>
  <c r="BD35" i="2"/>
  <c r="BD32" i="2"/>
  <c r="BD30" i="2"/>
  <c r="BC28" i="2"/>
  <c r="BB28" i="2"/>
  <c r="BC23" i="2"/>
  <c r="BB23" i="2"/>
  <c r="BB20" i="2"/>
  <c r="BC20" i="2"/>
  <c r="BD2" i="2"/>
  <c r="BE2" i="2"/>
  <c r="R2" i="2"/>
  <c r="Q2" i="2"/>
  <c r="P2" i="2"/>
  <c r="T2" i="2" s="1"/>
  <c r="O2" i="2"/>
  <c r="S2" i="2" s="1"/>
  <c r="BD27" i="2"/>
  <c r="BD26" i="2"/>
  <c r="BD25" i="2"/>
  <c r="BE27" i="2"/>
  <c r="BE26" i="2"/>
  <c r="BE25" i="2"/>
  <c r="BE22" i="2"/>
  <c r="BE21" i="2"/>
  <c r="BD22" i="2"/>
  <c r="BD21" i="2"/>
  <c r="BD14" i="2"/>
  <c r="BD15" i="2"/>
  <c r="BD16" i="2"/>
  <c r="BD19" i="2"/>
  <c r="BD18" i="2"/>
  <c r="BE19" i="2"/>
  <c r="BE18" i="2"/>
  <c r="BE16" i="2"/>
  <c r="BE15" i="2"/>
  <c r="BE14" i="2"/>
  <c r="N9" i="2"/>
  <c r="N89" i="2"/>
  <c r="N92" i="2" s="1"/>
  <c r="N83" i="2"/>
  <c r="N85" i="2" s="1"/>
  <c r="N78" i="2"/>
  <c r="N79" i="2" s="1"/>
  <c r="N96" i="2" s="1"/>
  <c r="Q97" i="2" s="1"/>
  <c r="N64" i="2"/>
  <c r="N65" i="2"/>
  <c r="N62" i="2"/>
  <c r="N51" i="2"/>
  <c r="N50" i="2" s="1"/>
  <c r="BE50" i="2" s="1"/>
  <c r="BF30" i="2" s="1"/>
  <c r="N57" i="2"/>
  <c r="N28" i="2"/>
  <c r="K89" i="2"/>
  <c r="K92" i="2" s="1"/>
  <c r="K83" i="2"/>
  <c r="K85" i="2" s="1"/>
  <c r="K78" i="2"/>
  <c r="K79" i="2" s="1"/>
  <c r="K96" i="2" s="1"/>
  <c r="K65" i="2"/>
  <c r="K64" i="2"/>
  <c r="K62" i="2"/>
  <c r="K57" i="2"/>
  <c r="K51" i="2"/>
  <c r="L89" i="2"/>
  <c r="L92" i="2" s="1"/>
  <c r="L83" i="2"/>
  <c r="L85" i="2" s="1"/>
  <c r="L78" i="2"/>
  <c r="L79" i="2" s="1"/>
  <c r="L96" i="2" s="1"/>
  <c r="L65" i="2"/>
  <c r="P39" i="2" s="1"/>
  <c r="L64" i="2"/>
  <c r="L62" i="2"/>
  <c r="L57" i="2"/>
  <c r="L51" i="2"/>
  <c r="M89" i="2"/>
  <c r="M92" i="2" s="1"/>
  <c r="M83" i="2"/>
  <c r="M85" i="2" s="1"/>
  <c r="M78" i="2"/>
  <c r="M79" i="2" s="1"/>
  <c r="M96" i="2" s="1"/>
  <c r="M64" i="2"/>
  <c r="M65" i="2"/>
  <c r="M62" i="2"/>
  <c r="M57" i="2"/>
  <c r="M51" i="2"/>
  <c r="M50" i="2" s="1"/>
  <c r="L4" i="1"/>
  <c r="L7" i="1" s="1"/>
  <c r="L28" i="2"/>
  <c r="K28" i="2"/>
  <c r="J28" i="2"/>
  <c r="I28" i="2"/>
  <c r="H28" i="2"/>
  <c r="G28" i="2"/>
  <c r="M28" i="2"/>
  <c r="N23" i="2"/>
  <c r="N20" i="2"/>
  <c r="G20" i="2"/>
  <c r="H23" i="2"/>
  <c r="G23" i="2"/>
  <c r="M23" i="2"/>
  <c r="L23" i="2"/>
  <c r="K23" i="2"/>
  <c r="J23" i="2"/>
  <c r="I23" i="2"/>
  <c r="L20" i="2"/>
  <c r="P37" i="2" s="1"/>
  <c r="K20" i="2"/>
  <c r="J20" i="2"/>
  <c r="I20" i="2"/>
  <c r="H20" i="2"/>
  <c r="M20" i="2"/>
  <c r="Q37" i="2" s="1"/>
  <c r="AQ45" i="2" l="1"/>
  <c r="AQ105" i="2"/>
  <c r="M97" i="2"/>
  <c r="Q39" i="2"/>
  <c r="M39" i="2"/>
  <c r="R39" i="2"/>
  <c r="N39" i="2"/>
  <c r="AC45" i="2"/>
  <c r="AJ33" i="2"/>
  <c r="AJ34" i="2" s="1"/>
  <c r="AW105" i="2"/>
  <c r="AD45" i="2"/>
  <c r="AP45" i="2"/>
  <c r="AE45" i="2"/>
  <c r="AY29" i="2"/>
  <c r="AY31" i="2" s="1"/>
  <c r="AY45" i="2" s="1"/>
  <c r="AC105" i="2"/>
  <c r="AP105" i="2"/>
  <c r="Y45" i="2"/>
  <c r="Y33" i="2"/>
  <c r="Y34" i="2" s="1"/>
  <c r="AH45" i="2"/>
  <c r="AH33" i="2"/>
  <c r="AH34" i="2" s="1"/>
  <c r="AB33" i="2"/>
  <c r="AB34" i="2" s="1"/>
  <c r="AB45" i="2"/>
  <c r="AU45" i="2"/>
  <c r="AU33" i="2"/>
  <c r="AU34" i="2" s="1"/>
  <c r="AA33" i="2"/>
  <c r="AA34" i="2" s="1"/>
  <c r="AA45" i="2"/>
  <c r="AE105" i="2"/>
  <c r="BB37" i="2"/>
  <c r="BE47" i="2"/>
  <c r="AL33" i="2"/>
  <c r="AL45" i="2"/>
  <c r="AD105" i="2"/>
  <c r="BD47" i="2"/>
  <c r="BF23" i="2"/>
  <c r="AX45" i="2"/>
  <c r="AX33" i="2"/>
  <c r="AX34" i="2" s="1"/>
  <c r="AF33" i="2"/>
  <c r="AF34" i="2" s="1"/>
  <c r="AF45" i="2"/>
  <c r="BE46" i="2"/>
  <c r="AG33" i="2"/>
  <c r="AG34" i="2" s="1"/>
  <c r="BD46" i="2"/>
  <c r="O39" i="2"/>
  <c r="AS105" i="2"/>
  <c r="AX105" i="2"/>
  <c r="AV45" i="2"/>
  <c r="AV33" i="2"/>
  <c r="AV34" i="2" s="1"/>
  <c r="R37" i="2"/>
  <c r="R24" i="2"/>
  <c r="R43" i="2" s="1"/>
  <c r="AI33" i="2"/>
  <c r="AI34" i="2" s="1"/>
  <c r="AI45" i="2"/>
  <c r="AT45" i="2"/>
  <c r="AT33" i="2"/>
  <c r="AT34" i="2" s="1"/>
  <c r="AK105" i="2"/>
  <c r="Z45" i="2"/>
  <c r="Z33" i="2"/>
  <c r="Z34" i="2" s="1"/>
  <c r="AM45" i="2"/>
  <c r="AM33" i="2"/>
  <c r="AS33" i="2"/>
  <c r="AS34" i="2" s="1"/>
  <c r="AS45" i="2"/>
  <c r="BF46" i="2"/>
  <c r="R46" i="2"/>
  <c r="AF105" i="2"/>
  <c r="U37" i="2"/>
  <c r="T29" i="2"/>
  <c r="T31" i="2" s="1"/>
  <c r="T32" i="2" s="1"/>
  <c r="T45" i="2" s="1"/>
  <c r="S37" i="2"/>
  <c r="V29" i="2"/>
  <c r="V31" i="2" s="1"/>
  <c r="V32" i="2" s="1"/>
  <c r="U28" i="2"/>
  <c r="U29" i="2" s="1"/>
  <c r="U31" i="2" s="1"/>
  <c r="U32" i="2" s="1"/>
  <c r="U45" i="2" s="1"/>
  <c r="V23" i="2"/>
  <c r="U22" i="2"/>
  <c r="U47" i="2" s="1"/>
  <c r="U23" i="2"/>
  <c r="BG18" i="2"/>
  <c r="BF47" i="2"/>
  <c r="V37" i="2"/>
  <c r="S43" i="2"/>
  <c r="T23" i="2"/>
  <c r="T43" i="2"/>
  <c r="S29" i="2"/>
  <c r="S31" i="2" s="1"/>
  <c r="Q29" i="2"/>
  <c r="Q31" i="2" s="1"/>
  <c r="Q33" i="2" s="1"/>
  <c r="Q34" i="2" s="1"/>
  <c r="J37" i="2"/>
  <c r="BD23" i="2"/>
  <c r="L50" i="2"/>
  <c r="O37" i="2"/>
  <c r="O24" i="2"/>
  <c r="O43" i="2" s="1"/>
  <c r="O59" i="2"/>
  <c r="O50" i="2"/>
  <c r="K50" i="2"/>
  <c r="P43" i="2"/>
  <c r="P29" i="2"/>
  <c r="P31" i="2" s="1"/>
  <c r="P45" i="2" s="1"/>
  <c r="P97" i="2"/>
  <c r="O97" i="2"/>
  <c r="N97" i="2"/>
  <c r="O70" i="2"/>
  <c r="BA24" i="2"/>
  <c r="BA29" i="2" s="1"/>
  <c r="BA31" i="2" s="1"/>
  <c r="F24" i="2"/>
  <c r="F29" i="2" s="1"/>
  <c r="F31" i="2" s="1"/>
  <c r="AZ24" i="2"/>
  <c r="AZ29" i="2" s="1"/>
  <c r="AZ31" i="2" s="1"/>
  <c r="AZ33" i="2" s="1"/>
  <c r="AZ34" i="2" s="1"/>
  <c r="BA37" i="2"/>
  <c r="BE28" i="2"/>
  <c r="BC37" i="2"/>
  <c r="BE20" i="2"/>
  <c r="BD28" i="2"/>
  <c r="BC24" i="2"/>
  <c r="BC43" i="2" s="1"/>
  <c r="BB24" i="2"/>
  <c r="BB43" i="2" s="1"/>
  <c r="BE23" i="2"/>
  <c r="BD20" i="2"/>
  <c r="N70" i="2"/>
  <c r="K70" i="2"/>
  <c r="N94" i="2"/>
  <c r="K59" i="2"/>
  <c r="N59" i="2"/>
  <c r="L37" i="2"/>
  <c r="K37" i="2"/>
  <c r="M70" i="2"/>
  <c r="K94" i="2"/>
  <c r="N37" i="2"/>
  <c r="L59" i="2"/>
  <c r="L94" i="2"/>
  <c r="G24" i="2"/>
  <c r="G43" i="2" s="1"/>
  <c r="L70" i="2"/>
  <c r="M24" i="2"/>
  <c r="M29" i="2" s="1"/>
  <c r="M31" i="2" s="1"/>
  <c r="I24" i="2"/>
  <c r="I43" i="2" s="1"/>
  <c r="M59" i="2"/>
  <c r="M94" i="2"/>
  <c r="M37" i="2"/>
  <c r="J24" i="2"/>
  <c r="J43" i="2" s="1"/>
  <c r="K24" i="2"/>
  <c r="K43" i="2" s="1"/>
  <c r="L24" i="2"/>
  <c r="L43" i="2" s="1"/>
  <c r="H24" i="2"/>
  <c r="N24" i="2"/>
  <c r="N43" i="2" s="1"/>
  <c r="AJ105" i="2" l="1"/>
  <c r="R29" i="2"/>
  <c r="R31" i="2" s="1"/>
  <c r="R45" i="2" s="1"/>
  <c r="AG105" i="2"/>
  <c r="AH105" i="2"/>
  <c r="AY33" i="2"/>
  <c r="AY34" i="2" s="1"/>
  <c r="AT105" i="2"/>
  <c r="AU105" i="2"/>
  <c r="AL34" i="2"/>
  <c r="AL105" i="2"/>
  <c r="AV105" i="2"/>
  <c r="AI105" i="2"/>
  <c r="T33" i="2"/>
  <c r="T34" i="2" s="1"/>
  <c r="AM34" i="2"/>
  <c r="AM105" i="2"/>
  <c r="AZ43" i="2"/>
  <c r="BB29" i="2"/>
  <c r="BB31" i="2" s="1"/>
  <c r="BD24" i="2"/>
  <c r="Q45" i="2"/>
  <c r="BH18" i="2"/>
  <c r="BG21" i="2"/>
  <c r="BG46" i="2" s="1"/>
  <c r="U33" i="2"/>
  <c r="U34" i="2" s="1"/>
  <c r="R33" i="2"/>
  <c r="R72" i="2" s="1"/>
  <c r="S33" i="2"/>
  <c r="S34" i="2" s="1"/>
  <c r="S45" i="2"/>
  <c r="O29" i="2"/>
  <c r="O31" i="2" s="1"/>
  <c r="O45" i="2" s="1"/>
  <c r="V33" i="2"/>
  <c r="V34" i="2" s="1"/>
  <c r="V45" i="2"/>
  <c r="BA43" i="2"/>
  <c r="BH28" i="2"/>
  <c r="BF28" i="2"/>
  <c r="BE24" i="2"/>
  <c r="BE29" i="2" s="1"/>
  <c r="BE31" i="2" s="1"/>
  <c r="BE45" i="2" s="1"/>
  <c r="BG28" i="2"/>
  <c r="P33" i="2"/>
  <c r="BE43" i="2"/>
  <c r="BC29" i="2"/>
  <c r="BC31" i="2" s="1"/>
  <c r="BC33" i="2" s="1"/>
  <c r="BC34" i="2" s="1"/>
  <c r="M43" i="2"/>
  <c r="F43" i="2"/>
  <c r="F45" i="2"/>
  <c r="F33" i="2"/>
  <c r="F34" i="2" s="1"/>
  <c r="AZ45" i="2"/>
  <c r="BA33" i="2"/>
  <c r="BA34" i="2" s="1"/>
  <c r="BA45" i="2"/>
  <c r="BD43" i="2"/>
  <c r="BD29" i="2"/>
  <c r="BD31" i="2" s="1"/>
  <c r="BB33" i="2"/>
  <c r="BB34" i="2" s="1"/>
  <c r="BB45" i="2"/>
  <c r="BF20" i="2"/>
  <c r="BG19" i="2"/>
  <c r="M33" i="2"/>
  <c r="M34" i="2" s="1"/>
  <c r="M45" i="2"/>
  <c r="BI28" i="2"/>
  <c r="BD37" i="2"/>
  <c r="BE37" i="2"/>
  <c r="N29" i="2"/>
  <c r="N31" i="2" s="1"/>
  <c r="I29" i="2"/>
  <c r="I31" i="2" s="1"/>
  <c r="G29" i="2"/>
  <c r="G31" i="2" s="1"/>
  <c r="H29" i="2"/>
  <c r="H31" i="2" s="1"/>
  <c r="H43" i="2"/>
  <c r="L29" i="2"/>
  <c r="L31" i="2" s="1"/>
  <c r="K29" i="2"/>
  <c r="K31" i="2" s="1"/>
  <c r="J29" i="2"/>
  <c r="J31" i="2" s="1"/>
  <c r="AY105" i="2" l="1"/>
  <c r="R34" i="2"/>
  <c r="BF24" i="2"/>
  <c r="BF37" i="2"/>
  <c r="O33" i="2"/>
  <c r="O34" i="2" s="1"/>
  <c r="BI18" i="2"/>
  <c r="BH21" i="2"/>
  <c r="BH46" i="2" s="1"/>
  <c r="BG22" i="2"/>
  <c r="BG47" i="2" s="1"/>
  <c r="BE33" i="2"/>
  <c r="BE34" i="2" s="1"/>
  <c r="Q72" i="2"/>
  <c r="BC45" i="2"/>
  <c r="P34" i="2"/>
  <c r="P72" i="2"/>
  <c r="O72" i="2"/>
  <c r="N33" i="2"/>
  <c r="N72" i="2" s="1"/>
  <c r="N45" i="2"/>
  <c r="M72" i="2"/>
  <c r="G33" i="2"/>
  <c r="G34" i="2" s="1"/>
  <c r="G45" i="2"/>
  <c r="K33" i="2"/>
  <c r="K34" i="2" s="1"/>
  <c r="K45" i="2"/>
  <c r="H33" i="2"/>
  <c r="H34" i="2" s="1"/>
  <c r="H45" i="2"/>
  <c r="BG20" i="2"/>
  <c r="BH19" i="2"/>
  <c r="BD33" i="2"/>
  <c r="BD34" i="2" s="1"/>
  <c r="BD45" i="2"/>
  <c r="I33" i="2"/>
  <c r="I45" i="2"/>
  <c r="J33" i="2"/>
  <c r="J45" i="2"/>
  <c r="L33" i="2"/>
  <c r="L34" i="2" s="1"/>
  <c r="L45" i="2"/>
  <c r="BJ28" i="2"/>
  <c r="J34" i="2" l="1"/>
  <c r="J72" i="2"/>
  <c r="I34" i="2"/>
  <c r="I72" i="2"/>
  <c r="BJ18" i="2"/>
  <c r="BI21" i="2"/>
  <c r="BI46" i="2"/>
  <c r="BH22" i="2"/>
  <c r="BH47" i="2" s="1"/>
  <c r="BG24" i="2"/>
  <c r="BG23" i="2" s="1"/>
  <c r="K72" i="2"/>
  <c r="BG37" i="2"/>
  <c r="BF43" i="2"/>
  <c r="BF29" i="2"/>
  <c r="BF31" i="2" s="1"/>
  <c r="BI19" i="2"/>
  <c r="BH20" i="2"/>
  <c r="L72" i="2"/>
  <c r="N34" i="2"/>
  <c r="BK28" i="2"/>
  <c r="BK18" i="2" l="1"/>
  <c r="BJ21" i="2"/>
  <c r="BJ46" i="2"/>
  <c r="BH24" i="2"/>
  <c r="BH23" i="2" s="1"/>
  <c r="BI22" i="2"/>
  <c r="BI47" i="2" s="1"/>
  <c r="BF32" i="2"/>
  <c r="BF45" i="2" s="1"/>
  <c r="BH37" i="2"/>
  <c r="BG29" i="2"/>
  <c r="BG43" i="2"/>
  <c r="BJ19" i="2"/>
  <c r="BI20" i="2"/>
  <c r="BI24" i="2" s="1"/>
  <c r="BM28" i="2"/>
  <c r="BL28" i="2"/>
  <c r="BL18" i="2" l="1"/>
  <c r="BK21" i="2"/>
  <c r="BK46" i="2" s="1"/>
  <c r="BJ22" i="2"/>
  <c r="BJ47" i="2"/>
  <c r="BF33" i="2"/>
  <c r="BI37" i="2"/>
  <c r="BK19" i="2"/>
  <c r="BJ20" i="2"/>
  <c r="BJ24" i="2" s="1"/>
  <c r="BH43" i="2"/>
  <c r="BH29" i="2"/>
  <c r="BM18" i="2" l="1"/>
  <c r="BL21" i="2"/>
  <c r="BL46" i="2"/>
  <c r="BK22" i="2"/>
  <c r="BK47" i="2" s="1"/>
  <c r="BF50" i="2"/>
  <c r="BG31" i="2" s="1"/>
  <c r="BG45" i="2" s="1"/>
  <c r="BF34" i="2"/>
  <c r="BJ37" i="2"/>
  <c r="BL19" i="2"/>
  <c r="BK20" i="2"/>
  <c r="BK24" i="2" s="1"/>
  <c r="BI23" i="2"/>
  <c r="BI43" i="2"/>
  <c r="BI29" i="2"/>
  <c r="BG33" i="2" l="1"/>
  <c r="BG34" i="2" s="1"/>
  <c r="BM21" i="2"/>
  <c r="BM46" i="2" s="1"/>
  <c r="BL22" i="2"/>
  <c r="BL47" i="2" s="1"/>
  <c r="BK37" i="2"/>
  <c r="BJ43" i="2"/>
  <c r="BJ29" i="2"/>
  <c r="BJ23" i="2"/>
  <c r="BM19" i="2"/>
  <c r="BL20" i="2"/>
  <c r="BL24" i="2" s="1"/>
  <c r="BG50" i="2" l="1"/>
  <c r="BH30" i="2" s="1"/>
  <c r="BH31" i="2" s="1"/>
  <c r="BH32" i="2" s="1"/>
  <c r="BH45" i="2" s="1"/>
  <c r="BM20" i="2"/>
  <c r="BM24" i="2" s="1"/>
  <c r="BM22" i="2"/>
  <c r="BM47" i="2" s="1"/>
  <c r="BL37" i="2"/>
  <c r="BK29" i="2"/>
  <c r="BK23" i="2"/>
  <c r="BK43" i="2"/>
  <c r="BM37" i="2" l="1"/>
  <c r="BH33" i="2"/>
  <c r="BH50" i="2" s="1"/>
  <c r="BM43" i="2"/>
  <c r="BM23" i="2"/>
  <c r="BM29" i="2"/>
  <c r="BL23" i="2"/>
  <c r="BL43" i="2"/>
  <c r="BL29" i="2"/>
  <c r="BH34" i="2" l="1"/>
  <c r="BI30" i="2"/>
  <c r="BI31" i="2" s="1"/>
  <c r="BI32" i="2" l="1"/>
  <c r="BI45" i="2" s="1"/>
  <c r="BI33" i="2" l="1"/>
  <c r="BI50" i="2" l="1"/>
  <c r="BJ30" i="2" s="1"/>
  <c r="BJ31" i="2" s="1"/>
  <c r="BI34" i="2"/>
  <c r="BJ32" i="2" l="1"/>
  <c r="BJ45" i="2" s="1"/>
  <c r="BJ33" i="2" l="1"/>
  <c r="BJ34" i="2" l="1"/>
  <c r="BJ50" i="2"/>
  <c r="BK30" i="2"/>
  <c r="BK31" i="2" s="1"/>
  <c r="BK32" i="2" l="1"/>
  <c r="BK45" i="2" s="1"/>
  <c r="BK33" i="2" l="1"/>
  <c r="BK34" i="2" l="1"/>
  <c r="BK50" i="2"/>
  <c r="BL30" i="2" s="1"/>
  <c r="BL31" i="2" s="1"/>
  <c r="BL32" i="2" l="1"/>
  <c r="BL45" i="2" s="1"/>
  <c r="BL33" i="2" l="1"/>
  <c r="BL34" i="2" l="1"/>
  <c r="BL50" i="2"/>
  <c r="BM30" i="2" s="1"/>
  <c r="BM31" i="2" s="1"/>
  <c r="BM32" i="2" l="1"/>
  <c r="BM45" i="2" s="1"/>
  <c r="BM33" i="2" l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BP43" i="2" s="1"/>
  <c r="BP45" i="2" s="1"/>
  <c r="BM50" i="2" l="1"/>
  <c r="BM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tc={8AC866B7-A6C9-4AFE-88B5-A371DED6226E}</author>
    <author>tc={96AC5426-8FEE-464D-8105-8764B3629F77}</author>
    <author>tc={ECADAB22-36B1-41A2-AD23-FFF1F2EAB8AC}</author>
    <author>tc={1CA79B8E-9FD8-4E2D-9412-7A77DDB83F01}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tc={667BC7EE-5E86-47FC-B964-2C031A25E303}</author>
    <author>tc={7492A336-ABB9-4529-8350-AF762E5855FF}</author>
    <author>tc={9D309CA1-66AA-4222-B1F7-ACD53E16B28F}</author>
    <author>tc={48518769-DF2C-4CE7-8344-8EDB6814ABC3}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R8" authorId="2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BF8" authorId="3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P9" authorId="4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9" authorId="5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R12" authorId="6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12" authorId="7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14" authorId="8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14" authorId="9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14" authorId="10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14" authorId="11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</t>
      </text>
    </comment>
    <comment ref="BF14" authorId="12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15" authorId="13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15" authorId="14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15" authorId="15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15" authorId="16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15" authorId="17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</t>
      </text>
    </comment>
    <comment ref="B16" authorId="18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16" authorId="19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16" authorId="20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16" authorId="21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16" authorId="22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16" authorId="23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</t>
      </text>
    </comment>
    <comment ref="AA16" authorId="24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B16" authorId="25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C16" authorId="26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20" authorId="27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20" authorId="28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20" authorId="29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S23" authorId="30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BG29" authorId="31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G32" authorId="32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34" authorId="33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P38" authorId="34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40" authorId="35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<sst xmlns="http://schemas.openxmlformats.org/spreadsheetml/2006/main" count="571" uniqueCount="457">
  <si>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</si>
  <si>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</si>
  <si>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</si>
  <si>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</si>
  <si>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</si>
  <si>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</si>
  <si>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</si>
  <si>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</si>
  <si>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</si>
  <si>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</si>
  <si>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</si>
  <si>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</si>
  <si>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</si>
  <si>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</si>
  <si>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</si>
  <si>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</si>
  <si>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</si>
  <si>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</si>
  <si>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</si>
  <si>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</si>
  <si>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</si>
  <si>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</si>
  <si>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</si>
  <si>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</si>
  <si>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</si>
  <si>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</si>
  <si>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</si>
  <si>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</si>
  <si>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</si>
  <si>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</si>
  <si>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</si>
  <si>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</si>
  <si>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</si>
  <si>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</si>
  <si>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</si>
  <si>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</si>
  <si>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</si>
  <si>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</si>
  <si>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</si>
  <si>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</si>
  <si>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</si>
  <si>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</si>
  <si>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</si>
  <si>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</si>
  <si>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</si>
  <si>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</si>
  <si>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</si>
  <si>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</si>
  <si>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</si>
  <si>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</si>
  <si>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</si>
  <si>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</si>
  <si>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</si>
  <si>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</si>
  <si>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</si>
  <si>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</si>
  <si>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</si>
  <si>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</si>
  <si>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</si>
  <si>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</si>
  <si>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</si>
  <si>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</si>
  <si>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</si>
  <si>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</si>
  <si>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</si>
  <si>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</si>
  <si>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</si>
  <si>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</si>
  <si>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</si>
  <si>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</si>
  <si>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</si>
  <si>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</si>
  <si>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</si>
  <si>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</si>
  <si>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</si>
  <si>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</si>
  <si>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</si>
  <si>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</si>
  <si>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</si>
  <si>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</si>
  <si>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</si>
  <si>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</si>
  <si>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</si>
  <si>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</si>
  <si>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</si>
  <si>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</si>
  <si>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</si>
  <si>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</si>
  <si>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</si>
  <si>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</si>
  <si>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</si>
  <si>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</si>
  <si>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</si>
  <si>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</si>
  <si>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</si>
  <si>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</si>
  <si>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</si>
  <si>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</si>
  <si>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</si>
  <si>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</si>
  <si>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</si>
  <si>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</si>
  <si>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</si>
  <si>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</si>
  <si>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</si>
  <si>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</si>
  <si>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</si>
  <si>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</si>
  <si>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</si>
  <si>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</si>
  <si>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</si>
  <si>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</si>
  <si>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</si>
  <si>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</si>
  <si>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</si>
  <si>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</si>
  <si>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</si>
  <si>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</si>
  <si>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</si>
  <si>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</si>
  <si>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</si>
  <si>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</si>
  <si>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</si>
  <si>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</si>
  <si>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</si>
  <si>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</si>
  <si>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</si>
  <si>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</si>
  <si>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</si>
  <si>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</si>
  <si>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</si>
  <si>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</si>
  <si>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</si>
  <si>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</si>
  <si>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</si>
  <si>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</si>
  <si>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</si>
  <si>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</si>
  <si>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</si>
  <si>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</si>
  <si>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</si>
  <si>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</si>
  <si>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</si>
  <si>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</si>
  <si>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</si>
  <si>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</si>
  <si>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</si>
  <si>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</si>
  <si>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</si>
  <si>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</si>
  <si>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</si>
  <si>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</si>
  <si>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</si>
  <si>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</si>
  <si>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</si>
  <si>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</si>
  <si>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</si>
  <si>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</si>
  <si>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Q422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</si>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</sst>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3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67" fontId="0" fillId="0" borderId="0" xfId="0" applyNumberFormat="1" applyAlignment="1">
      <alignment horizontal="right"/>
    </xf>
    <xf numFmtId="9" fontId="0" fillId="0" borderId="0" xfId="0" applyNumberFormat="1" applyFont="1"/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30038</xdr:colOff>
      <xdr:row>0</xdr:row>
      <xdr:rowOff>22430</xdr:rowOff>
    </xdr:from>
    <xdr:to>
      <xdr:col>18</xdr:col>
      <xdr:colOff>30038</xdr:colOff>
      <xdr:row>105</xdr:row>
      <xdr:rowOff>51005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2217392" y="2243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65745</xdr:colOff>
      <xdr:row>0</xdr:row>
      <xdr:rowOff>0</xdr:rowOff>
    </xdr:from>
    <xdr:to>
      <xdr:col>58</xdr:col>
      <xdr:colOff>65745</xdr:colOff>
      <xdr:row>105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36813660" y="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R8" dT="2023-09-28T17:43:21.59" personId="{2ADAC7E3-86EF-4E60-96A3-ED0BEE011F1E}" id="{8AC866B7-A6C9-4AFE-88B5-A371DED6226E}">
    <text>+23% CC</text>
  </threadedComment>
  <threadedComment ref="BF8" dT="2023-09-28T17:49:57.89" personId="{2ADAC7E3-86EF-4E60-96A3-ED0BEE011F1E}" id="{96AC5426-8FEE-464D-8105-8764B3629F77}">
    <text>+27% CC</text>
  </threadedComment>
  <threadedComment ref="P9" dT="2023-04-25T17:43:15.37" personId="{2ADAC7E3-86EF-4E60-96A3-ED0BEE011F1E}" id="{ECADAB22-36B1-41A2-AD23-FFF1F2EAB8AC}">
    <text>+14% CC</text>
  </threadedComment>
  <threadedComment ref="R9" dT="2023-09-28T17:37:24.54" personId="{2ADAC7E3-86EF-4E60-96A3-ED0BEE011F1E}" id="{1CA79B8E-9FD8-4E2D-9412-7A77DDB83F01}">
    <text>+7% LinkedIn revenue CC</text>
  </threadedComment>
  <threadedComment ref="R12" dT="2023-09-28T17:33:29.03" personId="{2ADAC7E3-86EF-4E60-96A3-ED0BEE011F1E}" id="{3A6A4C0B-9CA9-4EA2-8610-4020B0DDB40E}">
    <text>XBOX hardware -13%
Content &amp; Services +6%</text>
  </threadedComment>
  <threadedComment ref="S12" dT="2023-09-28T18:52:34.02" personId="{2ADAC7E3-86EF-4E60-96A3-ED0BEE011F1E}" id="{6B1B9C92-FEE7-475D-B41A-E884CF55D05D}">
    <text>Expect +MSD</text>
  </threadedComment>
  <threadedComment ref="P14" dT="2023-04-25T17:42:46.88" personId="{2ADAC7E3-86EF-4E60-96A3-ED0BEE011F1E}" id="{2883B5CB-9CE6-4897-A415-6E91690048D2}">
    <text>Dynamics +20%</text>
  </threadedComment>
  <threadedComment ref="Q14" dT="2023-04-25T17:51:08.94" personId="{2ADAC7E3-86EF-4E60-96A3-ED0BEE011F1E}" id="{6A5307CC-CCBA-4CAC-BF0C-55B40FBD45DC}">
    <text>+11-13%
16.9-17.2B</text>
  </threadedComment>
  <threadedComment ref="R14" dT="2023-04-25T22:13:26.39" personId="{2ADAC7E3-86EF-4E60-96A3-ED0BEE011F1E}" id="{8F896F81-6E53-40A7-B585-0CF468064875}">
    <text>Guidance: 17.9-18.2B</text>
  </threadedComment>
  <threadedComment ref="S14" dT="2023-09-28T18:50:05.48" personId="{2ADAC7E3-86EF-4E60-96A3-ED0BEE011F1E}" id="{1708469E-E4B0-42B4-A74A-7F2EA54BA260}">
    <text>18000-18300 guidance Q423</text>
  </threadedComment>
  <threadedComment ref="BF14" dT="2023-09-28T18:19:04.32" personId="{2ADAC7E3-86EF-4E60-96A3-ED0BEE011F1E}" id="{6C2A9AED-575A-4447-8CAD-2E4A869395ED}">
    <text>Dynamics $5B
LinkedIn $15B</text>
  </threadedComment>
  <threadedComment ref="K15" dT="2023-01-12T14:11:54.08" personId="{2ADAC7E3-86EF-4E60-96A3-ED0BEE011F1E}" id="{1194B53B-11DF-4936-8FD7-77F49319A1C9}">
    <text>16964 old</text>
  </threadedComment>
  <threadedComment ref="P15" dT="2023-04-25T17:30:58.20" personId="{2ADAC7E3-86EF-4E60-96A3-ED0BEE011F1E}" id="{B7D8227E-9C6A-4B9D-BCEB-E38F55E93FBB}">
    <text>Azure growth moderated
Grew from Nuance</text>
  </threadedComment>
  <threadedComment ref="Q15" dT="2023-04-25T17:52:22.56" personId="{2ADAC7E3-86EF-4E60-96A3-ED0BEE011F1E}" id="{C7BC1CA5-759B-43A0-833B-88C4CD54B000}">
    <text>Q223 guidance: 21.7-22.0B</text>
  </threadedComment>
  <threadedComment ref="R15" dT="2023-04-25T22:13:34.93" personId="{2ADAC7E3-86EF-4E60-96A3-ED0BEE011F1E}" id="{21797C47-1950-4375-853A-A1712EF01174}">
    <text>Guidance: 23.6-23.9B</text>
  </threadedComment>
  <threadedComment ref="S15" dT="2023-09-28T18:50:34.89" personId="{2ADAC7E3-86EF-4E60-96A3-ED0BEE011F1E}" id="{AA439B2E-FC6E-4E0D-A042-CA20F999D88F}">
    <text>23.3-23.6B Q423</text>
  </threadedComment>
  <threadedComment ref="B16" dT="2023-09-28T17:34:02.74" personId="{2ADAC7E3-86EF-4E60-96A3-ED0BEE011F1E}" id="{EC9B7190-CE1A-4E78-A2EF-A3F3AADAB339}">
    <text>Windows, Gaming, Devices, Search and News Advertising</text>
  </threadedComment>
  <threadedComment ref="K16" dT="2023-01-12T14:11:37.67" personId="{2ADAC7E3-86EF-4E60-96A3-ED0BEE011F1E}" id="{F728FAC2-51F0-4023-AB40-41F83CEF5C89}">
    <text>13314 prior</text>
  </threadedComment>
  <threadedComment ref="P16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16" dT="2023-04-25T17:53:27.39" personId="{2ADAC7E3-86EF-4E60-96A3-ED0BEE011F1E}" id="{246E0C01-DF1D-4F91-A337-4DE00EFEDDC8}">
    <text>FQ223 guidance: 11.9-12.3B</text>
  </threadedComment>
  <threadedComment ref="R16" dT="2023-04-25T22:13:46.70" personId="{2ADAC7E3-86EF-4E60-96A3-ED0BEE011F1E}" id="{730404D6-8355-478B-BCFF-9D938DC1FD29}">
    <text>Guidance: 13.35-13.75B
Xandr acquisition benefit</text>
  </threadedComment>
  <threadedComment ref="S16" dT="2023-09-28T18:51:01.20" personId="{2ADAC7E3-86EF-4E60-96A3-ED0BEE011F1E}" id="{DCFC0E54-F0B5-4901-BBC6-12237E7E3B9E}">
    <text>12.5-12.9B Q423</text>
  </threadedComment>
  <threadedComment ref="AA16" dT="2023-04-30T03:57:38.72" personId="{2ADAC7E3-86EF-4E60-96A3-ED0BEE011F1E}" id="{1C31850E-87A1-42A5-A544-D7C66ECB0D78}">
    <text>Hardware 254m</text>
  </threadedComment>
  <threadedComment ref="AB16" dT="2023-04-30T03:57:32.74" personId="{2ADAC7E3-86EF-4E60-96A3-ED0BEE011F1E}" id="{6CD6DA57-15E4-4617-9E8A-DE627D4291F4}">
    <text>Hardware 233m</text>
  </threadedComment>
  <threadedComment ref="AC16" dT="2023-04-30T03:57:25.69" personId="{2ADAC7E3-86EF-4E60-96A3-ED0BEE011F1E}" id="{530E3A34-4790-4FEE-B8A2-EEE361836B57}">
    <text>Hardware 203m</text>
  </threadedComment>
  <threadedComment ref="P20" dT="2023-04-25T17:28:33.19" personId="{2ADAC7E3-86EF-4E60-96A3-ED0BEE011F1E}" id="{6550F107-B2DD-468B-9840-A88B103B8C6E}">
    <text>Saw weakening in December
US weaker than expected</text>
  </threadedComment>
  <threadedComment ref="Q20" dT="2023-04-25T17:53:49.93" personId="{2ADAC7E3-86EF-4E60-96A3-ED0BEE011F1E}" id="{B0B4B47A-77DB-4469-A3F3-BA8FF53995B8}">
    <text>4/25/23 Consensus: 51.02B
Q223 guidance: 50.5-51.5B</text>
  </threadedComment>
  <threadedComment ref="R20" dT="2023-04-25T17:54:04.57" personId="{2ADAC7E3-86EF-4E60-96A3-ED0BEE011F1E}" id="{672EF133-CF99-4F62-BC53-D74F59EFAF45}">
    <text>4/24/23: 54.84B consensus
FQ323 Guidance: 54.850-55.80B</text>
  </threadedComment>
  <threadedComment ref="S23" dT="2023-09-28T18:52:48.38" personId="{2ADAC7E3-86EF-4E60-96A3-ED0BEE011F1E}" id="{667BC7EE-5E86-47FC-B964-2C031A25E303}">
    <text>16.6-16.8B - Q423</text>
  </threadedComment>
  <threadedComment ref="BG29" dT="2023-09-28T18:49:03.40" personId="{2ADAC7E3-86EF-4E60-96A3-ED0BEE011F1E}" id="{7492A336-ABB9-4529-8350-AF762E5855FF}">
    <text>Expect flat OM% y/y</text>
  </threadedComment>
  <threadedComment ref="BG32" dT="2023-09-28T18:49:17.54" personId="{2ADAC7E3-86EF-4E60-96A3-ED0BEE011F1E}" id="{9D309CA1-66AA-4222-B1F7-ACD53E16B28F}">
    <text>19% guidance - Q423</text>
  </threadedComment>
  <threadedComment ref="R34" dT="2023-09-28T18:39:40.83" personId="{2ADAC7E3-86EF-4E60-96A3-ED0BEE011F1E}" id="{48518769-DF2C-4CE7-8344-8EDB6814ABC3}">
    <text>2.69 +23% cc</text>
  </threadedComment>
  <threadedComment ref="P38" dT="2023-04-25T17:32:36.53" personId="{2ADAC7E3-86EF-4E60-96A3-ED0BEE011F1E}" id="{207240C6-AA0E-47C1-A8DC-C70F3CF7F6CF}">
    <text>Bookings +4% y/y</text>
  </threadedComment>
  <threadedComment ref="R40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38"/>
  <sheetViews>
    <sheetView zoomScale="190" zoomScaleNormal="190" workbookViewId="0"/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324</v>
      </c>
    </row>
    <row r="3" spans="2:13">
      <c r="B3" t="s">
        <v>110</v>
      </c>
      <c r="C3" t="s">
        <v>113</v>
      </c>
      <c r="K3" t="s">
        <v>1</v>
      </c>
      <c r="L3" s="4">
        <v>7473</v>
      </c>
      <c r="M3" s="2" t="s">
        <v>158</v>
      </c>
    </row>
    <row r="4" spans="2:13">
      <c r="B4" t="s">
        <v>109</v>
      </c>
      <c r="C4" t="s">
        <v>114</v>
      </c>
      <c r="K4" t="s">
        <v>2</v>
      </c>
      <c r="L4" s="4">
        <f>L2*L3</f>
        <v>2421252</v>
      </c>
    </row>
    <row r="5" spans="2:13">
      <c r="B5" t="s">
        <v>116</v>
      </c>
      <c r="K5" t="s">
        <v>3</v>
      </c>
      <c r="L5" s="4">
        <v>106605</v>
      </c>
      <c r="M5" s="2" t="s">
        <v>158</v>
      </c>
    </row>
    <row r="6" spans="2:13">
      <c r="B6" t="s">
        <v>131</v>
      </c>
      <c r="K6" t="s">
        <v>4</v>
      </c>
      <c r="L6" s="4">
        <v>48116</v>
      </c>
      <c r="M6" s="2" t="s">
        <v>158</v>
      </c>
    </row>
    <row r="7" spans="2:13">
      <c r="K7" t="s">
        <v>5</v>
      </c>
      <c r="L7" s="4">
        <f>L4-L5+L6</f>
        <v>2362763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7</v>
      </c>
    </row>
    <row r="24" spans="2:8">
      <c r="B24" t="s">
        <v>411</v>
      </c>
    </row>
    <row r="25" spans="2:8">
      <c r="B25" t="s">
        <v>397</v>
      </c>
    </row>
    <row r="26" spans="2:8">
      <c r="B26" t="s">
        <v>225</v>
      </c>
    </row>
    <row r="27" spans="2:8">
      <c r="B27" t="s">
        <v>117</v>
      </c>
    </row>
    <row r="28" spans="2:8">
      <c r="B28" t="s">
        <v>188</v>
      </c>
    </row>
    <row r="29" spans="2:8">
      <c r="B29" t="s">
        <v>162</v>
      </c>
    </row>
    <row r="30" spans="2:8">
      <c r="B30" t="s">
        <v>187</v>
      </c>
    </row>
    <row r="31" spans="2:8">
      <c r="B31" t="s">
        <v>189</v>
      </c>
    </row>
    <row r="32" spans="2:8">
      <c r="B32" t="s">
        <v>186</v>
      </c>
    </row>
    <row r="33" spans="2:2">
      <c r="B33" t="s">
        <v>160</v>
      </c>
    </row>
    <row r="34" spans="2:2">
      <c r="B34" t="s">
        <v>161</v>
      </c>
    </row>
    <row r="35" spans="2:2">
      <c r="B35" t="s">
        <v>121</v>
      </c>
    </row>
    <row r="36" spans="2:2">
      <c r="B36" t="s">
        <v>119</v>
      </c>
    </row>
    <row r="37" spans="2:2">
      <c r="B37" t="s">
        <v>120</v>
      </c>
    </row>
    <row r="38" spans="2:2">
      <c r="B38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S110"/>
  <sheetViews>
    <sheetView tabSelected="1" zoomScale="130" zoomScaleNormal="130" workbookViewId="0">
      <pane xSplit="2" ySplit="3" topLeftCell="I10" activePane="bottomRight" state="frozen"/>
      <selection pane="topRight" activeCell="C1" sqref="C1"/>
      <selection pane="bottomLeft" activeCell="A4" sqref="A4"/>
      <selection pane="bottomRight" activeCell="S33" sqref="S33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2" width="9.85546875" customWidth="1"/>
    <col min="29" max="29" width="9.5703125" customWidth="1"/>
    <col min="55" max="58" width="9.140625" style="2"/>
    <col min="68" max="68" width="10.7109375" customWidth="1"/>
  </cols>
  <sheetData>
    <row r="1" spans="1:65">
      <c r="A1" s="14" t="s">
        <v>6</v>
      </c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8"/>
      <c r="BD1" s="38"/>
      <c r="BE1" s="38"/>
      <c r="BF1" s="38"/>
      <c r="BG1" s="37"/>
    </row>
    <row r="2" spans="1:65" s="15" customFormat="1">
      <c r="C2" s="16"/>
      <c r="D2" s="16"/>
      <c r="E2" s="16"/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45016</v>
      </c>
      <c r="V2" s="15">
        <v>45107</v>
      </c>
      <c r="Y2" s="15">
        <v>33054</v>
      </c>
      <c r="Z2" s="15">
        <v>33419</v>
      </c>
      <c r="AA2" s="15">
        <v>33785</v>
      </c>
      <c r="AB2" s="15">
        <v>34150</v>
      </c>
      <c r="AC2" s="15">
        <v>34515</v>
      </c>
      <c r="AD2" s="15">
        <v>34880</v>
      </c>
      <c r="AE2" s="15">
        <v>35246</v>
      </c>
      <c r="AF2" s="15">
        <v>35611</v>
      </c>
      <c r="AG2" s="15">
        <v>35976</v>
      </c>
      <c r="AH2" s="15">
        <v>36341</v>
      </c>
      <c r="AI2" s="15">
        <v>36707</v>
      </c>
      <c r="AJ2" s="15">
        <v>37072</v>
      </c>
      <c r="AK2" s="15">
        <v>37437</v>
      </c>
      <c r="AL2" s="15">
        <v>37802</v>
      </c>
      <c r="AM2" s="15">
        <v>38168</v>
      </c>
      <c r="AN2" s="15">
        <v>38533</v>
      </c>
      <c r="AO2" s="15">
        <v>38898</v>
      </c>
      <c r="AP2" s="15">
        <v>39263</v>
      </c>
      <c r="AQ2" s="15">
        <v>39629</v>
      </c>
      <c r="AR2" s="15">
        <v>39994</v>
      </c>
      <c r="AS2" s="15">
        <v>40359</v>
      </c>
      <c r="AT2" s="15">
        <v>40724</v>
      </c>
      <c r="AU2" s="15">
        <v>41090</v>
      </c>
      <c r="AV2" s="15">
        <v>41455</v>
      </c>
      <c r="AW2" s="15">
        <v>41820</v>
      </c>
      <c r="AX2" s="15">
        <v>42185</v>
      </c>
      <c r="AY2" s="15">
        <v>42551</v>
      </c>
      <c r="AZ2" s="15">
        <v>42916</v>
      </c>
      <c r="BA2" s="15">
        <v>43281</v>
      </c>
      <c r="BB2" s="15">
        <v>43646</v>
      </c>
      <c r="BC2" s="16">
        <v>44012</v>
      </c>
      <c r="BD2" s="16">
        <f>+J2</f>
        <v>44377</v>
      </c>
      <c r="BE2" s="16">
        <f>+N2</f>
        <v>44742</v>
      </c>
      <c r="BF2" s="16">
        <v>45107</v>
      </c>
      <c r="BG2" s="15">
        <f>+BF2+366</f>
        <v>45473</v>
      </c>
      <c r="BH2" s="15">
        <f>+BG2+365</f>
        <v>45838</v>
      </c>
      <c r="BI2" s="15">
        <f>+BH2+365</f>
        <v>46203</v>
      </c>
      <c r="BJ2" s="15">
        <f>+BI2+365</f>
        <v>46568</v>
      </c>
      <c r="BK2" s="15">
        <f>+BJ2+366</f>
        <v>46934</v>
      </c>
      <c r="BL2" s="15">
        <f>+BK2+365</f>
        <v>47299</v>
      </c>
      <c r="BM2" s="15">
        <f>+BL2+365</f>
        <v>47664</v>
      </c>
    </row>
    <row r="3" spans="1:65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X3" s="2"/>
      <c r="Y3" s="2" t="s">
        <v>220</v>
      </c>
      <c r="Z3" s="2" t="s">
        <v>221</v>
      </c>
      <c r="AA3" s="2" t="s">
        <v>222</v>
      </c>
      <c r="AB3" s="2" t="s">
        <v>223</v>
      </c>
      <c r="AC3" s="2" t="s">
        <v>184</v>
      </c>
      <c r="AD3" s="2" t="s">
        <v>185</v>
      </c>
      <c r="AE3" s="2" t="s">
        <v>181</v>
      </c>
      <c r="AF3" s="2" t="s">
        <v>182</v>
      </c>
      <c r="AG3" s="2" t="s">
        <v>183</v>
      </c>
      <c r="AH3" s="2" t="s">
        <v>174</v>
      </c>
      <c r="AI3" s="2" t="s">
        <v>175</v>
      </c>
      <c r="AJ3" s="2" t="s">
        <v>176</v>
      </c>
      <c r="AK3" s="2" t="s">
        <v>177</v>
      </c>
      <c r="AL3" s="2" t="s">
        <v>178</v>
      </c>
      <c r="AM3" s="2" t="s">
        <v>179</v>
      </c>
      <c r="AN3" s="2" t="s">
        <v>180</v>
      </c>
      <c r="AO3" s="2" t="s">
        <v>170</v>
      </c>
      <c r="AP3" s="2" t="s">
        <v>171</v>
      </c>
      <c r="AQ3" s="2" t="s">
        <v>172</v>
      </c>
      <c r="AR3" s="2" t="s">
        <v>173</v>
      </c>
      <c r="AS3" s="2" t="s">
        <v>164</v>
      </c>
      <c r="AT3" s="2" t="s">
        <v>165</v>
      </c>
      <c r="AU3" s="2" t="s">
        <v>166</v>
      </c>
      <c r="AV3" s="2" t="s">
        <v>167</v>
      </c>
      <c r="AW3" s="2" t="s">
        <v>168</v>
      </c>
      <c r="AX3" s="2" t="s">
        <v>169</v>
      </c>
      <c r="AY3" s="2" t="s">
        <v>163</v>
      </c>
      <c r="AZ3" s="2" t="s">
        <v>102</v>
      </c>
      <c r="BA3" s="2" t="s">
        <v>101</v>
      </c>
      <c r="BB3" s="2" t="s">
        <v>88</v>
      </c>
      <c r="BC3" s="2" t="s">
        <v>77</v>
      </c>
      <c r="BD3" s="2" t="s">
        <v>74</v>
      </c>
      <c r="BE3" s="2" t="s">
        <v>75</v>
      </c>
      <c r="BF3" s="2" t="s">
        <v>76</v>
      </c>
      <c r="BG3" s="2" t="s">
        <v>90</v>
      </c>
      <c r="BH3" s="2" t="s">
        <v>91</v>
      </c>
      <c r="BI3" s="2" t="s">
        <v>92</v>
      </c>
      <c r="BJ3" s="2" t="s">
        <v>93</v>
      </c>
      <c r="BK3" s="2" t="s">
        <v>94</v>
      </c>
      <c r="BL3" s="2" t="s">
        <v>95</v>
      </c>
      <c r="BM3" s="2" t="s">
        <v>96</v>
      </c>
    </row>
    <row r="4" spans="1:65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/>
      <c r="T4" s="2"/>
      <c r="U4" s="2"/>
      <c r="V4" s="2"/>
      <c r="AS4" s="2"/>
      <c r="AT4" s="2"/>
      <c r="AU4" s="2"/>
      <c r="AV4" s="2"/>
      <c r="AW4" s="2"/>
      <c r="AX4" s="2"/>
      <c r="AY4" s="2"/>
      <c r="AZ4" s="2"/>
      <c r="BA4" s="2"/>
      <c r="BB4" s="2"/>
      <c r="BG4" s="2"/>
      <c r="BH4" s="2"/>
      <c r="BI4" s="2"/>
      <c r="BJ4" s="2"/>
      <c r="BK4" s="2"/>
      <c r="BL4" s="2"/>
      <c r="BM4" s="2"/>
    </row>
    <row r="5" spans="1:65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>+P4/L4-1</f>
        <v>0.28571428571428581</v>
      </c>
      <c r="Q5" s="21">
        <f>+Q4/M4-1</f>
        <v>0.26451612903225796</v>
      </c>
      <c r="R5" s="21">
        <f>+R4/N4-1</f>
        <v>0.18518518518518512</v>
      </c>
      <c r="S5" s="20"/>
      <c r="T5" s="20"/>
      <c r="U5" s="20"/>
      <c r="V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s="19" customFormat="1">
      <c r="B7" t="s">
        <v>152</v>
      </c>
      <c r="C7" s="20"/>
      <c r="D7" s="20"/>
      <c r="E7" s="20"/>
      <c r="F7" s="20"/>
      <c r="G7" s="20"/>
      <c r="H7" s="20"/>
      <c r="I7" s="20"/>
      <c r="J7" s="20"/>
      <c r="K7" s="20"/>
      <c r="L7" s="7">
        <v>22000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20"/>
      <c r="T7" s="20"/>
      <c r="U7" s="20"/>
      <c r="V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5">
        <f>SUM(O7:R7)</f>
        <v>111600</v>
      </c>
      <c r="BG7" s="20"/>
      <c r="BH7" s="20"/>
      <c r="BI7" s="20"/>
      <c r="BJ7" s="20"/>
      <c r="BK7" s="20"/>
      <c r="BL7" s="20"/>
      <c r="BM7" s="20"/>
    </row>
    <row r="8" spans="1:65" s="19" customFormat="1">
      <c r="C8" s="20"/>
      <c r="D8" s="20"/>
      <c r="E8" s="20"/>
      <c r="F8" s="20"/>
      <c r="G8" s="20"/>
      <c r="H8" s="20"/>
      <c r="I8" s="20"/>
      <c r="J8" s="20"/>
      <c r="K8" s="20"/>
      <c r="L8" s="21"/>
      <c r="M8" s="21"/>
      <c r="N8" s="21"/>
      <c r="O8" s="21"/>
      <c r="P8" s="21">
        <f>P7/L7-1</f>
        <v>0.23181818181818192</v>
      </c>
      <c r="Q8" s="21">
        <f t="shared" ref="Q8" si="1">Q7/M7-1</f>
        <v>0.21794871794871784</v>
      </c>
      <c r="R8" s="21">
        <f>R7/N7-1</f>
        <v>0.20717131474103589</v>
      </c>
      <c r="S8" s="20"/>
      <c r="T8" s="20"/>
      <c r="U8" s="20"/>
      <c r="V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1">
        <v>0.27</v>
      </c>
      <c r="BG8" s="20"/>
      <c r="BH8" s="20"/>
      <c r="BI8" s="20"/>
      <c r="BJ8" s="20"/>
      <c r="BK8" s="20"/>
      <c r="BL8" s="20"/>
      <c r="BM8" s="20"/>
    </row>
    <row r="9" spans="1:65">
      <c r="B9" t="s">
        <v>87</v>
      </c>
      <c r="N9" s="2">
        <f>+J9+768</f>
        <v>768</v>
      </c>
      <c r="O9" s="2"/>
      <c r="P9" s="2"/>
      <c r="Q9" s="2"/>
      <c r="R9" s="2">
        <v>950</v>
      </c>
      <c r="S9" s="2"/>
      <c r="T9" s="2"/>
      <c r="U9" s="2"/>
      <c r="V9" s="2"/>
    </row>
    <row r="10" spans="1:65">
      <c r="B10" s="19" t="s">
        <v>153</v>
      </c>
      <c r="L10" s="39">
        <v>56.4</v>
      </c>
      <c r="M10" s="39">
        <v>58.4</v>
      </c>
      <c r="N10" s="39">
        <v>59.7</v>
      </c>
      <c r="O10" s="39">
        <v>61.3</v>
      </c>
      <c r="P10" s="39">
        <v>63.2</v>
      </c>
      <c r="Q10" s="39">
        <v>65.400000000000006</v>
      </c>
      <c r="R10" s="39">
        <v>67</v>
      </c>
      <c r="S10" s="2"/>
      <c r="T10" s="2"/>
      <c r="U10" s="2"/>
      <c r="V10" s="2"/>
    </row>
    <row r="11" spans="1:65">
      <c r="O11" s="2"/>
      <c r="P11" s="2"/>
      <c r="Q11" s="2"/>
      <c r="R11" s="2"/>
      <c r="S11" s="2"/>
      <c r="T11" s="2"/>
      <c r="U11" s="2"/>
      <c r="V11" s="2"/>
    </row>
    <row r="12" spans="1:65">
      <c r="B12" s="19" t="s">
        <v>413</v>
      </c>
      <c r="O12" s="2"/>
      <c r="P12" s="2"/>
      <c r="Q12" s="2"/>
      <c r="R12" s="9">
        <v>0.02</v>
      </c>
      <c r="S12" s="2"/>
      <c r="T12" s="2"/>
      <c r="U12" s="2"/>
      <c r="V12" s="2"/>
    </row>
    <row r="13" spans="1:65">
      <c r="O13" s="2"/>
      <c r="P13" s="2"/>
      <c r="Q13" s="2"/>
      <c r="R13" s="2"/>
      <c r="S13" s="2"/>
      <c r="T13" s="2"/>
      <c r="U13" s="2"/>
      <c r="V13" s="2"/>
    </row>
    <row r="14" spans="1:65" s="4" customFormat="1">
      <c r="B14" s="4" t="s">
        <v>69</v>
      </c>
      <c r="C14" s="5"/>
      <c r="D14" s="5"/>
      <c r="E14" s="5"/>
      <c r="F14" s="5">
        <v>11752</v>
      </c>
      <c r="G14" s="5">
        <v>12319</v>
      </c>
      <c r="H14" s="5">
        <v>13353</v>
      </c>
      <c r="I14" s="5">
        <v>13552</v>
      </c>
      <c r="J14" s="5">
        <v>14691</v>
      </c>
      <c r="K14" s="5">
        <v>15039</v>
      </c>
      <c r="L14" s="5">
        <v>15936</v>
      </c>
      <c r="M14" s="5">
        <v>15789</v>
      </c>
      <c r="N14" s="5">
        <v>16600</v>
      </c>
      <c r="O14" s="4">
        <v>16465</v>
      </c>
      <c r="P14" s="4">
        <v>17002</v>
      </c>
      <c r="Q14" s="41">
        <f>M14*1.08</f>
        <v>17052.120000000003</v>
      </c>
      <c r="R14" s="4">
        <v>18291</v>
      </c>
      <c r="S14" s="4">
        <v>18150</v>
      </c>
      <c r="AA14" s="4">
        <v>1401</v>
      </c>
      <c r="AB14" s="4">
        <v>2253</v>
      </c>
      <c r="AC14" s="4">
        <v>2927</v>
      </c>
      <c r="BC14" s="5"/>
      <c r="BD14" s="5">
        <f>SUM(G14:J14)</f>
        <v>53915</v>
      </c>
      <c r="BE14" s="5">
        <f>SUM(K14:N14)</f>
        <v>63364</v>
      </c>
      <c r="BF14" s="5">
        <f>SUM(O14:R14)</f>
        <v>68810.12</v>
      </c>
    </row>
    <row r="15" spans="1:65" s="4" customFormat="1">
      <c r="B15" s="4" t="s">
        <v>68</v>
      </c>
      <c r="C15" s="5"/>
      <c r="D15" s="5"/>
      <c r="E15" s="5"/>
      <c r="F15" s="5">
        <v>13371</v>
      </c>
      <c r="G15" s="5">
        <v>12986</v>
      </c>
      <c r="H15" s="5">
        <v>14601</v>
      </c>
      <c r="I15" s="5">
        <v>15118</v>
      </c>
      <c r="J15" s="5">
        <v>17375</v>
      </c>
      <c r="K15" s="5">
        <v>16912</v>
      </c>
      <c r="L15" s="5">
        <v>18327</v>
      </c>
      <c r="M15" s="5">
        <v>19051</v>
      </c>
      <c r="N15" s="5">
        <v>20804</v>
      </c>
      <c r="O15" s="4">
        <v>20325</v>
      </c>
      <c r="P15" s="4">
        <v>21508</v>
      </c>
      <c r="Q15" s="41">
        <f>M15*1.15</f>
        <v>21908.649999999998</v>
      </c>
      <c r="R15" s="4">
        <v>23993</v>
      </c>
      <c r="S15" s="4">
        <v>23450</v>
      </c>
      <c r="BC15" s="5"/>
      <c r="BD15" s="5">
        <f>SUM(G15:J15)</f>
        <v>60080</v>
      </c>
      <c r="BE15" s="5">
        <f t="shared" ref="BE15:BE22" si="2">SUM(K15:N15)</f>
        <v>75094</v>
      </c>
      <c r="BF15" s="5">
        <f>SUM(O15:R15)</f>
        <v>87734.65</v>
      </c>
    </row>
    <row r="16" spans="1:65" s="4" customFormat="1">
      <c r="B16" s="4" t="s">
        <v>70</v>
      </c>
      <c r="C16" s="5"/>
      <c r="D16" s="5"/>
      <c r="E16" s="5"/>
      <c r="F16" s="5">
        <v>12910</v>
      </c>
      <c r="G16" s="5">
        <v>11849</v>
      </c>
      <c r="H16" s="5">
        <v>15122</v>
      </c>
      <c r="I16" s="5">
        <v>13036</v>
      </c>
      <c r="J16" s="5">
        <v>14086</v>
      </c>
      <c r="K16" s="5">
        <v>13366</v>
      </c>
      <c r="L16" s="5">
        <v>17465</v>
      </c>
      <c r="M16" s="5">
        <v>14520</v>
      </c>
      <c r="N16" s="5">
        <v>14461</v>
      </c>
      <c r="O16" s="4">
        <v>13332</v>
      </c>
      <c r="P16" s="4">
        <v>14237</v>
      </c>
      <c r="Q16" s="41">
        <f>M16*0.83</f>
        <v>12051.599999999999</v>
      </c>
      <c r="R16" s="4">
        <v>13905</v>
      </c>
      <c r="S16" s="4">
        <v>12700</v>
      </c>
      <c r="AA16" s="4">
        <v>1104</v>
      </c>
      <c r="AB16" s="4">
        <v>1267</v>
      </c>
      <c r="AC16" s="4">
        <v>1519</v>
      </c>
      <c r="BC16" s="5"/>
      <c r="BD16" s="5">
        <f>SUM(G16:J16)</f>
        <v>54093</v>
      </c>
      <c r="BE16" s="5">
        <f t="shared" si="2"/>
        <v>59812</v>
      </c>
      <c r="BF16" s="5">
        <f>SUM(O16:R16)</f>
        <v>53525.599999999999</v>
      </c>
    </row>
    <row r="18" spans="2:65" s="4" customFormat="1">
      <c r="B18" s="4" t="s">
        <v>17</v>
      </c>
      <c r="C18" s="5"/>
      <c r="D18" s="5"/>
      <c r="E18" s="5"/>
      <c r="F18" s="5">
        <v>18147</v>
      </c>
      <c r="G18" s="5">
        <v>15803</v>
      </c>
      <c r="H18" s="5">
        <v>19460</v>
      </c>
      <c r="I18" s="5">
        <v>16873</v>
      </c>
      <c r="J18" s="5">
        <v>18938</v>
      </c>
      <c r="K18" s="5">
        <v>16631</v>
      </c>
      <c r="L18" s="5">
        <v>20779</v>
      </c>
      <c r="M18" s="5">
        <v>17366</v>
      </c>
      <c r="N18" s="5">
        <v>17956</v>
      </c>
      <c r="O18" s="4">
        <v>15741</v>
      </c>
      <c r="P18" s="4">
        <v>16517</v>
      </c>
      <c r="Q18" s="4">
        <v>15588</v>
      </c>
      <c r="R18" s="4">
        <v>16853</v>
      </c>
      <c r="S18" s="4">
        <f>O18*1.085</f>
        <v>17078.985000000001</v>
      </c>
      <c r="T18" s="4">
        <f t="shared" ref="T18:T19" si="3">P18*1.05</f>
        <v>17342.850000000002</v>
      </c>
      <c r="U18" s="4">
        <f t="shared" ref="U18:U19" si="4">Q18*1.05</f>
        <v>16367.400000000001</v>
      </c>
      <c r="V18" s="4">
        <f t="shared" ref="V18:V19" si="5">R18*1.05</f>
        <v>17695.650000000001</v>
      </c>
      <c r="AY18" s="4">
        <v>61502</v>
      </c>
      <c r="AZ18" s="4">
        <v>63811</v>
      </c>
      <c r="BA18" s="4">
        <v>64497</v>
      </c>
      <c r="BB18" s="4">
        <v>66069</v>
      </c>
      <c r="BC18" s="5">
        <v>68041</v>
      </c>
      <c r="BD18" s="5">
        <f>SUM(G18:J18)</f>
        <v>71074</v>
      </c>
      <c r="BE18" s="5">
        <f t="shared" si="2"/>
        <v>72732</v>
      </c>
      <c r="BF18" s="5">
        <f>SUM(O18:R18)</f>
        <v>64699</v>
      </c>
      <c r="BG18" s="5">
        <f>+BF18*1.03</f>
        <v>66639.97</v>
      </c>
      <c r="BH18" s="5">
        <f t="shared" ref="BH18:BM18" si="6">+BG18*1.03</f>
        <v>68639.169099999999</v>
      </c>
      <c r="BI18" s="5">
        <f t="shared" si="6"/>
        <v>70698.344173000005</v>
      </c>
      <c r="BJ18" s="5">
        <f t="shared" si="6"/>
        <v>72819.294498190007</v>
      </c>
      <c r="BK18" s="5">
        <f t="shared" si="6"/>
        <v>75003.873333135707</v>
      </c>
      <c r="BL18" s="5">
        <f t="shared" si="6"/>
        <v>77253.989533129774</v>
      </c>
      <c r="BM18" s="5">
        <f t="shared" si="6"/>
        <v>79571.609219123668</v>
      </c>
    </row>
    <row r="19" spans="2:65" s="4" customFormat="1">
      <c r="B19" s="4" t="s">
        <v>18</v>
      </c>
      <c r="C19" s="5"/>
      <c r="D19" s="5"/>
      <c r="E19" s="5"/>
      <c r="F19" s="5">
        <v>19886</v>
      </c>
      <c r="G19" s="5">
        <v>21351</v>
      </c>
      <c r="H19" s="5">
        <v>23616</v>
      </c>
      <c r="I19" s="5">
        <v>24833</v>
      </c>
      <c r="J19" s="5">
        <v>27214</v>
      </c>
      <c r="K19" s="5">
        <v>28686</v>
      </c>
      <c r="L19" s="5">
        <v>30949</v>
      </c>
      <c r="M19" s="5">
        <v>31994</v>
      </c>
      <c r="N19" s="5">
        <v>33909</v>
      </c>
      <c r="O19" s="4">
        <v>34381</v>
      </c>
      <c r="P19" s="4">
        <v>36230</v>
      </c>
      <c r="Q19" s="4">
        <v>37269</v>
      </c>
      <c r="R19" s="4">
        <v>39336</v>
      </c>
      <c r="S19" s="4">
        <f>O19*1.085</f>
        <v>37303.385000000002</v>
      </c>
      <c r="T19" s="4">
        <f t="shared" si="3"/>
        <v>38041.5</v>
      </c>
      <c r="U19" s="4">
        <f t="shared" si="4"/>
        <v>39132.450000000004</v>
      </c>
      <c r="V19" s="4">
        <f t="shared" si="5"/>
        <v>41302.800000000003</v>
      </c>
      <c r="AY19" s="4">
        <v>23818</v>
      </c>
      <c r="AZ19" s="4">
        <v>32760</v>
      </c>
      <c r="BA19" s="4">
        <v>45863</v>
      </c>
      <c r="BB19" s="4">
        <v>59774</v>
      </c>
      <c r="BC19" s="5">
        <v>74974</v>
      </c>
      <c r="BD19" s="5">
        <f>SUM(G19:J19)</f>
        <v>97014</v>
      </c>
      <c r="BE19" s="5">
        <f t="shared" si="2"/>
        <v>125538</v>
      </c>
      <c r="BF19" s="5">
        <f>SUM(O19:R19)</f>
        <v>147216</v>
      </c>
      <c r="BG19" s="5">
        <f>+BF19*1.15</f>
        <v>169298.4</v>
      </c>
      <c r="BH19" s="5">
        <f>+BG19*1.1</f>
        <v>186228.24000000002</v>
      </c>
      <c r="BI19" s="5">
        <f t="shared" ref="BI19:BM19" si="7">+BH19*1.1</f>
        <v>204851.06400000004</v>
      </c>
      <c r="BJ19" s="5">
        <f t="shared" si="7"/>
        <v>225336.17040000006</v>
      </c>
      <c r="BK19" s="5">
        <f t="shared" si="7"/>
        <v>247869.78744000007</v>
      </c>
      <c r="BL19" s="5">
        <f t="shared" si="7"/>
        <v>272656.76618400012</v>
      </c>
      <c r="BM19" s="5">
        <f t="shared" si="7"/>
        <v>299922.44280240015</v>
      </c>
    </row>
    <row r="20" spans="2:65" s="6" customFormat="1">
      <c r="B20" s="6" t="s">
        <v>8</v>
      </c>
      <c r="C20" s="7"/>
      <c r="D20" s="7"/>
      <c r="E20" s="7"/>
      <c r="F20" s="7">
        <f t="shared" ref="F20:G20" si="8">F18+F19</f>
        <v>38033</v>
      </c>
      <c r="G20" s="7">
        <f t="shared" si="8"/>
        <v>37154</v>
      </c>
      <c r="H20" s="7">
        <f t="shared" ref="H20:L20" si="9">H18+H19</f>
        <v>43076</v>
      </c>
      <c r="I20" s="7">
        <f t="shared" si="9"/>
        <v>41706</v>
      </c>
      <c r="J20" s="7">
        <f t="shared" si="9"/>
        <v>46152</v>
      </c>
      <c r="K20" s="7">
        <f t="shared" si="9"/>
        <v>45317</v>
      </c>
      <c r="L20" s="7">
        <f t="shared" si="9"/>
        <v>51728</v>
      </c>
      <c r="M20" s="7">
        <f>M18+M19</f>
        <v>49360</v>
      </c>
      <c r="N20" s="7">
        <f t="shared" ref="N20:V20" si="10">N18+N19</f>
        <v>51865</v>
      </c>
      <c r="O20" s="7">
        <f t="shared" si="10"/>
        <v>50122</v>
      </c>
      <c r="P20" s="7">
        <f>P18+P19</f>
        <v>52747</v>
      </c>
      <c r="Q20" s="7">
        <f>Q18+Q19</f>
        <v>52857</v>
      </c>
      <c r="R20" s="7">
        <f t="shared" si="10"/>
        <v>56189</v>
      </c>
      <c r="S20" s="7">
        <f t="shared" si="10"/>
        <v>54382.37</v>
      </c>
      <c r="T20" s="7">
        <f t="shared" si="10"/>
        <v>55384.350000000006</v>
      </c>
      <c r="U20" s="7">
        <f t="shared" si="10"/>
        <v>55499.850000000006</v>
      </c>
      <c r="V20" s="7">
        <f t="shared" si="10"/>
        <v>58998.450000000004</v>
      </c>
      <c r="Y20" s="6">
        <v>1183</v>
      </c>
      <c r="Z20" s="6">
        <v>1843</v>
      </c>
      <c r="AA20" s="6">
        <v>2759</v>
      </c>
      <c r="AB20" s="6">
        <v>3753</v>
      </c>
      <c r="AC20" s="6">
        <v>4649</v>
      </c>
      <c r="AD20" s="6">
        <v>5937</v>
      </c>
      <c r="AE20" s="6">
        <v>8671</v>
      </c>
      <c r="AF20" s="6">
        <v>11358</v>
      </c>
      <c r="AG20" s="6">
        <v>14484</v>
      </c>
      <c r="AH20" s="6">
        <v>19747</v>
      </c>
      <c r="AI20" s="6">
        <v>22956</v>
      </c>
      <c r="AJ20" s="6">
        <v>25296</v>
      </c>
      <c r="AK20" s="6">
        <v>28365</v>
      </c>
      <c r="AL20" s="6">
        <v>32187</v>
      </c>
      <c r="AM20" s="6">
        <v>36835</v>
      </c>
      <c r="AN20" s="6">
        <v>39788</v>
      </c>
      <c r="AO20" s="6">
        <v>44282</v>
      </c>
      <c r="AP20" s="6">
        <v>51122</v>
      </c>
      <c r="AQ20" s="6">
        <v>60420</v>
      </c>
      <c r="AR20" s="6">
        <v>58437</v>
      </c>
      <c r="AS20" s="7">
        <v>62484</v>
      </c>
      <c r="AT20" s="7">
        <v>69943</v>
      </c>
      <c r="AU20" s="7">
        <v>73723</v>
      </c>
      <c r="AV20" s="7">
        <v>77849</v>
      </c>
      <c r="AW20" s="7">
        <v>86833</v>
      </c>
      <c r="AX20" s="7">
        <v>93580</v>
      </c>
      <c r="AY20" s="7">
        <f>AY18+AY19</f>
        <v>85320</v>
      </c>
      <c r="AZ20" s="7">
        <f t="shared" ref="AZ20:BF20" si="11">+AZ19+AZ18</f>
        <v>96571</v>
      </c>
      <c r="BA20" s="7">
        <f t="shared" si="11"/>
        <v>110360</v>
      </c>
      <c r="BB20" s="7">
        <f t="shared" si="11"/>
        <v>125843</v>
      </c>
      <c r="BC20" s="7">
        <f t="shared" si="11"/>
        <v>143015</v>
      </c>
      <c r="BD20" s="7">
        <f t="shared" si="11"/>
        <v>168088</v>
      </c>
      <c r="BE20" s="7">
        <f t="shared" si="11"/>
        <v>198270</v>
      </c>
      <c r="BF20" s="7">
        <f t="shared" si="11"/>
        <v>211915</v>
      </c>
      <c r="BG20" s="7">
        <f t="shared" ref="BG20:BM20" si="12">+BG19+BG18</f>
        <v>235938.37</v>
      </c>
      <c r="BH20" s="7">
        <f t="shared" si="12"/>
        <v>254867.40910000002</v>
      </c>
      <c r="BI20" s="7">
        <f t="shared" si="12"/>
        <v>275549.40817300003</v>
      </c>
      <c r="BJ20" s="7">
        <f t="shared" si="12"/>
        <v>298155.46489819005</v>
      </c>
      <c r="BK20" s="7">
        <f t="shared" si="12"/>
        <v>322873.66077313578</v>
      </c>
      <c r="BL20" s="7">
        <f t="shared" si="12"/>
        <v>349910.75571712991</v>
      </c>
      <c r="BM20" s="7">
        <f t="shared" si="12"/>
        <v>379494.05202152382</v>
      </c>
    </row>
    <row r="21" spans="2:65" s="4" customFormat="1">
      <c r="B21" s="4" t="s">
        <v>19</v>
      </c>
      <c r="C21" s="5"/>
      <c r="D21" s="5"/>
      <c r="E21" s="5"/>
      <c r="F21" s="5">
        <v>4370</v>
      </c>
      <c r="G21" s="5">
        <v>3597</v>
      </c>
      <c r="H21" s="5">
        <v>6058</v>
      </c>
      <c r="I21" s="5">
        <v>4277</v>
      </c>
      <c r="J21" s="5">
        <v>4287</v>
      </c>
      <c r="K21" s="5">
        <v>3792</v>
      </c>
      <c r="L21" s="5">
        <v>6331</v>
      </c>
      <c r="M21" s="5">
        <v>4584</v>
      </c>
      <c r="N21" s="5">
        <v>4357</v>
      </c>
      <c r="O21" s="4">
        <v>4302</v>
      </c>
      <c r="P21" s="4">
        <v>5690</v>
      </c>
      <c r="Q21" s="4">
        <v>3941</v>
      </c>
      <c r="R21" s="4">
        <v>3871</v>
      </c>
      <c r="T21" s="4">
        <f t="shared" ref="S21:V21" si="13">T18*0.25</f>
        <v>4335.7125000000005</v>
      </c>
      <c r="U21" s="4">
        <f t="shared" si="13"/>
        <v>4091.8500000000004</v>
      </c>
      <c r="V21" s="4">
        <f t="shared" si="13"/>
        <v>4423.9125000000004</v>
      </c>
      <c r="AY21" s="4">
        <v>17880</v>
      </c>
      <c r="AZ21" s="4">
        <v>15175</v>
      </c>
      <c r="BA21" s="4">
        <v>15420</v>
      </c>
      <c r="BB21" s="4">
        <v>16273</v>
      </c>
      <c r="BC21" s="5">
        <v>16017</v>
      </c>
      <c r="BD21" s="5">
        <f>SUM(G21:J21)</f>
        <v>18219</v>
      </c>
      <c r="BE21" s="5">
        <f t="shared" si="2"/>
        <v>19064</v>
      </c>
      <c r="BF21" s="5">
        <f>SUM(O21:R21)</f>
        <v>17804</v>
      </c>
      <c r="BG21" s="5">
        <f>BG18*0.25</f>
        <v>16659.9925</v>
      </c>
      <c r="BH21" s="5">
        <f t="shared" ref="BH21:BM21" si="14">BH18*0.25</f>
        <v>17159.792275</v>
      </c>
      <c r="BI21" s="5">
        <f t="shared" si="14"/>
        <v>17674.586043250001</v>
      </c>
      <c r="BJ21" s="5">
        <f t="shared" si="14"/>
        <v>18204.823624547502</v>
      </c>
      <c r="BK21" s="5">
        <f t="shared" si="14"/>
        <v>18750.968333283927</v>
      </c>
      <c r="BL21" s="5">
        <f t="shared" si="14"/>
        <v>19313.497383282443</v>
      </c>
      <c r="BM21" s="5">
        <f t="shared" si="14"/>
        <v>19892.902304780917</v>
      </c>
    </row>
    <row r="22" spans="2:65" s="4" customFormat="1">
      <c r="B22" s="4" t="s">
        <v>20</v>
      </c>
      <c r="C22" s="5"/>
      <c r="D22" s="5"/>
      <c r="E22" s="5"/>
      <c r="F22" s="5">
        <v>7969</v>
      </c>
      <c r="G22" s="5">
        <v>7405</v>
      </c>
      <c r="H22" s="5">
        <v>8136</v>
      </c>
      <c r="I22" s="5">
        <v>8768</v>
      </c>
      <c r="J22" s="5">
        <v>9704</v>
      </c>
      <c r="K22" s="5">
        <v>9854</v>
      </c>
      <c r="L22" s="5">
        <v>10629</v>
      </c>
      <c r="M22" s="5">
        <v>11031</v>
      </c>
      <c r="N22" s="5">
        <v>12072</v>
      </c>
      <c r="O22" s="4">
        <v>11150</v>
      </c>
      <c r="P22" s="4">
        <v>11798</v>
      </c>
      <c r="Q22" s="4">
        <v>12187</v>
      </c>
      <c r="R22" s="4">
        <v>12924</v>
      </c>
      <c r="T22" s="4">
        <f t="shared" ref="S22:V22" si="15">T19*0.35</f>
        <v>13314.525</v>
      </c>
      <c r="U22" s="4">
        <f t="shared" si="15"/>
        <v>13696.3575</v>
      </c>
      <c r="V22" s="4">
        <f t="shared" si="15"/>
        <v>14455.98</v>
      </c>
      <c r="AY22" s="4">
        <v>14900</v>
      </c>
      <c r="AZ22" s="4">
        <v>19086</v>
      </c>
      <c r="BA22" s="4">
        <v>22933</v>
      </c>
      <c r="BB22" s="4">
        <v>26637</v>
      </c>
      <c r="BC22" s="5">
        <v>30061</v>
      </c>
      <c r="BD22" s="5">
        <f>SUM(G22:J22)</f>
        <v>34013</v>
      </c>
      <c r="BE22" s="5">
        <f t="shared" si="2"/>
        <v>43586</v>
      </c>
      <c r="BF22" s="5">
        <f>SUM(O22:R22)</f>
        <v>48059</v>
      </c>
      <c r="BG22" s="5">
        <f>BG19*0.35</f>
        <v>59254.439999999995</v>
      </c>
      <c r="BH22" s="5">
        <f t="shared" ref="BH22:BM22" si="16">BH19*0.35</f>
        <v>65179.884000000005</v>
      </c>
      <c r="BI22" s="5">
        <f t="shared" si="16"/>
        <v>71697.872400000007</v>
      </c>
      <c r="BJ22" s="5">
        <f t="shared" si="16"/>
        <v>78867.659640000013</v>
      </c>
      <c r="BK22" s="5">
        <f t="shared" si="16"/>
        <v>86754.425604000018</v>
      </c>
      <c r="BL22" s="5">
        <f t="shared" si="16"/>
        <v>95429.868164400032</v>
      </c>
      <c r="BM22" s="5">
        <f t="shared" si="16"/>
        <v>104972.85498084004</v>
      </c>
    </row>
    <row r="23" spans="2:65" s="4" customFormat="1">
      <c r="B23" s="4" t="s">
        <v>21</v>
      </c>
      <c r="C23" s="5"/>
      <c r="D23" s="5"/>
      <c r="E23" s="5"/>
      <c r="F23" s="5">
        <f t="shared" ref="F23" si="17">F21+F22</f>
        <v>12339</v>
      </c>
      <c r="G23" s="5">
        <f t="shared" ref="G23:H23" si="18">G21+G22</f>
        <v>11002</v>
      </c>
      <c r="H23" s="5">
        <f t="shared" si="18"/>
        <v>14194</v>
      </c>
      <c r="I23" s="5">
        <f>I21+I22</f>
        <v>13045</v>
      </c>
      <c r="J23" s="5">
        <f t="shared" ref="J23:M23" si="19">J21+J22</f>
        <v>13991</v>
      </c>
      <c r="K23" s="5">
        <f t="shared" si="19"/>
        <v>13646</v>
      </c>
      <c r="L23" s="5">
        <f t="shared" si="19"/>
        <v>16960</v>
      </c>
      <c r="M23" s="5">
        <f t="shared" si="19"/>
        <v>15615</v>
      </c>
      <c r="N23" s="5">
        <f t="shared" ref="N23" si="20">N21+N22</f>
        <v>16429</v>
      </c>
      <c r="O23" s="5">
        <f>O21+O22</f>
        <v>15452</v>
      </c>
      <c r="P23" s="5">
        <f>P21+P22</f>
        <v>17488</v>
      </c>
      <c r="Q23" s="5">
        <f>Q21+Q22</f>
        <v>16128</v>
      </c>
      <c r="R23" s="5">
        <f>R21+R22</f>
        <v>16795</v>
      </c>
      <c r="S23" s="4">
        <f>+S20-S24</f>
        <v>16695.387590000006</v>
      </c>
      <c r="T23" s="4">
        <f t="shared" ref="S23:T23" si="21">+T20-T24</f>
        <v>17169.148500000003</v>
      </c>
      <c r="U23" s="4">
        <f t="shared" ref="U23:V23" si="22">+U20-U24</f>
        <v>17204.953500000003</v>
      </c>
      <c r="V23" s="4">
        <f t="shared" si="22"/>
        <v>18289.519500000002</v>
      </c>
      <c r="Y23" s="4">
        <v>253</v>
      </c>
      <c r="Z23" s="4">
        <v>362</v>
      </c>
      <c r="AA23" s="4">
        <v>467</v>
      </c>
      <c r="AB23" s="4">
        <v>633</v>
      </c>
      <c r="AC23" s="4">
        <v>763</v>
      </c>
      <c r="AD23" s="4">
        <v>877</v>
      </c>
      <c r="AE23" s="4">
        <v>1188</v>
      </c>
      <c r="AF23" s="4">
        <v>1085</v>
      </c>
      <c r="AG23" s="4">
        <v>1197</v>
      </c>
      <c r="AH23" s="4">
        <v>2814</v>
      </c>
      <c r="AI23" s="4">
        <v>3002</v>
      </c>
      <c r="AJ23" s="4">
        <v>3455</v>
      </c>
      <c r="AK23" s="4">
        <v>5191</v>
      </c>
      <c r="AL23" s="4">
        <v>5686</v>
      </c>
      <c r="AM23" s="4">
        <v>6716</v>
      </c>
      <c r="AN23" s="4">
        <v>6200</v>
      </c>
      <c r="AO23" s="4">
        <v>7650</v>
      </c>
      <c r="AP23" s="4">
        <v>10693</v>
      </c>
      <c r="AQ23" s="4">
        <v>11598</v>
      </c>
      <c r="AR23" s="4">
        <v>12155</v>
      </c>
      <c r="AS23" s="5">
        <v>12395</v>
      </c>
      <c r="AT23" s="5">
        <v>15577</v>
      </c>
      <c r="AU23" s="5">
        <v>17530</v>
      </c>
      <c r="AV23" s="5">
        <v>20249</v>
      </c>
      <c r="AW23" s="5">
        <v>26934</v>
      </c>
      <c r="AX23" s="5">
        <v>33038</v>
      </c>
      <c r="AY23" s="5">
        <f t="shared" ref="AY23" si="23">AY21+AY22</f>
        <v>32780</v>
      </c>
      <c r="AZ23" s="5">
        <f t="shared" ref="AZ23:BA23" si="24">AZ21+AZ22</f>
        <v>34261</v>
      </c>
      <c r="BA23" s="5">
        <f t="shared" si="24"/>
        <v>38353</v>
      </c>
      <c r="BB23" s="5">
        <f t="shared" ref="BB23:BC23" si="25">BB21+BB22</f>
        <v>42910</v>
      </c>
      <c r="BC23" s="5">
        <f t="shared" si="25"/>
        <v>46078</v>
      </c>
      <c r="BD23" s="5">
        <f t="shared" ref="BD23:BE23" si="26">BD21+BD22</f>
        <v>52232</v>
      </c>
      <c r="BE23" s="5">
        <f t="shared" si="26"/>
        <v>62650</v>
      </c>
      <c r="BF23" s="5">
        <f>BF21+BF22</f>
        <v>65863</v>
      </c>
      <c r="BG23" s="5">
        <f>+BG20-BG24</f>
        <v>77859.662099999987</v>
      </c>
      <c r="BH23" s="5">
        <f>+BH20-BH24</f>
        <v>84106.245002999989</v>
      </c>
      <c r="BI23" s="5">
        <f t="shared" ref="BI23:BM23" si="27">+BI20-BI24</f>
        <v>90931.304697090003</v>
      </c>
      <c r="BJ23" s="5">
        <f t="shared" si="27"/>
        <v>98391.303416402719</v>
      </c>
      <c r="BK23" s="5">
        <f t="shared" si="27"/>
        <v>106548.30805513478</v>
      </c>
      <c r="BL23" s="5">
        <f t="shared" si="27"/>
        <v>115470.54938665286</v>
      </c>
      <c r="BM23" s="5">
        <f t="shared" si="27"/>
        <v>125233.03716710286</v>
      </c>
    </row>
    <row r="24" spans="2:65" s="4" customFormat="1">
      <c r="B24" s="4" t="s">
        <v>22</v>
      </c>
      <c r="C24" s="5"/>
      <c r="D24" s="5"/>
      <c r="E24" s="5"/>
      <c r="F24" s="5">
        <f t="shared" ref="F24" si="28">F20-F23</f>
        <v>25694</v>
      </c>
      <c r="G24" s="5">
        <f t="shared" ref="G24:H24" si="29">G20-G23</f>
        <v>26152</v>
      </c>
      <c r="H24" s="5">
        <f t="shared" si="29"/>
        <v>28882</v>
      </c>
      <c r="I24" s="5">
        <f>I20-I23</f>
        <v>28661</v>
      </c>
      <c r="J24" s="5">
        <f t="shared" ref="J24:M24" si="30">J20-J23</f>
        <v>32161</v>
      </c>
      <c r="K24" s="5">
        <f t="shared" si="30"/>
        <v>31671</v>
      </c>
      <c r="L24" s="5">
        <f t="shared" si="30"/>
        <v>34768</v>
      </c>
      <c r="M24" s="5">
        <f t="shared" si="30"/>
        <v>33745</v>
      </c>
      <c r="N24" s="5">
        <f t="shared" ref="N24" si="31">N20-N23</f>
        <v>35436</v>
      </c>
      <c r="O24" s="5">
        <f>O20-O23</f>
        <v>34670</v>
      </c>
      <c r="P24" s="5">
        <f>P20-P23</f>
        <v>35259</v>
      </c>
      <c r="Q24" s="5">
        <f>Q20-Q23</f>
        <v>36729</v>
      </c>
      <c r="R24" s="5">
        <f>R20-R23</f>
        <v>39394</v>
      </c>
      <c r="S24" s="4">
        <f>+S20*0.693</f>
        <v>37686.982409999997</v>
      </c>
      <c r="T24" s="4">
        <f t="shared" ref="S24:T24" si="32">+T20*0.69</f>
        <v>38215.201500000003</v>
      </c>
      <c r="U24" s="4">
        <f t="shared" ref="U24:V24" si="33">+U20*0.69</f>
        <v>38294.896500000003</v>
      </c>
      <c r="V24" s="4">
        <f t="shared" si="33"/>
        <v>40708.930500000002</v>
      </c>
      <c r="Y24" s="4">
        <f t="shared" ref="Y24:AE24" si="34">Y20-Y23</f>
        <v>930</v>
      </c>
      <c r="Z24" s="4">
        <f t="shared" si="34"/>
        <v>1481</v>
      </c>
      <c r="AA24" s="4">
        <f t="shared" si="34"/>
        <v>2292</v>
      </c>
      <c r="AB24" s="4">
        <f t="shared" si="34"/>
        <v>3120</v>
      </c>
      <c r="AC24" s="4">
        <f t="shared" si="34"/>
        <v>3886</v>
      </c>
      <c r="AD24" s="4">
        <f t="shared" si="34"/>
        <v>5060</v>
      </c>
      <c r="AE24" s="4">
        <f t="shared" si="34"/>
        <v>7483</v>
      </c>
      <c r="AF24" s="4">
        <f t="shared" ref="AF24" si="35">AF20-AF23</f>
        <v>10273</v>
      </c>
      <c r="AG24" s="4">
        <f t="shared" ref="AG24:AX24" si="36">AG20-AG23</f>
        <v>13287</v>
      </c>
      <c r="AH24" s="4">
        <f t="shared" si="36"/>
        <v>16933</v>
      </c>
      <c r="AI24" s="4">
        <f t="shared" si="36"/>
        <v>19954</v>
      </c>
      <c r="AJ24" s="4">
        <f t="shared" si="36"/>
        <v>21841</v>
      </c>
      <c r="AK24" s="4">
        <f t="shared" si="36"/>
        <v>23174</v>
      </c>
      <c r="AL24" s="4">
        <f t="shared" si="36"/>
        <v>26501</v>
      </c>
      <c r="AM24" s="4">
        <f t="shared" si="36"/>
        <v>30119</v>
      </c>
      <c r="AN24" s="4">
        <f t="shared" si="36"/>
        <v>33588</v>
      </c>
      <c r="AO24" s="4">
        <f t="shared" si="36"/>
        <v>36632</v>
      </c>
      <c r="AP24" s="4">
        <f t="shared" si="36"/>
        <v>40429</v>
      </c>
      <c r="AQ24" s="4">
        <f t="shared" si="36"/>
        <v>48822</v>
      </c>
      <c r="AR24" s="4">
        <f t="shared" si="36"/>
        <v>46282</v>
      </c>
      <c r="AS24" s="4">
        <f t="shared" si="36"/>
        <v>50089</v>
      </c>
      <c r="AT24" s="4">
        <f t="shared" si="36"/>
        <v>54366</v>
      </c>
      <c r="AU24" s="4">
        <f t="shared" si="36"/>
        <v>56193</v>
      </c>
      <c r="AV24" s="4">
        <f t="shared" si="36"/>
        <v>57600</v>
      </c>
      <c r="AW24" s="4">
        <f t="shared" si="36"/>
        <v>59899</v>
      </c>
      <c r="AX24" s="4">
        <f t="shared" si="36"/>
        <v>60542</v>
      </c>
      <c r="AY24" s="5">
        <f t="shared" ref="AY24" si="37">AY20-AY23</f>
        <v>52540</v>
      </c>
      <c r="AZ24" s="5">
        <f t="shared" ref="AZ24:BA24" si="38">AZ20-AZ23</f>
        <v>62310</v>
      </c>
      <c r="BA24" s="5">
        <f t="shared" si="38"/>
        <v>72007</v>
      </c>
      <c r="BB24" s="5">
        <f t="shared" ref="BB24:BC24" si="39">BB20-BB23</f>
        <v>82933</v>
      </c>
      <c r="BC24" s="5">
        <f t="shared" si="39"/>
        <v>96937</v>
      </c>
      <c r="BD24" s="5">
        <f t="shared" ref="BD24:BE24" si="40">BD20-BD23</f>
        <v>115856</v>
      </c>
      <c r="BE24" s="5">
        <f t="shared" si="40"/>
        <v>135620</v>
      </c>
      <c r="BF24" s="5">
        <f>BF20-BF23</f>
        <v>146052</v>
      </c>
      <c r="BG24" s="5">
        <f t="shared" ref="BG24:BM24" si="41">+BG20*0.67</f>
        <v>158078.70790000001</v>
      </c>
      <c r="BH24" s="5">
        <f t="shared" si="41"/>
        <v>170761.16409700003</v>
      </c>
      <c r="BI24" s="5">
        <f t="shared" si="41"/>
        <v>184618.10347591003</v>
      </c>
      <c r="BJ24" s="5">
        <f t="shared" si="41"/>
        <v>199764.16148178733</v>
      </c>
      <c r="BK24" s="5">
        <f t="shared" si="41"/>
        <v>216325.352718001</v>
      </c>
      <c r="BL24" s="5">
        <f t="shared" si="41"/>
        <v>234440.20633047706</v>
      </c>
      <c r="BM24" s="5">
        <f t="shared" si="41"/>
        <v>254261.01485442097</v>
      </c>
    </row>
    <row r="25" spans="2:65" s="4" customFormat="1">
      <c r="B25" s="4" t="s">
        <v>25</v>
      </c>
      <c r="C25" s="5"/>
      <c r="D25" s="5"/>
      <c r="E25" s="5"/>
      <c r="F25" s="5">
        <v>5214</v>
      </c>
      <c r="G25" s="5">
        <v>4926</v>
      </c>
      <c r="H25" s="5">
        <v>4899</v>
      </c>
      <c r="I25" s="5">
        <v>5204</v>
      </c>
      <c r="J25" s="5">
        <v>5687</v>
      </c>
      <c r="K25" s="5">
        <v>5599</v>
      </c>
      <c r="L25" s="5">
        <v>5758</v>
      </c>
      <c r="M25" s="5">
        <v>6306</v>
      </c>
      <c r="N25" s="5">
        <v>6849</v>
      </c>
      <c r="O25" s="4">
        <v>6628</v>
      </c>
      <c r="P25" s="4">
        <v>6844</v>
      </c>
      <c r="Q25" s="4">
        <v>6984</v>
      </c>
      <c r="R25" s="4">
        <v>6739</v>
      </c>
      <c r="S25" s="4">
        <f t="shared" ref="S25:S26" si="42">O25*1.01</f>
        <v>6694.28</v>
      </c>
      <c r="T25" s="4">
        <f t="shared" ref="T25:T27" si="43">P25*1.01</f>
        <v>6912.4400000000005</v>
      </c>
      <c r="U25" s="4">
        <f t="shared" ref="U25:U27" si="44">Q25*1.01</f>
        <v>7053.84</v>
      </c>
      <c r="V25" s="4">
        <f t="shared" ref="V25:V27" si="45">R25*1.01</f>
        <v>6806.39</v>
      </c>
      <c r="Y25" s="4">
        <v>181</v>
      </c>
      <c r="Z25" s="4">
        <v>235</v>
      </c>
      <c r="AA25" s="4">
        <v>352</v>
      </c>
      <c r="AB25" s="4">
        <v>470</v>
      </c>
      <c r="AC25" s="4">
        <v>610</v>
      </c>
      <c r="AD25" s="4">
        <v>860</v>
      </c>
      <c r="AE25" s="4">
        <v>1432</v>
      </c>
      <c r="AF25" s="4">
        <v>1925</v>
      </c>
      <c r="AG25" s="4">
        <v>2502</v>
      </c>
      <c r="AH25" s="4">
        <v>2970</v>
      </c>
      <c r="AI25" s="4">
        <v>3775</v>
      </c>
      <c r="AJ25" s="4">
        <v>4379</v>
      </c>
      <c r="AK25" s="4">
        <v>4307</v>
      </c>
      <c r="AL25" s="4">
        <v>4659</v>
      </c>
      <c r="AM25" s="4">
        <v>7779</v>
      </c>
      <c r="AN25" s="4">
        <v>6184</v>
      </c>
      <c r="AO25" s="4">
        <v>6584</v>
      </c>
      <c r="AP25" s="4">
        <v>7121</v>
      </c>
      <c r="AQ25" s="4">
        <v>8164</v>
      </c>
      <c r="AR25" s="4">
        <v>9010</v>
      </c>
      <c r="AS25" s="4">
        <v>8714</v>
      </c>
      <c r="AT25" s="4">
        <v>9043</v>
      </c>
      <c r="AU25" s="4">
        <v>9811</v>
      </c>
      <c r="AV25" s="4">
        <v>10411</v>
      </c>
      <c r="AW25" s="4">
        <v>11381</v>
      </c>
      <c r="AX25" s="4">
        <v>12046</v>
      </c>
      <c r="AY25" s="4">
        <v>11988</v>
      </c>
      <c r="AZ25" s="4">
        <v>13037</v>
      </c>
      <c r="BA25" s="4">
        <v>14726</v>
      </c>
      <c r="BB25" s="4">
        <v>16876</v>
      </c>
      <c r="BC25" s="5">
        <v>19269</v>
      </c>
      <c r="BD25" s="5">
        <f>SUM(G25:J25)</f>
        <v>20716</v>
      </c>
      <c r="BE25" s="5">
        <f t="shared" ref="BE25:BE27" si="46">SUM(K25:N25)</f>
        <v>24512</v>
      </c>
      <c r="BF25" s="5">
        <f t="shared" ref="BF25:BF27" si="47">SUM(O25:R25)</f>
        <v>27195</v>
      </c>
      <c r="BG25" s="5">
        <f>+BF25*1.03</f>
        <v>28010.850000000002</v>
      </c>
      <c r="BH25" s="5">
        <f t="shared" ref="BH25:BM25" si="48">+BG25*1.03</f>
        <v>28851.175500000001</v>
      </c>
      <c r="BI25" s="5">
        <f t="shared" si="48"/>
        <v>29716.710765000003</v>
      </c>
      <c r="BJ25" s="5">
        <f t="shared" si="48"/>
        <v>30608.212087950003</v>
      </c>
      <c r="BK25" s="5">
        <f t="shared" si="48"/>
        <v>31526.458450588503</v>
      </c>
      <c r="BL25" s="5">
        <f t="shared" si="48"/>
        <v>32472.25220410616</v>
      </c>
      <c r="BM25" s="5">
        <f t="shared" si="48"/>
        <v>33446.419770229346</v>
      </c>
    </row>
    <row r="26" spans="2:65" s="4" customFormat="1">
      <c r="B26" s="4" t="s">
        <v>26</v>
      </c>
      <c r="C26" s="5"/>
      <c r="D26" s="5"/>
      <c r="E26" s="5"/>
      <c r="F26" s="5">
        <v>5417</v>
      </c>
      <c r="G26" s="5">
        <v>4231</v>
      </c>
      <c r="H26" s="5">
        <v>4947</v>
      </c>
      <c r="I26" s="5">
        <v>5082</v>
      </c>
      <c r="J26" s="5">
        <v>5857</v>
      </c>
      <c r="K26" s="5">
        <v>4547</v>
      </c>
      <c r="L26" s="5">
        <v>5379</v>
      </c>
      <c r="M26" s="5">
        <v>5595</v>
      </c>
      <c r="N26" s="5">
        <v>6304</v>
      </c>
      <c r="O26" s="4">
        <v>5126</v>
      </c>
      <c r="P26" s="4">
        <v>5679</v>
      </c>
      <c r="Q26" s="4">
        <v>5750</v>
      </c>
      <c r="R26" s="4">
        <v>6204</v>
      </c>
      <c r="S26" s="4">
        <f t="shared" si="42"/>
        <v>5177.26</v>
      </c>
      <c r="T26" s="4">
        <f t="shared" si="43"/>
        <v>5735.79</v>
      </c>
      <c r="U26" s="4">
        <f t="shared" si="44"/>
        <v>5807.5</v>
      </c>
      <c r="V26" s="4">
        <f t="shared" si="45"/>
        <v>6266.04</v>
      </c>
      <c r="Y26" s="4">
        <v>317</v>
      </c>
      <c r="Z26" s="4">
        <v>534</v>
      </c>
      <c r="AA26" s="4">
        <v>854</v>
      </c>
      <c r="AB26" s="4">
        <v>1205</v>
      </c>
      <c r="AC26" s="4">
        <v>1384</v>
      </c>
      <c r="AD26" s="4">
        <v>1895</v>
      </c>
      <c r="AE26" s="4">
        <v>2657</v>
      </c>
      <c r="AF26" s="4">
        <v>2856</v>
      </c>
      <c r="AG26" s="4">
        <v>3412</v>
      </c>
      <c r="AH26" s="4">
        <v>3231</v>
      </c>
      <c r="AI26" s="4">
        <v>4141</v>
      </c>
      <c r="AJ26" s="4">
        <v>4885</v>
      </c>
      <c r="AK26" s="4">
        <v>5407</v>
      </c>
      <c r="AL26" s="4">
        <v>6521</v>
      </c>
      <c r="AM26" s="4">
        <v>8309</v>
      </c>
      <c r="AN26" s="4">
        <v>8677</v>
      </c>
      <c r="AO26" s="4">
        <v>9818</v>
      </c>
      <c r="AP26" s="4">
        <v>11455</v>
      </c>
      <c r="AQ26" s="4">
        <v>13039</v>
      </c>
      <c r="AR26" s="4">
        <v>12879</v>
      </c>
      <c r="AS26" s="4">
        <v>13214</v>
      </c>
      <c r="AT26" s="4">
        <v>13940</v>
      </c>
      <c r="AU26" s="4">
        <v>13857</v>
      </c>
      <c r="AV26" s="4">
        <v>15276</v>
      </c>
      <c r="AW26" s="4">
        <v>15811</v>
      </c>
      <c r="AX26" s="4">
        <v>15713</v>
      </c>
      <c r="AY26" s="4">
        <v>14697</v>
      </c>
      <c r="AZ26" s="4">
        <v>15461</v>
      </c>
      <c r="BA26" s="4">
        <v>17469</v>
      </c>
      <c r="BB26" s="4">
        <v>18213</v>
      </c>
      <c r="BC26" s="5">
        <v>19598</v>
      </c>
      <c r="BD26" s="5">
        <f>SUM(G26:J26)</f>
        <v>20117</v>
      </c>
      <c r="BE26" s="5">
        <f t="shared" si="46"/>
        <v>21825</v>
      </c>
      <c r="BF26" s="5">
        <f t="shared" si="47"/>
        <v>22759</v>
      </c>
      <c r="BG26" s="5">
        <f>+BF26*1.03</f>
        <v>23441.77</v>
      </c>
      <c r="BH26" s="5">
        <f t="shared" ref="BH26:BM26" si="49">+BG26*1.03</f>
        <v>24145.023100000002</v>
      </c>
      <c r="BI26" s="5">
        <f t="shared" si="49"/>
        <v>24869.373793000002</v>
      </c>
      <c r="BJ26" s="5">
        <f t="shared" si="49"/>
        <v>25615.455006790002</v>
      </c>
      <c r="BK26" s="5">
        <f t="shared" si="49"/>
        <v>26383.918656993701</v>
      </c>
      <c r="BL26" s="5">
        <f t="shared" si="49"/>
        <v>27175.436216703514</v>
      </c>
      <c r="BM26" s="5">
        <f t="shared" si="49"/>
        <v>27990.699303204619</v>
      </c>
    </row>
    <row r="27" spans="2:65" s="4" customFormat="1">
      <c r="B27" s="4" t="s">
        <v>27</v>
      </c>
      <c r="C27" s="5"/>
      <c r="D27" s="5"/>
      <c r="E27" s="5"/>
      <c r="F27" s="5">
        <v>1656</v>
      </c>
      <c r="G27" s="5">
        <v>1119</v>
      </c>
      <c r="H27" s="5">
        <v>1139</v>
      </c>
      <c r="I27" s="5">
        <v>1327</v>
      </c>
      <c r="J27" s="5">
        <v>1522</v>
      </c>
      <c r="K27" s="5">
        <v>1287</v>
      </c>
      <c r="L27" s="5">
        <v>1384</v>
      </c>
      <c r="M27" s="5">
        <v>1480</v>
      </c>
      <c r="N27" s="5">
        <v>1749</v>
      </c>
      <c r="O27" s="4">
        <v>1398</v>
      </c>
      <c r="P27" s="4">
        <v>2337</v>
      </c>
      <c r="Q27" s="4">
        <v>1643</v>
      </c>
      <c r="R27" s="4">
        <v>2197</v>
      </c>
      <c r="S27" s="4">
        <f>O27*1.01</f>
        <v>1411.98</v>
      </c>
      <c r="T27" s="4">
        <f t="shared" si="43"/>
        <v>2360.37</v>
      </c>
      <c r="U27" s="4">
        <f t="shared" si="44"/>
        <v>1659.43</v>
      </c>
      <c r="V27" s="4">
        <f t="shared" si="45"/>
        <v>2218.9699999999998</v>
      </c>
      <c r="Y27" s="4">
        <v>39</v>
      </c>
      <c r="Z27" s="4">
        <v>62</v>
      </c>
      <c r="AA27" s="4">
        <v>90</v>
      </c>
      <c r="AB27" s="4">
        <v>119</v>
      </c>
      <c r="AC27" s="4">
        <v>166</v>
      </c>
      <c r="AD27" s="4">
        <v>267</v>
      </c>
      <c r="AE27" s="4">
        <v>316</v>
      </c>
      <c r="AF27" s="4">
        <v>362</v>
      </c>
      <c r="AG27" s="4">
        <v>433</v>
      </c>
      <c r="AH27" s="4">
        <v>689</v>
      </c>
      <c r="AI27" s="4">
        <v>1009</v>
      </c>
      <c r="AJ27" s="4">
        <v>857</v>
      </c>
      <c r="AK27" s="4">
        <v>1550</v>
      </c>
      <c r="AL27" s="4">
        <v>2104</v>
      </c>
      <c r="AM27" s="4">
        <v>4997</v>
      </c>
      <c r="AN27" s="4">
        <v>4166</v>
      </c>
      <c r="AO27" s="4">
        <v>3758</v>
      </c>
      <c r="AP27" s="4">
        <v>3329</v>
      </c>
      <c r="AQ27" s="4">
        <v>5127</v>
      </c>
      <c r="AR27" s="4">
        <v>3700</v>
      </c>
      <c r="AS27" s="4">
        <v>4004</v>
      </c>
      <c r="AT27" s="4">
        <v>4222</v>
      </c>
      <c r="AU27" s="4">
        <v>4569</v>
      </c>
      <c r="AV27" s="4">
        <v>5149</v>
      </c>
      <c r="AW27" s="4">
        <v>4821</v>
      </c>
      <c r="AX27" s="4">
        <v>4611</v>
      </c>
      <c r="AY27" s="4">
        <v>4563</v>
      </c>
      <c r="AZ27" s="4">
        <v>4481</v>
      </c>
      <c r="BA27" s="4">
        <v>4754</v>
      </c>
      <c r="BB27" s="4">
        <v>4885</v>
      </c>
      <c r="BC27" s="5">
        <v>5111</v>
      </c>
      <c r="BD27" s="5">
        <f>SUM(G27:J27)</f>
        <v>5107</v>
      </c>
      <c r="BE27" s="5">
        <f t="shared" si="46"/>
        <v>5900</v>
      </c>
      <c r="BF27" s="5">
        <f t="shared" si="47"/>
        <v>7575</v>
      </c>
      <c r="BG27" s="5">
        <f>+BF27*1.03</f>
        <v>7802.25</v>
      </c>
      <c r="BH27" s="5">
        <f t="shared" ref="BH27:BM27" si="50">+BG27*1.03</f>
        <v>8036.3175000000001</v>
      </c>
      <c r="BI27" s="5">
        <f t="shared" si="50"/>
        <v>8277.4070250000004</v>
      </c>
      <c r="BJ27" s="5">
        <f t="shared" si="50"/>
        <v>8525.729235750001</v>
      </c>
      <c r="BK27" s="5">
        <f t="shared" si="50"/>
        <v>8781.5011128225015</v>
      </c>
      <c r="BL27" s="5">
        <f t="shared" si="50"/>
        <v>9044.9461462071758</v>
      </c>
      <c r="BM27" s="5">
        <f t="shared" si="50"/>
        <v>9316.2945305933918</v>
      </c>
    </row>
    <row r="28" spans="2:65" s="4" customFormat="1">
      <c r="B28" s="4" t="s">
        <v>23</v>
      </c>
      <c r="C28" s="5"/>
      <c r="D28" s="5"/>
      <c r="E28" s="5"/>
      <c r="F28" s="5">
        <f t="shared" ref="F28" si="51">SUM(F25:F27)</f>
        <v>12287</v>
      </c>
      <c r="G28" s="5">
        <f t="shared" ref="G28:L28" si="52">SUM(G25:G27)</f>
        <v>10276</v>
      </c>
      <c r="H28" s="5">
        <f t="shared" si="52"/>
        <v>10985</v>
      </c>
      <c r="I28" s="5">
        <f t="shared" si="52"/>
        <v>11613</v>
      </c>
      <c r="J28" s="5">
        <f t="shared" si="52"/>
        <v>13066</v>
      </c>
      <c r="K28" s="5">
        <f t="shared" si="52"/>
        <v>11433</v>
      </c>
      <c r="L28" s="5">
        <f t="shared" si="52"/>
        <v>12521</v>
      </c>
      <c r="M28" s="5">
        <f>SUM(M25:M27)</f>
        <v>13381</v>
      </c>
      <c r="N28" s="5">
        <f t="shared" ref="N28:O28" si="53">SUM(N25:N27)</f>
        <v>14902</v>
      </c>
      <c r="O28" s="5">
        <f t="shared" si="53"/>
        <v>13152</v>
      </c>
      <c r="P28" s="5">
        <f>SUM(P25:P27)</f>
        <v>14860</v>
      </c>
      <c r="Q28" s="5">
        <f t="shared" ref="Q28:R28" si="54">SUM(Q25:Q27)</f>
        <v>14377</v>
      </c>
      <c r="R28" s="5">
        <f t="shared" si="54"/>
        <v>15140</v>
      </c>
      <c r="S28" s="5">
        <f t="shared" ref="S28:U28" si="55">SUM(S25:S27)</f>
        <v>13283.52</v>
      </c>
      <c r="T28" s="5">
        <f t="shared" si="55"/>
        <v>15008.599999999999</v>
      </c>
      <c r="U28" s="5">
        <f t="shared" si="55"/>
        <v>14520.77</v>
      </c>
      <c r="V28" s="5">
        <f t="shared" ref="V28" si="56">SUM(V25:V27)</f>
        <v>15291.4</v>
      </c>
      <c r="W28" s="5"/>
      <c r="X28" s="5"/>
      <c r="Y28" s="5">
        <f t="shared" ref="Y28:Z28" si="57">Y25+Y26+Y27</f>
        <v>537</v>
      </c>
      <c r="Z28" s="5">
        <f t="shared" si="57"/>
        <v>831</v>
      </c>
      <c r="AA28" s="5">
        <f>AA25+AA26+AA27</f>
        <v>1296</v>
      </c>
      <c r="AB28" s="5">
        <f>AB25+AB26+AB27</f>
        <v>1794</v>
      </c>
      <c r="AC28" s="5">
        <f>AC25+AC26+AC27</f>
        <v>2160</v>
      </c>
      <c r="AD28" s="5">
        <f>AD25+AD26+AD27</f>
        <v>3022</v>
      </c>
      <c r="AE28" s="5">
        <f>AE25+AE26+AE27</f>
        <v>4405</v>
      </c>
      <c r="AF28" s="5">
        <f t="shared" ref="AF28" si="58">AF25+AF26+AF27</f>
        <v>5143</v>
      </c>
      <c r="AG28" s="5">
        <f t="shared" ref="AG28:AX28" si="59">AG25+AG26+AG27</f>
        <v>6347</v>
      </c>
      <c r="AH28" s="5">
        <f t="shared" si="59"/>
        <v>6890</v>
      </c>
      <c r="AI28" s="5">
        <f t="shared" si="59"/>
        <v>8925</v>
      </c>
      <c r="AJ28" s="5">
        <f t="shared" si="59"/>
        <v>10121</v>
      </c>
      <c r="AK28" s="5">
        <f t="shared" si="59"/>
        <v>11264</v>
      </c>
      <c r="AL28" s="5">
        <f t="shared" si="59"/>
        <v>13284</v>
      </c>
      <c r="AM28" s="5">
        <f t="shared" si="59"/>
        <v>21085</v>
      </c>
      <c r="AN28" s="5">
        <f t="shared" si="59"/>
        <v>19027</v>
      </c>
      <c r="AO28" s="5">
        <f t="shared" si="59"/>
        <v>20160</v>
      </c>
      <c r="AP28" s="5">
        <f t="shared" si="59"/>
        <v>21905</v>
      </c>
      <c r="AQ28" s="5">
        <f t="shared" si="59"/>
        <v>26330</v>
      </c>
      <c r="AR28" s="5">
        <f t="shared" si="59"/>
        <v>25589</v>
      </c>
      <c r="AS28" s="5">
        <f t="shared" si="59"/>
        <v>25932</v>
      </c>
      <c r="AT28" s="5">
        <f t="shared" si="59"/>
        <v>27205</v>
      </c>
      <c r="AU28" s="5">
        <f t="shared" si="59"/>
        <v>28237</v>
      </c>
      <c r="AV28" s="5">
        <f t="shared" si="59"/>
        <v>30836</v>
      </c>
      <c r="AW28" s="5">
        <f t="shared" si="59"/>
        <v>32013</v>
      </c>
      <c r="AX28" s="5">
        <f t="shared" si="59"/>
        <v>32370</v>
      </c>
      <c r="AY28" s="5">
        <f t="shared" ref="AY28:AZ28" si="60">SUM(AY25:AY27)</f>
        <v>31248</v>
      </c>
      <c r="AZ28" s="5">
        <f t="shared" si="60"/>
        <v>32979</v>
      </c>
      <c r="BA28" s="5">
        <f t="shared" ref="BA28:BB28" si="61">SUM(BA25:BA27)</f>
        <v>36949</v>
      </c>
      <c r="BB28" s="5">
        <f t="shared" si="61"/>
        <v>39974</v>
      </c>
      <c r="BC28" s="5">
        <f t="shared" ref="BC28" si="62">SUM(BC25:BC27)</f>
        <v>43978</v>
      </c>
      <c r="BD28" s="5">
        <f t="shared" ref="BD28:BF28" si="63">SUM(BD25:BD27)</f>
        <v>45940</v>
      </c>
      <c r="BE28" s="5">
        <f t="shared" si="63"/>
        <v>52237</v>
      </c>
      <c r="BF28" s="5">
        <f t="shared" si="63"/>
        <v>57529</v>
      </c>
      <c r="BG28" s="5">
        <f t="shared" ref="BG28" si="64">SUM(BG25:BG27)</f>
        <v>59254.87</v>
      </c>
      <c r="BH28" s="5">
        <f t="shared" ref="BH28" si="65">SUM(BH25:BH27)</f>
        <v>61032.516100000001</v>
      </c>
      <c r="BI28" s="5">
        <f t="shared" ref="BI28" si="66">SUM(BI25:BI27)</f>
        <v>62863.491583000003</v>
      </c>
      <c r="BJ28" s="5">
        <f t="shared" ref="BJ28" si="67">SUM(BJ25:BJ27)</f>
        <v>64749.39633049001</v>
      </c>
      <c r="BK28" s="5">
        <f t="shared" ref="BK28" si="68">SUM(BK25:BK27)</f>
        <v>66691.878220404702</v>
      </c>
      <c r="BL28" s="5">
        <f t="shared" ref="BL28" si="69">SUM(BL25:BL27)</f>
        <v>68692.634567016852</v>
      </c>
      <c r="BM28" s="5">
        <f t="shared" ref="BM28" si="70">SUM(BM25:BM27)</f>
        <v>70753.413604027359</v>
      </c>
    </row>
    <row r="29" spans="2:65" s="4" customFormat="1">
      <c r="B29" s="4" t="s">
        <v>24</v>
      </c>
      <c r="C29" s="5"/>
      <c r="D29" s="5"/>
      <c r="E29" s="5"/>
      <c r="F29" s="5">
        <f t="shared" ref="F29" si="71">F24-F28</f>
        <v>13407</v>
      </c>
      <c r="G29" s="5">
        <f t="shared" ref="G29:L29" si="72">G24-G28</f>
        <v>15876</v>
      </c>
      <c r="H29" s="5">
        <f t="shared" si="72"/>
        <v>17897</v>
      </c>
      <c r="I29" s="5">
        <f t="shared" si="72"/>
        <v>17048</v>
      </c>
      <c r="J29" s="5">
        <f t="shared" si="72"/>
        <v>19095</v>
      </c>
      <c r="K29" s="5">
        <f t="shared" si="72"/>
        <v>20238</v>
      </c>
      <c r="L29" s="5">
        <f t="shared" si="72"/>
        <v>22247</v>
      </c>
      <c r="M29" s="5">
        <f>M24-M28</f>
        <v>20364</v>
      </c>
      <c r="N29" s="5">
        <f t="shared" ref="N29:O29" si="73">N24-N28</f>
        <v>20534</v>
      </c>
      <c r="O29" s="5">
        <f t="shared" si="73"/>
        <v>21518</v>
      </c>
      <c r="P29" s="5">
        <f>P24-P28</f>
        <v>20399</v>
      </c>
      <c r="Q29" s="5">
        <f>Q24-Q28</f>
        <v>22352</v>
      </c>
      <c r="R29" s="5">
        <f t="shared" ref="R29:U29" si="74">R24-R28</f>
        <v>24254</v>
      </c>
      <c r="S29" s="5">
        <f t="shared" si="74"/>
        <v>24403.462409999996</v>
      </c>
      <c r="T29" s="5">
        <f t="shared" si="74"/>
        <v>23206.601500000004</v>
      </c>
      <c r="U29" s="5">
        <f t="shared" si="74"/>
        <v>23774.126500000002</v>
      </c>
      <c r="V29" s="5">
        <f t="shared" ref="V29" si="75">V24-V28</f>
        <v>25417.530500000001</v>
      </c>
      <c r="W29" s="5"/>
      <c r="X29" s="5"/>
      <c r="Y29" s="5">
        <f t="shared" ref="Y29:Z29" si="76">Y24-Y28</f>
        <v>393</v>
      </c>
      <c r="Z29" s="5">
        <f t="shared" si="76"/>
        <v>650</v>
      </c>
      <c r="AA29" s="5">
        <f>AA24-AA28</f>
        <v>996</v>
      </c>
      <c r="AB29" s="5">
        <f>AB24-AB28</f>
        <v>1326</v>
      </c>
      <c r="AC29" s="5">
        <f>AC24-AC28</f>
        <v>1726</v>
      </c>
      <c r="AD29" s="5">
        <f>AD24-AD28</f>
        <v>2038</v>
      </c>
      <c r="AE29" s="5">
        <f>AE24-AE28</f>
        <v>3078</v>
      </c>
      <c r="AF29" s="5">
        <f t="shared" ref="AF29" si="77">AF24-AF28</f>
        <v>5130</v>
      </c>
      <c r="AG29" s="5">
        <f t="shared" ref="AG29:AX29" si="78">AG24-AG28</f>
        <v>6940</v>
      </c>
      <c r="AH29" s="5">
        <f t="shared" si="78"/>
        <v>10043</v>
      </c>
      <c r="AI29" s="5">
        <f t="shared" si="78"/>
        <v>11029</v>
      </c>
      <c r="AJ29" s="5">
        <f t="shared" si="78"/>
        <v>11720</v>
      </c>
      <c r="AK29" s="5">
        <f t="shared" si="78"/>
        <v>11910</v>
      </c>
      <c r="AL29" s="5">
        <f t="shared" si="78"/>
        <v>13217</v>
      </c>
      <c r="AM29" s="5">
        <f t="shared" si="78"/>
        <v>9034</v>
      </c>
      <c r="AN29" s="5">
        <f t="shared" si="78"/>
        <v>14561</v>
      </c>
      <c r="AO29" s="5">
        <f t="shared" si="78"/>
        <v>16472</v>
      </c>
      <c r="AP29" s="5">
        <f t="shared" si="78"/>
        <v>18524</v>
      </c>
      <c r="AQ29" s="5">
        <f t="shared" si="78"/>
        <v>22492</v>
      </c>
      <c r="AR29" s="5">
        <f t="shared" si="78"/>
        <v>20693</v>
      </c>
      <c r="AS29" s="5">
        <f t="shared" si="78"/>
        <v>24157</v>
      </c>
      <c r="AT29" s="5">
        <f t="shared" si="78"/>
        <v>27161</v>
      </c>
      <c r="AU29" s="5">
        <f t="shared" si="78"/>
        <v>27956</v>
      </c>
      <c r="AV29" s="5">
        <f t="shared" si="78"/>
        <v>26764</v>
      </c>
      <c r="AW29" s="5">
        <f t="shared" si="78"/>
        <v>27886</v>
      </c>
      <c r="AX29" s="5">
        <f t="shared" si="78"/>
        <v>28172</v>
      </c>
      <c r="AY29" s="5">
        <f t="shared" ref="AY29:AZ29" si="79">AY24-AY28</f>
        <v>21292</v>
      </c>
      <c r="AZ29" s="5">
        <f t="shared" si="79"/>
        <v>29331</v>
      </c>
      <c r="BA29" s="5">
        <f t="shared" ref="BA29:BB29" si="80">BA24-BA28</f>
        <v>35058</v>
      </c>
      <c r="BB29" s="5">
        <f t="shared" si="80"/>
        <v>42959</v>
      </c>
      <c r="BC29" s="5">
        <f t="shared" ref="BC29" si="81">BC24-BC28</f>
        <v>52959</v>
      </c>
      <c r="BD29" s="5">
        <f t="shared" ref="BD29:BF29" si="82">BD24-BD28</f>
        <v>69916</v>
      </c>
      <c r="BE29" s="5">
        <f t="shared" si="82"/>
        <v>83383</v>
      </c>
      <c r="BF29" s="5">
        <f t="shared" si="82"/>
        <v>88523</v>
      </c>
      <c r="BG29" s="5">
        <f t="shared" ref="BG29" si="83">BG24-BG28</f>
        <v>98823.837900000013</v>
      </c>
      <c r="BH29" s="5">
        <f t="shared" ref="BH29" si="84">BH24-BH28</f>
        <v>109728.64799700002</v>
      </c>
      <c r="BI29" s="5">
        <f t="shared" ref="BI29" si="85">BI24-BI28</f>
        <v>121754.61189291003</v>
      </c>
      <c r="BJ29" s="5">
        <f t="shared" ref="BJ29" si="86">BJ24-BJ28</f>
        <v>135014.76515129732</v>
      </c>
      <c r="BK29" s="5">
        <f t="shared" ref="BK29" si="87">BK24-BK28</f>
        <v>149633.4744975963</v>
      </c>
      <c r="BL29" s="5">
        <f t="shared" ref="BL29" si="88">BL24-BL28</f>
        <v>165747.5717634602</v>
      </c>
      <c r="BM29" s="5">
        <f t="shared" ref="BM29" si="89">BM24-BM28</f>
        <v>183507.60125039361</v>
      </c>
    </row>
    <row r="30" spans="2:65">
      <c r="B30" s="4" t="s">
        <v>28</v>
      </c>
      <c r="F30" s="2">
        <v>15</v>
      </c>
      <c r="G30" s="2">
        <v>248</v>
      </c>
      <c r="H30" s="2">
        <v>440</v>
      </c>
      <c r="I30" s="2">
        <v>188</v>
      </c>
      <c r="J30" s="2">
        <v>310</v>
      </c>
      <c r="K30" s="2">
        <v>286</v>
      </c>
      <c r="L30" s="2">
        <v>268</v>
      </c>
      <c r="M30" s="2">
        <v>-174</v>
      </c>
      <c r="N30" s="2">
        <v>-47</v>
      </c>
      <c r="O30" s="4">
        <v>54</v>
      </c>
      <c r="P30" s="4">
        <v>-60</v>
      </c>
      <c r="Q30" s="4">
        <v>321</v>
      </c>
      <c r="R30" s="4">
        <v>473</v>
      </c>
      <c r="S30" s="4">
        <v>300</v>
      </c>
      <c r="T30" s="4">
        <f t="shared" ref="T30:V30" si="90">S30</f>
        <v>300</v>
      </c>
      <c r="U30" s="4">
        <f t="shared" si="90"/>
        <v>300</v>
      </c>
      <c r="V30" s="4">
        <f t="shared" si="90"/>
        <v>300</v>
      </c>
      <c r="Y30">
        <f>31-14</f>
        <v>17</v>
      </c>
      <c r="Z30">
        <f>37-16</f>
        <v>21</v>
      </c>
      <c r="AA30">
        <f>56-11</f>
        <v>45</v>
      </c>
      <c r="AB30">
        <f>82-7</f>
        <v>75</v>
      </c>
      <c r="AC30">
        <f>102-16</f>
        <v>86</v>
      </c>
      <c r="AD30">
        <f>191-16</f>
        <v>175</v>
      </c>
      <c r="AE30">
        <f>320-19</f>
        <v>301</v>
      </c>
      <c r="AF30">
        <f>443-259</f>
        <v>184</v>
      </c>
      <c r="AG30">
        <f>703-230</f>
        <v>473</v>
      </c>
      <c r="AH30" s="4">
        <f>1803-115</f>
        <v>1688</v>
      </c>
      <c r="AI30" s="4">
        <f>3182-92</f>
        <v>3090</v>
      </c>
      <c r="AJ30" s="4">
        <v>-36</v>
      </c>
      <c r="AK30" s="4">
        <v>-305</v>
      </c>
      <c r="AL30" s="4">
        <v>1577</v>
      </c>
      <c r="AM30" s="4">
        <v>3187</v>
      </c>
      <c r="AN30" s="4">
        <v>2067</v>
      </c>
      <c r="AO30" s="4">
        <v>1790</v>
      </c>
      <c r="AP30" s="4">
        <v>1577</v>
      </c>
      <c r="AQ30" s="4">
        <v>1322</v>
      </c>
      <c r="AR30" s="4">
        <v>-542</v>
      </c>
      <c r="AS30" s="4">
        <v>915</v>
      </c>
      <c r="AT30" s="4">
        <v>910</v>
      </c>
      <c r="AU30" s="4">
        <v>504</v>
      </c>
      <c r="AV30" s="4">
        <v>288</v>
      </c>
      <c r="AW30" s="4">
        <v>61</v>
      </c>
      <c r="AX30" s="4">
        <v>346</v>
      </c>
      <c r="AY30" s="4">
        <v>-431</v>
      </c>
      <c r="AZ30" s="4">
        <v>876</v>
      </c>
      <c r="BA30" s="4">
        <v>1416</v>
      </c>
      <c r="BB30" s="4">
        <v>729</v>
      </c>
      <c r="BC30" s="2">
        <v>77</v>
      </c>
      <c r="BD30" s="5">
        <f>SUM(G30:J30)</f>
        <v>1186</v>
      </c>
      <c r="BE30" s="5">
        <f t="shared" ref="BE30" si="91">SUM(K30:N30)</f>
        <v>333</v>
      </c>
      <c r="BF30" s="5">
        <f t="shared" ref="BF30:BM30" si="92">+BE50*$BP$38</f>
        <v>618.66999999999996</v>
      </c>
      <c r="BG30" s="5">
        <f>+BF50*$BP$38</f>
        <v>1376.3741950000001</v>
      </c>
      <c r="BH30" s="5">
        <f t="shared" si="92"/>
        <v>2187.9959129695003</v>
      </c>
      <c r="BI30" s="5">
        <f t="shared" si="92"/>
        <v>3139.2873862042411</v>
      </c>
      <c r="BJ30" s="5">
        <f t="shared" si="92"/>
        <v>4200.8855300767127</v>
      </c>
      <c r="BK30" s="5">
        <f t="shared" si="92"/>
        <v>5384.2185608683922</v>
      </c>
      <c r="BL30" s="5">
        <f t="shared" si="92"/>
        <v>6701.8689518653418</v>
      </c>
      <c r="BM30" s="5">
        <f t="shared" si="92"/>
        <v>8167.6891979456086</v>
      </c>
    </row>
    <row r="31" spans="2:65">
      <c r="B31" s="4" t="s">
        <v>29</v>
      </c>
      <c r="C31" s="5"/>
      <c r="D31" s="5"/>
      <c r="E31" s="5"/>
      <c r="F31" s="5">
        <f t="shared" ref="F31" si="93">F29+F30</f>
        <v>13422</v>
      </c>
      <c r="G31" s="5">
        <f>G29+G30</f>
        <v>16124</v>
      </c>
      <c r="H31" s="5">
        <f t="shared" ref="H31:V31" si="94">H29+H30</f>
        <v>18337</v>
      </c>
      <c r="I31" s="5">
        <f t="shared" si="94"/>
        <v>17236</v>
      </c>
      <c r="J31" s="5">
        <f t="shared" si="94"/>
        <v>19405</v>
      </c>
      <c r="K31" s="5">
        <f t="shared" si="94"/>
        <v>20524</v>
      </c>
      <c r="L31" s="5">
        <f t="shared" si="94"/>
        <v>22515</v>
      </c>
      <c r="M31" s="5">
        <f t="shared" si="94"/>
        <v>20190</v>
      </c>
      <c r="N31" s="5">
        <f t="shared" si="94"/>
        <v>20487</v>
      </c>
      <c r="O31" s="5">
        <f t="shared" si="94"/>
        <v>21572</v>
      </c>
      <c r="P31" s="5">
        <f t="shared" si="94"/>
        <v>20339</v>
      </c>
      <c r="Q31" s="5">
        <f t="shared" si="94"/>
        <v>22673</v>
      </c>
      <c r="R31" s="5">
        <f t="shared" si="94"/>
        <v>24727</v>
      </c>
      <c r="S31" s="5">
        <f t="shared" si="94"/>
        <v>24703.462409999996</v>
      </c>
      <c r="T31" s="5">
        <f t="shared" si="94"/>
        <v>23506.601500000004</v>
      </c>
      <c r="U31" s="5">
        <f t="shared" si="94"/>
        <v>24074.126500000002</v>
      </c>
      <c r="V31" s="5">
        <f t="shared" si="94"/>
        <v>25717.530500000001</v>
      </c>
      <c r="Y31" s="4">
        <f t="shared" ref="Y31:Z31" si="95">Y30+Y29</f>
        <v>410</v>
      </c>
      <c r="Z31" s="4">
        <f t="shared" si="95"/>
        <v>671</v>
      </c>
      <c r="AA31" s="4">
        <f>AA30+AA29</f>
        <v>1041</v>
      </c>
      <c r="AB31" s="4">
        <f>AB30+AB29</f>
        <v>1401</v>
      </c>
      <c r="AC31" s="4">
        <f>AC30+AC29</f>
        <v>1812</v>
      </c>
      <c r="AD31" s="4">
        <f>AD30+AD29</f>
        <v>2213</v>
      </c>
      <c r="AE31" s="4">
        <f>AE30+AE29</f>
        <v>3379</v>
      </c>
      <c r="AF31" s="4">
        <f t="shared" ref="AF31" si="96">AF30+AF29</f>
        <v>5314</v>
      </c>
      <c r="AG31" s="4">
        <f t="shared" ref="AG31:AX31" si="97">AG30+AG29</f>
        <v>7413</v>
      </c>
      <c r="AH31" s="4">
        <f t="shared" si="97"/>
        <v>11731</v>
      </c>
      <c r="AI31" s="4">
        <f t="shared" si="97"/>
        <v>14119</v>
      </c>
      <c r="AJ31" s="4">
        <f t="shared" si="97"/>
        <v>11684</v>
      </c>
      <c r="AK31" s="4">
        <f t="shared" si="97"/>
        <v>11605</v>
      </c>
      <c r="AL31" s="4">
        <f t="shared" si="97"/>
        <v>14794</v>
      </c>
      <c r="AM31" s="4">
        <f t="shared" si="97"/>
        <v>12221</v>
      </c>
      <c r="AN31" s="4">
        <f t="shared" si="97"/>
        <v>16628</v>
      </c>
      <c r="AO31" s="4">
        <f t="shared" si="97"/>
        <v>18262</v>
      </c>
      <c r="AP31" s="4">
        <f t="shared" si="97"/>
        <v>20101</v>
      </c>
      <c r="AQ31" s="4">
        <f t="shared" si="97"/>
        <v>23814</v>
      </c>
      <c r="AR31" s="4">
        <f t="shared" si="97"/>
        <v>20151</v>
      </c>
      <c r="AS31" s="4">
        <f t="shared" si="97"/>
        <v>25072</v>
      </c>
      <c r="AT31" s="4">
        <f t="shared" si="97"/>
        <v>28071</v>
      </c>
      <c r="AU31" s="4">
        <f t="shared" si="97"/>
        <v>28460</v>
      </c>
      <c r="AV31" s="4">
        <f t="shared" si="97"/>
        <v>27052</v>
      </c>
      <c r="AW31" s="4">
        <f t="shared" si="97"/>
        <v>27947</v>
      </c>
      <c r="AX31" s="4">
        <f t="shared" si="97"/>
        <v>28518</v>
      </c>
      <c r="AY31" s="4">
        <f>+AY29+AY30</f>
        <v>20861</v>
      </c>
      <c r="AZ31" s="4">
        <f>+AZ29+AZ30</f>
        <v>30207</v>
      </c>
      <c r="BA31" s="4">
        <f>+BA29+BA30</f>
        <v>36474</v>
      </c>
      <c r="BB31" s="4">
        <f>+BB29+BB30</f>
        <v>43688</v>
      </c>
      <c r="BC31" s="5">
        <f>+BC29+BC30</f>
        <v>53036</v>
      </c>
      <c r="BD31" s="5">
        <f t="shared" ref="BD31:BF31" si="98">+BD29+BD30</f>
        <v>71102</v>
      </c>
      <c r="BE31" s="5">
        <f t="shared" si="98"/>
        <v>83716</v>
      </c>
      <c r="BF31" s="5">
        <f t="shared" si="98"/>
        <v>89141.67</v>
      </c>
      <c r="BG31" s="5">
        <f t="shared" ref="BG31" si="99">+BG29+BG30</f>
        <v>100200.21209500001</v>
      </c>
      <c r="BH31" s="5">
        <f t="shared" ref="BH31" si="100">+BH29+BH30</f>
        <v>111916.64390996953</v>
      </c>
      <c r="BI31" s="5">
        <f t="shared" ref="BI31" si="101">+BI29+BI30</f>
        <v>124893.89927911428</v>
      </c>
      <c r="BJ31" s="5">
        <f t="shared" ref="BJ31" si="102">+BJ29+BJ30</f>
        <v>139215.65068137404</v>
      </c>
      <c r="BK31" s="5">
        <f t="shared" ref="BK31" si="103">+BK29+BK30</f>
        <v>155017.69305846468</v>
      </c>
      <c r="BL31" s="5">
        <f t="shared" ref="BL31" si="104">+BL29+BL30</f>
        <v>172449.44071532556</v>
      </c>
      <c r="BM31" s="5">
        <f t="shared" ref="BM31" si="105">+BM29+BM30</f>
        <v>191675.29044833922</v>
      </c>
    </row>
    <row r="32" spans="2:65" s="4" customFormat="1">
      <c r="B32" s="4" t="s">
        <v>30</v>
      </c>
      <c r="C32" s="5"/>
      <c r="D32" s="5"/>
      <c r="E32" s="5"/>
      <c r="F32" s="5">
        <v>2220</v>
      </c>
      <c r="G32" s="5">
        <v>2231</v>
      </c>
      <c r="H32" s="5">
        <v>2874</v>
      </c>
      <c r="I32" s="5">
        <v>1779</v>
      </c>
      <c r="J32" s="5">
        <v>2947</v>
      </c>
      <c r="K32" s="5">
        <v>19</v>
      </c>
      <c r="L32" s="5">
        <v>3750</v>
      </c>
      <c r="M32" s="5">
        <v>3462</v>
      </c>
      <c r="N32" s="5">
        <v>3747</v>
      </c>
      <c r="O32" s="4">
        <v>4016</v>
      </c>
      <c r="P32" s="4">
        <v>3914</v>
      </c>
      <c r="Q32" s="4">
        <v>4374</v>
      </c>
      <c r="R32" s="4">
        <v>4646</v>
      </c>
      <c r="S32" s="4">
        <f>S31*0.19</f>
        <v>4693.6578578999997</v>
      </c>
      <c r="T32" s="4">
        <f t="shared" ref="T32:V32" si="106">T31*0.2</f>
        <v>4701.3203000000012</v>
      </c>
      <c r="U32" s="4">
        <f t="shared" si="106"/>
        <v>4814.8253000000004</v>
      </c>
      <c r="V32" s="4">
        <f t="shared" si="106"/>
        <v>5143.5061000000005</v>
      </c>
      <c r="Y32" s="4">
        <v>131</v>
      </c>
      <c r="Z32" s="4">
        <v>208</v>
      </c>
      <c r="AA32" s="4">
        <v>333</v>
      </c>
      <c r="AB32" s="4">
        <v>448</v>
      </c>
      <c r="AC32" s="4">
        <v>576</v>
      </c>
      <c r="AD32" s="4">
        <v>714</v>
      </c>
      <c r="AE32" s="4">
        <v>1184</v>
      </c>
      <c r="AF32" s="4">
        <v>1860</v>
      </c>
      <c r="AG32" s="4">
        <f>2627+28</f>
        <v>2655</v>
      </c>
      <c r="AH32" s="4">
        <v>4106</v>
      </c>
      <c r="AI32" s="4">
        <v>4854</v>
      </c>
      <c r="AJ32" s="4">
        <v>3804</v>
      </c>
      <c r="AK32" s="4">
        <v>3684</v>
      </c>
      <c r="AL32" s="4">
        <v>4733</v>
      </c>
      <c r="AM32" s="4">
        <v>4028</v>
      </c>
      <c r="AN32" s="4">
        <v>4374</v>
      </c>
      <c r="AO32" s="4">
        <v>5663</v>
      </c>
      <c r="AP32" s="4">
        <v>6036</v>
      </c>
      <c r="AQ32" s="4">
        <v>6133</v>
      </c>
      <c r="AR32" s="4">
        <v>5252</v>
      </c>
      <c r="AS32" s="4">
        <v>6253</v>
      </c>
      <c r="AT32" s="4">
        <v>4921</v>
      </c>
      <c r="AU32" s="4">
        <v>5289</v>
      </c>
      <c r="AV32" s="4">
        <v>5189</v>
      </c>
      <c r="AW32" s="4">
        <v>5746</v>
      </c>
      <c r="AX32" s="4">
        <v>6314</v>
      </c>
      <c r="AY32" s="4">
        <v>2953</v>
      </c>
      <c r="AZ32" s="4">
        <v>4412</v>
      </c>
      <c r="BA32" s="4">
        <v>19903</v>
      </c>
      <c r="BB32" s="4">
        <v>4448</v>
      </c>
      <c r="BC32" s="5">
        <v>8755</v>
      </c>
      <c r="BD32" s="5">
        <f>SUM(G32:J32)</f>
        <v>9831</v>
      </c>
      <c r="BE32" s="5">
        <f t="shared" ref="BE32" si="107">SUM(K32:N32)</f>
        <v>10978</v>
      </c>
      <c r="BF32" s="5">
        <f>+BF31*0.15</f>
        <v>13371.2505</v>
      </c>
      <c r="BG32" s="5">
        <f>+BG31*0.19</f>
        <v>19038.040298050004</v>
      </c>
      <c r="BH32" s="5">
        <f t="shared" ref="BG32:BM32" si="108">+BH31*0.15</f>
        <v>16787.496586495428</v>
      </c>
      <c r="BI32" s="5">
        <f t="shared" si="108"/>
        <v>18734.08489186714</v>
      </c>
      <c r="BJ32" s="5">
        <f t="shared" si="108"/>
        <v>20882.347602206104</v>
      </c>
      <c r="BK32" s="5">
        <f t="shared" si="108"/>
        <v>23252.653958769701</v>
      </c>
      <c r="BL32" s="5">
        <f t="shared" si="108"/>
        <v>25867.416107298832</v>
      </c>
      <c r="BM32" s="5">
        <f t="shared" si="108"/>
        <v>28751.293567250883</v>
      </c>
    </row>
    <row r="33" spans="2:123" s="4" customFormat="1">
      <c r="B33" s="4" t="s">
        <v>31</v>
      </c>
      <c r="C33" s="5"/>
      <c r="D33" s="5"/>
      <c r="E33" s="5"/>
      <c r="F33" s="5">
        <f t="shared" ref="F33" si="109">F31-F32</f>
        <v>11202</v>
      </c>
      <c r="G33" s="5">
        <f>G31-G32</f>
        <v>13893</v>
      </c>
      <c r="H33" s="5">
        <f t="shared" ref="H33:V33" si="110">H31-H32</f>
        <v>15463</v>
      </c>
      <c r="I33" s="5">
        <f t="shared" si="110"/>
        <v>15457</v>
      </c>
      <c r="J33" s="5">
        <f t="shared" si="110"/>
        <v>16458</v>
      </c>
      <c r="K33" s="5">
        <f t="shared" si="110"/>
        <v>20505</v>
      </c>
      <c r="L33" s="5">
        <f t="shared" si="110"/>
        <v>18765</v>
      </c>
      <c r="M33" s="5">
        <f t="shared" si="110"/>
        <v>16728</v>
      </c>
      <c r="N33" s="5">
        <f t="shared" si="110"/>
        <v>16740</v>
      </c>
      <c r="O33" s="5">
        <f t="shared" si="110"/>
        <v>17556</v>
      </c>
      <c r="P33" s="5">
        <f t="shared" si="110"/>
        <v>16425</v>
      </c>
      <c r="Q33" s="5">
        <f>Q31-Q32</f>
        <v>18299</v>
      </c>
      <c r="R33" s="5">
        <f t="shared" si="110"/>
        <v>20081</v>
      </c>
      <c r="S33" s="5">
        <f t="shared" si="110"/>
        <v>20009.804552099995</v>
      </c>
      <c r="T33" s="5">
        <f t="shared" si="110"/>
        <v>18805.281200000005</v>
      </c>
      <c r="U33" s="5">
        <f t="shared" si="110"/>
        <v>19259.301200000002</v>
      </c>
      <c r="V33" s="5">
        <f t="shared" si="110"/>
        <v>20574.024400000002</v>
      </c>
      <c r="Y33" s="4">
        <f t="shared" ref="Y33:Z33" si="111">Y31-Y32</f>
        <v>279</v>
      </c>
      <c r="Z33" s="4">
        <f t="shared" si="111"/>
        <v>463</v>
      </c>
      <c r="AA33" s="4">
        <f>AA31-AA32</f>
        <v>708</v>
      </c>
      <c r="AB33" s="4">
        <f>AB31-AB32</f>
        <v>953</v>
      </c>
      <c r="AC33" s="4">
        <f>AC31-AC32</f>
        <v>1236</v>
      </c>
      <c r="AD33" s="4">
        <f>AD31-AD32</f>
        <v>1499</v>
      </c>
      <c r="AE33" s="4">
        <f>AE31-AE32</f>
        <v>2195</v>
      </c>
      <c r="AF33" s="4">
        <f t="shared" ref="AF33" si="112">AF31-AF32</f>
        <v>3454</v>
      </c>
      <c r="AG33" s="4">
        <f t="shared" ref="AG33:AX33" si="113">AG31-AG32</f>
        <v>4758</v>
      </c>
      <c r="AH33" s="4">
        <f t="shared" si="113"/>
        <v>7625</v>
      </c>
      <c r="AI33" s="4">
        <f t="shared" si="113"/>
        <v>9265</v>
      </c>
      <c r="AJ33" s="4">
        <f t="shared" si="113"/>
        <v>7880</v>
      </c>
      <c r="AK33" s="4">
        <f t="shared" si="113"/>
        <v>7921</v>
      </c>
      <c r="AL33" s="4">
        <f t="shared" si="113"/>
        <v>10061</v>
      </c>
      <c r="AM33" s="4">
        <f t="shared" si="113"/>
        <v>8193</v>
      </c>
      <c r="AN33" s="4">
        <f t="shared" si="113"/>
        <v>12254</v>
      </c>
      <c r="AO33" s="4">
        <f t="shared" si="113"/>
        <v>12599</v>
      </c>
      <c r="AP33" s="4">
        <f t="shared" si="113"/>
        <v>14065</v>
      </c>
      <c r="AQ33" s="4">
        <f t="shared" si="113"/>
        <v>17681</v>
      </c>
      <c r="AR33" s="4">
        <f t="shared" si="113"/>
        <v>14899</v>
      </c>
      <c r="AS33" s="4">
        <f t="shared" si="113"/>
        <v>18819</v>
      </c>
      <c r="AT33" s="4">
        <f t="shared" si="113"/>
        <v>23150</v>
      </c>
      <c r="AU33" s="4">
        <f t="shared" si="113"/>
        <v>23171</v>
      </c>
      <c r="AV33" s="4">
        <f t="shared" si="113"/>
        <v>21863</v>
      </c>
      <c r="AW33" s="4">
        <f t="shared" si="113"/>
        <v>22201</v>
      </c>
      <c r="AX33" s="4">
        <f t="shared" si="113"/>
        <v>22204</v>
      </c>
      <c r="AY33" s="4">
        <f>+AY31-AY32</f>
        <v>17908</v>
      </c>
      <c r="AZ33" s="4">
        <f>+AZ31-AZ32</f>
        <v>25795</v>
      </c>
      <c r="BA33" s="4">
        <f>+BA31-BA32</f>
        <v>16571</v>
      </c>
      <c r="BB33" s="4">
        <f>+BB31-BB32</f>
        <v>39240</v>
      </c>
      <c r="BC33" s="4">
        <f>+BC31-BC32</f>
        <v>44281</v>
      </c>
      <c r="BD33" s="4">
        <f t="shared" ref="BD33:BF33" si="114">+BD31-BD32</f>
        <v>61271</v>
      </c>
      <c r="BE33" s="4">
        <f t="shared" si="114"/>
        <v>72738</v>
      </c>
      <c r="BF33" s="4">
        <f t="shared" si="114"/>
        <v>75770.419500000004</v>
      </c>
      <c r="BG33" s="4">
        <f t="shared" ref="BG33" si="115">+BG31-BG32</f>
        <v>81162.171796950002</v>
      </c>
      <c r="BH33" s="4">
        <f t="shared" ref="BH33" si="116">+BH31-BH32</f>
        <v>95129.147323474099</v>
      </c>
      <c r="BI33" s="4">
        <f t="shared" ref="BI33" si="117">+BI31-BI32</f>
        <v>106159.81438724714</v>
      </c>
      <c r="BJ33" s="4">
        <f t="shared" ref="BJ33" si="118">+BJ31-BJ32</f>
        <v>118333.30307916793</v>
      </c>
      <c r="BK33" s="4">
        <f t="shared" ref="BK33" si="119">+BK31-BK32</f>
        <v>131765.03909969499</v>
      </c>
      <c r="BL33" s="4">
        <f t="shared" ref="BL33" si="120">+BL31-BL32</f>
        <v>146582.02460802672</v>
      </c>
      <c r="BM33" s="4">
        <f t="shared" ref="BM33" si="121">+BM31-BM32</f>
        <v>162923.99688108833</v>
      </c>
      <c r="BN33" s="4">
        <f>+BM33*(1+$BP$36)</f>
        <v>162923.99688108833</v>
      </c>
      <c r="BO33" s="4">
        <f t="shared" ref="BO33:DS33" si="122">+BN33*(1+$BP$36)</f>
        <v>162923.99688108833</v>
      </c>
      <c r="BP33" s="4">
        <f t="shared" si="122"/>
        <v>162923.99688108833</v>
      </c>
      <c r="BQ33" s="4">
        <f t="shared" si="122"/>
        <v>162923.99688108833</v>
      </c>
      <c r="BR33" s="4">
        <f t="shared" si="122"/>
        <v>162923.99688108833</v>
      </c>
      <c r="BS33" s="4">
        <f t="shared" si="122"/>
        <v>162923.99688108833</v>
      </c>
      <c r="BT33" s="4">
        <f t="shared" si="122"/>
        <v>162923.99688108833</v>
      </c>
      <c r="BU33" s="4">
        <f t="shared" si="122"/>
        <v>162923.99688108833</v>
      </c>
      <c r="BV33" s="4">
        <f t="shared" si="122"/>
        <v>162923.99688108833</v>
      </c>
      <c r="BW33" s="4">
        <f t="shared" si="122"/>
        <v>162923.99688108833</v>
      </c>
      <c r="BX33" s="4">
        <f t="shared" si="122"/>
        <v>162923.99688108833</v>
      </c>
      <c r="BY33" s="4">
        <f t="shared" si="122"/>
        <v>162923.99688108833</v>
      </c>
      <c r="BZ33" s="4">
        <f t="shared" si="122"/>
        <v>162923.99688108833</v>
      </c>
      <c r="CA33" s="4">
        <f t="shared" si="122"/>
        <v>162923.99688108833</v>
      </c>
      <c r="CB33" s="4">
        <f t="shared" si="122"/>
        <v>162923.99688108833</v>
      </c>
      <c r="CC33" s="4">
        <f t="shared" si="122"/>
        <v>162923.99688108833</v>
      </c>
      <c r="CD33" s="4">
        <f t="shared" si="122"/>
        <v>162923.99688108833</v>
      </c>
      <c r="CE33" s="4">
        <f t="shared" si="122"/>
        <v>162923.99688108833</v>
      </c>
      <c r="CF33" s="4">
        <f t="shared" si="122"/>
        <v>162923.99688108833</v>
      </c>
      <c r="CG33" s="4">
        <f t="shared" si="122"/>
        <v>162923.99688108833</v>
      </c>
      <c r="CH33" s="4">
        <f t="shared" si="122"/>
        <v>162923.99688108833</v>
      </c>
      <c r="CI33" s="4">
        <f t="shared" si="122"/>
        <v>162923.99688108833</v>
      </c>
      <c r="CJ33" s="4">
        <f t="shared" si="122"/>
        <v>162923.99688108833</v>
      </c>
      <c r="CK33" s="4">
        <f t="shared" si="122"/>
        <v>162923.99688108833</v>
      </c>
      <c r="CL33" s="4">
        <f t="shared" si="122"/>
        <v>162923.99688108833</v>
      </c>
      <c r="CM33" s="4">
        <f t="shared" si="122"/>
        <v>162923.99688108833</v>
      </c>
      <c r="CN33" s="4">
        <f t="shared" si="122"/>
        <v>162923.99688108833</v>
      </c>
      <c r="CO33" s="4">
        <f t="shared" si="122"/>
        <v>162923.99688108833</v>
      </c>
      <c r="CP33" s="4">
        <f t="shared" si="122"/>
        <v>162923.99688108833</v>
      </c>
      <c r="CQ33" s="4">
        <f t="shared" si="122"/>
        <v>162923.99688108833</v>
      </c>
      <c r="CR33" s="4">
        <f t="shared" si="122"/>
        <v>162923.99688108833</v>
      </c>
      <c r="CS33" s="4">
        <f t="shared" si="122"/>
        <v>162923.99688108833</v>
      </c>
      <c r="CT33" s="4">
        <f t="shared" si="122"/>
        <v>162923.99688108833</v>
      </c>
      <c r="CU33" s="4">
        <f t="shared" si="122"/>
        <v>162923.99688108833</v>
      </c>
      <c r="CV33" s="4">
        <f t="shared" si="122"/>
        <v>162923.99688108833</v>
      </c>
      <c r="CW33" s="4">
        <f t="shared" si="122"/>
        <v>162923.99688108833</v>
      </c>
      <c r="CX33" s="4">
        <f t="shared" si="122"/>
        <v>162923.99688108833</v>
      </c>
      <c r="CY33" s="4">
        <f t="shared" si="122"/>
        <v>162923.99688108833</v>
      </c>
      <c r="CZ33" s="4">
        <f t="shared" si="122"/>
        <v>162923.99688108833</v>
      </c>
      <c r="DA33" s="4">
        <f t="shared" si="122"/>
        <v>162923.99688108833</v>
      </c>
      <c r="DB33" s="4">
        <f t="shared" si="122"/>
        <v>162923.99688108833</v>
      </c>
      <c r="DC33" s="4">
        <f t="shared" si="122"/>
        <v>162923.99688108833</v>
      </c>
      <c r="DD33" s="4">
        <f t="shared" si="122"/>
        <v>162923.99688108833</v>
      </c>
      <c r="DE33" s="4">
        <f t="shared" si="122"/>
        <v>162923.99688108833</v>
      </c>
      <c r="DF33" s="4">
        <f t="shared" si="122"/>
        <v>162923.99688108833</v>
      </c>
      <c r="DG33" s="4">
        <f t="shared" si="122"/>
        <v>162923.99688108833</v>
      </c>
      <c r="DH33" s="4">
        <f t="shared" si="122"/>
        <v>162923.99688108833</v>
      </c>
      <c r="DI33" s="4">
        <f t="shared" si="122"/>
        <v>162923.99688108833</v>
      </c>
      <c r="DJ33" s="4">
        <f t="shared" si="122"/>
        <v>162923.99688108833</v>
      </c>
      <c r="DK33" s="4">
        <f t="shared" si="122"/>
        <v>162923.99688108833</v>
      </c>
      <c r="DL33" s="4">
        <f t="shared" si="122"/>
        <v>162923.99688108833</v>
      </c>
      <c r="DM33" s="4">
        <f t="shared" si="122"/>
        <v>162923.99688108833</v>
      </c>
      <c r="DN33" s="4">
        <f t="shared" si="122"/>
        <v>162923.99688108833</v>
      </c>
      <c r="DO33" s="4">
        <f t="shared" si="122"/>
        <v>162923.99688108833</v>
      </c>
      <c r="DP33" s="4">
        <f t="shared" si="122"/>
        <v>162923.99688108833</v>
      </c>
      <c r="DQ33" s="4">
        <f t="shared" si="122"/>
        <v>162923.99688108833</v>
      </c>
      <c r="DR33" s="4">
        <f t="shared" si="122"/>
        <v>162923.99688108833</v>
      </c>
      <c r="DS33" s="4">
        <f t="shared" si="122"/>
        <v>162923.99688108833</v>
      </c>
    </row>
    <row r="34" spans="2:123" s="3" customFormat="1">
      <c r="B34" s="6" t="s">
        <v>33</v>
      </c>
      <c r="C34" s="8"/>
      <c r="D34" s="8"/>
      <c r="E34" s="8"/>
      <c r="F34" s="8">
        <f t="shared" ref="F34" si="123">F33/F35</f>
        <v>1.4643137254901961</v>
      </c>
      <c r="G34" s="8">
        <f t="shared" ref="G34:L34" si="124">G33/G35</f>
        <v>1.8191698310855047</v>
      </c>
      <c r="H34" s="8">
        <f t="shared" si="124"/>
        <v>2.0303308823529411</v>
      </c>
      <c r="I34" s="8">
        <f t="shared" si="124"/>
        <v>2.0346189285244174</v>
      </c>
      <c r="J34" s="8">
        <f t="shared" si="124"/>
        <v>2.1709537000395724</v>
      </c>
      <c r="K34" s="8">
        <f t="shared" si="124"/>
        <v>2.7097925201532971</v>
      </c>
      <c r="L34" s="8">
        <f t="shared" si="124"/>
        <v>2.4837855724685638</v>
      </c>
      <c r="M34" s="8">
        <f>M33/M35</f>
        <v>2.2203344836740113</v>
      </c>
      <c r="N34" s="8">
        <f>N33/N35</f>
        <v>2.2302158273381294</v>
      </c>
      <c r="O34" s="8">
        <f>O33/O35</f>
        <v>2.3454909819639278</v>
      </c>
      <c r="P34" s="8">
        <f t="shared" ref="P34:V34" si="125">P33/P35</f>
        <v>2.1979124849458049</v>
      </c>
      <c r="Q34" s="8">
        <f>Q33/Q35</f>
        <v>2.4516345123258305</v>
      </c>
      <c r="R34" s="8">
        <f t="shared" si="125"/>
        <v>2.6892995848399623</v>
      </c>
      <c r="S34" s="8">
        <f t="shared" si="125"/>
        <v>2.6797649058658091</v>
      </c>
      <c r="T34" s="8">
        <f t="shared" si="125"/>
        <v>2.5184520155350216</v>
      </c>
      <c r="U34" s="8">
        <f t="shared" si="125"/>
        <v>2.5792555510914692</v>
      </c>
      <c r="V34" s="8">
        <f t="shared" si="125"/>
        <v>2.7553266907727338</v>
      </c>
      <c r="Y34" s="11">
        <f t="shared" ref="Y34:Z34" si="126">Y33/Y35</f>
        <v>0.51955307262569828</v>
      </c>
      <c r="Z34" s="11">
        <f t="shared" si="126"/>
        <v>0.82238010657193605</v>
      </c>
      <c r="AA34" s="11">
        <f>AA33/AA35</f>
        <v>1.2040816326530612</v>
      </c>
      <c r="AB34" s="11">
        <f>AB33/AB35</f>
        <v>1.5726072607260726</v>
      </c>
      <c r="AC34" s="11">
        <f>AC33/AC35</f>
        <v>2.0262295081967214</v>
      </c>
      <c r="AD34" s="11">
        <f>AD33/AD35</f>
        <v>2.3907496012759171</v>
      </c>
      <c r="AE34" s="11">
        <f>AE33/AE35</f>
        <v>3.4296875</v>
      </c>
      <c r="AF34" s="11">
        <f t="shared" ref="AF34" si="127">AF33/AF35</f>
        <v>2.6326219512195124</v>
      </c>
      <c r="AG34" s="11">
        <f t="shared" ref="AG34:AX34" si="128">AG33/AG35</f>
        <v>1.7747109287579261</v>
      </c>
      <c r="AH34" s="11">
        <f t="shared" si="128"/>
        <v>1.4924642787238207</v>
      </c>
      <c r="AI34" s="11">
        <f t="shared" si="128"/>
        <v>1.7537384062085937</v>
      </c>
      <c r="AJ34" s="11">
        <f t="shared" si="128"/>
        <v>1.4137064944384643</v>
      </c>
      <c r="AK34" s="11">
        <f t="shared" si="128"/>
        <v>1.4264361606338916</v>
      </c>
      <c r="AL34" s="11">
        <f t="shared" si="128"/>
        <v>0.92455430986950926</v>
      </c>
      <c r="AM34" s="11">
        <f t="shared" si="128"/>
        <v>0.75206535707729028</v>
      </c>
      <c r="AN34" s="11">
        <f t="shared" si="128"/>
        <v>1.123601687144691</v>
      </c>
      <c r="AO34" s="11">
        <f t="shared" si="128"/>
        <v>1.1963726141866868</v>
      </c>
      <c r="AP34" s="11">
        <f t="shared" si="128"/>
        <v>1.4227189965607931</v>
      </c>
      <c r="AQ34" s="11">
        <f t="shared" si="128"/>
        <v>1.867053854276663</v>
      </c>
      <c r="AR34" s="11">
        <f t="shared" si="128"/>
        <v>1.6561805246776344</v>
      </c>
      <c r="AS34" s="11">
        <f t="shared" si="128"/>
        <v>2.1080990254284755</v>
      </c>
      <c r="AT34" s="11">
        <f t="shared" si="128"/>
        <v>2.6940532991970207</v>
      </c>
      <c r="AU34" s="11">
        <f t="shared" si="128"/>
        <v>2.724077122031507</v>
      </c>
      <c r="AV34" s="11">
        <f t="shared" si="128"/>
        <v>2.581227863046045</v>
      </c>
      <c r="AW34" s="11">
        <f t="shared" si="128"/>
        <v>2.6432908679604714</v>
      </c>
      <c r="AX34" s="11">
        <f t="shared" si="128"/>
        <v>2.6900896535013326</v>
      </c>
      <c r="AY34" s="11">
        <f>+AY33/AY35</f>
        <v>2.2348683389492074</v>
      </c>
      <c r="AZ34" s="11">
        <f>+AZ33/AZ35</f>
        <v>3.2935393258426968</v>
      </c>
      <c r="BA34" s="11">
        <f>+BA33/BA35</f>
        <v>2.126122658455222</v>
      </c>
      <c r="BB34" s="11">
        <f>+BB33/BB35</f>
        <v>5.0612666064749128</v>
      </c>
      <c r="BC34" s="11">
        <f>+BC33/BC35</f>
        <v>5.7635038396459715</v>
      </c>
      <c r="BD34" s="11">
        <f t="shared" ref="BD34:BF34" si="129">+BD33/BD35</f>
        <v>8.0537609674345241</v>
      </c>
      <c r="BE34" s="11">
        <f t="shared" si="129"/>
        <v>9.6463099263974534</v>
      </c>
      <c r="BF34" s="11">
        <f t="shared" si="129"/>
        <v>10.140241493526046</v>
      </c>
      <c r="BG34" s="11">
        <f t="shared" ref="BG34" si="130">+BG33/BG35</f>
        <v>10.869448479570108</v>
      </c>
      <c r="BH34" s="11">
        <f t="shared" ref="BH34" si="131">+BH33/BH35</f>
        <v>12.739942054837833</v>
      </c>
      <c r="BI34" s="11">
        <f t="shared" ref="BI34" si="132">+BI33/BI35</f>
        <v>14.217197587685435</v>
      </c>
      <c r="BJ34" s="11">
        <f t="shared" ref="BJ34" si="133">+BJ33/BJ35</f>
        <v>15.847502756015526</v>
      </c>
      <c r="BK34" s="11">
        <f t="shared" ref="BK34" si="134">+BK33/BK35</f>
        <v>17.646315668902503</v>
      </c>
      <c r="BL34" s="11">
        <f t="shared" ref="BL34" si="135">+BL33/BL35</f>
        <v>19.630644784789972</v>
      </c>
      <c r="BM34" s="11">
        <f t="shared" ref="BM34" si="136">+BM33/BM35</f>
        <v>21.819204082106378</v>
      </c>
    </row>
    <row r="35" spans="2:123" s="4" customFormat="1">
      <c r="B35" s="4" t="s">
        <v>32</v>
      </c>
      <c r="C35" s="5"/>
      <c r="D35" s="5"/>
      <c r="E35" s="5"/>
      <c r="F35" s="5">
        <v>7650</v>
      </c>
      <c r="G35" s="5">
        <v>7637</v>
      </c>
      <c r="H35" s="5">
        <v>7616</v>
      </c>
      <c r="I35" s="5">
        <v>7597</v>
      </c>
      <c r="J35" s="5">
        <v>7581</v>
      </c>
      <c r="K35" s="5">
        <v>7567</v>
      </c>
      <c r="L35" s="5">
        <v>7555</v>
      </c>
      <c r="M35" s="5">
        <v>7534</v>
      </c>
      <c r="N35" s="5">
        <v>7506</v>
      </c>
      <c r="O35" s="4">
        <v>7485</v>
      </c>
      <c r="P35" s="4">
        <v>7473</v>
      </c>
      <c r="Q35" s="4">
        <v>7464</v>
      </c>
      <c r="R35" s="4">
        <v>7467</v>
      </c>
      <c r="S35" s="4">
        <f>R35</f>
        <v>7467</v>
      </c>
      <c r="T35" s="4">
        <f t="shared" ref="T35:V35" si="137">S35</f>
        <v>7467</v>
      </c>
      <c r="U35" s="4">
        <f t="shared" si="137"/>
        <v>7467</v>
      </c>
      <c r="V35" s="4">
        <f t="shared" si="137"/>
        <v>7467</v>
      </c>
      <c r="Y35" s="4">
        <v>537</v>
      </c>
      <c r="Z35" s="4">
        <v>563</v>
      </c>
      <c r="AA35" s="4">
        <v>588</v>
      </c>
      <c r="AB35" s="4">
        <v>606</v>
      </c>
      <c r="AC35" s="4">
        <v>610</v>
      </c>
      <c r="AD35" s="4">
        <v>627</v>
      </c>
      <c r="AE35" s="4">
        <v>640</v>
      </c>
      <c r="AF35" s="4">
        <v>1312</v>
      </c>
      <c r="AG35" s="4">
        <v>2681</v>
      </c>
      <c r="AH35" s="4">
        <v>5109</v>
      </c>
      <c r="AI35" s="4">
        <v>5283</v>
      </c>
      <c r="AJ35" s="4">
        <v>5574</v>
      </c>
      <c r="AK35" s="4">
        <v>5553</v>
      </c>
      <c r="AL35" s="4">
        <v>10882</v>
      </c>
      <c r="AM35" s="4">
        <v>10894</v>
      </c>
      <c r="AN35" s="4">
        <v>10906</v>
      </c>
      <c r="AO35" s="4">
        <v>10531</v>
      </c>
      <c r="AP35" s="4">
        <v>9886</v>
      </c>
      <c r="AQ35" s="4">
        <v>9470</v>
      </c>
      <c r="AR35" s="4">
        <v>8996</v>
      </c>
      <c r="AS35" s="4">
        <v>8927</v>
      </c>
      <c r="AT35" s="4">
        <v>8593</v>
      </c>
      <c r="AU35" s="4">
        <v>8506</v>
      </c>
      <c r="AV35" s="4">
        <v>8470</v>
      </c>
      <c r="AW35" s="4">
        <v>8399</v>
      </c>
      <c r="AX35" s="4">
        <v>8254</v>
      </c>
      <c r="AY35" s="4">
        <v>8013</v>
      </c>
      <c r="AZ35" s="4">
        <v>7832</v>
      </c>
      <c r="BA35" s="4">
        <v>7794</v>
      </c>
      <c r="BB35" s="4">
        <v>7753</v>
      </c>
      <c r="BC35" s="5">
        <v>7683</v>
      </c>
      <c r="BD35" s="5">
        <f>AVERAGE(G35:J35)</f>
        <v>7607.75</v>
      </c>
      <c r="BE35" s="5">
        <f>AVERAGE(K35:N35)</f>
        <v>7540.5</v>
      </c>
      <c r="BF35" s="5">
        <f>AVERAGE(O35:R35)</f>
        <v>7472.25</v>
      </c>
      <c r="BG35" s="5">
        <f>AVERAGE(S35:V35)</f>
        <v>7467</v>
      </c>
      <c r="BH35" s="5">
        <f t="shared" ref="BH35:BM35" si="138">+BG35</f>
        <v>7467</v>
      </c>
      <c r="BI35" s="5">
        <f t="shared" si="138"/>
        <v>7467</v>
      </c>
      <c r="BJ35" s="5">
        <f t="shared" si="138"/>
        <v>7467</v>
      </c>
      <c r="BK35" s="5">
        <f t="shared" si="138"/>
        <v>7467</v>
      </c>
      <c r="BL35" s="5">
        <f t="shared" si="138"/>
        <v>7467</v>
      </c>
      <c r="BM35" s="5">
        <f t="shared" si="138"/>
        <v>7467</v>
      </c>
    </row>
    <row r="36" spans="2:123">
      <c r="O36" s="2"/>
      <c r="BG36" s="2"/>
      <c r="BH36" s="2"/>
      <c r="BI36" s="2"/>
      <c r="BJ36" s="2"/>
      <c r="BK36" s="2"/>
      <c r="BL36" s="2"/>
      <c r="BM36" s="2"/>
      <c r="BO36" t="s">
        <v>98</v>
      </c>
      <c r="BP36" s="12">
        <v>0</v>
      </c>
    </row>
    <row r="37" spans="2:123" s="3" customFormat="1">
      <c r="B37" s="6" t="s">
        <v>34</v>
      </c>
      <c r="C37" s="10"/>
      <c r="D37" s="10"/>
      <c r="E37" s="10"/>
      <c r="F37" s="10"/>
      <c r="G37" s="10"/>
      <c r="H37" s="10"/>
      <c r="I37" s="10"/>
      <c r="J37" s="10">
        <f t="shared" ref="J37:K37" si="139">J20/F20-1</f>
        <v>0.21347251071437956</v>
      </c>
      <c r="K37" s="10">
        <f t="shared" si="139"/>
        <v>0.21970716477364483</v>
      </c>
      <c r="L37" s="10">
        <f t="shared" ref="L37" si="140">L20/H20-1</f>
        <v>0.2008543040208004</v>
      </c>
      <c r="M37" s="10">
        <f>M20/I20-1</f>
        <v>0.18352275451973332</v>
      </c>
      <c r="N37" s="10">
        <f t="shared" ref="N37:O37" si="141">N20/J20-1</f>
        <v>0.12378661813139202</v>
      </c>
      <c r="O37" s="10">
        <f t="shared" si="141"/>
        <v>0.1060308493501334</v>
      </c>
      <c r="P37" s="10">
        <f t="shared" ref="P37" si="142">P20/L20-1</f>
        <v>1.9699195793380753E-2</v>
      </c>
      <c r="Q37" s="10">
        <f>Q20/M20-1</f>
        <v>7.0846839546191198E-2</v>
      </c>
      <c r="R37" s="10">
        <f>R20/N20-1</f>
        <v>8.3370288248336921E-2</v>
      </c>
      <c r="S37" s="10">
        <f t="shared" ref="S37:V37" si="143">S20/O20-1</f>
        <v>8.4999999999999964E-2</v>
      </c>
      <c r="T37" s="10">
        <f t="shared" si="143"/>
        <v>5.0000000000000044E-2</v>
      </c>
      <c r="U37" s="10">
        <f t="shared" si="143"/>
        <v>5.0000000000000044E-2</v>
      </c>
      <c r="V37" s="10">
        <f t="shared" si="143"/>
        <v>5.0000000000000044E-2</v>
      </c>
      <c r="Z37" s="18">
        <f t="shared" ref="Z37:AZ37" si="144">Z20/Y20-1</f>
        <v>0.55790363482671168</v>
      </c>
      <c r="AA37" s="18">
        <f t="shared" si="144"/>
        <v>0.49701573521432452</v>
      </c>
      <c r="AB37" s="18">
        <f t="shared" si="144"/>
        <v>0.36027546212395789</v>
      </c>
      <c r="AC37" s="18">
        <f t="shared" si="144"/>
        <v>0.23874233946176382</v>
      </c>
      <c r="AD37" s="18">
        <f t="shared" si="144"/>
        <v>0.27704882770488282</v>
      </c>
      <c r="AE37" s="18">
        <f t="shared" si="144"/>
        <v>0.46050193700522146</v>
      </c>
      <c r="AF37" s="18">
        <f t="shared" si="144"/>
        <v>0.30988351977857231</v>
      </c>
      <c r="AG37" s="18">
        <f t="shared" si="144"/>
        <v>0.27522451135763348</v>
      </c>
      <c r="AH37" s="18">
        <f t="shared" si="144"/>
        <v>0.36336647334990335</v>
      </c>
      <c r="AI37" s="18">
        <f t="shared" si="144"/>
        <v>0.16250569706790907</v>
      </c>
      <c r="AJ37" s="18">
        <f t="shared" si="144"/>
        <v>0.10193413486670155</v>
      </c>
      <c r="AK37" s="18">
        <f t="shared" si="144"/>
        <v>0.12132352941176472</v>
      </c>
      <c r="AL37" s="18">
        <f t="shared" si="144"/>
        <v>0.13474352194606021</v>
      </c>
      <c r="AM37" s="18">
        <f t="shared" si="144"/>
        <v>0.14440612669711372</v>
      </c>
      <c r="AN37" s="18">
        <f t="shared" si="144"/>
        <v>8.0168318175648068E-2</v>
      </c>
      <c r="AO37" s="18">
        <f t="shared" si="144"/>
        <v>0.11294862772695291</v>
      </c>
      <c r="AP37" s="18">
        <f t="shared" si="144"/>
        <v>0.15446456799602548</v>
      </c>
      <c r="AQ37" s="18">
        <f t="shared" si="144"/>
        <v>0.18187864324556946</v>
      </c>
      <c r="AR37" s="18">
        <f t="shared" si="144"/>
        <v>-3.2820258192651441E-2</v>
      </c>
      <c r="AS37" s="18">
        <f t="shared" si="144"/>
        <v>6.9254068484008391E-2</v>
      </c>
      <c r="AT37" s="18">
        <f t="shared" si="144"/>
        <v>0.11937455988733126</v>
      </c>
      <c r="AU37" s="18">
        <f t="shared" si="144"/>
        <v>5.4044007263057026E-2</v>
      </c>
      <c r="AV37" s="18">
        <f t="shared" si="144"/>
        <v>5.5966252051598442E-2</v>
      </c>
      <c r="AW37" s="18">
        <f t="shared" si="144"/>
        <v>0.11540289534868786</v>
      </c>
      <c r="AX37" s="18">
        <f t="shared" si="144"/>
        <v>7.7700874091647165E-2</v>
      </c>
      <c r="AY37" s="18">
        <f t="shared" si="144"/>
        <v>-8.8266723658901425E-2</v>
      </c>
      <c r="AZ37" s="18">
        <f t="shared" si="144"/>
        <v>0.1318682606657291</v>
      </c>
      <c r="BA37" s="10">
        <f t="shared" ref="BA37:BE37" si="145">+BA20/AZ20-1</f>
        <v>0.14278613662486661</v>
      </c>
      <c r="BB37" s="10">
        <f t="shared" si="145"/>
        <v>0.14029539688292858</v>
      </c>
      <c r="BC37" s="10">
        <f t="shared" si="145"/>
        <v>0.13645574247276371</v>
      </c>
      <c r="BD37" s="10">
        <f t="shared" si="145"/>
        <v>0.17531727441177503</v>
      </c>
      <c r="BE37" s="10">
        <f t="shared" si="145"/>
        <v>0.17956070629670173</v>
      </c>
      <c r="BF37" s="10">
        <f>+BF20/BE20-1</f>
        <v>6.8820295556564215E-2</v>
      </c>
      <c r="BG37" s="10">
        <f t="shared" ref="BG37:BM37" si="146">+BG20/BF20-1</f>
        <v>0.11336323525942005</v>
      </c>
      <c r="BH37" s="10">
        <f t="shared" si="146"/>
        <v>8.0228744057187606E-2</v>
      </c>
      <c r="BI37" s="10">
        <f t="shared" si="146"/>
        <v>8.1148072819640982E-2</v>
      </c>
      <c r="BJ37" s="10">
        <f t="shared" si="146"/>
        <v>8.2039939316425947E-2</v>
      </c>
      <c r="BK37" s="10">
        <f t="shared" si="146"/>
        <v>8.2903715628308783E-2</v>
      </c>
      <c r="BL37" s="10">
        <f t="shared" si="146"/>
        <v>8.3738930203388406E-2</v>
      </c>
      <c r="BM37" s="10">
        <f t="shared" si="146"/>
        <v>8.4545261387475756E-2</v>
      </c>
      <c r="BO37" s="3" t="s">
        <v>97</v>
      </c>
      <c r="BP37" s="13">
        <v>7.0000000000000007E-2</v>
      </c>
    </row>
    <row r="38" spans="2:123" s="3" customFormat="1">
      <c r="B38" s="6" t="s">
        <v>104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>
        <v>0.16</v>
      </c>
      <c r="P38" s="18">
        <v>7.0000000000000007E-2</v>
      </c>
      <c r="Q38" s="18">
        <v>0.1</v>
      </c>
      <c r="R38" s="18">
        <v>0.1</v>
      </c>
      <c r="BA38" s="10"/>
      <c r="BB38" s="10"/>
      <c r="BC38" s="10"/>
      <c r="BD38" s="10"/>
      <c r="BE38" s="10"/>
      <c r="BF38" s="10">
        <v>0.11</v>
      </c>
      <c r="BG38" s="10"/>
      <c r="BH38" s="10"/>
      <c r="BI38" s="10"/>
      <c r="BJ38" s="10"/>
      <c r="BK38" s="10"/>
      <c r="BL38" s="10"/>
      <c r="BM38" s="10"/>
      <c r="BO38" t="s">
        <v>99</v>
      </c>
      <c r="BP38" s="12">
        <v>0.01</v>
      </c>
    </row>
    <row r="39" spans="2:123" s="3" customFormat="1">
      <c r="B39" s="6" t="s">
        <v>159</v>
      </c>
      <c r="C39" s="10"/>
      <c r="D39" s="10"/>
      <c r="E39" s="10"/>
      <c r="F39" s="10"/>
      <c r="G39" s="10"/>
      <c r="H39" s="10"/>
      <c r="I39" s="10"/>
      <c r="J39" s="18"/>
      <c r="K39" s="18"/>
      <c r="L39" s="18"/>
      <c r="M39" s="18">
        <f t="shared" ref="M39" si="147">M65/I65-1</f>
        <v>0.12477838234395056</v>
      </c>
      <c r="N39" s="18">
        <f t="shared" ref="N39" si="148">N65/J65-1</f>
        <v>9.666749733807567E-2</v>
      </c>
      <c r="O39" s="18">
        <f t="shared" ref="O39:P39" si="149">O65/K65-1</f>
        <v>7.5508960136535519E-2</v>
      </c>
      <c r="P39" s="18">
        <f t="shared" si="149"/>
        <v>7.7701324485300205E-2</v>
      </c>
      <c r="Q39" s="18">
        <f>Q65/M65-1</f>
        <v>7.6231112077399743E-2</v>
      </c>
      <c r="R39" s="18">
        <f>R65/N65-1</f>
        <v>0.11165509833085441</v>
      </c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O39"/>
      <c r="BP39" s="12"/>
    </row>
    <row r="40" spans="2:123" s="3" customFormat="1">
      <c r="B40" s="6" t="s">
        <v>416</v>
      </c>
      <c r="C40" s="10"/>
      <c r="D40" s="10"/>
      <c r="E40" s="10"/>
      <c r="F40" s="10"/>
      <c r="G40" s="10"/>
      <c r="H40" s="10"/>
      <c r="I40" s="40"/>
      <c r="J40" s="40">
        <f t="shared" ref="J40:J42" si="150">J14/F14-1</f>
        <v>0.25008509189925121</v>
      </c>
      <c r="K40" s="40">
        <f t="shared" ref="K40:K42" si="151">K14/G14-1</f>
        <v>0.22079714262521311</v>
      </c>
      <c r="L40" s="40">
        <f t="shared" ref="L40:L42" si="152">L14/H14-1</f>
        <v>0.19343967647719618</v>
      </c>
      <c r="M40" s="40">
        <f t="shared" ref="M40:M42" si="153">M14/I14-1</f>
        <v>0.16506788665879579</v>
      </c>
      <c r="N40" s="40">
        <f t="shared" ref="N40" si="154">N14/J14-1</f>
        <v>0.12994350282485878</v>
      </c>
      <c r="O40" s="40">
        <f t="shared" ref="O40" si="155">O14/K14-1</f>
        <v>9.4820134317441296E-2</v>
      </c>
      <c r="P40" s="40">
        <f t="shared" ref="P40" si="156">P14/L14-1</f>
        <v>6.6892570281124497E-2</v>
      </c>
      <c r="Q40" s="40">
        <f t="shared" ref="Q40:R40" si="157">Q14/M14-1</f>
        <v>8.0000000000000071E-2</v>
      </c>
      <c r="R40" s="40">
        <f t="shared" si="157"/>
        <v>0.10186746987951811</v>
      </c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O40"/>
      <c r="BP40" s="12"/>
    </row>
    <row r="41" spans="2:123" s="3" customFormat="1">
      <c r="B41" s="6" t="s">
        <v>414</v>
      </c>
      <c r="C41" s="10"/>
      <c r="D41" s="10"/>
      <c r="E41" s="10"/>
      <c r="F41" s="10"/>
      <c r="G41" s="10"/>
      <c r="H41" s="10"/>
      <c r="I41" s="40"/>
      <c r="J41" s="40">
        <f t="shared" si="150"/>
        <v>0.29945404233041661</v>
      </c>
      <c r="K41" s="40">
        <f t="shared" si="151"/>
        <v>0.30232558139534893</v>
      </c>
      <c r="L41" s="40">
        <f t="shared" si="152"/>
        <v>0.25518800082186144</v>
      </c>
      <c r="M41" s="40">
        <f t="shared" si="153"/>
        <v>0.2601534594523085</v>
      </c>
      <c r="N41" s="40">
        <f t="shared" ref="N41:Q41" si="158">N15/J15-1</f>
        <v>0.19735251798561149</v>
      </c>
      <c r="O41" s="40">
        <f t="shared" si="158"/>
        <v>0.20180936613055822</v>
      </c>
      <c r="P41" s="40">
        <f t="shared" si="158"/>
        <v>0.17356905112675292</v>
      </c>
      <c r="Q41" s="40">
        <f t="shared" si="158"/>
        <v>0.14999999999999991</v>
      </c>
      <c r="R41" s="40">
        <f>R15/N15-1</f>
        <v>0.15328782926360307</v>
      </c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O41"/>
      <c r="BP41" s="12"/>
    </row>
    <row r="42" spans="2:123" s="3" customFormat="1">
      <c r="B42" s="6" t="s">
        <v>415</v>
      </c>
      <c r="C42" s="10"/>
      <c r="D42" s="10"/>
      <c r="E42" s="10"/>
      <c r="F42" s="10"/>
      <c r="G42" s="10"/>
      <c r="H42" s="10"/>
      <c r="I42" s="40"/>
      <c r="J42" s="40">
        <f t="shared" si="150"/>
        <v>9.1092176607281194E-2</v>
      </c>
      <c r="K42" s="40">
        <f t="shared" si="151"/>
        <v>0.12802768166089962</v>
      </c>
      <c r="L42" s="40">
        <f t="shared" si="152"/>
        <v>0.15493982277476515</v>
      </c>
      <c r="M42" s="40">
        <f t="shared" si="153"/>
        <v>0.11383860079779073</v>
      </c>
      <c r="N42" s="40">
        <f t="shared" ref="N42:Q42" si="159">N16/J16-1</f>
        <v>2.6622178049126699E-2</v>
      </c>
      <c r="O42" s="40">
        <f t="shared" si="159"/>
        <v>-2.5437677689660321E-3</v>
      </c>
      <c r="P42" s="40">
        <f t="shared" si="159"/>
        <v>-0.18482679645004296</v>
      </c>
      <c r="Q42" s="40">
        <f t="shared" si="159"/>
        <v>-0.17000000000000015</v>
      </c>
      <c r="R42" s="40">
        <f>R16/N16-1</f>
        <v>-3.8448240094046016E-2</v>
      </c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O42"/>
      <c r="BP42" s="12"/>
    </row>
    <row r="43" spans="2:123">
      <c r="B43" s="4" t="s">
        <v>22</v>
      </c>
      <c r="C43" s="9"/>
      <c r="D43" s="9"/>
      <c r="E43" s="9"/>
      <c r="F43" s="9">
        <f t="shared" ref="F43" si="160">F24/F20</f>
        <v>0.67557121447164303</v>
      </c>
      <c r="G43" s="9">
        <f t="shared" ref="G43:H43" si="161">G24/G20</f>
        <v>0.70388114334930285</v>
      </c>
      <c r="H43" s="9">
        <f t="shared" si="161"/>
        <v>0.67048936762930633</v>
      </c>
      <c r="I43" s="9">
        <f>I24/I20</f>
        <v>0.68721526878626582</v>
      </c>
      <c r="J43" s="9">
        <f t="shared" ref="J43:M43" si="162">J24/J20</f>
        <v>0.69684954064829263</v>
      </c>
      <c r="K43" s="9">
        <f t="shared" si="162"/>
        <v>0.6988768012004325</v>
      </c>
      <c r="L43" s="9">
        <f t="shared" si="162"/>
        <v>0.67213114754098358</v>
      </c>
      <c r="M43" s="9">
        <f t="shared" si="162"/>
        <v>0.68365072933549431</v>
      </c>
      <c r="N43" s="9">
        <f t="shared" ref="N43:O43" si="163">N24/N20</f>
        <v>0.68323532247180174</v>
      </c>
      <c r="O43" s="9">
        <f t="shared" si="163"/>
        <v>0.69171222217788597</v>
      </c>
      <c r="P43" s="9">
        <f>P24/P20</f>
        <v>0.66845507801391546</v>
      </c>
      <c r="Q43" s="9">
        <f t="shared" ref="Q43:R43" si="164">Q24/Q20</f>
        <v>0.69487485101311086</v>
      </c>
      <c r="R43" s="9">
        <f t="shared" si="164"/>
        <v>0.70109807969531401</v>
      </c>
      <c r="S43" s="9">
        <f t="shared" ref="S43:V43" si="165">S24/S20</f>
        <v>0.69299999999999995</v>
      </c>
      <c r="T43" s="9">
        <f t="shared" si="165"/>
        <v>0.69</v>
      </c>
      <c r="U43" s="9">
        <f t="shared" si="165"/>
        <v>0.69</v>
      </c>
      <c r="V43" s="9">
        <f t="shared" si="165"/>
        <v>0.69</v>
      </c>
      <c r="W43" s="9"/>
      <c r="X43" s="9"/>
      <c r="Y43" s="9">
        <f t="shared" ref="Y43:AD43" si="166">Y24/Y20</f>
        <v>0.78613693998309386</v>
      </c>
      <c r="Z43" s="9">
        <f t="shared" si="166"/>
        <v>0.8035811177428106</v>
      </c>
      <c r="AA43" s="9">
        <f t="shared" si="166"/>
        <v>0.8307357738310982</v>
      </c>
      <c r="AB43" s="9">
        <f t="shared" si="166"/>
        <v>0.83133493205435649</v>
      </c>
      <c r="AC43" s="9">
        <f t="shared" si="166"/>
        <v>0.83587868358786832</v>
      </c>
      <c r="AD43" s="9">
        <f t="shared" si="166"/>
        <v>0.85228229745662798</v>
      </c>
      <c r="AE43" s="9">
        <f t="shared" ref="AE43:AM43" si="167">AE24/AE20</f>
        <v>0.86299158113251062</v>
      </c>
      <c r="AF43" s="9">
        <f t="shared" si="167"/>
        <v>0.90447261841873572</v>
      </c>
      <c r="AG43" s="9">
        <f t="shared" si="167"/>
        <v>0.91735708367854185</v>
      </c>
      <c r="AH43" s="9">
        <f t="shared" si="167"/>
        <v>0.85749734136830913</v>
      </c>
      <c r="AI43" s="9">
        <f t="shared" si="167"/>
        <v>0.86922808851716327</v>
      </c>
      <c r="AJ43" s="9">
        <f t="shared" si="167"/>
        <v>0.86341714104996836</v>
      </c>
      <c r="AK43" s="9">
        <f t="shared" si="167"/>
        <v>0.8169927727833598</v>
      </c>
      <c r="AL43" s="9">
        <f t="shared" si="167"/>
        <v>0.82334482865753256</v>
      </c>
      <c r="AM43" s="9">
        <f t="shared" si="167"/>
        <v>0.81767340844305691</v>
      </c>
      <c r="AN43" s="9">
        <f t="shared" ref="AN43:AW43" si="168">AN24/AN20</f>
        <v>0.84417412285111093</v>
      </c>
      <c r="AO43" s="9">
        <f t="shared" si="168"/>
        <v>0.82724357526760306</v>
      </c>
      <c r="AP43" s="9">
        <f t="shared" si="168"/>
        <v>0.79083369195258402</v>
      </c>
      <c r="AQ43" s="9">
        <f t="shared" si="168"/>
        <v>0.80804369414101296</v>
      </c>
      <c r="AR43" s="9">
        <f t="shared" si="168"/>
        <v>0.79199822030562828</v>
      </c>
      <c r="AS43" s="9">
        <f t="shared" si="168"/>
        <v>0.80162921707957235</v>
      </c>
      <c r="AT43" s="9">
        <f t="shared" si="168"/>
        <v>0.77729007906438097</v>
      </c>
      <c r="AU43" s="9">
        <f t="shared" si="168"/>
        <v>0.76221803236439101</v>
      </c>
      <c r="AV43" s="9">
        <f t="shared" si="168"/>
        <v>0.7398938971598864</v>
      </c>
      <c r="AW43" s="9">
        <f t="shared" si="168"/>
        <v>0.68981838701876019</v>
      </c>
      <c r="AX43" s="9">
        <f t="shared" ref="AX43:AY43" si="169">AX24/AX20</f>
        <v>0.64695447745244705</v>
      </c>
      <c r="AY43" s="9">
        <f t="shared" si="169"/>
        <v>0.61579934364744493</v>
      </c>
      <c r="AZ43" s="9">
        <f t="shared" ref="AZ43:BA43" si="170">AZ24/AZ20</f>
        <v>0.64522475691460168</v>
      </c>
      <c r="BA43" s="9">
        <f t="shared" si="170"/>
        <v>0.65247372236317502</v>
      </c>
      <c r="BB43" s="9">
        <f t="shared" ref="BB43:BF43" si="171">BB24/BB20</f>
        <v>0.65901957200638894</v>
      </c>
      <c r="BC43" s="9">
        <f t="shared" si="171"/>
        <v>0.67781001992797962</v>
      </c>
      <c r="BD43" s="9">
        <f t="shared" si="171"/>
        <v>0.68925800771024703</v>
      </c>
      <c r="BE43" s="9">
        <f t="shared" si="171"/>
        <v>0.68401674484289099</v>
      </c>
      <c r="BF43" s="9">
        <f t="shared" si="171"/>
        <v>0.68920085883491022</v>
      </c>
      <c r="BG43" s="9">
        <f t="shared" ref="BG43:BM43" si="172">BG24/BG20</f>
        <v>0.67</v>
      </c>
      <c r="BH43" s="9">
        <f t="shared" si="172"/>
        <v>0.67</v>
      </c>
      <c r="BI43" s="9">
        <f t="shared" si="172"/>
        <v>0.67</v>
      </c>
      <c r="BJ43" s="9">
        <f t="shared" si="172"/>
        <v>0.67</v>
      </c>
      <c r="BK43" s="9">
        <f t="shared" si="172"/>
        <v>0.67</v>
      </c>
      <c r="BL43" s="9">
        <f t="shared" si="172"/>
        <v>0.67</v>
      </c>
      <c r="BM43" s="9">
        <f t="shared" si="172"/>
        <v>0.67</v>
      </c>
      <c r="BO43" t="s">
        <v>100</v>
      </c>
      <c r="BP43" s="4">
        <f>NPV(BP37,BF33:DS33)+Main!L5-Main!L6</f>
        <v>2044966.4213977153</v>
      </c>
    </row>
    <row r="44" spans="2:123">
      <c r="B44" s="4" t="s">
        <v>456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f t="shared" ref="AR44:AU44" si="173">AR29/AR20</f>
        <v>0.35410784263394768</v>
      </c>
      <c r="AS44" s="9">
        <f t="shared" si="173"/>
        <v>0.38661097240893672</v>
      </c>
      <c r="AT44" s="9">
        <f t="shared" si="173"/>
        <v>0.38833049769097694</v>
      </c>
      <c r="AU44" s="9">
        <f t="shared" ref="AU44:BF44" si="174">AU29/AU20</f>
        <v>0.37920323372624554</v>
      </c>
      <c r="AV44" s="9">
        <f t="shared" si="174"/>
        <v>0.34379375457616668</v>
      </c>
      <c r="AW44" s="9">
        <f t="shared" si="174"/>
        <v>0.32114518673776099</v>
      </c>
      <c r="AX44" s="9">
        <f t="shared" si="174"/>
        <v>0.30104723231459712</v>
      </c>
      <c r="AY44" s="9">
        <f t="shared" si="174"/>
        <v>0.24955461790904829</v>
      </c>
      <c r="AZ44" s="9">
        <f t="shared" si="174"/>
        <v>0.30372472067183731</v>
      </c>
      <c r="BA44" s="9">
        <f t="shared" si="174"/>
        <v>0.31766944545125048</v>
      </c>
      <c r="BB44" s="9">
        <f t="shared" si="174"/>
        <v>0.3413698020549415</v>
      </c>
      <c r="BC44" s="9">
        <f t="shared" si="174"/>
        <v>0.37030381428521486</v>
      </c>
      <c r="BD44" s="9">
        <f t="shared" si="174"/>
        <v>0.41594878872971303</v>
      </c>
      <c r="BE44" s="9">
        <f t="shared" si="174"/>
        <v>0.4205527815604983</v>
      </c>
      <c r="BF44" s="9">
        <f>BF29/BF20</f>
        <v>0.41772880636104098</v>
      </c>
      <c r="BG44" s="9">
        <f t="shared" ref="BG44:BM44" si="175">BG29/BG20</f>
        <v>0.41885445720422676</v>
      </c>
      <c r="BH44" s="9">
        <f t="shared" si="175"/>
        <v>0.43053228494172352</v>
      </c>
      <c r="BI44" s="9">
        <f t="shared" si="175"/>
        <v>0.44186127163251976</v>
      </c>
      <c r="BJ44" s="9">
        <f t="shared" si="175"/>
        <v>0.45283344109557166</v>
      </c>
      <c r="BK44" s="9">
        <f t="shared" si="175"/>
        <v>0.46344280341509458</v>
      </c>
      <c r="BL44" s="9">
        <f t="shared" si="175"/>
        <v>0.47368527275981076</v>
      </c>
      <c r="BM44" s="9">
        <f t="shared" si="175"/>
        <v>0.48355857034614491</v>
      </c>
      <c r="BP44" s="4"/>
    </row>
    <row r="45" spans="2:123">
      <c r="B45" s="4" t="s">
        <v>89</v>
      </c>
      <c r="C45" s="9"/>
      <c r="D45" s="9"/>
      <c r="E45" s="9"/>
      <c r="F45" s="9">
        <f t="shared" ref="F45" si="176">+F32/F31</f>
        <v>0.16540008940545373</v>
      </c>
      <c r="G45" s="9">
        <f>+G32/G31</f>
        <v>0.13836516993301909</v>
      </c>
      <c r="H45" s="9">
        <f t="shared" ref="H45:O45" si="177">+H32/H31</f>
        <v>0.15673228990565524</v>
      </c>
      <c r="I45" s="9">
        <f t="shared" si="177"/>
        <v>0.10321420283128337</v>
      </c>
      <c r="J45" s="9">
        <f t="shared" si="177"/>
        <v>0.15186807523834064</v>
      </c>
      <c r="K45" s="9">
        <f t="shared" si="177"/>
        <v>9.2574546871954783E-4</v>
      </c>
      <c r="L45" s="9">
        <f t="shared" si="177"/>
        <v>0.16655562958027981</v>
      </c>
      <c r="M45" s="9">
        <f t="shared" si="177"/>
        <v>0.17147102526002972</v>
      </c>
      <c r="N45" s="9">
        <f t="shared" si="177"/>
        <v>0.18289647093278666</v>
      </c>
      <c r="O45" s="9">
        <f t="shared" si="177"/>
        <v>0.18616725384758021</v>
      </c>
      <c r="P45" s="9">
        <f>+P32/P31</f>
        <v>0.19243817296818919</v>
      </c>
      <c r="Q45" s="9">
        <f t="shared" ref="Q45:R45" si="178">+Q32/Q31</f>
        <v>0.19291668504388479</v>
      </c>
      <c r="R45" s="9">
        <f t="shared" si="178"/>
        <v>0.18789177821814212</v>
      </c>
      <c r="S45" s="9">
        <f t="shared" ref="S45:V45" si="179">+S32/S31</f>
        <v>0.19000000000000003</v>
      </c>
      <c r="T45" s="9">
        <f t="shared" si="179"/>
        <v>0.2</v>
      </c>
      <c r="U45" s="9">
        <f t="shared" si="179"/>
        <v>0.2</v>
      </c>
      <c r="V45" s="9">
        <f t="shared" si="179"/>
        <v>0.2</v>
      </c>
      <c r="W45" s="9"/>
      <c r="X45" s="9"/>
      <c r="Y45" s="9">
        <f t="shared" ref="Y45:AD45" si="180">+Y32/Y31</f>
        <v>0.31951219512195123</v>
      </c>
      <c r="Z45" s="9">
        <f t="shared" si="180"/>
        <v>0.30998509687034276</v>
      </c>
      <c r="AA45" s="9">
        <f t="shared" si="180"/>
        <v>0.31988472622478387</v>
      </c>
      <c r="AB45" s="9">
        <f t="shared" si="180"/>
        <v>0.31977159172019987</v>
      </c>
      <c r="AC45" s="9">
        <f t="shared" si="180"/>
        <v>0.31788079470198677</v>
      </c>
      <c r="AD45" s="9">
        <f t="shared" si="180"/>
        <v>0.32263895164934481</v>
      </c>
      <c r="AE45" s="9">
        <f t="shared" ref="AE45:AM45" si="181">+AE32/AE31</f>
        <v>0.35039952648712636</v>
      </c>
      <c r="AF45" s="9">
        <f t="shared" si="181"/>
        <v>0.35001881821603315</v>
      </c>
      <c r="AG45" s="9">
        <f t="shared" si="181"/>
        <v>0.35815459328207205</v>
      </c>
      <c r="AH45" s="9">
        <f t="shared" si="181"/>
        <v>0.35001278663370555</v>
      </c>
      <c r="AI45" s="9">
        <f t="shared" si="181"/>
        <v>0.34379205326156242</v>
      </c>
      <c r="AJ45" s="9">
        <f t="shared" si="181"/>
        <v>0.32557343375556319</v>
      </c>
      <c r="AK45" s="9">
        <f t="shared" si="181"/>
        <v>0.31744937526928046</v>
      </c>
      <c r="AL45" s="9">
        <f t="shared" si="181"/>
        <v>0.31992699743139108</v>
      </c>
      <c r="AM45" s="9">
        <f t="shared" si="181"/>
        <v>0.32959659602323871</v>
      </c>
      <c r="AN45" s="9">
        <f t="shared" ref="AN45:AW45" si="182">+AN32/AN31</f>
        <v>0.26305027664180902</v>
      </c>
      <c r="AO45" s="9">
        <f t="shared" si="182"/>
        <v>0.31009747015660938</v>
      </c>
      <c r="AP45" s="9">
        <f t="shared" si="182"/>
        <v>0.30028356798169248</v>
      </c>
      <c r="AQ45" s="9">
        <f t="shared" si="182"/>
        <v>0.25753758293440832</v>
      </c>
      <c r="AR45" s="9">
        <f t="shared" si="182"/>
        <v>0.26063222668850183</v>
      </c>
      <c r="AS45" s="9">
        <f t="shared" si="182"/>
        <v>0.24940172303765157</v>
      </c>
      <c r="AT45" s="9">
        <f t="shared" si="182"/>
        <v>0.17530547540166008</v>
      </c>
      <c r="AU45" s="9">
        <f t="shared" si="182"/>
        <v>0.18583977512297961</v>
      </c>
      <c r="AV45" s="9">
        <f t="shared" si="182"/>
        <v>0.19181576223569421</v>
      </c>
      <c r="AW45" s="9">
        <f t="shared" si="182"/>
        <v>0.20560346369914481</v>
      </c>
      <c r="AX45" s="9">
        <f t="shared" ref="AX45:AY45" si="183">+AX32/AX31</f>
        <v>0.22140402552773686</v>
      </c>
      <c r="AY45" s="9">
        <f t="shared" si="183"/>
        <v>0.1415560136139207</v>
      </c>
      <c r="AZ45" s="9">
        <f t="shared" ref="AZ45:BA45" si="184">+AZ32/AZ31</f>
        <v>0.14605886052901645</v>
      </c>
      <c r="BA45" s="9">
        <f t="shared" si="184"/>
        <v>0.5456763722103416</v>
      </c>
      <c r="BB45" s="9">
        <f t="shared" ref="BB45:BF45" si="185">+BB32/BB31</f>
        <v>0.10181285478850027</v>
      </c>
      <c r="BC45" s="9">
        <f t="shared" si="185"/>
        <v>0.16507655177615205</v>
      </c>
      <c r="BD45" s="9">
        <f t="shared" si="185"/>
        <v>0.13826615285083402</v>
      </c>
      <c r="BE45" s="9">
        <f t="shared" si="185"/>
        <v>0.13113383343685794</v>
      </c>
      <c r="BF45" s="9">
        <f t="shared" si="185"/>
        <v>0.15</v>
      </c>
      <c r="BG45" s="9">
        <f t="shared" ref="BG45:BM45" si="186">+BG32/BG31</f>
        <v>0.19000000000000003</v>
      </c>
      <c r="BH45" s="9">
        <f t="shared" si="186"/>
        <v>0.15</v>
      </c>
      <c r="BI45" s="9">
        <f t="shared" si="186"/>
        <v>0.15</v>
      </c>
      <c r="BJ45" s="9">
        <f t="shared" si="186"/>
        <v>0.15</v>
      </c>
      <c r="BK45" s="9">
        <f t="shared" si="186"/>
        <v>0.15</v>
      </c>
      <c r="BL45" s="9">
        <f t="shared" si="186"/>
        <v>0.15</v>
      </c>
      <c r="BM45" s="9">
        <f t="shared" si="186"/>
        <v>0.15</v>
      </c>
      <c r="BO45" t="s">
        <v>105</v>
      </c>
      <c r="BP45" s="1">
        <f>+BP43/Main!L3</f>
        <v>273.64731987123179</v>
      </c>
    </row>
    <row r="46" spans="2:123">
      <c r="B46" s="4" t="s">
        <v>156</v>
      </c>
      <c r="C46" s="9"/>
      <c r="D46" s="9"/>
      <c r="E46" s="9"/>
      <c r="F46" s="9">
        <f t="shared" ref="F46:I46" si="187">(F18-F21)/F18</f>
        <v>0.75918884664131814</v>
      </c>
      <c r="G46" s="9">
        <f t="shared" si="187"/>
        <v>0.77238499019173579</v>
      </c>
      <c r="H46" s="9">
        <f t="shared" si="187"/>
        <v>0.68869475847893113</v>
      </c>
      <c r="I46" s="9">
        <f t="shared" si="187"/>
        <v>0.74651810584958223</v>
      </c>
      <c r="J46" s="9">
        <f t="shared" ref="J46:L46" si="188">(J18-J21)/J18</f>
        <v>0.7736297391488014</v>
      </c>
      <c r="K46" s="9">
        <f t="shared" si="188"/>
        <v>0.77199206301485179</v>
      </c>
      <c r="L46" s="9">
        <f t="shared" si="188"/>
        <v>0.69531738774724483</v>
      </c>
      <c r="M46" s="9">
        <f t="shared" ref="M46:O46" si="189">(M18-M21)/M18</f>
        <v>0.73603593228146957</v>
      </c>
      <c r="N46" s="9">
        <f t="shared" si="189"/>
        <v>0.75735130318556476</v>
      </c>
      <c r="O46" s="9">
        <f t="shared" si="189"/>
        <v>0.72670097198399086</v>
      </c>
      <c r="P46" s="9">
        <f>(P18-P21)/P18</f>
        <v>0.65550644790216139</v>
      </c>
      <c r="Q46" s="9">
        <f t="shared" ref="Q46:V46" si="190">(Q18-Q21)/Q18</f>
        <v>0.74717731588401337</v>
      </c>
      <c r="R46" s="9">
        <f t="shared" si="190"/>
        <v>0.77030795704028954</v>
      </c>
      <c r="S46" s="9">
        <f t="shared" si="190"/>
        <v>1</v>
      </c>
      <c r="T46" s="9">
        <f t="shared" si="190"/>
        <v>0.75</v>
      </c>
      <c r="U46" s="9">
        <f t="shared" si="190"/>
        <v>0.75</v>
      </c>
      <c r="V46" s="9">
        <f t="shared" si="190"/>
        <v>0.75</v>
      </c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>
        <f t="shared" ref="AY46" si="191">(AY18-AY21)/AY18</f>
        <v>0.70927774706513613</v>
      </c>
      <c r="AZ46" s="9">
        <f t="shared" ref="AZ46:BM46" si="192">(AZ18-AZ21)/AZ18</f>
        <v>0.76218833743398473</v>
      </c>
      <c r="BA46" s="9">
        <f t="shared" si="192"/>
        <v>0.76091911251686128</v>
      </c>
      <c r="BB46" s="9">
        <f t="shared" si="192"/>
        <v>0.75369689264254036</v>
      </c>
      <c r="BC46" s="9">
        <f t="shared" si="192"/>
        <v>0.76459781602269217</v>
      </c>
      <c r="BD46" s="9">
        <f t="shared" si="192"/>
        <v>0.74366153586402906</v>
      </c>
      <c r="BE46" s="9">
        <f t="shared" si="192"/>
        <v>0.73788703734257277</v>
      </c>
      <c r="BF46" s="9">
        <f t="shared" si="192"/>
        <v>0.72481800336944935</v>
      </c>
      <c r="BG46" s="9">
        <f t="shared" si="192"/>
        <v>0.75</v>
      </c>
      <c r="BH46" s="9">
        <f t="shared" si="192"/>
        <v>0.75</v>
      </c>
      <c r="BI46" s="9">
        <f t="shared" si="192"/>
        <v>0.75</v>
      </c>
      <c r="BJ46" s="9">
        <f t="shared" si="192"/>
        <v>0.75</v>
      </c>
      <c r="BK46" s="9">
        <f t="shared" si="192"/>
        <v>0.75</v>
      </c>
      <c r="BL46" s="9">
        <f t="shared" si="192"/>
        <v>0.75</v>
      </c>
      <c r="BM46" s="9">
        <f t="shared" si="192"/>
        <v>0.75</v>
      </c>
      <c r="BP46" s="1"/>
    </row>
    <row r="47" spans="2:123">
      <c r="B47" s="4" t="s">
        <v>157</v>
      </c>
      <c r="C47" s="9"/>
      <c r="D47" s="9"/>
      <c r="E47" s="9"/>
      <c r="F47" s="9">
        <f t="shared" ref="F47:K47" si="193">(F19-F22)/F19</f>
        <v>0.59926581514633415</v>
      </c>
      <c r="G47" s="9">
        <f t="shared" si="193"/>
        <v>0.65317783710364852</v>
      </c>
      <c r="H47" s="9">
        <f t="shared" si="193"/>
        <v>0.65548780487804881</v>
      </c>
      <c r="I47" s="9">
        <f t="shared" si="193"/>
        <v>0.64692143518704948</v>
      </c>
      <c r="J47" s="9">
        <f t="shared" si="193"/>
        <v>0.64341882854413168</v>
      </c>
      <c r="K47" s="9">
        <f t="shared" si="193"/>
        <v>0.65648748518441047</v>
      </c>
      <c r="L47" s="9">
        <f t="shared" ref="L47:O47" si="194">(L19-L22)/L19</f>
        <v>0.65656402468577335</v>
      </c>
      <c r="M47" s="9">
        <f t="shared" si="194"/>
        <v>0.65521660311308372</v>
      </c>
      <c r="N47" s="9">
        <f t="shared" si="194"/>
        <v>0.64398832168450859</v>
      </c>
      <c r="O47" s="9">
        <f t="shared" si="194"/>
        <v>0.67569296995433525</v>
      </c>
      <c r="P47" s="9">
        <f>(P19-P22)/P19</f>
        <v>0.67435826662986476</v>
      </c>
      <c r="Q47" s="9">
        <f t="shared" ref="Q47:V47" si="195">(Q19-Q22)/Q19</f>
        <v>0.67299900721779493</v>
      </c>
      <c r="R47" s="9">
        <f t="shared" si="195"/>
        <v>0.67144600366076879</v>
      </c>
      <c r="S47" s="9">
        <f t="shared" si="195"/>
        <v>1</v>
      </c>
      <c r="T47" s="9">
        <f t="shared" si="195"/>
        <v>0.64999999999999991</v>
      </c>
      <c r="U47" s="9">
        <f t="shared" si="195"/>
        <v>0.65000000000000013</v>
      </c>
      <c r="V47" s="9">
        <f t="shared" si="195"/>
        <v>0.65</v>
      </c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>
        <f t="shared" ref="AY47" si="196">(AY19-AY22)/AY19</f>
        <v>0.37442270551683599</v>
      </c>
      <c r="AZ47" s="9">
        <f t="shared" ref="AZ47:BM47" si="197">(AZ19-AZ22)/AZ19</f>
        <v>0.41739926739926742</v>
      </c>
      <c r="BA47" s="9">
        <f t="shared" si="197"/>
        <v>0.4999672938970412</v>
      </c>
      <c r="BB47" s="9">
        <f t="shared" si="197"/>
        <v>0.55437146585471941</v>
      </c>
      <c r="BC47" s="9">
        <f t="shared" si="197"/>
        <v>0.59904766985888447</v>
      </c>
      <c r="BD47" s="9">
        <f t="shared" si="197"/>
        <v>0.64940111736450412</v>
      </c>
      <c r="BE47" s="9">
        <f t="shared" si="197"/>
        <v>0.65280632159186858</v>
      </c>
      <c r="BF47" s="9">
        <f t="shared" si="197"/>
        <v>0.67354771220519505</v>
      </c>
      <c r="BG47" s="9">
        <f t="shared" si="197"/>
        <v>0.65</v>
      </c>
      <c r="BH47" s="9">
        <f t="shared" si="197"/>
        <v>0.65</v>
      </c>
      <c r="BI47" s="9">
        <f t="shared" si="197"/>
        <v>0.64999999999999991</v>
      </c>
      <c r="BJ47" s="9">
        <f t="shared" si="197"/>
        <v>0.65</v>
      </c>
      <c r="BK47" s="9">
        <f t="shared" si="197"/>
        <v>0.65</v>
      </c>
      <c r="BL47" s="9">
        <f t="shared" si="197"/>
        <v>0.65</v>
      </c>
      <c r="BM47" s="9">
        <f t="shared" si="197"/>
        <v>0.65</v>
      </c>
      <c r="BP47" s="1"/>
    </row>
    <row r="48" spans="2:123">
      <c r="B48" s="4" t="s">
        <v>412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0.35</v>
      </c>
      <c r="O48" s="9">
        <v>0.16</v>
      </c>
      <c r="P48" s="9">
        <v>0.04</v>
      </c>
      <c r="Q48" s="9">
        <v>0.12</v>
      </c>
      <c r="R48" s="9">
        <v>-0.01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P48" s="1"/>
    </row>
    <row r="50" spans="2:65">
      <c r="B50" t="s">
        <v>82</v>
      </c>
      <c r="I50" s="5">
        <f t="shared" ref="I50:R50" si="198">+I51-I62</f>
        <v>72744</v>
      </c>
      <c r="J50" s="5">
        <f t="shared" si="198"/>
        <v>78172</v>
      </c>
      <c r="K50" s="5">
        <f t="shared" si="198"/>
        <v>83720</v>
      </c>
      <c r="L50" s="5">
        <f t="shared" si="198"/>
        <v>79105</v>
      </c>
      <c r="M50" s="5">
        <f t="shared" si="198"/>
        <v>61674</v>
      </c>
      <c r="N50" s="5">
        <f t="shared" si="198"/>
        <v>61867</v>
      </c>
      <c r="O50" s="5">
        <f t="shared" si="198"/>
        <v>65479</v>
      </c>
      <c r="P50" s="5">
        <f t="shared" si="198"/>
        <v>58489</v>
      </c>
      <c r="Q50" s="5">
        <f t="shared" si="198"/>
        <v>65632</v>
      </c>
      <c r="R50" s="5">
        <f t="shared" si="198"/>
        <v>73904</v>
      </c>
      <c r="S50" s="5"/>
      <c r="T50" s="5"/>
      <c r="U50" s="5"/>
      <c r="V50" s="5"/>
      <c r="AC50" s="4">
        <f t="shared" ref="AC50:AQ50" si="199">AC51</f>
        <v>3614</v>
      </c>
      <c r="AD50" s="4">
        <f t="shared" si="199"/>
        <v>4750</v>
      </c>
      <c r="AE50" s="4">
        <f t="shared" si="199"/>
        <v>6940</v>
      </c>
      <c r="AF50" s="4">
        <f t="shared" si="199"/>
        <v>11312</v>
      </c>
      <c r="AG50" s="4">
        <f t="shared" si="199"/>
        <v>18630</v>
      </c>
      <c r="AH50" s="4">
        <f t="shared" si="199"/>
        <v>31608</v>
      </c>
      <c r="AI50" s="4">
        <f t="shared" si="199"/>
        <v>41524</v>
      </c>
      <c r="AJ50" s="4">
        <f t="shared" si="199"/>
        <v>45741</v>
      </c>
      <c r="AK50" s="4">
        <f t="shared" si="199"/>
        <v>52843</v>
      </c>
      <c r="AL50" s="4">
        <f t="shared" si="199"/>
        <v>62740</v>
      </c>
      <c r="AM50" s="4">
        <f t="shared" si="199"/>
        <v>72802</v>
      </c>
      <c r="AN50" s="4">
        <f t="shared" si="199"/>
        <v>48755</v>
      </c>
      <c r="AO50" s="4">
        <f t="shared" si="199"/>
        <v>43393</v>
      </c>
      <c r="AP50" s="4">
        <f t="shared" si="199"/>
        <v>33528</v>
      </c>
      <c r="AQ50" s="4">
        <f t="shared" si="199"/>
        <v>30250</v>
      </c>
      <c r="AR50" s="4">
        <f t="shared" ref="AR50:AW50" si="200">AR51-AR62</f>
        <v>30634</v>
      </c>
      <c r="AS50" s="4">
        <f t="shared" si="200"/>
        <v>38603</v>
      </c>
      <c r="AT50" s="4">
        <f t="shared" si="200"/>
        <v>51716</v>
      </c>
      <c r="AU50" s="4">
        <f t="shared" si="200"/>
        <v>60872</v>
      </c>
      <c r="AV50" s="4">
        <f t="shared" si="200"/>
        <v>72266</v>
      </c>
      <c r="AW50" s="4">
        <f t="shared" si="200"/>
        <v>77661</v>
      </c>
      <c r="BE50" s="5">
        <f>+N50</f>
        <v>61867</v>
      </c>
      <c r="BF50" s="5">
        <f>+BE50+BF33</f>
        <v>137637.41950000002</v>
      </c>
      <c r="BG50" s="5">
        <f>+BF50+BG33</f>
        <v>218799.59129695001</v>
      </c>
      <c r="BH50" s="5">
        <f>+BG50+BH33</f>
        <v>313928.73862042412</v>
      </c>
      <c r="BI50" s="5">
        <f>+BH50+BI33</f>
        <v>420088.55300767126</v>
      </c>
      <c r="BJ50" s="5">
        <f>+BI50+BJ33</f>
        <v>538421.85608683922</v>
      </c>
      <c r="BK50" s="5">
        <f>+BJ50+BK33</f>
        <v>670186.89518653415</v>
      </c>
      <c r="BL50" s="5">
        <f>+BK50+BL33</f>
        <v>816768.91979456088</v>
      </c>
      <c r="BM50" s="5">
        <f>+BL50+BM33</f>
        <v>979692.91667564923</v>
      </c>
    </row>
    <row r="51" spans="2:65" s="4" customFormat="1">
      <c r="B51" s="4" t="s">
        <v>3</v>
      </c>
      <c r="C51" s="5"/>
      <c r="D51" s="5"/>
      <c r="E51" s="5"/>
      <c r="F51" s="5"/>
      <c r="G51" s="5"/>
      <c r="H51" s="5"/>
      <c r="I51" s="5">
        <f>125407+5395</f>
        <v>130802</v>
      </c>
      <c r="J51" s="5">
        <f>130334+5984</f>
        <v>136318</v>
      </c>
      <c r="K51" s="5">
        <f>130615+6393</f>
        <v>137008</v>
      </c>
      <c r="L51" s="5">
        <f>125369+6994</f>
        <v>132363</v>
      </c>
      <c r="M51" s="5">
        <f>104693+6907</f>
        <v>111600</v>
      </c>
      <c r="N51" s="5">
        <f>104757+6891</f>
        <v>111648</v>
      </c>
      <c r="O51" s="4">
        <f>107262+6839</f>
        <v>114101</v>
      </c>
      <c r="P51" s="4">
        <f>99508+7097</f>
        <v>106605</v>
      </c>
      <c r="Q51" s="4">
        <f>104427+9415</f>
        <v>113842</v>
      </c>
      <c r="R51" s="4">
        <f>111262+9879</f>
        <v>121141</v>
      </c>
      <c r="AC51" s="4">
        <f>3614</f>
        <v>3614</v>
      </c>
      <c r="AD51" s="4">
        <v>4750</v>
      </c>
      <c r="AE51" s="4">
        <v>6940</v>
      </c>
      <c r="AF51" s="4">
        <f>8966+2346</f>
        <v>11312</v>
      </c>
      <c r="AG51" s="4">
        <f>13927+4703</f>
        <v>18630</v>
      </c>
      <c r="AH51" s="4">
        <f>17236+14372</f>
        <v>31608</v>
      </c>
      <c r="AI51" s="4">
        <f>4846+18952+17726</f>
        <v>41524</v>
      </c>
      <c r="AJ51" s="4">
        <f>3922+27678+14141</f>
        <v>45741</v>
      </c>
      <c r="AK51" s="4">
        <f>3016+35636+14191</f>
        <v>52843</v>
      </c>
      <c r="AL51" s="4">
        <f>6438+42610+13692</f>
        <v>62740</v>
      </c>
      <c r="AM51" s="4">
        <f>60592+12210</f>
        <v>72802</v>
      </c>
      <c r="AN51" s="4">
        <f>4851+32900+11004</f>
        <v>48755</v>
      </c>
      <c r="AO51" s="4">
        <f>34161+9232</f>
        <v>43393</v>
      </c>
      <c r="AP51" s="4">
        <f>23411+10117</f>
        <v>33528</v>
      </c>
      <c r="AQ51" s="4">
        <f>23662+6588</f>
        <v>30250</v>
      </c>
      <c r="AR51" s="4">
        <f>31447+4933</f>
        <v>36380</v>
      </c>
      <c r="AS51" s="4">
        <f>36788+7754</f>
        <v>44542</v>
      </c>
      <c r="AT51" s="4">
        <f>52772+10865</f>
        <v>63637</v>
      </c>
      <c r="AU51" s="4">
        <f>63040+9776</f>
        <v>72816</v>
      </c>
      <c r="AV51" s="4">
        <f>77022+10844</f>
        <v>87866</v>
      </c>
      <c r="AW51" s="4">
        <f>85709+14597</f>
        <v>100306</v>
      </c>
      <c r="BC51" s="5"/>
      <c r="BD51" s="5"/>
      <c r="BE51" s="5"/>
      <c r="BF51" s="5"/>
    </row>
    <row r="52" spans="2:65" s="4" customFormat="1">
      <c r="B52" s="4" t="s">
        <v>35</v>
      </c>
      <c r="C52" s="5"/>
      <c r="D52" s="5"/>
      <c r="E52" s="5"/>
      <c r="F52" s="5"/>
      <c r="G52" s="5"/>
      <c r="H52" s="5"/>
      <c r="I52" s="5">
        <v>26322</v>
      </c>
      <c r="J52" s="5">
        <v>38043</v>
      </c>
      <c r="K52" s="5">
        <v>27349</v>
      </c>
      <c r="L52" s="5">
        <v>33520</v>
      </c>
      <c r="M52" s="5">
        <v>32613</v>
      </c>
      <c r="N52" s="5">
        <v>44261</v>
      </c>
      <c r="O52" s="4">
        <v>31279</v>
      </c>
      <c r="P52" s="4">
        <v>35833</v>
      </c>
      <c r="Q52" s="4">
        <v>37420</v>
      </c>
      <c r="R52" s="4">
        <v>48688</v>
      </c>
      <c r="AC52" s="4">
        <v>475</v>
      </c>
      <c r="AD52" s="4">
        <v>581</v>
      </c>
      <c r="AE52" s="4">
        <v>639</v>
      </c>
      <c r="AF52" s="4">
        <v>980</v>
      </c>
      <c r="AG52" s="4">
        <v>1460</v>
      </c>
      <c r="AH52" s="4">
        <v>2245</v>
      </c>
      <c r="AI52" s="4">
        <v>3250</v>
      </c>
      <c r="AJ52" s="4">
        <v>3671</v>
      </c>
      <c r="AK52" s="4">
        <v>5129</v>
      </c>
      <c r="AL52" s="4">
        <v>5196</v>
      </c>
      <c r="AM52" s="4">
        <v>5890</v>
      </c>
      <c r="AN52" s="4">
        <v>7180</v>
      </c>
      <c r="AO52" s="4">
        <v>9316</v>
      </c>
      <c r="AP52" s="4">
        <v>11338</v>
      </c>
      <c r="AQ52" s="4">
        <v>13589</v>
      </c>
      <c r="AR52" s="4">
        <v>11192</v>
      </c>
      <c r="AS52" s="4">
        <v>13014</v>
      </c>
      <c r="AT52" s="4">
        <v>14987</v>
      </c>
      <c r="AU52" s="4">
        <v>15780</v>
      </c>
      <c r="AV52" s="4">
        <v>17486</v>
      </c>
      <c r="AW52" s="4">
        <v>19544</v>
      </c>
      <c r="BC52" s="5"/>
      <c r="BD52" s="5"/>
      <c r="BE52" s="5"/>
      <c r="BF52" s="5"/>
    </row>
    <row r="53" spans="2:65" s="4" customFormat="1">
      <c r="B53" s="4" t="s">
        <v>36</v>
      </c>
      <c r="C53" s="5"/>
      <c r="D53" s="5"/>
      <c r="E53" s="5"/>
      <c r="F53" s="5"/>
      <c r="G53" s="5"/>
      <c r="H53" s="5"/>
      <c r="I53" s="5">
        <v>2245</v>
      </c>
      <c r="J53" s="5">
        <v>2636</v>
      </c>
      <c r="K53" s="5">
        <v>3411</v>
      </c>
      <c r="L53" s="5">
        <v>3019</v>
      </c>
      <c r="M53" s="5">
        <v>3296</v>
      </c>
      <c r="N53" s="5">
        <v>3742</v>
      </c>
      <c r="O53" s="4">
        <v>4268</v>
      </c>
      <c r="P53" s="4">
        <v>2980</v>
      </c>
      <c r="Q53" s="4">
        <v>2877</v>
      </c>
      <c r="R53" s="4">
        <v>2500</v>
      </c>
      <c r="AC53" s="4">
        <v>102</v>
      </c>
      <c r="AD53" s="4">
        <v>88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673</v>
      </c>
      <c r="AL53" s="4">
        <v>640</v>
      </c>
      <c r="AM53" s="4">
        <v>421</v>
      </c>
      <c r="AN53" s="4">
        <v>491</v>
      </c>
      <c r="AO53" s="4">
        <v>1478</v>
      </c>
      <c r="AP53" s="4">
        <v>1127</v>
      </c>
      <c r="AQ53" s="4">
        <v>985</v>
      </c>
      <c r="AR53" s="4">
        <v>717</v>
      </c>
      <c r="AS53" s="4">
        <v>740</v>
      </c>
      <c r="AT53" s="4">
        <v>1372</v>
      </c>
      <c r="AU53" s="4">
        <v>1137</v>
      </c>
      <c r="AV53" s="4">
        <v>1938</v>
      </c>
      <c r="AW53" s="4">
        <v>2660</v>
      </c>
      <c r="BC53" s="5"/>
      <c r="BD53" s="5"/>
      <c r="BE53" s="5"/>
      <c r="BF53" s="5"/>
    </row>
    <row r="54" spans="2:65" s="4" customFormat="1">
      <c r="B54" s="4" t="s">
        <v>37</v>
      </c>
      <c r="C54" s="5"/>
      <c r="D54" s="5"/>
      <c r="E54" s="5"/>
      <c r="F54" s="5"/>
      <c r="G54" s="5"/>
      <c r="H54" s="5"/>
      <c r="I54" s="5">
        <v>11640</v>
      </c>
      <c r="J54" s="5">
        <v>13393</v>
      </c>
      <c r="K54" s="5">
        <v>12951</v>
      </c>
      <c r="L54" s="5">
        <v>12280</v>
      </c>
      <c r="M54" s="5">
        <v>13320</v>
      </c>
      <c r="N54" s="5">
        <v>16924</v>
      </c>
      <c r="O54" s="4">
        <v>18003</v>
      </c>
      <c r="P54" s="4">
        <v>19502</v>
      </c>
      <c r="Q54" s="4">
        <v>19165</v>
      </c>
      <c r="R54" s="4">
        <v>21807</v>
      </c>
      <c r="AC54" s="4">
        <v>121</v>
      </c>
      <c r="AD54" s="4">
        <v>201</v>
      </c>
      <c r="AE54" s="4">
        <v>260</v>
      </c>
      <c r="AF54" s="4">
        <v>427</v>
      </c>
      <c r="AG54" s="4">
        <v>502</v>
      </c>
      <c r="AH54" s="4">
        <v>752</v>
      </c>
      <c r="AI54" s="4">
        <f>1552+1708</f>
        <v>3260</v>
      </c>
      <c r="AJ54" s="4">
        <f>1949+2417</f>
        <v>4366</v>
      </c>
      <c r="AK54" s="4">
        <f>2112+2010</f>
        <v>4122</v>
      </c>
      <c r="AL54" s="4">
        <f>2506+1583</f>
        <v>4089</v>
      </c>
      <c r="AM54" s="4">
        <f>2097+1566</f>
        <v>3663</v>
      </c>
      <c r="AN54" s="4">
        <f>1701+1614</f>
        <v>3315</v>
      </c>
      <c r="AO54" s="4">
        <f>1940+2115</f>
        <v>4055</v>
      </c>
      <c r="AP54" s="4">
        <f>1899+2393</f>
        <v>4292</v>
      </c>
      <c r="AQ54" s="4">
        <f>2017+2989</f>
        <v>5006</v>
      </c>
      <c r="AR54" s="4">
        <f>2213+3711</f>
        <v>5924</v>
      </c>
      <c r="AS54" s="4">
        <f>2184+2950</f>
        <v>5134</v>
      </c>
      <c r="AT54" s="4">
        <f>2467+3320</f>
        <v>5787</v>
      </c>
      <c r="AU54" s="4">
        <f>2035+3092</f>
        <v>5127</v>
      </c>
      <c r="AV54" s="4">
        <f>1632+3388</f>
        <v>5020</v>
      </c>
      <c r="AW54" s="4">
        <f>1941+4392</f>
        <v>6333</v>
      </c>
      <c r="BC54" s="5"/>
      <c r="BD54" s="5"/>
      <c r="BE54" s="5"/>
      <c r="BF54" s="5"/>
    </row>
    <row r="55" spans="2:65" s="4" customFormat="1">
      <c r="B55" s="4" t="s">
        <v>38</v>
      </c>
      <c r="C55" s="5"/>
      <c r="D55" s="5"/>
      <c r="E55" s="5"/>
      <c r="F55" s="5"/>
      <c r="G55" s="5"/>
      <c r="H55" s="5"/>
      <c r="I55" s="5">
        <v>54945</v>
      </c>
      <c r="J55" s="5">
        <v>59715</v>
      </c>
      <c r="K55" s="5">
        <v>63772</v>
      </c>
      <c r="L55" s="5">
        <v>67214</v>
      </c>
      <c r="M55" s="5">
        <v>70298</v>
      </c>
      <c r="N55" s="5">
        <v>74398</v>
      </c>
      <c r="O55" s="4">
        <v>77037</v>
      </c>
      <c r="P55" s="4">
        <v>82755</v>
      </c>
      <c r="Q55" s="4">
        <v>88132</v>
      </c>
      <c r="R55" s="4">
        <v>95641</v>
      </c>
      <c r="AC55" s="4">
        <v>930</v>
      </c>
      <c r="AD55" s="4">
        <v>1192</v>
      </c>
      <c r="AE55" s="4">
        <v>1326</v>
      </c>
      <c r="AF55" s="4">
        <v>1465</v>
      </c>
      <c r="AG55" s="4">
        <v>1505</v>
      </c>
      <c r="AH55" s="4">
        <v>1611</v>
      </c>
      <c r="AI55" s="4">
        <v>1903</v>
      </c>
      <c r="AJ55" s="4">
        <v>2309</v>
      </c>
      <c r="AK55" s="4">
        <v>2268</v>
      </c>
      <c r="AL55" s="4">
        <v>2223</v>
      </c>
      <c r="AM55" s="4">
        <v>2326</v>
      </c>
      <c r="AN55" s="4">
        <v>2346</v>
      </c>
      <c r="AO55" s="4">
        <v>3044</v>
      </c>
      <c r="AP55" s="4">
        <v>4350</v>
      </c>
      <c r="AQ55" s="4">
        <v>6242</v>
      </c>
      <c r="AR55" s="4">
        <v>7535</v>
      </c>
      <c r="AS55" s="4">
        <v>7630</v>
      </c>
      <c r="AT55" s="4">
        <v>8162</v>
      </c>
      <c r="AU55" s="4">
        <v>8269</v>
      </c>
      <c r="AV55" s="4">
        <v>9991</v>
      </c>
      <c r="AW55" s="4">
        <v>13011</v>
      </c>
      <c r="BC55" s="5"/>
      <c r="BD55" s="5"/>
      <c r="BE55" s="5"/>
      <c r="BF55" s="5"/>
    </row>
    <row r="56" spans="2:65" s="4" customFormat="1">
      <c r="B56" s="4" t="s">
        <v>39</v>
      </c>
      <c r="C56" s="5"/>
      <c r="D56" s="5"/>
      <c r="E56" s="5"/>
      <c r="F56" s="5"/>
      <c r="G56" s="5"/>
      <c r="H56" s="5"/>
      <c r="I56" s="5">
        <v>10673</v>
      </c>
      <c r="J56" s="5">
        <v>11088</v>
      </c>
      <c r="K56" s="5">
        <v>11575</v>
      </c>
      <c r="L56" s="5">
        <v>12354</v>
      </c>
      <c r="M56" s="5">
        <v>12916</v>
      </c>
      <c r="N56" s="5">
        <v>13148</v>
      </c>
      <c r="O56" s="4">
        <v>13347</v>
      </c>
      <c r="P56" s="4">
        <v>13624</v>
      </c>
      <c r="Q56" s="4">
        <v>13879</v>
      </c>
      <c r="R56" s="4">
        <v>14346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BC56" s="5"/>
      <c r="BD56" s="5"/>
      <c r="BE56" s="5"/>
      <c r="BF56" s="5"/>
    </row>
    <row r="57" spans="2:65" s="4" customFormat="1">
      <c r="B57" s="4" t="s">
        <v>40</v>
      </c>
      <c r="C57" s="5"/>
      <c r="D57" s="5"/>
      <c r="E57" s="5"/>
      <c r="F57" s="5"/>
      <c r="G57" s="5"/>
      <c r="H57" s="5"/>
      <c r="I57" s="5">
        <f>49698+8127</f>
        <v>57825</v>
      </c>
      <c r="J57" s="5">
        <f>49711+7800</f>
        <v>57511</v>
      </c>
      <c r="K57" s="5">
        <f>50455+7794</f>
        <v>58249</v>
      </c>
      <c r="L57" s="5">
        <f>50921+7462</f>
        <v>58383</v>
      </c>
      <c r="M57" s="5">
        <f>67371+11348</f>
        <v>78719</v>
      </c>
      <c r="N57" s="5">
        <f>67524+11298</f>
        <v>78822</v>
      </c>
      <c r="O57" s="4">
        <f>67459+10808</f>
        <v>78267</v>
      </c>
      <c r="P57" s="4">
        <f>67905+10354</f>
        <v>78259</v>
      </c>
      <c r="Q57" s="4">
        <f>67940+9879</f>
        <v>77819</v>
      </c>
      <c r="R57" s="4">
        <f>67886+9366</f>
        <v>77252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f>1426+243</f>
        <v>1669</v>
      </c>
      <c r="AL57" s="4">
        <f>3128+384</f>
        <v>3512</v>
      </c>
      <c r="AM57" s="4">
        <f>3115+569</f>
        <v>3684</v>
      </c>
      <c r="AN57" s="4">
        <f>3309+499</f>
        <v>3808</v>
      </c>
      <c r="AO57" s="4">
        <f>3866+539</f>
        <v>4405</v>
      </c>
      <c r="AP57" s="4">
        <f>4760+878</f>
        <v>5638</v>
      </c>
      <c r="AQ57" s="4">
        <f>12108+1973</f>
        <v>14081</v>
      </c>
      <c r="AR57" s="4">
        <f>12503+1759</f>
        <v>14262</v>
      </c>
      <c r="AS57" s="4">
        <f>12394+1158</f>
        <v>13552</v>
      </c>
      <c r="AT57" s="4">
        <f>12581+744</f>
        <v>13325</v>
      </c>
      <c r="AU57" s="4">
        <f>13452+3170</f>
        <v>16622</v>
      </c>
      <c r="AV57" s="4">
        <f>14655+3083</f>
        <v>17738</v>
      </c>
      <c r="AW57" s="4">
        <f>20127+6981</f>
        <v>27108</v>
      </c>
      <c r="BC57" s="5"/>
      <c r="BD57" s="5"/>
      <c r="BE57" s="5"/>
      <c r="BF57" s="5"/>
    </row>
    <row r="58" spans="2:65" s="4" customFormat="1">
      <c r="B58" s="4" t="s">
        <v>42</v>
      </c>
      <c r="C58" s="5"/>
      <c r="D58" s="5"/>
      <c r="E58" s="5"/>
      <c r="F58" s="5"/>
      <c r="G58" s="5"/>
      <c r="H58" s="5"/>
      <c r="I58" s="5">
        <v>14427</v>
      </c>
      <c r="J58" s="5">
        <v>15075</v>
      </c>
      <c r="K58" s="5">
        <v>21103</v>
      </c>
      <c r="L58" s="5">
        <v>21256</v>
      </c>
      <c r="M58" s="5">
        <v>21845</v>
      </c>
      <c r="N58" s="5">
        <v>21897</v>
      </c>
      <c r="O58" s="4">
        <v>23482</v>
      </c>
      <c r="P58" s="4">
        <v>24994</v>
      </c>
      <c r="Q58" s="4">
        <v>26954</v>
      </c>
      <c r="R58" s="4">
        <v>30601</v>
      </c>
      <c r="AC58" s="4">
        <v>121</v>
      </c>
      <c r="AD58" s="4">
        <v>398</v>
      </c>
      <c r="AE58" s="4">
        <v>928</v>
      </c>
      <c r="AF58" s="4">
        <v>203</v>
      </c>
      <c r="AG58" s="4">
        <v>260</v>
      </c>
      <c r="AH58" s="4">
        <v>940</v>
      </c>
      <c r="AI58" s="4">
        <v>2213</v>
      </c>
      <c r="AJ58" s="4">
        <v>3170</v>
      </c>
      <c r="AK58" s="4">
        <v>942</v>
      </c>
      <c r="AL58" s="4">
        <v>1171</v>
      </c>
      <c r="AM58" s="4">
        <f>1829+1774</f>
        <v>3603</v>
      </c>
      <c r="AN58" s="4">
        <f>3621+1299</f>
        <v>4920</v>
      </c>
      <c r="AO58" s="4">
        <f>2611+1295</f>
        <v>3906</v>
      </c>
      <c r="AP58" s="4">
        <f>1389+1509</f>
        <v>2898</v>
      </c>
      <c r="AQ58" s="4">
        <f>949+1691</f>
        <v>2640</v>
      </c>
      <c r="AR58" s="4">
        <f>279+1599</f>
        <v>1878</v>
      </c>
      <c r="AS58" s="4">
        <v>1501</v>
      </c>
      <c r="AT58" s="4">
        <f>1434</f>
        <v>1434</v>
      </c>
      <c r="AU58" s="4">
        <v>1520</v>
      </c>
      <c r="AV58" s="4">
        <v>2392</v>
      </c>
      <c r="AW58" s="4">
        <v>3422</v>
      </c>
      <c r="BC58" s="5"/>
      <c r="BD58" s="5"/>
      <c r="BE58" s="5"/>
      <c r="BF58" s="5"/>
    </row>
    <row r="59" spans="2:65" s="6" customFormat="1">
      <c r="B59" s="6" t="s">
        <v>41</v>
      </c>
      <c r="C59" s="7"/>
      <c r="D59" s="7"/>
      <c r="E59" s="7"/>
      <c r="F59" s="7"/>
      <c r="G59" s="7"/>
      <c r="H59" s="7"/>
      <c r="I59" s="7">
        <f t="shared" ref="I59:K59" si="201">SUM(I51:I58)</f>
        <v>308879</v>
      </c>
      <c r="J59" s="7">
        <f t="shared" si="201"/>
        <v>333779</v>
      </c>
      <c r="K59" s="7">
        <f t="shared" si="201"/>
        <v>335418</v>
      </c>
      <c r="L59" s="7">
        <f t="shared" ref="L59" si="202">SUM(L51:L58)</f>
        <v>340389</v>
      </c>
      <c r="M59" s="7">
        <f t="shared" ref="M59:R59" si="203">SUM(M51:M58)</f>
        <v>344607</v>
      </c>
      <c r="N59" s="7">
        <f t="shared" si="203"/>
        <v>364840</v>
      </c>
      <c r="O59" s="7">
        <f t="shared" si="203"/>
        <v>359784</v>
      </c>
      <c r="P59" s="7">
        <f t="shared" si="203"/>
        <v>364552</v>
      </c>
      <c r="Q59" s="7">
        <f t="shared" si="203"/>
        <v>380088</v>
      </c>
      <c r="R59" s="7">
        <f t="shared" si="203"/>
        <v>411976</v>
      </c>
      <c r="S59" s="7"/>
      <c r="T59" s="7"/>
      <c r="U59" s="7"/>
      <c r="V59" s="7"/>
      <c r="AC59" s="6">
        <f t="shared" ref="AC59:AW59" si="204">SUM(AC51:AC58)</f>
        <v>5363</v>
      </c>
      <c r="AD59" s="6">
        <f t="shared" si="204"/>
        <v>7210</v>
      </c>
      <c r="AE59" s="6">
        <f t="shared" si="204"/>
        <v>10093</v>
      </c>
      <c r="AF59" s="6">
        <f t="shared" si="204"/>
        <v>14387</v>
      </c>
      <c r="AG59" s="6">
        <f t="shared" si="204"/>
        <v>22357</v>
      </c>
      <c r="AH59" s="6">
        <f t="shared" si="204"/>
        <v>37156</v>
      </c>
      <c r="AI59" s="6">
        <f t="shared" si="204"/>
        <v>52150</v>
      </c>
      <c r="AJ59" s="6">
        <f t="shared" si="204"/>
        <v>59257</v>
      </c>
      <c r="AK59" s="6">
        <f t="shared" si="204"/>
        <v>67646</v>
      </c>
      <c r="AL59" s="6">
        <f t="shared" si="204"/>
        <v>79571</v>
      </c>
      <c r="AM59" s="6">
        <f t="shared" si="204"/>
        <v>92389</v>
      </c>
      <c r="AN59" s="6">
        <f t="shared" si="204"/>
        <v>70815</v>
      </c>
      <c r="AO59" s="6">
        <f t="shared" si="204"/>
        <v>69597</v>
      </c>
      <c r="AP59" s="6">
        <f t="shared" si="204"/>
        <v>63171</v>
      </c>
      <c r="AQ59" s="6">
        <f t="shared" si="204"/>
        <v>72793</v>
      </c>
      <c r="AR59" s="6">
        <f t="shared" si="204"/>
        <v>77888</v>
      </c>
      <c r="AS59" s="6">
        <f t="shared" si="204"/>
        <v>86113</v>
      </c>
      <c r="AT59" s="6">
        <f t="shared" si="204"/>
        <v>108704</v>
      </c>
      <c r="AU59" s="6">
        <f t="shared" si="204"/>
        <v>121271</v>
      </c>
      <c r="AV59" s="6">
        <f t="shared" si="204"/>
        <v>142431</v>
      </c>
      <c r="AW59" s="6">
        <f t="shared" si="204"/>
        <v>172384</v>
      </c>
      <c r="BC59" s="7"/>
      <c r="BD59" s="7"/>
      <c r="BE59" s="7"/>
      <c r="BF59" s="7"/>
    </row>
    <row r="60" spans="2:65">
      <c r="AG60" t="s">
        <v>270</v>
      </c>
    </row>
    <row r="61" spans="2:65" s="4" customFormat="1">
      <c r="B61" s="4" t="s">
        <v>43</v>
      </c>
      <c r="C61" s="5"/>
      <c r="D61" s="5"/>
      <c r="E61" s="5"/>
      <c r="F61" s="5"/>
      <c r="G61" s="5"/>
      <c r="H61" s="5"/>
      <c r="I61" s="5">
        <v>13412</v>
      </c>
      <c r="J61" s="5">
        <v>15163</v>
      </c>
      <c r="K61" s="5">
        <v>14832</v>
      </c>
      <c r="L61" s="5">
        <v>15314</v>
      </c>
      <c r="M61" s="5">
        <v>16085</v>
      </c>
      <c r="N61" s="5">
        <v>19000</v>
      </c>
      <c r="O61" s="4">
        <v>16609</v>
      </c>
      <c r="P61" s="4">
        <v>15354</v>
      </c>
      <c r="Q61" s="4">
        <v>15305</v>
      </c>
      <c r="R61" s="4">
        <v>18095</v>
      </c>
      <c r="AC61" s="4">
        <v>324</v>
      </c>
      <c r="AD61" s="4">
        <v>563</v>
      </c>
      <c r="AE61" s="4">
        <v>808</v>
      </c>
      <c r="AF61" s="4">
        <v>721</v>
      </c>
      <c r="AG61" s="4">
        <v>759</v>
      </c>
      <c r="AH61" s="4">
        <v>874</v>
      </c>
      <c r="AI61" s="4">
        <v>1083</v>
      </c>
      <c r="AJ61" s="4">
        <v>1188</v>
      </c>
      <c r="AK61" s="4">
        <v>1208</v>
      </c>
      <c r="AL61" s="4">
        <v>1573</v>
      </c>
      <c r="AM61" s="4">
        <v>1717</v>
      </c>
      <c r="AN61" s="4">
        <v>2086</v>
      </c>
      <c r="AO61" s="4">
        <v>2909</v>
      </c>
      <c r="AP61" s="4">
        <v>3247</v>
      </c>
      <c r="AQ61" s="4">
        <v>4034</v>
      </c>
      <c r="AR61" s="4">
        <f>3324</f>
        <v>3324</v>
      </c>
      <c r="AS61" s="4">
        <v>4025</v>
      </c>
      <c r="AT61" s="4">
        <v>4197</v>
      </c>
      <c r="AU61" s="4">
        <v>4175</v>
      </c>
      <c r="AV61" s="4">
        <v>4828</v>
      </c>
      <c r="AW61" s="4">
        <v>7432</v>
      </c>
      <c r="BC61" s="5"/>
      <c r="BD61" s="5"/>
      <c r="BE61" s="5"/>
      <c r="BF61" s="5"/>
    </row>
    <row r="62" spans="2:65" s="4" customFormat="1">
      <c r="B62" s="4" t="s">
        <v>4</v>
      </c>
      <c r="C62" s="5"/>
      <c r="D62" s="5"/>
      <c r="E62" s="5"/>
      <c r="F62" s="5"/>
      <c r="G62" s="5"/>
      <c r="H62" s="5"/>
      <c r="I62" s="5">
        <f>8051+50007</f>
        <v>58058</v>
      </c>
      <c r="J62" s="5">
        <f>8072+50074</f>
        <v>58146</v>
      </c>
      <c r="K62" s="5">
        <f>3249+50039</f>
        <v>53288</v>
      </c>
      <c r="L62" s="5">
        <f>4998+48260</f>
        <v>53258</v>
      </c>
      <c r="M62" s="5">
        <f>1749+48177</f>
        <v>49926</v>
      </c>
      <c r="N62" s="5">
        <f>2749+47032</f>
        <v>49781</v>
      </c>
      <c r="O62" s="4">
        <f>3248+45374</f>
        <v>48622</v>
      </c>
      <c r="P62" s="4">
        <f>3997+44119</f>
        <v>48116</v>
      </c>
      <c r="Q62" s="4">
        <f>6245+41965</f>
        <v>48210</v>
      </c>
      <c r="R62" s="4">
        <f>5247+41990</f>
        <v>47237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f>2000+3746</f>
        <v>5746</v>
      </c>
      <c r="AS62" s="4">
        <f>1000+4939</f>
        <v>5939</v>
      </c>
      <c r="AT62" s="4">
        <v>11921</v>
      </c>
      <c r="AU62" s="4">
        <f>1231+10713</f>
        <v>11944</v>
      </c>
      <c r="AV62" s="4">
        <f>2999+12601</f>
        <v>15600</v>
      </c>
      <c r="AW62" s="4">
        <f>2000+20645</f>
        <v>22645</v>
      </c>
      <c r="BC62" s="5"/>
      <c r="BD62" s="5"/>
      <c r="BE62" s="5"/>
      <c r="BF62" s="5"/>
    </row>
    <row r="63" spans="2:65" s="4" customFormat="1">
      <c r="B63" s="4" t="s">
        <v>45</v>
      </c>
      <c r="C63" s="5"/>
      <c r="D63" s="5"/>
      <c r="E63" s="5"/>
      <c r="F63" s="5"/>
      <c r="G63" s="5"/>
      <c r="H63" s="5"/>
      <c r="I63" s="5">
        <v>8032</v>
      </c>
      <c r="J63" s="5">
        <v>10057</v>
      </c>
      <c r="K63" s="5">
        <v>6894</v>
      </c>
      <c r="L63" s="5">
        <v>7782</v>
      </c>
      <c r="M63" s="5">
        <v>9067</v>
      </c>
      <c r="N63" s="5">
        <v>10661</v>
      </c>
      <c r="O63" s="4">
        <v>7405</v>
      </c>
      <c r="P63" s="4">
        <v>9030</v>
      </c>
      <c r="Q63" s="4">
        <v>10411</v>
      </c>
      <c r="R63" s="4">
        <v>11009</v>
      </c>
      <c r="AC63" s="4">
        <v>96</v>
      </c>
      <c r="AD63" s="4">
        <v>130</v>
      </c>
      <c r="AE63" s="4">
        <v>202</v>
      </c>
      <c r="AF63" s="4">
        <v>336</v>
      </c>
      <c r="AG63" s="4">
        <v>359</v>
      </c>
      <c r="AH63" s="4">
        <v>396</v>
      </c>
      <c r="AI63" s="4">
        <v>557</v>
      </c>
      <c r="AJ63" s="4">
        <v>742</v>
      </c>
      <c r="AK63" s="4">
        <v>1145</v>
      </c>
      <c r="AL63" s="4">
        <v>1416</v>
      </c>
      <c r="AM63" s="4">
        <v>1339</v>
      </c>
      <c r="AN63" s="4">
        <v>1662</v>
      </c>
      <c r="AO63" s="4">
        <v>1938</v>
      </c>
      <c r="AP63" s="4">
        <v>2325</v>
      </c>
      <c r="AQ63" s="4">
        <v>2934</v>
      </c>
      <c r="AR63" s="4">
        <v>3156</v>
      </c>
      <c r="AS63" s="4">
        <v>3283</v>
      </c>
      <c r="AT63" s="4">
        <v>3575</v>
      </c>
      <c r="AU63" s="4">
        <v>3875</v>
      </c>
      <c r="AV63" s="4">
        <v>4117</v>
      </c>
      <c r="AW63" s="4">
        <v>4797</v>
      </c>
      <c r="BC63" s="5"/>
      <c r="BD63" s="5"/>
      <c r="BE63" s="5"/>
      <c r="BF63" s="5"/>
    </row>
    <row r="64" spans="2:65" s="4" customFormat="1">
      <c r="B64" s="4" t="s">
        <v>30</v>
      </c>
      <c r="C64" s="5"/>
      <c r="D64" s="5"/>
      <c r="E64" s="5"/>
      <c r="F64" s="5"/>
      <c r="G64" s="5"/>
      <c r="H64" s="5"/>
      <c r="I64" s="5">
        <f>2165+27157+173</f>
        <v>29495</v>
      </c>
      <c r="J64" s="5">
        <f>2174+27190+198</f>
        <v>29562</v>
      </c>
      <c r="K64" s="5">
        <f>6272+25715+212</f>
        <v>32199</v>
      </c>
      <c r="L64" s="5">
        <f>3731+26121+199</f>
        <v>30051</v>
      </c>
      <c r="M64" s="5">
        <f>4646+26483+304</f>
        <v>31433</v>
      </c>
      <c r="N64" s="5">
        <f>4067+26069+230</f>
        <v>30366</v>
      </c>
      <c r="O64" s="4">
        <f>6729+23712</f>
        <v>30441</v>
      </c>
      <c r="P64" s="4">
        <f>3553+289+24169</f>
        <v>28011</v>
      </c>
      <c r="Q64" s="4">
        <f>4163+25000+302</f>
        <v>29465</v>
      </c>
      <c r="R64" s="4">
        <f>4152+25560+433</f>
        <v>30145</v>
      </c>
      <c r="AC64" s="4">
        <v>305</v>
      </c>
      <c r="AD64" s="4">
        <v>410</v>
      </c>
      <c r="AE64" s="4">
        <v>484</v>
      </c>
      <c r="AF64" s="4">
        <v>466</v>
      </c>
      <c r="AG64" s="4">
        <v>915</v>
      </c>
      <c r="AH64" s="4">
        <v>1607</v>
      </c>
      <c r="AI64" s="4">
        <v>585</v>
      </c>
      <c r="AJ64" s="4">
        <v>1468</v>
      </c>
      <c r="AK64" s="4">
        <v>2022</v>
      </c>
      <c r="AL64" s="4">
        <v>2044</v>
      </c>
      <c r="AM64" s="4">
        <v>3478</v>
      </c>
      <c r="AN64" s="4">
        <f>2020</f>
        <v>2020</v>
      </c>
      <c r="AO64" s="4">
        <v>1557</v>
      </c>
      <c r="AP64" s="4">
        <v>1040</v>
      </c>
      <c r="AQ64" s="4">
        <v>3248</v>
      </c>
      <c r="AR64" s="4">
        <f>725</f>
        <v>725</v>
      </c>
      <c r="AS64" s="4">
        <v>1074</v>
      </c>
      <c r="AT64" s="4">
        <v>580</v>
      </c>
      <c r="AU64" s="4">
        <v>789</v>
      </c>
      <c r="AV64" s="4">
        <v>592</v>
      </c>
      <c r="AW64" s="4">
        <f>782+2728</f>
        <v>3510</v>
      </c>
      <c r="BC64" s="5"/>
      <c r="BD64" s="5"/>
      <c r="BE64" s="5"/>
      <c r="BF64" s="5"/>
    </row>
    <row r="65" spans="2:58" s="4" customFormat="1">
      <c r="B65" s="4" t="s">
        <v>44</v>
      </c>
      <c r="C65" s="5"/>
      <c r="D65" s="5"/>
      <c r="E65" s="5"/>
      <c r="F65" s="5"/>
      <c r="G65" s="5"/>
      <c r="H65" s="5"/>
      <c r="I65" s="5">
        <f>30083+2631</f>
        <v>32714</v>
      </c>
      <c r="J65" s="5">
        <f>41525+2616</f>
        <v>44141</v>
      </c>
      <c r="K65" s="5">
        <f>2550+38465</f>
        <v>41015</v>
      </c>
      <c r="L65" s="5">
        <f>2768+34001</f>
        <v>36769</v>
      </c>
      <c r="M65" s="5">
        <f>34027+2769</f>
        <v>36796</v>
      </c>
      <c r="N65" s="5">
        <f>45538+2870</f>
        <v>48408</v>
      </c>
      <c r="O65" s="4">
        <f>41340+2549+223</f>
        <v>44112</v>
      </c>
      <c r="P65" s="4">
        <f>2644+36982</f>
        <v>39626</v>
      </c>
      <c r="Q65" s="4">
        <f>2698+36903</f>
        <v>39601</v>
      </c>
      <c r="R65" s="4">
        <f>2912+50901</f>
        <v>53813</v>
      </c>
      <c r="AC65" s="4">
        <v>0</v>
      </c>
      <c r="AD65" s="4">
        <v>0</v>
      </c>
      <c r="AE65" s="4">
        <v>560</v>
      </c>
      <c r="AF65" s="4">
        <v>1418</v>
      </c>
      <c r="AG65" s="4">
        <v>2888</v>
      </c>
      <c r="AH65" s="4">
        <v>4239</v>
      </c>
      <c r="AI65" s="4">
        <v>4816</v>
      </c>
      <c r="AJ65" s="4">
        <v>5614</v>
      </c>
      <c r="AK65" s="4">
        <f>5920+1823</f>
        <v>7743</v>
      </c>
      <c r="AL65" s="4">
        <f>7225+1790</f>
        <v>9015</v>
      </c>
      <c r="AM65" s="4">
        <f>6514+1663</f>
        <v>8177</v>
      </c>
      <c r="AN65" s="4">
        <f>7502+1665</f>
        <v>9167</v>
      </c>
      <c r="AO65" s="4">
        <f>9138+1764</f>
        <v>10902</v>
      </c>
      <c r="AP65" s="4">
        <f>10779+1867</f>
        <v>12646</v>
      </c>
      <c r="AQ65" s="4">
        <f>13397+1900</f>
        <v>15297</v>
      </c>
      <c r="AR65" s="4">
        <f>13003+1281</f>
        <v>14284</v>
      </c>
      <c r="AS65" s="4">
        <f>13652+1178</f>
        <v>14830</v>
      </c>
      <c r="AT65" s="4">
        <f>15722+1398</f>
        <v>17120</v>
      </c>
      <c r="AU65" s="4">
        <f>18653+1406</f>
        <v>20059</v>
      </c>
      <c r="AV65" s="4">
        <f>20639+1760</f>
        <v>22399</v>
      </c>
      <c r="AW65" s="4">
        <f>23150+2008</f>
        <v>25158</v>
      </c>
      <c r="BC65" s="5"/>
      <c r="BD65" s="5"/>
      <c r="BE65" s="5"/>
      <c r="BF65" s="5"/>
    </row>
    <row r="66" spans="2:58" s="4" customFormat="1">
      <c r="B66" s="4" t="s">
        <v>46</v>
      </c>
      <c r="C66" s="5"/>
      <c r="D66" s="5"/>
      <c r="E66" s="5"/>
      <c r="F66" s="5"/>
      <c r="G66" s="5"/>
      <c r="H66" s="5"/>
      <c r="I66" s="5">
        <v>10450</v>
      </c>
      <c r="J66" s="5">
        <v>11666</v>
      </c>
      <c r="K66" s="5">
        <v>10816</v>
      </c>
      <c r="L66" s="5">
        <v>11684</v>
      </c>
      <c r="M66" s="5">
        <v>11865</v>
      </c>
      <c r="N66" s="5">
        <v>13067</v>
      </c>
      <c r="O66" s="4">
        <v>12058</v>
      </c>
      <c r="P66" s="4">
        <v>12802</v>
      </c>
      <c r="Q66" s="4">
        <v>12664</v>
      </c>
      <c r="R66" s="4">
        <v>14745</v>
      </c>
      <c r="AC66" s="4">
        <v>188</v>
      </c>
      <c r="AD66" s="4">
        <v>244</v>
      </c>
      <c r="AE66" s="4">
        <v>371</v>
      </c>
      <c r="AF66" s="4">
        <v>669</v>
      </c>
      <c r="AG66" s="4">
        <v>809</v>
      </c>
      <c r="AH66" s="4">
        <v>1602</v>
      </c>
      <c r="AI66" s="4">
        <v>2714</v>
      </c>
      <c r="AJ66" s="4">
        <v>2120</v>
      </c>
      <c r="AK66" s="4">
        <v>2449</v>
      </c>
      <c r="AL66" s="4">
        <v>1716</v>
      </c>
      <c r="AM66" s="4">
        <v>1921</v>
      </c>
      <c r="AN66" s="4">
        <v>3607</v>
      </c>
      <c r="AO66" s="4">
        <v>3783</v>
      </c>
      <c r="AP66" s="4">
        <v>3622</v>
      </c>
      <c r="AQ66" s="4">
        <v>3659</v>
      </c>
      <c r="AR66" s="4">
        <v>3142</v>
      </c>
      <c r="AS66" s="4">
        <v>2931</v>
      </c>
      <c r="AT66" s="4">
        <f>3492</f>
        <v>3492</v>
      </c>
      <c r="AU66" s="4">
        <v>3151</v>
      </c>
      <c r="AV66" s="4">
        <v>3597</v>
      </c>
      <c r="AW66" s="4">
        <v>6906</v>
      </c>
      <c r="BC66" s="5"/>
      <c r="BD66" s="5"/>
      <c r="BE66" s="5"/>
      <c r="BF66" s="5"/>
    </row>
    <row r="67" spans="2:58" s="4" customFormat="1">
      <c r="B67" s="4" t="s">
        <v>39</v>
      </c>
      <c r="C67" s="5"/>
      <c r="D67" s="5"/>
      <c r="E67" s="5"/>
      <c r="F67" s="5"/>
      <c r="G67" s="5"/>
      <c r="H67" s="5"/>
      <c r="I67" s="5">
        <v>9272</v>
      </c>
      <c r="J67" s="5">
        <v>9629</v>
      </c>
      <c r="K67" s="5">
        <v>10050</v>
      </c>
      <c r="L67" s="5">
        <v>10774</v>
      </c>
      <c r="M67" s="5">
        <v>11357</v>
      </c>
      <c r="N67" s="5">
        <v>11489</v>
      </c>
      <c r="O67" s="4">
        <v>11660</v>
      </c>
      <c r="P67" s="4">
        <v>11998</v>
      </c>
      <c r="Q67" s="4">
        <v>12312</v>
      </c>
      <c r="R67" s="4">
        <v>12728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BC67" s="5"/>
      <c r="BD67" s="5"/>
      <c r="BE67" s="5"/>
      <c r="BF67" s="5"/>
    </row>
    <row r="68" spans="2:58" s="4" customFormat="1">
      <c r="B68" s="4" t="s">
        <v>48</v>
      </c>
      <c r="C68" s="5"/>
      <c r="D68" s="5"/>
      <c r="E68" s="5"/>
      <c r="F68" s="5"/>
      <c r="G68" s="5"/>
      <c r="H68" s="5"/>
      <c r="I68" s="5">
        <v>12941</v>
      </c>
      <c r="J68" s="5">
        <v>13427</v>
      </c>
      <c r="K68" s="5">
        <v>14346</v>
      </c>
      <c r="L68" s="5">
        <v>14747</v>
      </c>
      <c r="M68" s="5">
        <v>15154</v>
      </c>
      <c r="N68" s="5">
        <v>15526</v>
      </c>
      <c r="O68" s="4">
        <v>15311</v>
      </c>
      <c r="P68" s="4">
        <v>16479</v>
      </c>
      <c r="Q68" s="4">
        <v>17437</v>
      </c>
      <c r="R68" s="4">
        <v>17981</v>
      </c>
      <c r="AC68" s="4">
        <v>0</v>
      </c>
      <c r="AD68" s="4">
        <f>125+405</f>
        <v>530</v>
      </c>
      <c r="AE68" s="4">
        <f>125+635</f>
        <v>760</v>
      </c>
      <c r="AF68" s="4">
        <v>0</v>
      </c>
      <c r="AG68" s="4">
        <v>0</v>
      </c>
      <c r="AH68" s="4">
        <v>0</v>
      </c>
      <c r="AI68" s="4">
        <v>1027</v>
      </c>
      <c r="AJ68" s="4">
        <f>836</f>
        <v>836</v>
      </c>
      <c r="AK68" s="4">
        <f>398+501</f>
        <v>899</v>
      </c>
      <c r="AL68" s="4">
        <f>1731+1056</f>
        <v>2787</v>
      </c>
      <c r="AM68" s="4">
        <v>932</v>
      </c>
      <c r="AN68" s="4">
        <v>4158</v>
      </c>
      <c r="AO68" s="4">
        <f>5287+3117</f>
        <v>8404</v>
      </c>
      <c r="AP68" s="4">
        <f>6453+2741</f>
        <v>9194</v>
      </c>
      <c r="AQ68" s="4">
        <f>4721+2614</f>
        <v>7335</v>
      </c>
      <c r="AR68" s="4">
        <f>1684+6269</f>
        <v>7953</v>
      </c>
      <c r="AS68" s="4">
        <f>7445+229+182</f>
        <v>7856</v>
      </c>
      <c r="AT68" s="4">
        <f>8072+1456+1208</f>
        <v>10736</v>
      </c>
      <c r="AU68" s="4">
        <f>8208+1893+814</f>
        <v>10915</v>
      </c>
      <c r="AV68" s="4">
        <f>10000+1709+645</f>
        <v>12354</v>
      </c>
      <c r="AW68" s="4">
        <f>11594+558</f>
        <v>12152</v>
      </c>
      <c r="BC68" s="5"/>
      <c r="BD68" s="5"/>
      <c r="BE68" s="5"/>
      <c r="BF68" s="5"/>
    </row>
    <row r="69" spans="2:58" s="4" customFormat="1">
      <c r="B69" s="4" t="s">
        <v>47</v>
      </c>
      <c r="C69" s="5"/>
      <c r="D69" s="5"/>
      <c r="E69" s="5"/>
      <c r="F69" s="5"/>
      <c r="G69" s="5"/>
      <c r="H69" s="5"/>
      <c r="I69" s="5">
        <v>134505</v>
      </c>
      <c r="J69" s="5">
        <v>141988</v>
      </c>
      <c r="K69" s="5">
        <v>151978</v>
      </c>
      <c r="L69" s="5">
        <v>160010</v>
      </c>
      <c r="M69" s="5">
        <v>162924</v>
      </c>
      <c r="N69" s="5">
        <v>166542</v>
      </c>
      <c r="O69" s="4">
        <v>173566</v>
      </c>
      <c r="P69" s="4">
        <v>183136</v>
      </c>
      <c r="Q69" s="4">
        <v>194683</v>
      </c>
      <c r="R69" s="4">
        <v>206223</v>
      </c>
      <c r="AC69" s="4">
        <v>4450</v>
      </c>
      <c r="AD69" s="4">
        <v>5333</v>
      </c>
      <c r="AE69" s="4">
        <v>6908</v>
      </c>
      <c r="AF69" s="4">
        <f>10777</f>
        <v>10777</v>
      </c>
      <c r="AG69" s="4">
        <v>16627</v>
      </c>
      <c r="AH69" s="4">
        <v>28438</v>
      </c>
      <c r="AI69" s="4">
        <v>41368</v>
      </c>
      <c r="AJ69" s="4">
        <v>47289</v>
      </c>
      <c r="AK69" s="4">
        <v>52180</v>
      </c>
      <c r="AL69" s="4">
        <v>61020</v>
      </c>
      <c r="AM69" s="4">
        <v>74825</v>
      </c>
      <c r="AN69" s="4">
        <v>48115</v>
      </c>
      <c r="AO69" s="4">
        <v>40104</v>
      </c>
      <c r="AP69" s="4">
        <v>31097</v>
      </c>
      <c r="AQ69" s="4">
        <v>36286</v>
      </c>
      <c r="AR69" s="4">
        <v>39558</v>
      </c>
      <c r="AS69" s="4">
        <v>46175</v>
      </c>
      <c r="AT69" s="4">
        <v>57083</v>
      </c>
      <c r="AU69" s="4">
        <v>66363</v>
      </c>
      <c r="AV69" s="4">
        <v>78944</v>
      </c>
      <c r="AW69" s="4">
        <v>89784</v>
      </c>
      <c r="BC69" s="5"/>
      <c r="BD69" s="5"/>
      <c r="BE69" s="5"/>
      <c r="BF69" s="5"/>
    </row>
    <row r="70" spans="2:58" s="6" customFormat="1">
      <c r="B70" s="6" t="s">
        <v>71</v>
      </c>
      <c r="C70" s="7"/>
      <c r="D70" s="7"/>
      <c r="E70" s="7"/>
      <c r="F70" s="7"/>
      <c r="G70" s="7"/>
      <c r="H70" s="7"/>
      <c r="I70" s="7">
        <f t="shared" ref="I70:L70" si="205">SUM(I61:I69)</f>
        <v>308879</v>
      </c>
      <c r="J70" s="7">
        <f t="shared" si="205"/>
        <v>333779</v>
      </c>
      <c r="K70" s="7">
        <f t="shared" si="205"/>
        <v>335418</v>
      </c>
      <c r="L70" s="7">
        <f t="shared" si="205"/>
        <v>340389</v>
      </c>
      <c r="M70" s="7">
        <f t="shared" ref="M70:R70" si="206">SUM(M61:M69)</f>
        <v>344607</v>
      </c>
      <c r="N70" s="7">
        <f t="shared" si="206"/>
        <v>364840</v>
      </c>
      <c r="O70" s="7">
        <f t="shared" si="206"/>
        <v>359784</v>
      </c>
      <c r="P70" s="7">
        <f t="shared" si="206"/>
        <v>364552</v>
      </c>
      <c r="Q70" s="7">
        <f t="shared" si="206"/>
        <v>380088</v>
      </c>
      <c r="R70" s="7">
        <f t="shared" si="206"/>
        <v>411976</v>
      </c>
      <c r="S70" s="7"/>
      <c r="T70" s="7"/>
      <c r="U70" s="7"/>
      <c r="V70" s="7"/>
      <c r="AC70" s="6">
        <f t="shared" ref="AC70:AW70" si="207">SUM(AC61:AC69)</f>
        <v>5363</v>
      </c>
      <c r="AD70" s="6">
        <f t="shared" si="207"/>
        <v>7210</v>
      </c>
      <c r="AE70" s="6">
        <f t="shared" si="207"/>
        <v>10093</v>
      </c>
      <c r="AF70" s="6">
        <f t="shared" si="207"/>
        <v>14387</v>
      </c>
      <c r="AG70" s="6">
        <f t="shared" si="207"/>
        <v>22357</v>
      </c>
      <c r="AH70" s="6">
        <f t="shared" si="207"/>
        <v>37156</v>
      </c>
      <c r="AI70" s="6">
        <f t="shared" si="207"/>
        <v>52150</v>
      </c>
      <c r="AJ70" s="6">
        <f t="shared" si="207"/>
        <v>59257</v>
      </c>
      <c r="AK70" s="6">
        <f t="shared" si="207"/>
        <v>67646</v>
      </c>
      <c r="AL70" s="6">
        <f t="shared" si="207"/>
        <v>79571</v>
      </c>
      <c r="AM70" s="6">
        <f t="shared" si="207"/>
        <v>92389</v>
      </c>
      <c r="AN70" s="6">
        <f t="shared" si="207"/>
        <v>70815</v>
      </c>
      <c r="AO70" s="6">
        <f t="shared" si="207"/>
        <v>69597</v>
      </c>
      <c r="AP70" s="6">
        <f t="shared" si="207"/>
        <v>63171</v>
      </c>
      <c r="AQ70" s="6">
        <f t="shared" si="207"/>
        <v>72793</v>
      </c>
      <c r="AR70" s="6">
        <f t="shared" si="207"/>
        <v>77888</v>
      </c>
      <c r="AS70" s="6">
        <f t="shared" si="207"/>
        <v>86113</v>
      </c>
      <c r="AT70" s="6">
        <f t="shared" si="207"/>
        <v>108704</v>
      </c>
      <c r="AU70" s="6">
        <f t="shared" si="207"/>
        <v>121271</v>
      </c>
      <c r="AV70" s="6">
        <f t="shared" si="207"/>
        <v>142431</v>
      </c>
      <c r="AW70" s="6">
        <f t="shared" si="207"/>
        <v>172384</v>
      </c>
      <c r="BC70" s="7"/>
      <c r="BD70" s="7"/>
      <c r="BE70" s="7"/>
      <c r="BF70" s="7"/>
    </row>
    <row r="72" spans="2:58" s="4" customFormat="1">
      <c r="B72" s="4" t="s">
        <v>49</v>
      </c>
      <c r="C72" s="5"/>
      <c r="D72" s="5"/>
      <c r="E72" s="5"/>
      <c r="F72" s="5"/>
      <c r="G72" s="5"/>
      <c r="H72" s="5"/>
      <c r="I72" s="5">
        <f>I33</f>
        <v>15457</v>
      </c>
      <c r="J72" s="5">
        <f>J33</f>
        <v>16458</v>
      </c>
      <c r="K72" s="5">
        <f>K33</f>
        <v>20505</v>
      </c>
      <c r="L72" s="5">
        <f>L33</f>
        <v>18765</v>
      </c>
      <c r="M72" s="5">
        <f>M33</f>
        <v>16728</v>
      </c>
      <c r="N72" s="5">
        <f>N33</f>
        <v>16740</v>
      </c>
      <c r="O72" s="5">
        <f>O33</f>
        <v>17556</v>
      </c>
      <c r="P72" s="5">
        <f>P33</f>
        <v>16425</v>
      </c>
      <c r="Q72" s="5">
        <f>Q33</f>
        <v>18299</v>
      </c>
      <c r="R72" s="5">
        <f>R33</f>
        <v>20081</v>
      </c>
      <c r="S72" s="5"/>
      <c r="T72" s="5"/>
      <c r="U72" s="5"/>
      <c r="V72" s="5"/>
      <c r="BC72" s="5"/>
      <c r="BD72" s="5"/>
      <c r="BE72" s="5"/>
      <c r="BF72" s="5"/>
    </row>
    <row r="73" spans="2:58" s="4" customFormat="1">
      <c r="B73" s="4" t="s">
        <v>50</v>
      </c>
      <c r="C73" s="5"/>
      <c r="D73" s="5"/>
      <c r="E73" s="5"/>
      <c r="F73" s="5"/>
      <c r="G73" s="5"/>
      <c r="H73" s="5"/>
      <c r="I73" s="5">
        <v>15457</v>
      </c>
      <c r="J73" s="5">
        <v>16458</v>
      </c>
      <c r="K73" s="5">
        <v>20505</v>
      </c>
      <c r="L73" s="5">
        <v>18765</v>
      </c>
      <c r="M73" s="5">
        <v>16728</v>
      </c>
      <c r="N73" s="5">
        <v>16740</v>
      </c>
      <c r="O73" s="4">
        <v>17556</v>
      </c>
      <c r="P73" s="4">
        <v>16425</v>
      </c>
      <c r="Q73" s="4">
        <v>18299</v>
      </c>
      <c r="R73" s="4">
        <v>20081</v>
      </c>
      <c r="BC73" s="5"/>
      <c r="BD73" s="5"/>
      <c r="BE73" s="5"/>
      <c r="BF73" s="5"/>
    </row>
    <row r="74" spans="2:58" s="4" customFormat="1">
      <c r="B74" s="4" t="s">
        <v>52</v>
      </c>
      <c r="C74" s="5"/>
      <c r="D74" s="5"/>
      <c r="E74" s="5"/>
      <c r="F74" s="5"/>
      <c r="G74" s="5"/>
      <c r="H74" s="5"/>
      <c r="I74" s="5">
        <v>2936</v>
      </c>
      <c r="J74" s="5">
        <v>3344</v>
      </c>
      <c r="K74" s="5">
        <v>3212</v>
      </c>
      <c r="L74" s="5">
        <v>3496</v>
      </c>
      <c r="M74" s="5">
        <v>3773</v>
      </c>
      <c r="N74" s="5">
        <v>3979</v>
      </c>
      <c r="O74" s="4">
        <v>2790</v>
      </c>
      <c r="P74" s="4">
        <v>3648</v>
      </c>
      <c r="Q74" s="4">
        <v>3549</v>
      </c>
      <c r="R74" s="4">
        <v>3874</v>
      </c>
      <c r="BC74" s="5"/>
      <c r="BD74" s="5"/>
      <c r="BE74" s="5"/>
      <c r="BF74" s="5"/>
    </row>
    <row r="75" spans="2:58" s="4" customFormat="1">
      <c r="B75" s="4" t="s">
        <v>53</v>
      </c>
      <c r="C75" s="5"/>
      <c r="D75" s="5"/>
      <c r="E75" s="5"/>
      <c r="F75" s="5"/>
      <c r="G75" s="5"/>
      <c r="H75" s="5"/>
      <c r="I75" s="5">
        <v>1525</v>
      </c>
      <c r="J75" s="5">
        <v>1571</v>
      </c>
      <c r="K75" s="5">
        <v>1702</v>
      </c>
      <c r="L75" s="5">
        <v>1897</v>
      </c>
      <c r="M75" s="5">
        <v>1906</v>
      </c>
      <c r="N75" s="5">
        <v>1997</v>
      </c>
      <c r="O75" s="4">
        <v>2192</v>
      </c>
      <c r="P75" s="4">
        <v>2538</v>
      </c>
      <c r="Q75" s="4">
        <v>2465</v>
      </c>
      <c r="R75" s="4">
        <v>2416</v>
      </c>
      <c r="BC75" s="5"/>
      <c r="BD75" s="5"/>
      <c r="BE75" s="5"/>
      <c r="BF75" s="5"/>
    </row>
    <row r="76" spans="2:58" s="4" customFormat="1">
      <c r="B76" s="4" t="s">
        <v>54</v>
      </c>
      <c r="C76" s="5"/>
      <c r="D76" s="5"/>
      <c r="E76" s="5"/>
      <c r="F76" s="5"/>
      <c r="G76" s="5"/>
      <c r="H76" s="5"/>
      <c r="I76" s="5">
        <v>-351</v>
      </c>
      <c r="J76" s="5">
        <v>-416</v>
      </c>
      <c r="K76" s="5">
        <v>-364</v>
      </c>
      <c r="L76" s="5">
        <v>-307</v>
      </c>
      <c r="M76" s="5">
        <v>105</v>
      </c>
      <c r="N76" s="5">
        <v>157</v>
      </c>
      <c r="O76" s="4">
        <v>-22</v>
      </c>
      <c r="P76" s="4">
        <v>214</v>
      </c>
      <c r="Q76" s="4">
        <v>-40</v>
      </c>
      <c r="R76" s="4">
        <v>44</v>
      </c>
      <c r="BC76" s="5"/>
      <c r="BD76" s="5"/>
      <c r="BE76" s="5"/>
      <c r="BF76" s="5"/>
    </row>
    <row r="77" spans="2:58" s="4" customFormat="1">
      <c r="B77" s="4" t="s">
        <v>55</v>
      </c>
      <c r="C77" s="5"/>
      <c r="D77" s="5"/>
      <c r="E77" s="5"/>
      <c r="F77" s="5"/>
      <c r="G77" s="5"/>
      <c r="H77" s="5"/>
      <c r="I77" s="5">
        <v>-88</v>
      </c>
      <c r="J77" s="5">
        <v>-34</v>
      </c>
      <c r="K77" s="5">
        <v>-5970</v>
      </c>
      <c r="L77" s="5">
        <v>183</v>
      </c>
      <c r="M77" s="5">
        <v>-198</v>
      </c>
      <c r="N77" s="5">
        <v>283</v>
      </c>
      <c r="O77" s="4">
        <v>-1191</v>
      </c>
      <c r="P77" s="4">
        <v>-1305</v>
      </c>
      <c r="Q77" s="4">
        <v>-1675</v>
      </c>
      <c r="R77" s="4">
        <v>-1888</v>
      </c>
      <c r="BC77" s="5"/>
      <c r="BD77" s="5"/>
      <c r="BE77" s="5"/>
      <c r="BF77" s="5"/>
    </row>
    <row r="78" spans="2:58" s="4" customFormat="1">
      <c r="B78" s="4" t="s">
        <v>56</v>
      </c>
      <c r="C78" s="5"/>
      <c r="D78" s="5"/>
      <c r="E78" s="5"/>
      <c r="F78" s="5"/>
      <c r="G78" s="5"/>
      <c r="H78" s="5"/>
      <c r="I78" s="5">
        <f>290-329+478-885+833-473+1074+1590+122</f>
        <v>2700</v>
      </c>
      <c r="J78" s="5">
        <f>-11606-388-2086-1013+1617+11397-32+3755+143</f>
        <v>1787</v>
      </c>
      <c r="K78" s="5">
        <f>10486-777+940-598-471-2885+2653-4143+250</f>
        <v>5455</v>
      </c>
      <c r="L78" s="5">
        <f>-5543+394+830-908+235-4343-2057+1745+93</f>
        <v>-9554</v>
      </c>
      <c r="M78" s="5">
        <f>857-279+91-724+520-209+1091+1287+438</f>
        <v>3072</v>
      </c>
      <c r="N78" s="5">
        <f>-12634-461-2570-575+2659+12546-991+3455+44</f>
        <v>1473</v>
      </c>
      <c r="O78" s="4">
        <f>11729-543-332-666-1567-3322+410-4024+188</f>
        <v>1873</v>
      </c>
      <c r="P78" s="4">
        <f>-3164+1305-392-65-2058-5186-2863+1819+257</f>
        <v>-10347</v>
      </c>
      <c r="Q78" s="4">
        <f>-1408+106+1152-554-407-181+1414+1715+6</f>
        <v>1843</v>
      </c>
      <c r="R78" s="4">
        <f>-11244+374-2419-1548+1311+14224+681+2762+102</f>
        <v>4243</v>
      </c>
      <c r="BC78" s="5"/>
      <c r="BD78" s="5"/>
      <c r="BE78" s="5"/>
      <c r="BF78" s="5"/>
    </row>
    <row r="79" spans="2:58" s="4" customFormat="1">
      <c r="B79" s="4" t="s">
        <v>51</v>
      </c>
      <c r="C79" s="5"/>
      <c r="D79" s="5"/>
      <c r="E79" s="5"/>
      <c r="F79" s="5"/>
      <c r="G79" s="5"/>
      <c r="H79" s="5"/>
      <c r="I79" s="5">
        <f t="shared" ref="I79:K79" si="208">SUM(I73:I78)</f>
        <v>22179</v>
      </c>
      <c r="J79" s="5">
        <f t="shared" si="208"/>
        <v>22710</v>
      </c>
      <c r="K79" s="5">
        <f t="shared" si="208"/>
        <v>24540</v>
      </c>
      <c r="L79" s="5">
        <f t="shared" ref="L79" si="209">SUM(L73:L78)</f>
        <v>14480</v>
      </c>
      <c r="M79" s="5">
        <f t="shared" ref="M79:Q79" si="210">SUM(M73:M78)</f>
        <v>25386</v>
      </c>
      <c r="N79" s="5">
        <f t="shared" si="210"/>
        <v>24629</v>
      </c>
      <c r="O79" s="5">
        <f t="shared" si="210"/>
        <v>23198</v>
      </c>
      <c r="P79" s="5">
        <f t="shared" si="210"/>
        <v>11173</v>
      </c>
      <c r="Q79" s="5">
        <f t="shared" si="210"/>
        <v>24441</v>
      </c>
      <c r="R79" s="5">
        <f>SUM(R73:R78)</f>
        <v>28770</v>
      </c>
      <c r="S79" s="5"/>
      <c r="T79" s="5"/>
      <c r="U79" s="5"/>
      <c r="V79" s="5"/>
      <c r="BC79" s="5"/>
      <c r="BD79" s="5"/>
      <c r="BE79" s="5"/>
      <c r="BF79" s="5"/>
    </row>
    <row r="80" spans="2:58" s="4" customFormat="1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BC80" s="5"/>
      <c r="BD80" s="5"/>
      <c r="BE80" s="5"/>
      <c r="BF80" s="5"/>
    </row>
    <row r="81" spans="2:58" s="4" customFormat="1">
      <c r="B81" s="4" t="s">
        <v>58</v>
      </c>
      <c r="C81" s="5"/>
      <c r="D81" s="5"/>
      <c r="E81" s="5"/>
      <c r="F81" s="5"/>
      <c r="G81" s="5"/>
      <c r="H81" s="5"/>
      <c r="I81" s="5">
        <v>-5089</v>
      </c>
      <c r="J81" s="5">
        <v>-6452</v>
      </c>
      <c r="K81" s="5">
        <v>-5810</v>
      </c>
      <c r="L81" s="5">
        <v>-5865</v>
      </c>
      <c r="M81" s="5">
        <v>-5340</v>
      </c>
      <c r="N81" s="5">
        <v>-6871</v>
      </c>
      <c r="O81" s="4">
        <v>-6283</v>
      </c>
      <c r="P81" s="4">
        <v>-6274</v>
      </c>
      <c r="Q81" s="4">
        <v>-6607</v>
      </c>
      <c r="R81" s="4">
        <v>-8943</v>
      </c>
      <c r="BC81" s="5"/>
      <c r="BD81" s="5"/>
      <c r="BE81" s="5"/>
      <c r="BF81" s="5"/>
    </row>
    <row r="82" spans="2:58" s="4" customFormat="1">
      <c r="B82" s="4" t="s">
        <v>59</v>
      </c>
      <c r="C82" s="5"/>
      <c r="D82" s="5"/>
      <c r="E82" s="5"/>
      <c r="F82" s="5"/>
      <c r="G82" s="5"/>
      <c r="H82" s="5"/>
      <c r="I82" s="5">
        <v>-7512</v>
      </c>
      <c r="J82" s="5">
        <v>-501</v>
      </c>
      <c r="K82" s="5">
        <v>-1206</v>
      </c>
      <c r="L82" s="5">
        <v>-850</v>
      </c>
      <c r="M82" s="5">
        <v>-18719</v>
      </c>
      <c r="N82" s="5">
        <v>-1263</v>
      </c>
      <c r="O82" s="4">
        <v>-349</v>
      </c>
      <c r="P82" s="4">
        <v>-679</v>
      </c>
      <c r="Q82" s="4">
        <v>-301</v>
      </c>
      <c r="R82" s="4">
        <v>-341</v>
      </c>
      <c r="BC82" s="5"/>
      <c r="BD82" s="5"/>
      <c r="BE82" s="5"/>
      <c r="BF82" s="5"/>
    </row>
    <row r="83" spans="2:58" s="4" customFormat="1">
      <c r="B83" s="4" t="s">
        <v>60</v>
      </c>
      <c r="C83" s="5"/>
      <c r="D83" s="5"/>
      <c r="E83" s="5"/>
      <c r="F83" s="5"/>
      <c r="G83" s="5"/>
      <c r="H83" s="5"/>
      <c r="I83" s="5">
        <f>-18375+15016+5876</f>
        <v>2517</v>
      </c>
      <c r="J83" s="5">
        <f>-14877+7246+3297</f>
        <v>-4334</v>
      </c>
      <c r="K83" s="5">
        <f>-10309+8862+5630</f>
        <v>4183</v>
      </c>
      <c r="L83" s="5">
        <f>-2505+5253+2895</f>
        <v>5643</v>
      </c>
      <c r="M83" s="5">
        <f>-8723+1099+16693</f>
        <v>9069</v>
      </c>
      <c r="N83" s="5">
        <f>-4919+1237+3225</f>
        <v>-457</v>
      </c>
      <c r="O83" s="4">
        <f>-5013+6662+2711</f>
        <v>4360</v>
      </c>
      <c r="P83" s="4">
        <f>-11599+6928+4775</f>
        <v>104</v>
      </c>
      <c r="Q83" s="4">
        <f>-9063+13154+1239</f>
        <v>5330</v>
      </c>
      <c r="R83" s="4">
        <f>-11976+6766+5629</f>
        <v>419</v>
      </c>
      <c r="BC83" s="5"/>
      <c r="BD83" s="5"/>
      <c r="BE83" s="5"/>
      <c r="BF83" s="5"/>
    </row>
    <row r="84" spans="2:58" s="4" customFormat="1">
      <c r="B84" s="4" t="s">
        <v>28</v>
      </c>
      <c r="C84" s="5"/>
      <c r="D84" s="5"/>
      <c r="E84" s="5"/>
      <c r="F84" s="5"/>
      <c r="G84" s="5"/>
      <c r="H84" s="5"/>
      <c r="I84" s="5">
        <v>400</v>
      </c>
      <c r="J84" s="5">
        <v>434</v>
      </c>
      <c r="K84" s="5">
        <v>-417</v>
      </c>
      <c r="L84" s="5">
        <v>-89</v>
      </c>
      <c r="M84" s="5">
        <v>-1181</v>
      </c>
      <c r="N84" s="5">
        <v>-1138</v>
      </c>
      <c r="O84" s="4">
        <v>-860</v>
      </c>
      <c r="P84" s="4">
        <v>-301</v>
      </c>
      <c r="Q84" s="4">
        <v>-1686</v>
      </c>
      <c r="R84" s="4">
        <v>-269</v>
      </c>
      <c r="BC84" s="5"/>
      <c r="BD84" s="5"/>
      <c r="BE84" s="5"/>
      <c r="BF84" s="5"/>
    </row>
    <row r="85" spans="2:58" s="4" customFormat="1">
      <c r="B85" s="4" t="s">
        <v>57</v>
      </c>
      <c r="C85" s="5"/>
      <c r="D85" s="5"/>
      <c r="E85" s="5"/>
      <c r="F85" s="5"/>
      <c r="G85" s="5"/>
      <c r="H85" s="5"/>
      <c r="I85" s="5">
        <f t="shared" ref="I85:L85" si="211">SUM(I81:I84)</f>
        <v>-9684</v>
      </c>
      <c r="J85" s="5">
        <f t="shared" si="211"/>
        <v>-10853</v>
      </c>
      <c r="K85" s="5">
        <f t="shared" si="211"/>
        <v>-3250</v>
      </c>
      <c r="L85" s="5">
        <f t="shared" si="211"/>
        <v>-1161</v>
      </c>
      <c r="M85" s="5">
        <f t="shared" ref="M85:R85" si="212">SUM(M81:M84)</f>
        <v>-16171</v>
      </c>
      <c r="N85" s="5">
        <f t="shared" si="212"/>
        <v>-9729</v>
      </c>
      <c r="O85" s="5">
        <f t="shared" si="212"/>
        <v>-3132</v>
      </c>
      <c r="P85" s="5">
        <f t="shared" si="212"/>
        <v>-7150</v>
      </c>
      <c r="Q85" s="5">
        <f t="shared" si="212"/>
        <v>-3264</v>
      </c>
      <c r="R85" s="5">
        <f t="shared" si="212"/>
        <v>-9134</v>
      </c>
      <c r="BC85" s="5"/>
      <c r="BD85" s="5"/>
      <c r="BE85" s="5"/>
      <c r="BF85" s="5"/>
    </row>
    <row r="87" spans="2:58" s="4" customFormat="1">
      <c r="B87" s="4" t="s">
        <v>61</v>
      </c>
      <c r="C87" s="5"/>
      <c r="D87" s="5"/>
      <c r="E87" s="5"/>
      <c r="F87" s="5"/>
      <c r="G87" s="5"/>
      <c r="H87" s="5"/>
      <c r="I87" s="5">
        <v>-1754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4">
        <v>0</v>
      </c>
      <c r="P87" s="4">
        <v>0</v>
      </c>
      <c r="Q87" s="4">
        <v>0</v>
      </c>
      <c r="R87" s="4">
        <v>0</v>
      </c>
      <c r="BC87" s="5"/>
      <c r="BD87" s="5"/>
      <c r="BE87" s="5"/>
      <c r="BF87" s="5"/>
    </row>
    <row r="88" spans="2:58" s="4" customFormat="1">
      <c r="B88" s="4" t="s">
        <v>62</v>
      </c>
      <c r="C88" s="5"/>
      <c r="D88" s="5"/>
      <c r="E88" s="5"/>
      <c r="F88" s="5"/>
      <c r="G88" s="5"/>
      <c r="H88" s="5"/>
      <c r="I88" s="5">
        <v>-500</v>
      </c>
      <c r="J88" s="5">
        <v>0</v>
      </c>
      <c r="K88" s="5">
        <v>-4826</v>
      </c>
      <c r="L88" s="5">
        <v>0</v>
      </c>
      <c r="M88" s="5">
        <v>-4197</v>
      </c>
      <c r="N88" s="5">
        <v>0</v>
      </c>
      <c r="O88" s="4">
        <v>-1000</v>
      </c>
      <c r="P88" s="4">
        <v>-750</v>
      </c>
      <c r="Q88" s="4">
        <v>536</v>
      </c>
      <c r="R88" s="4">
        <f>-1000+512</f>
        <v>-488</v>
      </c>
      <c r="BC88" s="5"/>
      <c r="BD88" s="5"/>
      <c r="BE88" s="5"/>
      <c r="BF88" s="5"/>
    </row>
    <row r="89" spans="2:58" s="4" customFormat="1">
      <c r="B89" s="4" t="s">
        <v>63</v>
      </c>
      <c r="C89" s="5"/>
      <c r="D89" s="5"/>
      <c r="E89" s="5"/>
      <c r="F89" s="5"/>
      <c r="G89" s="5"/>
      <c r="H89" s="5"/>
      <c r="I89" s="5">
        <f>-6930+396</f>
        <v>-6534</v>
      </c>
      <c r="J89" s="5">
        <f>450-7177</f>
        <v>-6727</v>
      </c>
      <c r="K89" s="5">
        <f>612-7684</f>
        <v>-7072</v>
      </c>
      <c r="L89" s="5">
        <f>291-7433</f>
        <v>-7142</v>
      </c>
      <c r="M89" s="5">
        <f>477-8822</f>
        <v>-8345</v>
      </c>
      <c r="N89" s="5">
        <f>-8757+461</f>
        <v>-8296</v>
      </c>
      <c r="O89" s="4">
        <f>575-5573</f>
        <v>-4998</v>
      </c>
      <c r="P89" s="4">
        <f>243-5459</f>
        <v>-5216</v>
      </c>
      <c r="Q89" s="4">
        <f>-5509</f>
        <v>-5509</v>
      </c>
      <c r="R89" s="4">
        <v>-5704</v>
      </c>
      <c r="BC89" s="5"/>
      <c r="BD89" s="5"/>
      <c r="BE89" s="5"/>
      <c r="BF89" s="5"/>
    </row>
    <row r="90" spans="2:58" s="4" customFormat="1">
      <c r="B90" s="4" t="s">
        <v>64</v>
      </c>
      <c r="C90" s="5"/>
      <c r="D90" s="5"/>
      <c r="E90" s="5"/>
      <c r="F90" s="5"/>
      <c r="G90" s="5"/>
      <c r="H90" s="5"/>
      <c r="I90" s="5">
        <v>-4221</v>
      </c>
      <c r="J90" s="5">
        <v>-4214</v>
      </c>
      <c r="K90" s="5">
        <v>-4206</v>
      </c>
      <c r="L90" s="5">
        <v>-4652</v>
      </c>
      <c r="M90" s="5">
        <v>-4645</v>
      </c>
      <c r="N90" s="5">
        <v>-4632</v>
      </c>
      <c r="O90" s="4">
        <v>-4621</v>
      </c>
      <c r="P90" s="4">
        <v>-5066</v>
      </c>
      <c r="Q90" s="4">
        <v>-5059</v>
      </c>
      <c r="R90" s="4">
        <v>-5054</v>
      </c>
      <c r="BC90" s="5"/>
      <c r="BD90" s="5"/>
      <c r="BE90" s="5"/>
      <c r="BF90" s="5"/>
    </row>
    <row r="91" spans="2:58" s="4" customFormat="1">
      <c r="B91" s="4" t="s">
        <v>28</v>
      </c>
      <c r="C91" s="5"/>
      <c r="D91" s="5"/>
      <c r="E91" s="5"/>
      <c r="F91" s="5"/>
      <c r="G91" s="5"/>
      <c r="H91" s="5"/>
      <c r="I91" s="5">
        <v>-183</v>
      </c>
      <c r="J91" s="5">
        <v>-430</v>
      </c>
      <c r="K91" s="5">
        <v>-172</v>
      </c>
      <c r="L91" s="5">
        <v>-192</v>
      </c>
      <c r="M91" s="5">
        <v>-158</v>
      </c>
      <c r="N91" s="5">
        <v>-341</v>
      </c>
      <c r="O91" s="4">
        <v>-264</v>
      </c>
      <c r="P91" s="4">
        <v>-317</v>
      </c>
      <c r="Q91" s="4">
        <v>-258</v>
      </c>
      <c r="R91" s="4">
        <v>-167</v>
      </c>
      <c r="BC91" s="5"/>
      <c r="BD91" s="5"/>
      <c r="BE91" s="5"/>
      <c r="BF91" s="5"/>
    </row>
    <row r="92" spans="2:58" s="4" customFormat="1">
      <c r="B92" s="4" t="s">
        <v>65</v>
      </c>
      <c r="C92" s="5"/>
      <c r="D92" s="5"/>
      <c r="E92" s="5"/>
      <c r="F92" s="5"/>
      <c r="G92" s="5"/>
      <c r="H92" s="5"/>
      <c r="I92" s="5">
        <f t="shared" ref="I92:K92" si="213">SUM(I87:I91)</f>
        <v>-13192</v>
      </c>
      <c r="J92" s="5">
        <f t="shared" si="213"/>
        <v>-11371</v>
      </c>
      <c r="K92" s="5">
        <f t="shared" si="213"/>
        <v>-16276</v>
      </c>
      <c r="L92" s="5">
        <f>SUM(L87:L91)</f>
        <v>-11986</v>
      </c>
      <c r="M92" s="5">
        <f>SUM(M87:M91)</f>
        <v>-17345</v>
      </c>
      <c r="N92" s="5">
        <f>SUM(N87:N91)</f>
        <v>-13269</v>
      </c>
      <c r="O92" s="5">
        <f>SUM(O87:O91)</f>
        <v>-10883</v>
      </c>
      <c r="P92" s="5">
        <f>SUM(P87:P91)</f>
        <v>-11349</v>
      </c>
      <c r="Q92" s="5">
        <f t="shared" ref="Q92:R92" si="214">SUM(Q87:Q91)</f>
        <v>-10290</v>
      </c>
      <c r="R92" s="5">
        <f t="shared" si="214"/>
        <v>-11413</v>
      </c>
      <c r="S92" s="5"/>
      <c r="BC92" s="5"/>
      <c r="BD92" s="5"/>
      <c r="BE92" s="5"/>
      <c r="BF92" s="5"/>
    </row>
    <row r="93" spans="2:58">
      <c r="B93" s="4" t="s">
        <v>66</v>
      </c>
      <c r="I93" s="2">
        <v>-33</v>
      </c>
      <c r="J93" s="2">
        <v>36</v>
      </c>
      <c r="K93" s="2">
        <v>-73</v>
      </c>
      <c r="L93" s="2">
        <v>106</v>
      </c>
      <c r="M93" s="2">
        <v>24</v>
      </c>
      <c r="N93" s="2">
        <v>-198</v>
      </c>
      <c r="O93" s="4">
        <v>-230</v>
      </c>
      <c r="P93" s="4">
        <v>88</v>
      </c>
      <c r="Q93" s="4">
        <v>29</v>
      </c>
      <c r="R93" s="4">
        <v>-81</v>
      </c>
    </row>
    <row r="94" spans="2:58">
      <c r="B94" s="4" t="s">
        <v>67</v>
      </c>
      <c r="I94" s="5">
        <f t="shared" ref="I94:K94" si="215">I92+I93+I85+I79</f>
        <v>-730</v>
      </c>
      <c r="J94" s="5">
        <f t="shared" si="215"/>
        <v>522</v>
      </c>
      <c r="K94" s="5">
        <f t="shared" si="215"/>
        <v>4941</v>
      </c>
      <c r="L94" s="5">
        <f>L92+L93+L85+L79</f>
        <v>1439</v>
      </c>
      <c r="M94" s="5">
        <f>M92+M93+M85+M79</f>
        <v>-8106</v>
      </c>
      <c r="N94" s="5">
        <f>N92+N93+N85+N79</f>
        <v>1433</v>
      </c>
      <c r="O94" s="5">
        <f>O92+O93+O85+O79</f>
        <v>8953</v>
      </c>
      <c r="P94" s="5">
        <f>P92+P93+P85+P79</f>
        <v>-7238</v>
      </c>
      <c r="Q94" s="5">
        <f t="shared" ref="Q94:R94" si="216">Q92+Q93+Q85+Q79</f>
        <v>10916</v>
      </c>
      <c r="R94" s="5">
        <f t="shared" si="216"/>
        <v>8142</v>
      </c>
    </row>
    <row r="96" spans="2:58">
      <c r="B96" s="4" t="s">
        <v>72</v>
      </c>
      <c r="I96" s="5">
        <f t="shared" ref="I96:K96" si="217">I79+I81</f>
        <v>17090</v>
      </c>
      <c r="J96" s="5">
        <f t="shared" si="217"/>
        <v>16258</v>
      </c>
      <c r="K96" s="5">
        <f t="shared" si="217"/>
        <v>18730</v>
      </c>
      <c r="L96" s="5">
        <f>L79+L81</f>
        <v>8615</v>
      </c>
      <c r="M96" s="5">
        <f t="shared" ref="M96:N96" si="218">M79+M81</f>
        <v>20046</v>
      </c>
      <c r="N96" s="5">
        <f t="shared" si="218"/>
        <v>17758</v>
      </c>
      <c r="O96" s="5">
        <f>O79+O81</f>
        <v>16915</v>
      </c>
      <c r="P96" s="5">
        <f>P79+P81</f>
        <v>4899</v>
      </c>
      <c r="Q96" s="5">
        <f t="shared" ref="Q96:R96" si="219">Q79+Q81</f>
        <v>17834</v>
      </c>
      <c r="R96" s="5">
        <f t="shared" si="219"/>
        <v>19827</v>
      </c>
    </row>
    <row r="97" spans="2:51">
      <c r="B97" s="4" t="s">
        <v>103</v>
      </c>
      <c r="L97" s="5"/>
      <c r="M97" s="4">
        <f>SUM(J96:M96)</f>
        <v>63649</v>
      </c>
      <c r="N97" s="4">
        <f>SUM(K96:N96)</f>
        <v>65149</v>
      </c>
      <c r="O97" s="4">
        <f>SUM(L96:O96)</f>
        <v>63334</v>
      </c>
      <c r="P97" s="4">
        <f>SUM(M96:P96)</f>
        <v>59618</v>
      </c>
      <c r="Q97" s="4">
        <f t="shared" ref="Q97:R97" si="220">SUM(N96:Q96)</f>
        <v>57406</v>
      </c>
      <c r="R97" s="4">
        <f t="shared" si="220"/>
        <v>59475</v>
      </c>
    </row>
    <row r="100" spans="2:51">
      <c r="B100" t="s">
        <v>190</v>
      </c>
      <c r="Y100" s="4">
        <v>5635</v>
      </c>
      <c r="Z100" s="4">
        <v>8226</v>
      </c>
      <c r="AA100" s="4">
        <v>11542</v>
      </c>
      <c r="AB100" s="4">
        <v>14430</v>
      </c>
      <c r="AC100" s="4">
        <v>15257</v>
      </c>
      <c r="AD100" s="4">
        <v>17801</v>
      </c>
      <c r="AE100" s="4">
        <v>20561</v>
      </c>
      <c r="AF100" s="4">
        <v>22232</v>
      </c>
      <c r="AG100" s="4">
        <v>27055</v>
      </c>
      <c r="AH100" s="4">
        <v>31396</v>
      </c>
      <c r="AI100" s="4">
        <v>39100</v>
      </c>
      <c r="AJ100" s="4">
        <v>47600</v>
      </c>
      <c r="AK100" s="4">
        <v>50500</v>
      </c>
      <c r="AL100" s="4">
        <v>55000</v>
      </c>
      <c r="AM100" s="4">
        <v>57000</v>
      </c>
      <c r="AN100" s="4">
        <v>61000</v>
      </c>
      <c r="AO100" s="4">
        <v>71000</v>
      </c>
      <c r="AP100" s="4">
        <v>79000</v>
      </c>
      <c r="AQ100" s="4">
        <v>91000</v>
      </c>
      <c r="AR100" s="4">
        <v>93000</v>
      </c>
      <c r="AS100" s="4">
        <v>89000</v>
      </c>
      <c r="AT100" s="4">
        <v>90000</v>
      </c>
      <c r="AU100" s="4">
        <v>94000</v>
      </c>
      <c r="AV100" s="4">
        <v>99000</v>
      </c>
      <c r="AW100" s="4">
        <v>128000</v>
      </c>
      <c r="AX100" s="4">
        <v>118000</v>
      </c>
      <c r="AY100" s="4">
        <v>114000</v>
      </c>
    </row>
    <row r="102" spans="2:51">
      <c r="B102" t="s">
        <v>0</v>
      </c>
      <c r="AC102" s="1">
        <f>19715/580</f>
        <v>33.991379310344826</v>
      </c>
      <c r="AD102" s="1">
        <f>34330/589</f>
        <v>58.28522920203735</v>
      </c>
      <c r="AE102" s="1">
        <f>45936/596</f>
        <v>77.073825503355707</v>
      </c>
      <c r="AF102" s="1">
        <f>106179/1212.567</f>
        <v>87.565470609046756</v>
      </c>
      <c r="AG102" s="1">
        <f>171181/2484.635</f>
        <v>68.895833794501002</v>
      </c>
      <c r="AH102" s="1">
        <f>375039/5141</f>
        <v>72.950593269791867</v>
      </c>
      <c r="AI102" s="1">
        <f>302326/5355</f>
        <v>56.456769374416432</v>
      </c>
      <c r="AJ102" s="1">
        <f>258033/5401</f>
        <v>47.775041658952048</v>
      </c>
      <c r="AK102" s="1">
        <f>215553/5378</f>
        <v>40.080513201933805</v>
      </c>
      <c r="AL102" s="11">
        <f>235404/10813</f>
        <v>21.770461481549987</v>
      </c>
      <c r="AM102" s="11">
        <f>252132/10872</f>
        <v>23.190949227373068</v>
      </c>
      <c r="AN102" s="11">
        <f>256094/10712</f>
        <v>23.907206870799104</v>
      </c>
      <c r="AO102" s="11">
        <f>233926/9969</f>
        <v>23.46534256194202</v>
      </c>
      <c r="AP102" s="11">
        <f>251464/9375</f>
        <v>26.822826666666668</v>
      </c>
      <c r="AQ102" s="1">
        <f>287616/9130</f>
        <v>31.502300109529024</v>
      </c>
      <c r="AR102" s="11">
        <f>149769/8910</f>
        <v>16.809090909090909</v>
      </c>
      <c r="AS102" s="1">
        <f>235244/8653</f>
        <v>27.186409337801919</v>
      </c>
      <c r="AT102" s="1">
        <f>208370/8378</f>
        <v>24.87109095249463</v>
      </c>
      <c r="AU102" s="1">
        <f>195333/8383</f>
        <v>23.301085530239771</v>
      </c>
      <c r="AV102" s="1">
        <f>202945/8329</f>
        <v>24.366070356585425</v>
      </c>
      <c r="AW102" s="1">
        <f>284539/8239</f>
        <v>34.535623255249426</v>
      </c>
      <c r="AX102" s="1">
        <f>365312/7997</f>
        <v>45.681130423908968</v>
      </c>
      <c r="AY102" s="1">
        <f>424500/7792</f>
        <v>54.478952772073924</v>
      </c>
    </row>
    <row r="103" spans="2:51">
      <c r="B103" t="s">
        <v>2</v>
      </c>
      <c r="AC103" s="4">
        <f>AC102*AC35</f>
        <v>20734.741379310344</v>
      </c>
      <c r="AD103" s="4">
        <f>AD102*AD35</f>
        <v>36544.838709677417</v>
      </c>
      <c r="AE103" s="4">
        <f>AE102*AE35</f>
        <v>49327.24832214765</v>
      </c>
      <c r="AF103" s="4">
        <f>AF102*AF35</f>
        <v>114885.89743906935</v>
      </c>
      <c r="AG103" s="4">
        <f>AG102*AG35</f>
        <v>184709.73040305718</v>
      </c>
      <c r="AH103" s="4">
        <f>AH102*AH35</f>
        <v>372704.58101536665</v>
      </c>
      <c r="AI103" s="4">
        <f>AI102*AI35</f>
        <v>298261.112605042</v>
      </c>
      <c r="AJ103" s="4">
        <f>AJ102*AJ35</f>
        <v>266298.08220699872</v>
      </c>
      <c r="AK103" s="4">
        <f>AK102*AK35</f>
        <v>222567.08981033842</v>
      </c>
      <c r="AL103" s="4">
        <f>AL102*AL35</f>
        <v>236906.16184222695</v>
      </c>
      <c r="AM103" s="4">
        <f>AM102*AM35</f>
        <v>252642.2008830022</v>
      </c>
      <c r="AN103" s="4">
        <f>AN102*AN35</f>
        <v>260731.99813293503</v>
      </c>
      <c r="AO103" s="4">
        <f>AO102*AO35</f>
        <v>247113.52251981141</v>
      </c>
      <c r="AP103" s="4">
        <f>AP102*AP35</f>
        <v>265170.46442666667</v>
      </c>
      <c r="AQ103" s="4">
        <f>AQ102*AQ35</f>
        <v>298326.78203723987</v>
      </c>
      <c r="AR103" s="4">
        <f>AR102*AR35</f>
        <v>151214.58181818182</v>
      </c>
      <c r="AS103" s="4">
        <f>AS102*AS35</f>
        <v>242693.07615855773</v>
      </c>
      <c r="AT103" s="4">
        <f>AT102*AT35</f>
        <v>213717.28455478634</v>
      </c>
      <c r="AU103" s="4">
        <f>AU102*AU35</f>
        <v>198199.0335202195</v>
      </c>
      <c r="AV103" s="4">
        <f>AV102*AV35</f>
        <v>206380.61592027853</v>
      </c>
      <c r="AW103" s="4">
        <f>AW102*AW35</f>
        <v>290064.69972083991</v>
      </c>
      <c r="AX103" s="4">
        <f>AX102*AX35</f>
        <v>377052.05051894463</v>
      </c>
      <c r="AY103" s="4">
        <f>AY102*AY35</f>
        <v>436539.84856262838</v>
      </c>
    </row>
    <row r="104" spans="2:51">
      <c r="B104" t="s">
        <v>5</v>
      </c>
      <c r="AC104" s="4">
        <f t="shared" ref="AC104:AY104" si="221">AC103-AC50</f>
        <v>17120.741379310344</v>
      </c>
      <c r="AD104" s="4">
        <f t="shared" si="221"/>
        <v>31794.838709677417</v>
      </c>
      <c r="AE104" s="4">
        <f t="shared" si="221"/>
        <v>42387.24832214765</v>
      </c>
      <c r="AF104" s="4">
        <f t="shared" si="221"/>
        <v>103573.89743906935</v>
      </c>
      <c r="AG104" s="4">
        <f t="shared" si="221"/>
        <v>166079.73040305718</v>
      </c>
      <c r="AH104" s="4">
        <f t="shared" si="221"/>
        <v>341096.58101536665</v>
      </c>
      <c r="AI104" s="4">
        <f t="shared" si="221"/>
        <v>256737.112605042</v>
      </c>
      <c r="AJ104" s="4">
        <f t="shared" si="221"/>
        <v>220557.08220699872</v>
      </c>
      <c r="AK104" s="4">
        <f t="shared" si="221"/>
        <v>169724.08981033842</v>
      </c>
      <c r="AL104" s="4">
        <f t="shared" si="221"/>
        <v>174166.16184222695</v>
      </c>
      <c r="AM104" s="4">
        <f t="shared" si="221"/>
        <v>179840.2008830022</v>
      </c>
      <c r="AN104" s="4">
        <f t="shared" si="221"/>
        <v>211976.99813293503</v>
      </c>
      <c r="AO104" s="4">
        <f t="shared" si="221"/>
        <v>203720.52251981141</v>
      </c>
      <c r="AP104" s="4">
        <f t="shared" si="221"/>
        <v>231642.46442666667</v>
      </c>
      <c r="AQ104" s="4">
        <f t="shared" si="221"/>
        <v>268076.78203723987</v>
      </c>
      <c r="AR104" s="4">
        <f t="shared" si="221"/>
        <v>120580.58181818182</v>
      </c>
      <c r="AS104" s="4">
        <f t="shared" si="221"/>
        <v>204090.07615855773</v>
      </c>
      <c r="AT104" s="4">
        <f t="shared" si="221"/>
        <v>162001.28455478634</v>
      </c>
      <c r="AU104" s="4">
        <f t="shared" si="221"/>
        <v>137327.0335202195</v>
      </c>
      <c r="AV104" s="4">
        <f t="shared" si="221"/>
        <v>134114.61592027853</v>
      </c>
      <c r="AW104" s="4">
        <f t="shared" si="221"/>
        <v>212403.69972083991</v>
      </c>
      <c r="AX104" s="4">
        <f t="shared" si="221"/>
        <v>377052.05051894463</v>
      </c>
      <c r="AY104" s="4">
        <f t="shared" si="221"/>
        <v>436539.84856262838</v>
      </c>
    </row>
    <row r="105" spans="2:51">
      <c r="B105" t="s">
        <v>224</v>
      </c>
      <c r="AC105" s="24">
        <f>AC104/AC33</f>
        <v>13.85173250753264</v>
      </c>
      <c r="AD105" s="24">
        <f>AD104/AD33</f>
        <v>21.21069960618907</v>
      </c>
      <c r="AE105" s="24">
        <f>AE104/AE33</f>
        <v>19.310819281160661</v>
      </c>
      <c r="AF105" s="24">
        <f>AF104/AF33</f>
        <v>29.986652414322336</v>
      </c>
      <c r="AG105" s="24">
        <f>AG104/AG33</f>
        <v>34.905365784585371</v>
      </c>
      <c r="AH105" s="24">
        <f>AH104/AH33</f>
        <v>44.733977838080875</v>
      </c>
      <c r="AI105" s="24">
        <f>AI104/AI33</f>
        <v>27.710427696172907</v>
      </c>
      <c r="AJ105" s="24">
        <f>AJ104/AJ33</f>
        <v>27.989477437436385</v>
      </c>
      <c r="AK105" s="24">
        <f>AK104/AK33</f>
        <v>21.427103877078451</v>
      </c>
      <c r="AL105" s="24">
        <f>AL104/AL33</f>
        <v>17.311018968514755</v>
      </c>
      <c r="AM105" s="24">
        <f>AM104/AM33</f>
        <v>21.950470021115855</v>
      </c>
      <c r="AN105" s="24">
        <f>AN104/AN33</f>
        <v>17.298596224329607</v>
      </c>
      <c r="AO105" s="24">
        <f>AO104/AO33</f>
        <v>16.16957873798011</v>
      </c>
      <c r="AP105" s="24">
        <f>AP104/AP33</f>
        <v>16.469425128095747</v>
      </c>
      <c r="AQ105" s="24">
        <f>AQ104/AQ33</f>
        <v>15.161856345073236</v>
      </c>
      <c r="AR105" s="25">
        <f>AR104/AR33</f>
        <v>8.0931996656273455</v>
      </c>
      <c r="AS105" s="25">
        <f>AS104/AS33</f>
        <v>10.844894848746359</v>
      </c>
      <c r="AT105" s="25">
        <f>AT104/AT33</f>
        <v>6.9978956611138807</v>
      </c>
      <c r="AU105" s="25">
        <f>AU104/AU33</f>
        <v>5.9266770325069915</v>
      </c>
      <c r="AV105" s="25">
        <f>AV104/AV33</f>
        <v>6.1343189827689946</v>
      </c>
      <c r="AW105" s="25">
        <f>AW104/AW33</f>
        <v>9.5673032620530574</v>
      </c>
      <c r="AX105" s="25">
        <f>AX104/AX33</f>
        <v>16.98126691222053</v>
      </c>
      <c r="AY105" s="25">
        <f>AY104/AY33</f>
        <v>24.376806374951329</v>
      </c>
    </row>
    <row r="108" spans="2:51">
      <c r="AC108">
        <f>2023-1994</f>
        <v>29</v>
      </c>
      <c r="AD108">
        <v>28</v>
      </c>
      <c r="AE108">
        <v>27</v>
      </c>
      <c r="AF108" s="3">
        <v>26</v>
      </c>
      <c r="AG108" s="3">
        <f>2023-1998</f>
        <v>25</v>
      </c>
      <c r="AH108" s="3">
        <v>24</v>
      </c>
      <c r="AI108" s="3">
        <v>23</v>
      </c>
      <c r="AJ108" s="3">
        <v>22</v>
      </c>
      <c r="AK108" s="3">
        <v>21</v>
      </c>
      <c r="AL108" s="3">
        <v>20</v>
      </c>
      <c r="AM108" s="3">
        <v>19</v>
      </c>
      <c r="AN108" s="3">
        <v>18</v>
      </c>
      <c r="AO108">
        <v>17</v>
      </c>
      <c r="AP108">
        <v>16</v>
      </c>
      <c r="AQ108">
        <v>15</v>
      </c>
      <c r="AR108" s="3">
        <v>14</v>
      </c>
      <c r="AS108">
        <v>13</v>
      </c>
      <c r="AT108">
        <v>12</v>
      </c>
      <c r="AU108">
        <v>11</v>
      </c>
      <c r="AV108">
        <v>10</v>
      </c>
      <c r="AW108">
        <v>9</v>
      </c>
      <c r="AX108">
        <v>8</v>
      </c>
      <c r="AY108">
        <v>7</v>
      </c>
    </row>
    <row r="109" spans="2:51">
      <c r="AC109" s="4">
        <f>AC103*1.17^29</f>
        <v>1968287.8584171364</v>
      </c>
      <c r="AD109" s="4">
        <f>AD103*1.155^28</f>
        <v>2065958.5689269281</v>
      </c>
      <c r="AE109" s="4">
        <f>AE103*1.15^27</f>
        <v>2147477.2858793675</v>
      </c>
      <c r="AF109" s="6">
        <f>AF103*1.12^26</f>
        <v>2187435.7745846231</v>
      </c>
      <c r="AG109" s="6">
        <f>AG103*1.1^25</f>
        <v>2001275.6137996709</v>
      </c>
      <c r="AH109" s="6">
        <f>AH103*1.075^24</f>
        <v>2114306.1490662857</v>
      </c>
      <c r="AI109" s="6">
        <f>AI103*1.09^23</f>
        <v>2164741.7152216784</v>
      </c>
      <c r="AJ109" s="6">
        <f>AJ103*1.1^22</f>
        <v>2167739.6048092404</v>
      </c>
      <c r="AK109" s="6">
        <f>AK103*1.11^21</f>
        <v>1991789.7894720493</v>
      </c>
      <c r="AL109" s="6">
        <f>AL103*1.115^20</f>
        <v>2089650.7367206167</v>
      </c>
      <c r="AM109" s="6">
        <f>AM103*1.115^19</f>
        <v>1998611.4738145093</v>
      </c>
      <c r="AN109" s="6">
        <f>AN103*1.12^18</f>
        <v>2005020.1473098751</v>
      </c>
      <c r="AO109" s="4">
        <f>AO103*1.13^17</f>
        <v>1973467.8274649733</v>
      </c>
      <c r="AP109" s="4">
        <f>AP103*1.135^16</f>
        <v>2011217.0113389471</v>
      </c>
      <c r="AQ109" s="4">
        <f>AQ103*1.135^15</f>
        <v>1993563.9263761484</v>
      </c>
      <c r="AR109" s="6">
        <f>AR103*1.2^14</f>
        <v>1941471.9370539852</v>
      </c>
      <c r="AS109" s="6">
        <f>AS103*1.175^13</f>
        <v>1974920.6566503427</v>
      </c>
      <c r="AT109" s="6">
        <f>AT103*1.21^12</f>
        <v>2105058.1210641512</v>
      </c>
      <c r="AU109" s="6">
        <f>AU103*1.23^11</f>
        <v>1932225.2728441348</v>
      </c>
      <c r="AV109" s="6">
        <f>AV103*1.25^10</f>
        <v>1922069.2656960201</v>
      </c>
      <c r="AW109" s="6">
        <f>AW103*1.24^9</f>
        <v>2010435.0433981232</v>
      </c>
      <c r="AX109" s="6">
        <f>AX103*1.23^8</f>
        <v>1975341.5479007133</v>
      </c>
      <c r="AY109" s="6">
        <f>AY103*1.24^7</f>
        <v>1967776.1368191752</v>
      </c>
    </row>
    <row r="110" spans="2:51">
      <c r="AC110" s="12">
        <v>0.17</v>
      </c>
      <c r="AD110" s="12">
        <v>0.155</v>
      </c>
      <c r="AE110" s="12">
        <v>0.15</v>
      </c>
      <c r="AF110" s="18">
        <v>0.12</v>
      </c>
      <c r="AG110" s="18">
        <v>0.1</v>
      </c>
      <c r="AH110" s="18">
        <v>7.4999999999999997E-2</v>
      </c>
      <c r="AI110" s="18">
        <v>8.5000000000000006E-2</v>
      </c>
      <c r="AJ110" s="18">
        <v>0.1</v>
      </c>
      <c r="AK110" s="18">
        <v>0.11</v>
      </c>
      <c r="AL110" s="18">
        <v>0.115</v>
      </c>
      <c r="AM110" s="18">
        <v>0.115</v>
      </c>
      <c r="AN110" s="18">
        <v>0.12</v>
      </c>
      <c r="AO110" s="12">
        <v>0.13</v>
      </c>
      <c r="AP110" s="12">
        <v>0.13500000000000001</v>
      </c>
      <c r="AQ110" s="12">
        <v>0.13500000000000001</v>
      </c>
      <c r="AR110" s="18">
        <v>0.2</v>
      </c>
      <c r="AS110" s="18">
        <v>0.17499999999999999</v>
      </c>
      <c r="AT110" s="18">
        <v>0.21</v>
      </c>
      <c r="AU110" s="18">
        <v>0.23</v>
      </c>
      <c r="AV110" s="18">
        <v>0.25</v>
      </c>
      <c r="AW110" s="18">
        <v>0.24</v>
      </c>
      <c r="AX110" s="18">
        <v>0.23</v>
      </c>
      <c r="AY110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417</v>
      </c>
      <c r="C2" t="s">
        <v>418</v>
      </c>
    </row>
    <row r="3" spans="1:3">
      <c r="B3" t="s">
        <v>419</v>
      </c>
      <c r="C3" t="s">
        <v>420</v>
      </c>
    </row>
    <row r="4" spans="1:3">
      <c r="B4" t="s">
        <v>421</v>
      </c>
    </row>
    <row r="5" spans="1:3">
      <c r="B5" t="s">
        <v>422</v>
      </c>
      <c r="C5" t="s">
        <v>423</v>
      </c>
    </row>
    <row r="6" spans="1:3">
      <c r="C6" t="s">
        <v>424</v>
      </c>
    </row>
    <row r="7" spans="1:3">
      <c r="B7" t="s">
        <v>425</v>
      </c>
    </row>
    <row r="10" spans="1:3">
      <c r="B10" t="s">
        <v>434</v>
      </c>
    </row>
    <row r="11" spans="1:3">
      <c r="B11" t="s">
        <v>435</v>
      </c>
    </row>
    <row r="12" spans="1:3">
      <c r="B12" t="s">
        <v>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426</v>
      </c>
    </row>
    <row r="3" spans="1:3">
      <c r="B3" t="s">
        <v>427</v>
      </c>
    </row>
    <row r="4" spans="1:3">
      <c r="B4" t="s">
        <v>428</v>
      </c>
    </row>
    <row r="5" spans="1:3">
      <c r="B5" t="s">
        <v>429</v>
      </c>
    </row>
    <row r="6" spans="1:3">
      <c r="B6" t="s">
        <v>430</v>
      </c>
    </row>
    <row r="7" spans="1:3">
      <c r="B7" t="s">
        <v>431</v>
      </c>
      <c r="C7" t="s">
        <v>432</v>
      </c>
    </row>
    <row r="9" spans="1:3">
      <c r="B9" t="s">
        <v>111</v>
      </c>
      <c r="C9" t="s">
        <v>433</v>
      </c>
    </row>
    <row r="11" spans="1:3">
      <c r="B11" t="s">
        <v>437</v>
      </c>
    </row>
    <row r="12" spans="1:3">
      <c r="B12" t="s">
        <v>438</v>
      </c>
    </row>
    <row r="14" spans="1:3">
      <c r="B14" t="s">
        <v>439</v>
      </c>
    </row>
    <row r="15" spans="1:3">
      <c r="B15" t="s">
        <v>440</v>
      </c>
      <c r="C15" t="s">
        <v>441</v>
      </c>
    </row>
    <row r="16" spans="1:3">
      <c r="B16" t="s">
        <v>442</v>
      </c>
      <c r="C16" t="s">
        <v>443</v>
      </c>
    </row>
    <row r="17" spans="2:3">
      <c r="B17" t="s">
        <v>444</v>
      </c>
    </row>
    <row r="19" spans="2:3">
      <c r="B19" t="s">
        <v>445</v>
      </c>
      <c r="C19" t="s">
        <v>446</v>
      </c>
    </row>
    <row r="21" spans="2:3">
      <c r="B21" t="s">
        <v>87</v>
      </c>
      <c r="C21" t="s">
        <v>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449</v>
      </c>
    </row>
    <row r="3" spans="1:3">
      <c r="B3" t="s">
        <v>450</v>
      </c>
    </row>
    <row r="4" spans="1:3">
      <c r="B4" t="s">
        <v>448</v>
      </c>
    </row>
    <row r="6" spans="1:3">
      <c r="B6" t="s">
        <v>447</v>
      </c>
    </row>
    <row r="9" spans="1:3">
      <c r="B9" t="s">
        <v>451</v>
      </c>
      <c r="C9" t="s">
        <v>452</v>
      </c>
    </row>
    <row r="11" spans="1:3">
      <c r="B11" t="s">
        <v>453</v>
      </c>
    </row>
    <row r="13" spans="1:3">
      <c r="B13" t="s">
        <v>116</v>
      </c>
    </row>
    <row r="14" spans="1:3">
      <c r="B14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191</v>
      </c>
      <c r="M3" t="s">
        <v>240</v>
      </c>
    </row>
    <row r="4" spans="2:13">
      <c r="B4" s="22" t="s">
        <v>192</v>
      </c>
    </row>
    <row r="5" spans="2:13">
      <c r="B5" s="22" t="s">
        <v>193</v>
      </c>
    </row>
    <row r="6" spans="2:13">
      <c r="B6" s="22" t="s">
        <v>194</v>
      </c>
    </row>
    <row r="7" spans="2:13">
      <c r="B7" s="22" t="s">
        <v>195</v>
      </c>
    </row>
    <row r="8" spans="2:13">
      <c r="B8" s="22" t="s">
        <v>196</v>
      </c>
    </row>
    <row r="9" spans="2:13">
      <c r="B9" s="22" t="s">
        <v>197</v>
      </c>
    </row>
    <row r="10" spans="2:13">
      <c r="B10" s="22" t="s">
        <v>198</v>
      </c>
    </row>
    <row r="11" spans="2:13">
      <c r="B11" s="22" t="s">
        <v>199</v>
      </c>
    </row>
    <row r="12" spans="2:13">
      <c r="B12" s="22" t="s">
        <v>200</v>
      </c>
    </row>
    <row r="13" spans="2:13">
      <c r="B13" s="22" t="s">
        <v>201</v>
      </c>
    </row>
    <row r="14" spans="2:13">
      <c r="B14" s="22" t="s">
        <v>202</v>
      </c>
    </row>
    <row r="15" spans="2:13">
      <c r="B15" s="23" t="s">
        <v>203</v>
      </c>
    </row>
    <row r="16" spans="2:13">
      <c r="B16" s="22" t="s">
        <v>204</v>
      </c>
    </row>
    <row r="17" spans="2:2">
      <c r="B17" s="22" t="s">
        <v>205</v>
      </c>
    </row>
    <row r="18" spans="2:2">
      <c r="B18" s="22" t="s">
        <v>206</v>
      </c>
    </row>
    <row r="19" spans="2:2">
      <c r="B19" s="22" t="s">
        <v>207</v>
      </c>
    </row>
    <row r="20" spans="2:2">
      <c r="B20" s="22" t="s">
        <v>208</v>
      </c>
    </row>
    <row r="21" spans="2:2">
      <c r="B21" s="22" t="s">
        <v>209</v>
      </c>
    </row>
    <row r="22" spans="2:2">
      <c r="B22" s="22" t="s">
        <v>210</v>
      </c>
    </row>
    <row r="23" spans="2:2">
      <c r="B23" s="22" t="s">
        <v>211</v>
      </c>
    </row>
    <row r="24" spans="2:2">
      <c r="B24" s="22" t="s">
        <v>212</v>
      </c>
    </row>
    <row r="25" spans="2:2">
      <c r="B25" s="22" t="s">
        <v>213</v>
      </c>
    </row>
    <row r="26" spans="2:2">
      <c r="B26" s="22" t="s">
        <v>214</v>
      </c>
    </row>
    <row r="27" spans="2:2">
      <c r="B27" s="22" t="s">
        <v>215</v>
      </c>
    </row>
    <row r="28" spans="2:2">
      <c r="B28" s="22" t="s">
        <v>216</v>
      </c>
    </row>
    <row r="29" spans="2:2">
      <c r="B29" s="22" t="s">
        <v>217</v>
      </c>
    </row>
    <row r="30" spans="2:2">
      <c r="B30" s="22" t="s">
        <v>218</v>
      </c>
    </row>
    <row r="31" spans="2:2">
      <c r="B31" s="22" t="s">
        <v>219</v>
      </c>
    </row>
    <row r="34" spans="2:2">
      <c r="B34">
        <v>1997</v>
      </c>
    </row>
    <row r="35" spans="2:2">
      <c r="B35" s="22" t="s">
        <v>226</v>
      </c>
    </row>
    <row r="36" spans="2:2">
      <c r="B36" s="22" t="s">
        <v>227</v>
      </c>
    </row>
    <row r="37" spans="2:2">
      <c r="B37" s="22" t="s">
        <v>228</v>
      </c>
    </row>
    <row r="38" spans="2:2">
      <c r="B38" s="22" t="s">
        <v>229</v>
      </c>
    </row>
    <row r="39" spans="2:2">
      <c r="B39" s="22" t="s">
        <v>230</v>
      </c>
    </row>
    <row r="40" spans="2:2">
      <c r="B40" s="22" t="s">
        <v>231</v>
      </c>
    </row>
    <row r="41" spans="2:2">
      <c r="B41" s="22" t="s">
        <v>232</v>
      </c>
    </row>
    <row r="42" spans="2:2">
      <c r="B42" s="22" t="s">
        <v>233</v>
      </c>
    </row>
    <row r="43" spans="2:2">
      <c r="B43" s="22" t="s">
        <v>234</v>
      </c>
    </row>
    <row r="44" spans="2:2">
      <c r="B44" s="22" t="s">
        <v>235</v>
      </c>
    </row>
    <row r="45" spans="2:2">
      <c r="B45" s="22" t="s">
        <v>236</v>
      </c>
    </row>
    <row r="46" spans="2:2">
      <c r="B46" s="22" t="s">
        <v>237</v>
      </c>
    </row>
    <row r="47" spans="2:2">
      <c r="B47" s="22" t="s">
        <v>238</v>
      </c>
    </row>
    <row r="48" spans="2:2">
      <c r="B48" s="22" t="s">
        <v>239</v>
      </c>
    </row>
    <row r="53" spans="2:2">
      <c r="B53">
        <v>1998</v>
      </c>
    </row>
    <row r="54" spans="2:2">
      <c r="B54" s="22" t="s">
        <v>241</v>
      </c>
    </row>
    <row r="55" spans="2:2">
      <c r="B55" s="22" t="s">
        <v>242</v>
      </c>
    </row>
    <row r="56" spans="2:2">
      <c r="B56" s="22" t="s">
        <v>243</v>
      </c>
    </row>
    <row r="57" spans="2:2">
      <c r="B57" s="22" t="s">
        <v>244</v>
      </c>
    </row>
    <row r="58" spans="2:2">
      <c r="B58" s="22" t="s">
        <v>245</v>
      </c>
    </row>
    <row r="59" spans="2:2">
      <c r="B59" s="22" t="s">
        <v>246</v>
      </c>
    </row>
    <row r="60" spans="2:2">
      <c r="B60" s="22" t="s">
        <v>247</v>
      </c>
    </row>
    <row r="61" spans="2:2">
      <c r="B61" s="22" t="s">
        <v>248</v>
      </c>
    </row>
    <row r="62" spans="2:2">
      <c r="B62" s="22" t="s">
        <v>249</v>
      </c>
    </row>
    <row r="63" spans="2:2">
      <c r="B63" s="22" t="s">
        <v>242</v>
      </c>
    </row>
    <row r="64" spans="2:2">
      <c r="B64" s="22" t="s">
        <v>250</v>
      </c>
    </row>
    <row r="65" spans="2:2">
      <c r="B65" s="22" t="s">
        <v>251</v>
      </c>
    </row>
    <row r="66" spans="2:2">
      <c r="B66" s="22" t="s">
        <v>252</v>
      </c>
    </row>
    <row r="67" spans="2:2">
      <c r="B67" s="22" t="s">
        <v>253</v>
      </c>
    </row>
    <row r="68" spans="2:2">
      <c r="B68" s="22" t="s">
        <v>254</v>
      </c>
    </row>
    <row r="69" spans="2:2">
      <c r="B69" s="22" t="s">
        <v>255</v>
      </c>
    </row>
    <row r="70" spans="2:2">
      <c r="B70" s="22" t="s">
        <v>256</v>
      </c>
    </row>
    <row r="71" spans="2:2">
      <c r="B71" s="22" t="s">
        <v>257</v>
      </c>
    </row>
    <row r="72" spans="2:2">
      <c r="B72" s="22" t="s">
        <v>258</v>
      </c>
    </row>
    <row r="73" spans="2:2">
      <c r="B73" s="22" t="s">
        <v>259</v>
      </c>
    </row>
    <row r="74" spans="2:2">
      <c r="B74" s="22" t="s">
        <v>260</v>
      </c>
    </row>
    <row r="75" spans="2:2">
      <c r="B75" s="22" t="s">
        <v>261</v>
      </c>
    </row>
    <row r="76" spans="2:2">
      <c r="B76" s="22" t="s">
        <v>262</v>
      </c>
    </row>
    <row r="77" spans="2:2">
      <c r="B77" s="22" t="s">
        <v>263</v>
      </c>
    </row>
    <row r="78" spans="2:2">
      <c r="B78" s="22" t="s">
        <v>264</v>
      </c>
    </row>
    <row r="79" spans="2:2">
      <c r="B79" s="22" t="s">
        <v>265</v>
      </c>
    </row>
    <row r="80" spans="2:2">
      <c r="B80" s="22" t="s">
        <v>266</v>
      </c>
    </row>
    <row r="81" spans="2:2">
      <c r="B81" s="22" t="s">
        <v>267</v>
      </c>
    </row>
    <row r="82" spans="2:2">
      <c r="B82" s="22" t="s">
        <v>268</v>
      </c>
    </row>
    <row r="83" spans="2:2">
      <c r="B83" s="22" t="s">
        <v>269</v>
      </c>
    </row>
    <row r="86" spans="2:2">
      <c r="B86">
        <v>1999</v>
      </c>
    </row>
    <row r="87" spans="2:2">
      <c r="B87" s="22" t="s">
        <v>271</v>
      </c>
    </row>
    <row r="88" spans="2:2">
      <c r="B88" s="22" t="s">
        <v>272</v>
      </c>
    </row>
    <row r="89" spans="2:2">
      <c r="B89" s="22" t="s">
        <v>273</v>
      </c>
    </row>
    <row r="90" spans="2:2">
      <c r="B90" s="22" t="s">
        <v>274</v>
      </c>
    </row>
    <row r="91" spans="2:2">
      <c r="B91" s="22" t="s">
        <v>275</v>
      </c>
    </row>
    <row r="92" spans="2:2">
      <c r="B92" s="22" t="s">
        <v>276</v>
      </c>
    </row>
    <row r="93" spans="2:2">
      <c r="B93" s="22" t="s">
        <v>277</v>
      </c>
    </row>
    <row r="94" spans="2:2">
      <c r="B94" s="22" t="s">
        <v>278</v>
      </c>
    </row>
    <row r="95" spans="2:2">
      <c r="B95" s="22" t="s">
        <v>279</v>
      </c>
    </row>
    <row r="96" spans="2:2">
      <c r="B96" s="22" t="s">
        <v>280</v>
      </c>
    </row>
    <row r="97" spans="2:2">
      <c r="B97" s="22" t="s">
        <v>281</v>
      </c>
    </row>
    <row r="98" spans="2:2">
      <c r="B98" s="22" t="s">
        <v>282</v>
      </c>
    </row>
    <row r="99" spans="2:2">
      <c r="B99" s="22" t="s">
        <v>283</v>
      </c>
    </row>
    <row r="100" spans="2:2">
      <c r="B100" s="22" t="s">
        <v>284</v>
      </c>
    </row>
    <row r="101" spans="2:2">
      <c r="B101" s="22" t="s">
        <v>285</v>
      </c>
    </row>
    <row r="102" spans="2:2">
      <c r="B102" s="22" t="s">
        <v>286</v>
      </c>
    </row>
    <row r="103" spans="2:2">
      <c r="B103" s="22" t="s">
        <v>287</v>
      </c>
    </row>
    <row r="104" spans="2:2">
      <c r="B104" s="22" t="s">
        <v>288</v>
      </c>
    </row>
    <row r="105" spans="2:2">
      <c r="B105" s="22" t="s">
        <v>289</v>
      </c>
    </row>
    <row r="106" spans="2:2">
      <c r="B106" s="22" t="s">
        <v>284</v>
      </c>
    </row>
    <row r="108" spans="2:2">
      <c r="B108">
        <v>2000</v>
      </c>
    </row>
    <row r="109" spans="2:2">
      <c r="B109" s="22" t="s">
        <v>290</v>
      </c>
    </row>
    <row r="110" spans="2:2">
      <c r="B110" s="22" t="s">
        <v>291</v>
      </c>
    </row>
    <row r="111" spans="2:2">
      <c r="B111" s="22" t="s">
        <v>292</v>
      </c>
    </row>
    <row r="112" spans="2:2">
      <c r="B112" s="22" t="s">
        <v>293</v>
      </c>
    </row>
    <row r="113" spans="2:2">
      <c r="B113" s="22" t="s">
        <v>294</v>
      </c>
    </row>
    <row r="114" spans="2:2">
      <c r="B114" s="22" t="s">
        <v>295</v>
      </c>
    </row>
    <row r="115" spans="2:2">
      <c r="B115" s="22" t="s">
        <v>296</v>
      </c>
    </row>
    <row r="116" spans="2:2">
      <c r="B116" s="22" t="s">
        <v>297</v>
      </c>
    </row>
    <row r="117" spans="2:2">
      <c r="B117" s="22" t="s">
        <v>298</v>
      </c>
    </row>
    <row r="118" spans="2:2">
      <c r="B118" s="22" t="s">
        <v>299</v>
      </c>
    </row>
    <row r="119" spans="2:2">
      <c r="B119" s="22" t="s">
        <v>300</v>
      </c>
    </row>
    <row r="120" spans="2:2">
      <c r="B120" s="22" t="s">
        <v>301</v>
      </c>
    </row>
    <row r="121" spans="2:2">
      <c r="B121" s="22" t="s">
        <v>302</v>
      </c>
    </row>
    <row r="122" spans="2:2">
      <c r="B122" s="22" t="s">
        <v>303</v>
      </c>
    </row>
    <row r="123" spans="2:2">
      <c r="B123" s="22" t="s">
        <v>304</v>
      </c>
    </row>
    <row r="124" spans="2:2">
      <c r="B124" s="22" t="s">
        <v>298</v>
      </c>
    </row>
    <row r="125" spans="2:2">
      <c r="B125" s="22" t="s">
        <v>305</v>
      </c>
    </row>
    <row r="126" spans="2:2">
      <c r="B126" s="22" t="s">
        <v>306</v>
      </c>
    </row>
    <row r="127" spans="2:2">
      <c r="B127" s="22" t="s">
        <v>307</v>
      </c>
    </row>
    <row r="128" spans="2:2">
      <c r="B128" s="22" t="s">
        <v>308</v>
      </c>
    </row>
    <row r="129" spans="2:2">
      <c r="B129" s="22" t="s">
        <v>309</v>
      </c>
    </row>
    <row r="130" spans="2:2">
      <c r="B130" s="22" t="s">
        <v>310</v>
      </c>
    </row>
    <row r="131" spans="2:2">
      <c r="B131" s="22" t="s">
        <v>311</v>
      </c>
    </row>
    <row r="132" spans="2:2">
      <c r="B132" s="22" t="s">
        <v>312</v>
      </c>
    </row>
    <row r="133" spans="2:2">
      <c r="B133" s="22" t="s">
        <v>313</v>
      </c>
    </row>
    <row r="134" spans="2:2">
      <c r="B134" s="22" t="s">
        <v>314</v>
      </c>
    </row>
    <row r="135" spans="2:2">
      <c r="B135" s="22" t="s">
        <v>315</v>
      </c>
    </row>
    <row r="136" spans="2:2">
      <c r="B136" s="22" t="s">
        <v>316</v>
      </c>
    </row>
    <row r="137" spans="2:2">
      <c r="B137" s="22" t="s">
        <v>317</v>
      </c>
    </row>
    <row r="138" spans="2:2">
      <c r="B138" s="22" t="s">
        <v>318</v>
      </c>
    </row>
    <row r="139" spans="2:2">
      <c r="B139" s="22" t="s">
        <v>312</v>
      </c>
    </row>
    <row r="140" spans="2:2">
      <c r="B140" s="22" t="s">
        <v>319</v>
      </c>
    </row>
    <row r="141" spans="2:2">
      <c r="B141" s="22" t="s">
        <v>320</v>
      </c>
    </row>
    <row r="142" spans="2:2">
      <c r="B142" s="22" t="s">
        <v>321</v>
      </c>
    </row>
    <row r="143" spans="2:2">
      <c r="B143" s="22" t="s">
        <v>322</v>
      </c>
    </row>
    <row r="144" spans="2:2">
      <c r="B144" s="22" t="s">
        <v>323</v>
      </c>
    </row>
    <row r="145" spans="2:2">
      <c r="B145" s="22" t="s">
        <v>324</v>
      </c>
    </row>
    <row r="146" spans="2:2">
      <c r="B146" s="22" t="s">
        <v>325</v>
      </c>
    </row>
    <row r="147" spans="2:2">
      <c r="B147" s="22" t="s">
        <v>326</v>
      </c>
    </row>
    <row r="150" spans="2:2">
      <c r="B150">
        <v>2001</v>
      </c>
    </row>
    <row r="151" spans="2:2">
      <c r="B151" s="22" t="s">
        <v>327</v>
      </c>
    </row>
    <row r="152" spans="2:2">
      <c r="B152" s="22" t="s">
        <v>328</v>
      </c>
    </row>
    <row r="153" spans="2:2">
      <c r="B153" s="22" t="s">
        <v>329</v>
      </c>
    </row>
    <row r="154" spans="2:2">
      <c r="B154" s="22" t="s">
        <v>330</v>
      </c>
    </row>
    <row r="155" spans="2:2">
      <c r="B155" s="22" t="s">
        <v>331</v>
      </c>
    </row>
    <row r="156" spans="2:2">
      <c r="B156" s="22" t="s">
        <v>332</v>
      </c>
    </row>
    <row r="157" spans="2:2">
      <c r="B157" s="22" t="s">
        <v>333</v>
      </c>
    </row>
    <row r="158" spans="2:2">
      <c r="B158" s="22" t="s">
        <v>334</v>
      </c>
    </row>
    <row r="159" spans="2:2">
      <c r="B159" s="22" t="s">
        <v>335</v>
      </c>
    </row>
    <row r="160" spans="2:2">
      <c r="B160" s="22" t="s">
        <v>336</v>
      </c>
    </row>
    <row r="161" spans="2:2">
      <c r="B161" s="22" t="s">
        <v>337</v>
      </c>
    </row>
    <row r="162" spans="2:2">
      <c r="B162" s="22" t="s">
        <v>338</v>
      </c>
    </row>
    <row r="163" spans="2:2">
      <c r="B163" s="22" t="s">
        <v>339</v>
      </c>
    </row>
    <row r="164" spans="2:2">
      <c r="B164" s="22" t="s">
        <v>340</v>
      </c>
    </row>
    <row r="165" spans="2:2">
      <c r="B165" s="22" t="s">
        <v>341</v>
      </c>
    </row>
    <row r="166" spans="2:2">
      <c r="B166" s="22" t="s">
        <v>342</v>
      </c>
    </row>
    <row r="167" spans="2:2">
      <c r="B167" s="22" t="s">
        <v>343</v>
      </c>
    </row>
    <row r="168" spans="2:2">
      <c r="B168" s="22" t="s">
        <v>344</v>
      </c>
    </row>
    <row r="169" spans="2:2">
      <c r="B169" s="22" t="s">
        <v>345</v>
      </c>
    </row>
    <row r="170" spans="2:2">
      <c r="B170" s="22" t="s">
        <v>346</v>
      </c>
    </row>
    <row r="171" spans="2:2">
      <c r="B171" s="22" t="s">
        <v>347</v>
      </c>
    </row>
    <row r="172" spans="2:2">
      <c r="B172" s="22" t="s">
        <v>348</v>
      </c>
    </row>
    <row r="173" spans="2:2">
      <c r="B173" s="22" t="s">
        <v>349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350</v>
      </c>
      <c r="C179" s="29" t="s">
        <v>351</v>
      </c>
      <c r="D179" s="30" t="s">
        <v>352</v>
      </c>
      <c r="E179" s="29" t="s">
        <v>351</v>
      </c>
      <c r="F179" s="28" t="s">
        <v>353</v>
      </c>
    </row>
    <row r="180" spans="2:6">
      <c r="B180" s="31" t="s">
        <v>354</v>
      </c>
      <c r="C180" s="32" t="s">
        <v>351</v>
      </c>
      <c r="D180" s="33">
        <v>49</v>
      </c>
      <c r="E180" s="32" t="s">
        <v>351</v>
      </c>
      <c r="F180" s="34" t="s">
        <v>355</v>
      </c>
    </row>
    <row r="181" spans="2:6">
      <c r="B181" s="31" t="s">
        <v>356</v>
      </c>
      <c r="C181" s="32" t="s">
        <v>351</v>
      </c>
      <c r="D181" s="33">
        <v>49</v>
      </c>
      <c r="E181" s="32" t="s">
        <v>351</v>
      </c>
      <c r="F181" s="34" t="s">
        <v>357</v>
      </c>
    </row>
    <row r="182" spans="2:6">
      <c r="B182" s="31" t="s">
        <v>358</v>
      </c>
      <c r="C182" s="32" t="s">
        <v>351</v>
      </c>
      <c r="D182" s="33">
        <v>53</v>
      </c>
      <c r="E182" s="32" t="s">
        <v>351</v>
      </c>
      <c r="F182" s="34" t="s">
        <v>359</v>
      </c>
    </row>
    <row r="183" spans="2:6">
      <c r="B183" s="31" t="s">
        <v>360</v>
      </c>
      <c r="C183" s="32" t="s">
        <v>351</v>
      </c>
      <c r="D183" s="33">
        <v>43</v>
      </c>
      <c r="E183" s="32" t="s">
        <v>351</v>
      </c>
      <c r="F183" s="34" t="s">
        <v>361</v>
      </c>
    </row>
    <row r="184" spans="2:6">
      <c r="B184" s="31" t="s">
        <v>362</v>
      </c>
      <c r="C184" s="32" t="s">
        <v>351</v>
      </c>
      <c r="D184" s="33">
        <v>45</v>
      </c>
      <c r="E184" s="32" t="s">
        <v>351</v>
      </c>
      <c r="F184" s="34" t="s">
        <v>363</v>
      </c>
    </row>
    <row r="185" spans="2:6">
      <c r="B185" s="31" t="s">
        <v>364</v>
      </c>
      <c r="C185" s="32" t="s">
        <v>351</v>
      </c>
      <c r="D185" s="33">
        <v>49</v>
      </c>
      <c r="E185" s="32" t="s">
        <v>351</v>
      </c>
      <c r="F185" s="34" t="s">
        <v>365</v>
      </c>
    </row>
    <row r="186" spans="2:6">
      <c r="B186" s="31" t="s">
        <v>366</v>
      </c>
      <c r="C186" s="32" t="s">
        <v>351</v>
      </c>
      <c r="D186" s="33">
        <v>43</v>
      </c>
      <c r="E186" s="32" t="s">
        <v>351</v>
      </c>
      <c r="F186" s="34" t="s">
        <v>367</v>
      </c>
    </row>
    <row r="187" spans="2:6">
      <c r="B187" s="31" t="s">
        <v>368</v>
      </c>
      <c r="C187" s="32" t="s">
        <v>351</v>
      </c>
      <c r="D187" s="33">
        <v>45</v>
      </c>
      <c r="E187" s="32" t="s">
        <v>351</v>
      </c>
      <c r="F187" s="34" t="s">
        <v>369</v>
      </c>
    </row>
    <row r="188" spans="2:6">
      <c r="B188" s="31" t="s">
        <v>370</v>
      </c>
      <c r="C188" s="32" t="s">
        <v>351</v>
      </c>
      <c r="D188" s="33">
        <v>42</v>
      </c>
      <c r="E188" s="32" t="s">
        <v>351</v>
      </c>
      <c r="F188" s="34" t="s">
        <v>371</v>
      </c>
    </row>
    <row r="189" spans="2:6">
      <c r="B189" s="31" t="s">
        <v>372</v>
      </c>
      <c r="C189" s="32" t="s">
        <v>351</v>
      </c>
      <c r="D189" s="33">
        <v>44</v>
      </c>
      <c r="E189" s="32" t="s">
        <v>351</v>
      </c>
      <c r="F189" s="34" t="s">
        <v>373</v>
      </c>
    </row>
    <row r="190" spans="2:6">
      <c r="B190" s="31" t="s">
        <v>374</v>
      </c>
      <c r="C190" s="32" t="s">
        <v>351</v>
      </c>
      <c r="D190" s="33">
        <v>47</v>
      </c>
      <c r="E190" s="32" t="s">
        <v>351</v>
      </c>
      <c r="F190" s="34" t="s">
        <v>375</v>
      </c>
    </row>
    <row r="191" spans="2:6">
      <c r="B191" s="31" t="s">
        <v>376</v>
      </c>
      <c r="C191" s="32" t="s">
        <v>351</v>
      </c>
      <c r="D191" s="33">
        <v>38</v>
      </c>
      <c r="E191" s="32" t="s">
        <v>351</v>
      </c>
      <c r="F191" s="34" t="s">
        <v>377</v>
      </c>
    </row>
    <row r="192" spans="2:6">
      <c r="B192" s="31" t="s">
        <v>378</v>
      </c>
      <c r="C192" s="32" t="s">
        <v>351</v>
      </c>
      <c r="D192" s="33">
        <v>56</v>
      </c>
      <c r="E192" s="32" t="s">
        <v>351</v>
      </c>
      <c r="F192" s="34" t="s">
        <v>379</v>
      </c>
    </row>
    <row r="193" spans="2:6">
      <c r="B193" s="31" t="s">
        <v>380</v>
      </c>
      <c r="C193" s="32" t="s">
        <v>351</v>
      </c>
      <c r="D193" s="33">
        <v>47</v>
      </c>
      <c r="E193" s="32" t="s">
        <v>351</v>
      </c>
      <c r="F193" s="34" t="s">
        <v>381</v>
      </c>
    </row>
    <row r="194" spans="2:6">
      <c r="B194" s="31" t="s">
        <v>382</v>
      </c>
      <c r="C194" s="32" t="s">
        <v>351</v>
      </c>
      <c r="D194" s="33">
        <v>38</v>
      </c>
      <c r="E194" s="32" t="s">
        <v>351</v>
      </c>
      <c r="F194" s="34" t="s">
        <v>383</v>
      </c>
    </row>
    <row r="195" spans="2:6">
      <c r="B195" s="31" t="s">
        <v>384</v>
      </c>
      <c r="C195" s="32" t="s">
        <v>351</v>
      </c>
      <c r="D195" s="33">
        <v>46</v>
      </c>
      <c r="E195" s="32" t="s">
        <v>351</v>
      </c>
      <c r="F195" s="34" t="s">
        <v>385</v>
      </c>
    </row>
    <row r="199" spans="2:6">
      <c r="B199">
        <v>2006</v>
      </c>
    </row>
    <row r="200" spans="2:6">
      <c r="B200" t="s">
        <v>354</v>
      </c>
    </row>
    <row r="202" spans="2:6">
      <c r="B202" t="s">
        <v>386</v>
      </c>
      <c r="C202">
        <v>50</v>
      </c>
      <c r="D202" t="s">
        <v>386</v>
      </c>
      <c r="E202" t="s">
        <v>387</v>
      </c>
    </row>
    <row r="203" spans="2:6">
      <c r="B203" t="s">
        <v>356</v>
      </c>
    </row>
    <row r="205" spans="2:6">
      <c r="B205" t="s">
        <v>386</v>
      </c>
      <c r="C205">
        <v>50</v>
      </c>
      <c r="D205" t="s">
        <v>386</v>
      </c>
      <c r="E205" t="s">
        <v>357</v>
      </c>
    </row>
    <row r="206" spans="2:6">
      <c r="B206" t="s">
        <v>360</v>
      </c>
    </row>
    <row r="208" spans="2:6">
      <c r="B208" t="s">
        <v>386</v>
      </c>
      <c r="C208">
        <v>44</v>
      </c>
      <c r="D208" t="s">
        <v>386</v>
      </c>
      <c r="E208" t="s">
        <v>388</v>
      </c>
    </row>
    <row r="209" spans="2:5">
      <c r="B209" t="s">
        <v>389</v>
      </c>
    </row>
    <row r="211" spans="2:5">
      <c r="B211" t="s">
        <v>386</v>
      </c>
      <c r="C211">
        <v>46</v>
      </c>
      <c r="D211" t="s">
        <v>386</v>
      </c>
      <c r="E211" t="s">
        <v>390</v>
      </c>
    </row>
    <row r="212" spans="2:5">
      <c r="B212" t="s">
        <v>372</v>
      </c>
    </row>
    <row r="214" spans="2:5">
      <c r="B214" t="s">
        <v>386</v>
      </c>
      <c r="C214">
        <v>45</v>
      </c>
      <c r="D214" t="s">
        <v>386</v>
      </c>
      <c r="E214" t="s">
        <v>391</v>
      </c>
    </row>
    <row r="215" spans="2:5">
      <c r="B215" t="s">
        <v>374</v>
      </c>
    </row>
    <row r="217" spans="2:5">
      <c r="B217" t="s">
        <v>386</v>
      </c>
      <c r="C217">
        <v>48</v>
      </c>
      <c r="D217" t="s">
        <v>386</v>
      </c>
      <c r="E217" t="s">
        <v>392</v>
      </c>
    </row>
    <row r="218" spans="2:5">
      <c r="B218" t="s">
        <v>380</v>
      </c>
    </row>
    <row r="220" spans="2:5">
      <c r="B220" t="s">
        <v>386</v>
      </c>
      <c r="C220">
        <v>48</v>
      </c>
      <c r="D220" t="s">
        <v>386</v>
      </c>
      <c r="E220" t="s">
        <v>393</v>
      </c>
    </row>
    <row r="221" spans="2:5">
      <c r="B221" t="s">
        <v>384</v>
      </c>
    </row>
    <row r="223" spans="2:5">
      <c r="B223" t="s">
        <v>386</v>
      </c>
      <c r="C223">
        <v>47</v>
      </c>
      <c r="D223" t="s">
        <v>386</v>
      </c>
      <c r="E223" t="s">
        <v>394</v>
      </c>
    </row>
    <row r="224" spans="2:5">
      <c r="B224" t="s">
        <v>395</v>
      </c>
    </row>
    <row r="226" spans="2:8">
      <c r="B226" t="s">
        <v>386</v>
      </c>
      <c r="C226">
        <v>41</v>
      </c>
      <c r="D226" t="s">
        <v>386</v>
      </c>
      <c r="E226" t="s">
        <v>396</v>
      </c>
    </row>
    <row r="231" spans="2:8">
      <c r="B231">
        <v>2012</v>
      </c>
    </row>
    <row r="232" spans="2:8">
      <c r="B232" s="31" t="s">
        <v>398</v>
      </c>
      <c r="C232" s="32" t="s">
        <v>351</v>
      </c>
      <c r="D232" s="35"/>
      <c r="E232" s="36">
        <v>56</v>
      </c>
      <c r="F232" s="35" t="s">
        <v>351</v>
      </c>
      <c r="G232" s="32" t="s">
        <v>351</v>
      </c>
      <c r="H232" s="35" t="s">
        <v>357</v>
      </c>
    </row>
    <row r="233" spans="2:8">
      <c r="B233" s="31" t="s">
        <v>389</v>
      </c>
      <c r="C233" s="32" t="s">
        <v>351</v>
      </c>
      <c r="D233" s="35"/>
      <c r="E233" s="36">
        <v>52</v>
      </c>
      <c r="F233" s="35" t="s">
        <v>351</v>
      </c>
      <c r="G233" s="32" t="s">
        <v>351</v>
      </c>
      <c r="H233" s="35" t="s">
        <v>399</v>
      </c>
    </row>
    <row r="234" spans="2:8">
      <c r="B234" s="31" t="s">
        <v>400</v>
      </c>
      <c r="C234" s="32" t="s">
        <v>351</v>
      </c>
      <c r="D234" s="35"/>
      <c r="E234" s="36">
        <v>52</v>
      </c>
      <c r="F234" s="35" t="s">
        <v>351</v>
      </c>
      <c r="G234" s="32" t="s">
        <v>351</v>
      </c>
      <c r="H234" s="35" t="s">
        <v>401</v>
      </c>
    </row>
    <row r="235" spans="2:8">
      <c r="B235" s="31" t="s">
        <v>402</v>
      </c>
      <c r="C235" s="32" t="s">
        <v>351</v>
      </c>
      <c r="D235" s="35"/>
      <c r="E235" s="36">
        <v>49</v>
      </c>
      <c r="F235" s="35" t="s">
        <v>351</v>
      </c>
      <c r="G235" s="32" t="s">
        <v>351</v>
      </c>
      <c r="H235" s="35" t="s">
        <v>403</v>
      </c>
    </row>
    <row r="236" spans="2:8">
      <c r="B236" s="31" t="s">
        <v>378</v>
      </c>
      <c r="C236" s="32" t="s">
        <v>351</v>
      </c>
      <c r="D236" s="35"/>
      <c r="E236" s="36">
        <v>63</v>
      </c>
      <c r="F236" s="35" t="s">
        <v>351</v>
      </c>
      <c r="G236" s="32" t="s">
        <v>351</v>
      </c>
      <c r="H236" s="35" t="s">
        <v>404</v>
      </c>
    </row>
    <row r="237" spans="2:8">
      <c r="B237" s="31" t="s">
        <v>125</v>
      </c>
      <c r="C237" s="32" t="s">
        <v>351</v>
      </c>
      <c r="D237" s="35"/>
      <c r="E237" s="36">
        <v>44</v>
      </c>
      <c r="F237" s="35" t="s">
        <v>351</v>
      </c>
      <c r="G237" s="32" t="s">
        <v>351</v>
      </c>
      <c r="H237" s="35" t="s">
        <v>405</v>
      </c>
    </row>
    <row r="238" spans="2:8">
      <c r="B238" s="31" t="s">
        <v>406</v>
      </c>
      <c r="C238" s="32" t="s">
        <v>351</v>
      </c>
      <c r="D238" s="35"/>
      <c r="E238" s="36">
        <v>46</v>
      </c>
      <c r="F238" s="35" t="s">
        <v>351</v>
      </c>
      <c r="G238" s="32" t="s">
        <v>351</v>
      </c>
      <c r="H238" s="35" t="s">
        <v>407</v>
      </c>
    </row>
    <row r="239" spans="2:8">
      <c r="B239" s="31" t="s">
        <v>408</v>
      </c>
      <c r="C239" s="32" t="s">
        <v>351</v>
      </c>
      <c r="D239" s="35"/>
      <c r="E239" s="36">
        <v>53</v>
      </c>
      <c r="F239" s="35" t="s">
        <v>351</v>
      </c>
      <c r="G239" s="32" t="s">
        <v>351</v>
      </c>
      <c r="H239" s="35" t="s">
        <v>409</v>
      </c>
    </row>
    <row r="240" spans="2:8">
      <c r="B240" s="31" t="s">
        <v>410</v>
      </c>
      <c r="C240" s="32" t="s">
        <v>351</v>
      </c>
      <c r="D240" s="35"/>
      <c r="E240" s="36">
        <v>47</v>
      </c>
      <c r="F240" s="35" t="s">
        <v>351</v>
      </c>
      <c r="G240" s="32" t="s">
        <v>351</v>
      </c>
      <c r="H240" s="35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2023-09-28T20:03:54Z</dcterms:modified>
</cp:coreProperties>
</file>