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showInkAnnotation="0" defaultThemeVersion="166925"/>
  <xr:revisionPtr revIDLastSave="0" documentId="13_ncr:1_{8215FB9E-281F-48E4-81EA-3614C27A0F5F}" xr6:coauthVersionLast="47" xr6:coauthVersionMax="47" xr10:uidLastSave="{00000000-0000-0000-0000-000000000000}"/>
  <bookViews>
    <workbookView xWindow="-120" yWindow="-120" windowWidth="51840" windowHeight="21120" firstSheet="3" activeTab="5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Media-Games-Design" sheetId="8" r:id="rId8"/>
    <sheet name="Fintech" sheetId="7" r:id="rId9"/>
    <sheet name="Ecommerce" sheetId="5" r:id="rId10"/>
    <sheet name="Security" sheetId="4" r:id="rId11"/>
    <sheet name="FX" sheetId="3" r:id="rId12"/>
    <sheet name="Private" sheetId="2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s="1"/>
  <c r="H3" i="5" l="1"/>
  <c r="E3" i="5" s="1"/>
  <c r="F24" i="5" l="1"/>
  <c r="H24" i="5"/>
  <c r="E24" i="5" s="1"/>
  <c r="G24" i="5" s="1"/>
  <c r="F8" i="9" l="1"/>
  <c r="H8" i="9"/>
  <c r="E8" i="9" s="1"/>
  <c r="G8" i="9" l="1"/>
  <c r="H5" i="10"/>
  <c r="N5" i="10"/>
  <c r="M5" i="10"/>
  <c r="K5" i="10"/>
  <c r="L5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E2" i="11" l="1"/>
  <c r="G7" i="1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3" i="5"/>
  <c r="E13" i="5"/>
  <c r="F6" i="1"/>
  <c r="H6" i="1"/>
  <c r="E6" i="1" s="1"/>
  <c r="E10" i="8" a="1"/>
  <c r="E10" i="8" s="1"/>
  <c r="F4" i="8"/>
  <c r="E4" i="8"/>
  <c r="H3" i="8"/>
  <c r="F3" i="8"/>
  <c r="E3" i="8"/>
  <c r="G4" i="5" l="1"/>
  <c r="G13" i="5"/>
  <c r="G6" i="1"/>
  <c r="G4" i="8"/>
  <c r="G3" i="8"/>
  <c r="E8" i="1" a="1"/>
  <c r="E8" i="1" s="1"/>
  <c r="H7" i="1" l="1"/>
  <c r="F7" i="1"/>
  <c r="E7" i="1"/>
  <c r="O4" i="1"/>
  <c r="N4" i="1"/>
  <c r="M4" i="1"/>
  <c r="K4" i="1"/>
  <c r="L4" i="1" s="1"/>
  <c r="H4" i="1"/>
  <c r="G7" i="1" l="1"/>
  <c r="H5" i="1"/>
  <c r="O5" i="1"/>
  <c r="L2" i="1"/>
  <c r="F3" i="5" l="1"/>
  <c r="G3" i="5" s="1"/>
  <c r="F5" i="5" a="1"/>
  <c r="F5" i="5" s="1"/>
  <c r="E5" i="5"/>
  <c r="F13" i="1"/>
  <c r="E13" i="1"/>
  <c r="G5" i="5" l="1"/>
  <c r="G14" i="8"/>
  <c r="G13" i="1"/>
  <c r="F5" i="1"/>
  <c r="E5" i="1"/>
  <c r="G5" i="1" l="1"/>
  <c r="F4" i="1"/>
  <c r="E4" i="1"/>
  <c r="G4" i="1" l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<sst xmlns="http://schemas.openxmlformats.org/spreadsheetml/2006/main" count="656" uniqueCount="395">
  <si>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</si>
  <si>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</si>
  <si>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</si>
  <si>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</si>
  <si>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</si>
  <si>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</si>
  <si>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</si>
  <si>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</si>
  <si>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</si>
  <si>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</si>
  <si>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</si>
  <si>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</si>
  <si>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</si>
  <si>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</si>
  <si>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</si>
  <si>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</si>
  <si>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</si>
  <si>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</si>
  <si>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</si>
  <si>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</si>
  <si>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</si>
  <si>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</si>
  <si>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</si>
  <si>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</si>
  <si>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</si>
  <si>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</si>
  <si>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</si>
  <si>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</si>
  <si>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</si>
  <si>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</si>
  <si>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</si>
  <si>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</si>
  <si>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</si>
  <si>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</si>
  <si>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</si>
  <si>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</si>
  <si>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</si>
  <si>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</si>
  <si>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</si>
  <si>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</si>
  <si>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</si>
  <si>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</si>
  <si>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</si>
  <si>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</si>
  <si>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</si>
  <si>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</si>
  <si>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</si>
  <si>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</si>
  <si>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</si>
  <si>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</si>
  <si>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</si>
  <si>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</si>
  <si>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</si>
  <si>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</si>
  <si>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</si>
  <si>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</si>
  <si>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</si>
  <si>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</si>
  <si>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</si>
  <si>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</si>
  <si>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</si>
  <si>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</si>
  <si>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</si>
  <si>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</si>
  <si>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</si>
  <si>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</si>
  <si>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</si>
  <si>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</si>
  <si>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</si>
  <si>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</si>
  <si>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</si>
  <si>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</si>
  <si>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</si>
  <si>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</si>
  <si>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</si>
  <si>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</si>
  <si>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</si>
  <si>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</si>
  <si>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</si>
  <si>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</si>
  <si>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</si>
  <si>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</si>
  <si>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</si>
  <si>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</si>
  <si>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</si>
  <si>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</si>
  <si>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</si>
  <si>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</si>
  <si>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</si>
  <si>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</si>
  <si>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</si>
  <si>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</si>
  <si>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</si>
  <si>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</si>
  <si>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</si>
  <si>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</si>
  <si>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</si>
  <si>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</si>
  <si>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</si>
  <si>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</si>
  <si>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</si>
  <si>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</si>
  <si>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</si>
  <si>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</si>
  <si>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</si>
  <si>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</si>
  <si>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</si>
  <si>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</si>
  <si>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</si>
  <si>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</si>
  <si>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</si>
  <si>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</si>
  <si>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</si>
  <si>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</si>
  <si>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</si>
  <si>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</si>
  <si>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</si>
  <si>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</si>
  <si>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</si>
  <si>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</si>
  <si>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</si>
  <si>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</si>
  <si>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</si>
  <si>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</si>
  <si>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</si>
  <si>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</si>
  <si>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</si>
  <si>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</si>
  <si>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</si>
  <si>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</si>
  <si>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</si>
  <si>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</si>
  <si>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</si>
  <si>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</si>
  <si>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</si>
  <si>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</si>
  <si>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</si>
  <si>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</si>
  <si>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</si>
  <si>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</si>
  <si>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</si>
  <si>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</si>
  <si>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</si>
  <si>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</si>
  <si>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</si>
  <si>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</si>
  <si>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</si>
  <si>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</si>
  <si>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</si>
  <si>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</si>
  <si>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</si>
  <si>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</si>
  <si>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</si>
  <si>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</si>
  <si>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</si>
  <si>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</si>
  <si>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</si>
  <si>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</si>
  <si>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</si>
  <si>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</si>
  <si>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</si>
  <si>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</si>
  <si>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</si>
  <si>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</si>
  <si>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</si>
  <si>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</si>
  <si>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</si>
  <si>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</si>
  <si>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</si>
  <si>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</si>
  <si>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</si>
  <si>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</si>
  <si>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</si>
  <si>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</si>
  <si>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</si>
  <si>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</si>
  <si>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</si>
  <si>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</si>
  <si>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</si>
  <si>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</si>
  <si>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</si>
  <si>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</si>
  <si>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</si>
  <si>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</si>
  <si>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</si>
  <si>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</si>
  <si>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</si>
  <si>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</si>
  <si>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</si>
  <si>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</si>
  <si>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</si>
  <si>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</si>
  <si>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</si>
  <si>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</si>
  <si>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</si>
  <si>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</si>
  <si>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</si>
  <si>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</si>
  <si>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</si>
  <si>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</si>
  <si>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</si>
  <si>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</si>
  <si>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</si>
  <si>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</si>
  <si>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</si>
  <si>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</si>
  <si>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</si>
  <si>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</si>
  <si>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</si>
  <si>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</si>
  <si>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</si>
  <si>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</si>
  <si>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</si>
  <si>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</si>
  <si>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</si>
  <si>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</si>
  <si>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</si>
  <si>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</si>
  <si>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</si>
  <si>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</si>
  <si>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</si>
  <si>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</si>
  <si>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</si>
  <si>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</si>
  <si>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</si>
  <si>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</si>
  <si>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</si>
  <si>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</si>
  <si>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</si>
  <si>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</si>
  <si>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</si>
  <si>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</si>
  <si>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</si>
  <si>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</si>
  <si>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</si>
  <si>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</si>
  <si>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</si>
  <si>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</si>
  <si>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</si>
  <si>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</si>
  <si>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</si>
  <si>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</si>
  <si>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</si>
  <si>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</si>
  <si>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</si>
  <si>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</si>
  <si>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</si>
  <si>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</si>
  <si>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</si>
  <si>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</si>
  <si>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</si>
  <si>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</si>
  <si>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</si>
  <si>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</si>
  <si>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</si>
  <si>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</si>
  <si>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</si>
  <si>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</si>
  <si>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</si>
  <si>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</si>
  <si>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</si>
  <si>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</si>
  <si>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</si>
  <si>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</si>
  <si>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</si>
  <si>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</si>
  <si>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</si>
  <si>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</si>
  <si>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</si>
  <si>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</si>
  <si>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</si>
  <si>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</si>
  <si>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</si>
  <si>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</si>
  <si>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</si>
  <si>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</si>
  <si>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</si>
  <si>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</si>
  <si>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</si>
  <si>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</si>
  <si>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</si>
  <si>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</si>
  <si>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</si>
  <si>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</si>
  <si>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</si>
  <si>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</si>
  <si>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</si>
  <si>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</si>
  <si>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</si>
  <si>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</si>
  <si>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</si>
  <si>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</si>
  <si>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</si>
  <si>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</si>
  <si>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</si>
  <si>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</si>
  <si>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</si>
  <si>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</si>
  <si>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</si>
  <si>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</si>
  <si>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</si>
  <si>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</si>
  <si>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</si>
  <si>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</si>
  <si>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</si>
  <si>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</si>
  <si>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</si>
  <si>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</si>
  <si>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</si>
  <si>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</si>
  <si>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</si>
  <si>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</si>
  <si>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</si>
  <si>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</si>
  <si>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</si>
  <si>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</si>
  <si>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</si>
  <si>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</si>
  <si>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</si>
  <si>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</si>
  <si>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</si>
  <si>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</si>
  <si>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</si>
  <si>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</si>
  <si>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</si>
  <si>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</si>
  <si>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</si>
  <si>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</si>
  <si>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</si>
  <si>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</si>
  <si>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</si>
  <si>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</si>
  <si>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</si>
  <si>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</si>
  <si>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</si>
  <si>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</si>
  <si>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</si>
  <si>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</si>
  <si>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</si>
  <si>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</si>
  <si>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</si>
  <si>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</si>
  <si>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</si>
  <si>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</si>
  <si>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</si>
  <si>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</si>
  <si>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</si>
  <si>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</si>
  <si>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</si>
  <si>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</si>
  <si>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</si>
  <si>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</si>
  <si>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</si>
  <si>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</si>
  <si>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</si>
  <si>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</si>
  <si>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</si>
  <si>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</si>
  <si>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</si>
  <si>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</si>
  <si>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</si>
  <si>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</si>
  <si>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</si>
  <si>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</si>
  <si>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</si>
  <si>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</si>
  <si>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</si>
  <si>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</si>
  <si>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</si>
  <si>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</si>
  <si>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</si>
  <si>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</si>
  <si>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</si>
  <si>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</si>
  <si>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</si>
  <si>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</si>
  <si>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</si>
  <si>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</si>
  <si>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</si>
  <si>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</si>
  <si>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</si>
  <si>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</si>
  <si>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</si>
  <si>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</si>
  <si>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</si>
  <si>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</si>
  <si>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</si>
  <si>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</si>
  <si>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</si>
  <si>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</si>
  <si>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</si>
  <si>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</si>
  <si>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</si>
  <si>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</si>
  <si>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Gas (Discord)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</si>
</sst>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7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4" fillId="0" borderId="0" applyNumberFormat="0" applyFill="0" applyBorder="0" applyAlignment="0" applyProtection="0"/>
  </cellStyleXfs>
  <cellXfs count="160">
    <xf numFmtId="0" fontId="0" fillId="0" borderId="0" xfId="0"/>
    <xf numFmtId="0" fontId="63" fillId="0" borderId="0" xfId="0" applyFont="1"/>
    <xf numFmtId="2" fontId="63" fillId="0" borderId="0" xfId="0" applyNumberFormat="1" applyFont="1" applyAlignment="1">
      <alignment horizontal="right"/>
    </xf>
    <xf numFmtId="3" fontId="63" fillId="0" borderId="0" xfId="0" applyNumberFormat="1" applyFont="1" applyAlignment="1">
      <alignment horizontal="right"/>
    </xf>
    <xf numFmtId="0" fontId="63" fillId="0" borderId="0" xfId="0" applyFont="1" applyAlignment="1">
      <alignment horizontal="right"/>
    </xf>
    <xf numFmtId="0" fontId="65" fillId="0" borderId="0" xfId="1" applyFont="1"/>
    <xf numFmtId="0" fontId="62" fillId="0" borderId="0" xfId="0" applyFont="1"/>
    <xf numFmtId="3" fontId="62" fillId="0" borderId="0" xfId="0" applyNumberFormat="1" applyFont="1" applyAlignment="1">
      <alignment horizontal="right"/>
    </xf>
    <xf numFmtId="0" fontId="61" fillId="0" borderId="0" xfId="0" applyFont="1"/>
    <xf numFmtId="3" fontId="66" fillId="0" borderId="0" xfId="0" applyNumberFormat="1" applyFont="1" applyAlignment="1">
      <alignment horizontal="right"/>
    </xf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3" xfId="0" applyFont="1" applyBorder="1"/>
    <xf numFmtId="0" fontId="57" fillId="0" borderId="4" xfId="0" applyFont="1" applyBorder="1"/>
    <xf numFmtId="2" fontId="57" fillId="0" borderId="4" xfId="0" applyNumberFormat="1" applyFont="1" applyBorder="1" applyAlignment="1">
      <alignment horizontal="right"/>
    </xf>
    <xf numFmtId="3" fontId="57" fillId="0" borderId="4" xfId="0" applyNumberFormat="1" applyFont="1" applyBorder="1" applyAlignment="1">
      <alignment horizontal="right"/>
    </xf>
    <xf numFmtId="0" fontId="57" fillId="0" borderId="4" xfId="0" applyFont="1" applyBorder="1" applyAlignment="1">
      <alignment horizontal="right"/>
    </xf>
    <xf numFmtId="0" fontId="57" fillId="0" borderId="4" xfId="0" applyFont="1" applyBorder="1" applyAlignment="1">
      <alignment horizontal="center"/>
    </xf>
    <xf numFmtId="0" fontId="57" fillId="0" borderId="5" xfId="0" applyFont="1" applyBorder="1" applyAlignment="1">
      <alignment horizontal="center"/>
    </xf>
    <xf numFmtId="0" fontId="57" fillId="0" borderId="0" xfId="0" applyFont="1"/>
    <xf numFmtId="2" fontId="57" fillId="0" borderId="0" xfId="0" applyNumberFormat="1" applyFont="1" applyAlignment="1">
      <alignment horizontal="right"/>
    </xf>
    <xf numFmtId="3" fontId="57" fillId="0" borderId="0" xfId="0" applyNumberFormat="1" applyFont="1" applyAlignment="1">
      <alignment horizontal="right"/>
    </xf>
    <xf numFmtId="0" fontId="57" fillId="0" borderId="0" xfId="0" applyFont="1" applyAlignment="1">
      <alignment horizontal="right"/>
    </xf>
    <xf numFmtId="0" fontId="57" fillId="0" borderId="0" xfId="0" applyFont="1" applyAlignment="1">
      <alignment horizontal="center"/>
    </xf>
    <xf numFmtId="0" fontId="57" fillId="0" borderId="1" xfId="0" applyFont="1" applyBorder="1" applyAlignment="1">
      <alignment horizontal="center"/>
    </xf>
    <xf numFmtId="0" fontId="57" fillId="0" borderId="2" xfId="0" applyFont="1" applyBorder="1" applyAlignment="1">
      <alignment horizontal="center"/>
    </xf>
    <xf numFmtId="4" fontId="57" fillId="0" borderId="0" xfId="0" applyNumberFormat="1" applyFont="1" applyAlignment="1">
      <alignment horizontal="center"/>
    </xf>
    <xf numFmtId="9" fontId="57" fillId="0" borderId="0" xfId="0" applyNumberFormat="1" applyFont="1" applyAlignment="1">
      <alignment horizontal="center"/>
    </xf>
    <xf numFmtId="164" fontId="57" fillId="0" borderId="1" xfId="0" applyNumberFormat="1" applyFont="1" applyBorder="1" applyAlignment="1">
      <alignment horizontal="center"/>
    </xf>
    <xf numFmtId="164" fontId="57" fillId="0" borderId="0" xfId="0" applyNumberFormat="1" applyFont="1" applyAlignment="1">
      <alignment horizontal="center"/>
    </xf>
    <xf numFmtId="164" fontId="57" fillId="0" borderId="2" xfId="0" applyNumberFormat="1" applyFont="1" applyBorder="1" applyAlignment="1">
      <alignment horizontal="center"/>
    </xf>
    <xf numFmtId="4" fontId="57" fillId="0" borderId="1" xfId="0" applyNumberFormat="1" applyFont="1" applyBorder="1" applyAlignment="1">
      <alignment horizontal="center"/>
    </xf>
    <xf numFmtId="4" fontId="57" fillId="0" borderId="2" xfId="0" applyNumberFormat="1" applyFont="1" applyBorder="1" applyAlignment="1">
      <alignment horizontal="center"/>
    </xf>
    <xf numFmtId="0" fontId="56" fillId="0" borderId="0" xfId="0" applyFont="1" applyAlignment="1">
      <alignment horizontal="right"/>
    </xf>
    <xf numFmtId="0" fontId="55" fillId="0" borderId="0" xfId="0" applyFont="1" applyAlignment="1">
      <alignment horizontal="right"/>
    </xf>
    <xf numFmtId="9" fontId="55" fillId="0" borderId="0" xfId="0" applyNumberFormat="1" applyFont="1" applyAlignment="1">
      <alignment horizontal="center"/>
    </xf>
    <xf numFmtId="164" fontId="57" fillId="0" borderId="6" xfId="0" applyNumberFormat="1" applyFont="1" applyBorder="1" applyAlignment="1">
      <alignment horizontal="center"/>
    </xf>
    <xf numFmtId="0" fontId="54" fillId="0" borderId="0" xfId="0" applyFont="1" applyAlignment="1">
      <alignment horizontal="right"/>
    </xf>
    <xf numFmtId="0" fontId="53" fillId="0" borderId="0" xfId="0" applyFont="1" applyAlignment="1">
      <alignment horizontal="right"/>
    </xf>
    <xf numFmtId="0" fontId="52" fillId="0" borderId="0" xfId="0" applyFont="1"/>
    <xf numFmtId="4" fontId="57" fillId="0" borderId="0" xfId="0" applyNumberFormat="1" applyFont="1" applyAlignment="1">
      <alignment horizontal="right"/>
    </xf>
    <xf numFmtId="0" fontId="51" fillId="0" borderId="4" xfId="0" applyFont="1" applyBorder="1" applyAlignment="1">
      <alignment horizontal="right"/>
    </xf>
    <xf numFmtId="14" fontId="57" fillId="0" borderId="0" xfId="0" applyNumberFormat="1" applyFont="1" applyAlignment="1">
      <alignment horizontal="right"/>
    </xf>
    <xf numFmtId="0" fontId="51" fillId="0" borderId="0" xfId="0" applyFont="1" applyAlignment="1">
      <alignment horizontal="right"/>
    </xf>
    <xf numFmtId="0" fontId="51" fillId="0" borderId="0" xfId="0" applyFont="1"/>
    <xf numFmtId="0" fontId="50" fillId="0" borderId="0" xfId="0" applyFont="1"/>
    <xf numFmtId="0" fontId="50" fillId="0" borderId="0" xfId="0" applyFont="1" applyAlignment="1">
      <alignment horizontal="right"/>
    </xf>
    <xf numFmtId="0" fontId="50" fillId="0" borderId="3" xfId="0" applyFont="1" applyBorder="1" applyAlignment="1">
      <alignment horizontal="center"/>
    </xf>
    <xf numFmtId="0" fontId="50" fillId="0" borderId="6" xfId="0" applyFont="1" applyBorder="1" applyAlignment="1">
      <alignment horizontal="center"/>
    </xf>
    <xf numFmtId="0" fontId="50" fillId="0" borderId="4" xfId="0" applyFont="1" applyBorder="1" applyAlignment="1">
      <alignment horizontal="center"/>
    </xf>
    <xf numFmtId="0" fontId="57" fillId="0" borderId="5" xfId="0" applyFont="1" applyBorder="1"/>
    <xf numFmtId="3" fontId="60" fillId="0" borderId="0" xfId="0" applyNumberFormat="1" applyFont="1"/>
    <xf numFmtId="0" fontId="49" fillId="0" borderId="0" xfId="0" applyFont="1"/>
    <xf numFmtId="0" fontId="48" fillId="0" borderId="0" xfId="0" applyFont="1" applyAlignment="1">
      <alignment horizontal="right"/>
    </xf>
    <xf numFmtId="0" fontId="47" fillId="0" borderId="0" xfId="0" applyFont="1" applyAlignment="1">
      <alignment horizontal="right"/>
    </xf>
    <xf numFmtId="0" fontId="47" fillId="0" borderId="0" xfId="0" applyFont="1"/>
    <xf numFmtId="3" fontId="63" fillId="0" borderId="0" xfId="0" applyNumberFormat="1" applyFont="1"/>
    <xf numFmtId="3" fontId="66" fillId="0" borderId="0" xfId="0" applyNumberFormat="1" applyFont="1"/>
    <xf numFmtId="3" fontId="47" fillId="0" borderId="0" xfId="0" applyNumberFormat="1" applyFont="1"/>
    <xf numFmtId="4" fontId="63" fillId="0" borderId="0" xfId="0" applyNumberFormat="1" applyFont="1" applyAlignment="1">
      <alignment horizontal="right"/>
    </xf>
    <xf numFmtId="4" fontId="66" fillId="0" borderId="0" xfId="0" applyNumberFormat="1" applyFont="1" applyAlignment="1">
      <alignment horizontal="right"/>
    </xf>
    <xf numFmtId="0" fontId="46" fillId="0" borderId="0" xfId="0" applyFont="1"/>
    <xf numFmtId="0" fontId="45" fillId="0" borderId="0" xfId="0" applyFont="1"/>
    <xf numFmtId="0" fontId="67" fillId="0" borderId="0" xfId="0" applyFont="1"/>
    <xf numFmtId="0" fontId="44" fillId="0" borderId="0" xfId="0" applyFont="1"/>
    <xf numFmtId="0" fontId="44" fillId="0" borderId="0" xfId="0" applyFont="1" applyAlignment="1">
      <alignment horizontal="right"/>
    </xf>
    <xf numFmtId="14" fontId="60" fillId="0" borderId="0" xfId="0" applyNumberFormat="1" applyFont="1"/>
    <xf numFmtId="0" fontId="60" fillId="0" borderId="0" xfId="0" applyFont="1" applyAlignment="1">
      <alignment horizontal="right"/>
    </xf>
    <xf numFmtId="4" fontId="60" fillId="0" borderId="0" xfId="0" applyNumberFormat="1" applyFont="1" applyAlignment="1">
      <alignment horizontal="right"/>
    </xf>
    <xf numFmtId="3" fontId="60" fillId="0" borderId="0" xfId="0" applyNumberFormat="1" applyFont="1" applyAlignment="1">
      <alignment horizontal="right"/>
    </xf>
    <xf numFmtId="3" fontId="43" fillId="0" borderId="0" xfId="0" applyNumberFormat="1" applyFont="1"/>
    <xf numFmtId="0" fontId="43" fillId="0" borderId="0" xfId="0" applyFont="1"/>
    <xf numFmtId="0" fontId="43" fillId="0" borderId="3" xfId="0" applyFont="1" applyBorder="1"/>
    <xf numFmtId="0" fontId="43" fillId="0" borderId="4" xfId="0" applyFont="1" applyBorder="1"/>
    <xf numFmtId="2" fontId="43" fillId="0" borderId="4" xfId="0" applyNumberFormat="1" applyFont="1" applyBorder="1" applyAlignment="1">
      <alignment horizontal="right"/>
    </xf>
    <xf numFmtId="3" fontId="43" fillId="0" borderId="4" xfId="0" applyNumberFormat="1" applyFont="1" applyBorder="1" applyAlignment="1">
      <alignment horizontal="right"/>
    </xf>
    <xf numFmtId="0" fontId="43" fillId="0" borderId="4" xfId="0" applyFont="1" applyBorder="1" applyAlignment="1">
      <alignment horizontal="right"/>
    </xf>
    <xf numFmtId="0" fontId="43" fillId="0" borderId="4" xfId="0" applyFont="1" applyBorder="1" applyAlignment="1">
      <alignment horizontal="center"/>
    </xf>
    <xf numFmtId="0" fontId="43" fillId="0" borderId="5" xfId="0" applyFont="1" applyBorder="1" applyAlignment="1">
      <alignment horizontal="center"/>
    </xf>
    <xf numFmtId="0" fontId="43" fillId="0" borderId="3" xfId="0" applyFont="1" applyBorder="1" applyAlignment="1">
      <alignment horizontal="center"/>
    </xf>
    <xf numFmtId="0" fontId="43" fillId="0" borderId="6" xfId="0" applyFont="1" applyBorder="1" applyAlignment="1">
      <alignment horizontal="center"/>
    </xf>
    <xf numFmtId="0" fontId="42" fillId="0" borderId="0" xfId="0" applyFont="1"/>
    <xf numFmtId="3" fontId="42" fillId="0" borderId="0" xfId="0" applyNumberFormat="1" applyFont="1"/>
    <xf numFmtId="3" fontId="41" fillId="0" borderId="0" xfId="0" applyNumberFormat="1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3" fontId="34" fillId="0" borderId="0" xfId="0" applyNumberFormat="1" applyFont="1"/>
    <xf numFmtId="0" fontId="34" fillId="0" borderId="0" xfId="0" applyFont="1"/>
    <xf numFmtId="3" fontId="33" fillId="0" borderId="0" xfId="0" applyNumberFormat="1" applyFont="1"/>
    <xf numFmtId="0" fontId="32" fillId="0" borderId="0" xfId="0" applyFont="1"/>
    <xf numFmtId="0" fontId="68" fillId="0" borderId="0" xfId="0" applyFont="1"/>
    <xf numFmtId="0" fontId="31" fillId="0" borderId="0" xfId="0" applyFont="1"/>
    <xf numFmtId="0" fontId="69" fillId="0" borderId="0" xfId="1" applyFont="1"/>
    <xf numFmtId="0" fontId="30" fillId="0" borderId="0" xfId="0" applyFont="1"/>
    <xf numFmtId="3" fontId="30" fillId="0" borderId="0" xfId="0" applyNumberFormat="1" applyFont="1"/>
    <xf numFmtId="0" fontId="29" fillId="0" borderId="0" xfId="0" applyFont="1" applyAlignment="1">
      <alignment horizontal="right"/>
    </xf>
    <xf numFmtId="0" fontId="28" fillId="0" borderId="0" xfId="0" applyFont="1"/>
    <xf numFmtId="0" fontId="28" fillId="0" borderId="0" xfId="0" applyFont="1" applyAlignment="1">
      <alignment horizontal="right"/>
    </xf>
    <xf numFmtId="14" fontId="43" fillId="0" borderId="0" xfId="0" applyNumberFormat="1" applyFont="1"/>
    <xf numFmtId="3" fontId="27" fillId="0" borderId="0" xfId="0" applyNumberFormat="1" applyFont="1"/>
    <xf numFmtId="0" fontId="26" fillId="0" borderId="0" xfId="0" applyFont="1"/>
    <xf numFmtId="3" fontId="26" fillId="0" borderId="0" xfId="0" applyNumberFormat="1" applyFont="1"/>
    <xf numFmtId="0" fontId="25" fillId="0" borderId="0" xfId="0" applyFont="1"/>
    <xf numFmtId="0" fontId="24" fillId="0" borderId="0" xfId="0" applyFont="1"/>
    <xf numFmtId="3" fontId="23" fillId="0" borderId="0" xfId="0" applyNumberFormat="1" applyFont="1"/>
    <xf numFmtId="0" fontId="22" fillId="0" borderId="0" xfId="0" applyFont="1"/>
    <xf numFmtId="0" fontId="21" fillId="0" borderId="0" xfId="0" applyFont="1"/>
    <xf numFmtId="3" fontId="20" fillId="0" borderId="0" xfId="0" applyNumberFormat="1" applyFont="1"/>
    <xf numFmtId="0" fontId="19" fillId="0" borderId="0" xfId="0" applyFont="1"/>
    <xf numFmtId="3" fontId="67" fillId="0" borderId="0" xfId="0" applyNumberFormat="1" applyFont="1"/>
    <xf numFmtId="0" fontId="65" fillId="0" borderId="1" xfId="1" applyFont="1" applyBorder="1"/>
    <xf numFmtId="9" fontId="57" fillId="0" borderId="2" xfId="0" applyNumberFormat="1" applyFont="1" applyBorder="1" applyAlignment="1">
      <alignment horizontal="center"/>
    </xf>
    <xf numFmtId="0" fontId="32" fillId="0" borderId="0" xfId="0" applyFont="1" applyAlignment="1">
      <alignment horizontal="right"/>
    </xf>
    <xf numFmtId="0" fontId="24" fillId="0" borderId="1" xfId="0" applyFont="1" applyBorder="1"/>
    <xf numFmtId="0" fontId="54" fillId="0" borderId="1" xfId="0" applyFont="1" applyBorder="1"/>
    <xf numFmtId="0" fontId="54" fillId="0" borderId="0" xfId="0" applyFont="1"/>
    <xf numFmtId="0" fontId="21" fillId="0" borderId="1" xfId="0" applyFont="1" applyBorder="1"/>
    <xf numFmtId="0" fontId="57" fillId="0" borderId="1" xfId="0" applyFont="1" applyBorder="1"/>
    <xf numFmtId="0" fontId="55" fillId="0" borderId="1" xfId="0" applyFont="1" applyBorder="1"/>
    <xf numFmtId="0" fontId="55" fillId="0" borderId="0" xfId="0" applyFont="1"/>
    <xf numFmtId="0" fontId="50" fillId="0" borderId="1" xfId="0" applyFont="1" applyBorder="1"/>
    <xf numFmtId="0" fontId="57" fillId="0" borderId="7" xfId="0" applyFont="1" applyBorder="1"/>
    <xf numFmtId="0" fontId="57" fillId="0" borderId="6" xfId="0" applyFont="1" applyBorder="1"/>
    <xf numFmtId="2" fontId="57" fillId="0" borderId="6" xfId="0" applyNumberFormat="1" applyFont="1" applyBorder="1" applyAlignment="1">
      <alignment horizontal="right"/>
    </xf>
    <xf numFmtId="3" fontId="57" fillId="0" borderId="6" xfId="0" applyNumberFormat="1" applyFont="1" applyBorder="1" applyAlignment="1">
      <alignment horizontal="right"/>
    </xf>
    <xf numFmtId="0" fontId="57" fillId="0" borderId="6" xfId="0" applyFont="1" applyBorder="1" applyAlignment="1">
      <alignment horizontal="right"/>
    </xf>
    <xf numFmtId="0" fontId="57" fillId="0" borderId="6" xfId="0" applyFont="1" applyBorder="1" applyAlignment="1">
      <alignment horizontal="center"/>
    </xf>
    <xf numFmtId="0" fontId="57" fillId="0" borderId="8" xfId="0" applyFont="1" applyBorder="1" applyAlignment="1">
      <alignment horizontal="center"/>
    </xf>
    <xf numFmtId="0" fontId="19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 applyAlignment="1">
      <alignment horizontal="right"/>
    </xf>
    <xf numFmtId="0" fontId="12" fillId="0" borderId="0" xfId="0" applyFont="1"/>
    <xf numFmtId="0" fontId="11" fillId="0" borderId="0" xfId="0" applyFont="1" applyAlignment="1">
      <alignment horizontal="right"/>
    </xf>
    <xf numFmtId="0" fontId="10" fillId="0" borderId="0" xfId="0" applyFont="1"/>
    <xf numFmtId="0" fontId="65" fillId="0" borderId="0" xfId="1" applyFont="1" applyBorder="1"/>
    <xf numFmtId="0" fontId="9" fillId="0" borderId="0" xfId="0" applyFont="1"/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4" fontId="63" fillId="0" borderId="0" xfId="0" applyNumberFormat="1" applyFont="1"/>
    <xf numFmtId="0" fontId="2" fillId="0" borderId="0" xfId="0" applyFont="1"/>
    <xf numFmtId="165" fontId="57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114101</v>
          </cell>
        </row>
        <row r="6">
          <cell r="L6">
            <v>48622</v>
          </cell>
        </row>
      </sheetData>
      <sheetData sheetId="1">
        <row r="26">
          <cell r="Y26">
            <v>9.6463099263974534</v>
          </cell>
          <cell r="Z26">
            <v>10.566483671729284</v>
          </cell>
          <cell r="AA26">
            <v>11.887286441105783</v>
          </cell>
          <cell r="AB26">
            <v>12.759216407385425</v>
          </cell>
        </row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240.86292434566818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12807</v>
          </cell>
        </row>
        <row r="5">
          <cell r="L5">
            <v>146678</v>
          </cell>
        </row>
        <row r="6">
          <cell r="L6">
            <v>14653</v>
          </cell>
        </row>
      </sheetData>
      <sheetData sheetId="1">
        <row r="29">
          <cell r="AQ29">
            <v>0.10000000000000009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4">
          <cell r="BA34">
            <v>0.15491793611792834</v>
          </cell>
          <cell r="BB34">
            <v>2.206367139333532</v>
          </cell>
          <cell r="BC34">
            <v>2.4325852213221908</v>
          </cell>
          <cell r="BD34">
            <v>3.9987287268800702</v>
          </cell>
        </row>
        <row r="45">
          <cell r="BL45">
            <v>0.08</v>
          </cell>
        </row>
        <row r="46">
          <cell r="BL46">
            <v>0.01</v>
          </cell>
        </row>
        <row r="47">
          <cell r="BL47">
            <v>0</v>
          </cell>
        </row>
        <row r="49">
          <cell r="BL49">
            <v>139.08156491053268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2746</v>
          </cell>
        </row>
        <row r="5">
          <cell r="G5">
            <v>7350</v>
          </cell>
        </row>
        <row r="6">
          <cell r="G6">
            <v>90919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SFT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19</v>
      </c>
    </row>
    <row r="3" spans="1:3" x14ac:dyDescent="0.2">
      <c r="B3" s="139" t="s">
        <v>349</v>
      </c>
      <c r="C3" s="139" t="s">
        <v>350</v>
      </c>
    </row>
    <row r="4" spans="1:3" x14ac:dyDescent="0.2">
      <c r="B4" s="139" t="s">
        <v>351</v>
      </c>
      <c r="C4" s="139" t="s">
        <v>352</v>
      </c>
    </row>
    <row r="5" spans="1:3" x14ac:dyDescent="0.2">
      <c r="B5" s="139" t="s">
        <v>353</v>
      </c>
    </row>
    <row r="6" spans="1:3" x14ac:dyDescent="0.2">
      <c r="B6" s="139" t="s">
        <v>346</v>
      </c>
    </row>
    <row r="7" spans="1:3" x14ac:dyDescent="0.2">
      <c r="B7" s="139" t="s">
        <v>344</v>
      </c>
    </row>
    <row r="8" spans="1:3" x14ac:dyDescent="0.2">
      <c r="B8" s="139" t="s">
        <v>348</v>
      </c>
    </row>
    <row r="9" spans="1:3" x14ac:dyDescent="0.2">
      <c r="B9" s="139" t="s">
        <v>345</v>
      </c>
    </row>
    <row r="10" spans="1:3" x14ac:dyDescent="0.2">
      <c r="B10" s="139" t="s">
        <v>354</v>
      </c>
    </row>
    <row r="11" spans="1:3" x14ac:dyDescent="0.2">
      <c r="B11" s="139" t="s">
        <v>355</v>
      </c>
    </row>
    <row r="12" spans="1:3" x14ac:dyDescent="0.2">
      <c r="B12" s="139" t="s">
        <v>347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workbookViewId="0">
      <selection activeCell="B2" sqref="B2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360</v>
      </c>
    </row>
    <row r="3" spans="1:3" x14ac:dyDescent="0.2">
      <c r="B3" s="139" t="s">
        <v>356</v>
      </c>
    </row>
    <row r="4" spans="1:3" x14ac:dyDescent="0.2">
      <c r="B4" s="139" t="s">
        <v>357</v>
      </c>
      <c r="C4" s="139" t="s">
        <v>358</v>
      </c>
    </row>
    <row r="5" spans="1:3" x14ac:dyDescent="0.2">
      <c r="B5" s="139" t="s">
        <v>359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zoomScale="145" zoomScaleNormal="14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5703125" defaultRowHeight="12.75" x14ac:dyDescent="0.2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-4.4194744660046914E-2</v>
      </c>
      <c r="P2" s="29">
        <f>AVERAGE(P4:P5)</f>
        <v>25.22299908757552</v>
      </c>
      <c r="Q2" s="37">
        <f>AVERAGE(Q4:Q5)</f>
        <v>23.026474466900336</v>
      </c>
      <c r="R2" s="37">
        <f>AVERAGE(R4:R5)</f>
        <v>20.46799054413637</v>
      </c>
      <c r="S2" s="30">
        <f>AVERAGE(S4:S5)</f>
        <v>19.069264028718802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65479</v>
      </c>
      <c r="G4" s="22">
        <f>+E4-F4</f>
        <v>1833089</v>
      </c>
      <c r="H4" s="22">
        <f>+[1]Main!$L$3</f>
        <v>7534</v>
      </c>
      <c r="I4" s="146" t="s">
        <v>361</v>
      </c>
      <c r="J4" s="43">
        <v>44938</v>
      </c>
      <c r="K4" s="27">
        <f>+[1]Model!$AJ$32</f>
        <v>240.86292434566818</v>
      </c>
      <c r="L4" s="28">
        <f>K4/D4-1</f>
        <v>-4.4194744660046914E-2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  <c r="P4" s="29">
        <f>+$G$4/$H$4/T4</f>
        <v>25.22299908757552</v>
      </c>
      <c r="Q4" s="30">
        <f t="shared" ref="Q4:S4" si="0">+$G$4/$H$4/U4</f>
        <v>23.026474466900336</v>
      </c>
      <c r="R4" s="30">
        <f t="shared" si="0"/>
        <v>20.46799054413637</v>
      </c>
      <c r="S4" s="31">
        <f t="shared" si="0"/>
        <v>19.069264028718802</v>
      </c>
      <c r="T4" s="32">
        <f>+[1]Model!$Y$26</f>
        <v>9.6463099263974534</v>
      </c>
      <c r="U4" s="27">
        <f>+[1]Model!$Z$26</f>
        <v>10.566483671729284</v>
      </c>
      <c r="V4" s="27">
        <f>+[1]Model!$AA$26</f>
        <v>11.887286441105783</v>
      </c>
      <c r="W4" s="33">
        <f>+[1]Model!$AB$26</f>
        <v>12.759216407385425</v>
      </c>
      <c r="X4" s="20">
        <v>1975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99.6</v>
      </c>
      <c r="E5" s="22">
        <f>D5*[2]Main!$L$3</f>
        <v>1275577.2</v>
      </c>
      <c r="F5" s="22">
        <f>[2]Main!$L$5-[2]Main!$L$6</f>
        <v>132025</v>
      </c>
      <c r="G5" s="22">
        <f>+E5-F5</f>
        <v>1143552.2</v>
      </c>
      <c r="H5" s="22">
        <f>[2]Main!$L$3</f>
        <v>12807</v>
      </c>
      <c r="I5" s="146" t="s">
        <v>361</v>
      </c>
      <c r="J5" s="43">
        <v>44938</v>
      </c>
      <c r="K5" s="27"/>
      <c r="L5" s="28"/>
      <c r="M5" s="28"/>
      <c r="N5" s="28"/>
      <c r="O5" s="116">
        <f>+[2]Model!$AQ$29</f>
        <v>0.10000000000000009</v>
      </c>
      <c r="P5" s="29"/>
      <c r="Q5" s="30"/>
      <c r="R5" s="30"/>
      <c r="S5" s="31"/>
      <c r="T5" s="32"/>
      <c r="U5" s="27"/>
      <c r="V5" s="27"/>
      <c r="W5" s="33"/>
      <c r="X5" s="20">
        <v>1998</v>
      </c>
    </row>
    <row r="6" spans="1:24" x14ac:dyDescent="0.2">
      <c r="A6" s="107" t="s">
        <v>263</v>
      </c>
      <c r="B6" s="115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  <c r="X6" s="20">
        <v>1995</v>
      </c>
    </row>
    <row r="7" spans="1:24" x14ac:dyDescent="0.2">
      <c r="A7" s="90" t="s">
        <v>263</v>
      </c>
      <c r="B7" s="115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8" t="s">
        <v>263</v>
      </c>
      <c r="B8" s="119" t="s">
        <v>229</v>
      </c>
      <c r="C8" s="120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 x14ac:dyDescent="0.2">
      <c r="A9" s="111" t="s">
        <v>263</v>
      </c>
      <c r="B9" s="121" t="s">
        <v>323</v>
      </c>
      <c r="C9" s="111" t="s">
        <v>324</v>
      </c>
      <c r="D9" s="21">
        <v>46.37</v>
      </c>
      <c r="E9" s="22">
        <v>20860</v>
      </c>
      <c r="O9" s="26"/>
    </row>
    <row r="10" spans="1:24" x14ac:dyDescent="0.2">
      <c r="B10" s="122" t="s">
        <v>79</v>
      </c>
      <c r="C10" s="20" t="s">
        <v>184</v>
      </c>
      <c r="D10" s="21">
        <v>113.23</v>
      </c>
      <c r="E10" s="22">
        <v>33330</v>
      </c>
      <c r="O10" s="26"/>
    </row>
    <row r="11" spans="1:24" x14ac:dyDescent="0.2">
      <c r="B11" s="122" t="s">
        <v>56</v>
      </c>
      <c r="C11" s="20" t="s">
        <v>57</v>
      </c>
      <c r="D11" s="21">
        <v>54.71</v>
      </c>
      <c r="E11" s="22">
        <v>28410</v>
      </c>
      <c r="O11" s="26"/>
    </row>
    <row r="12" spans="1:24" x14ac:dyDescent="0.2">
      <c r="B12" s="122" t="s">
        <v>191</v>
      </c>
      <c r="C12" s="20" t="s">
        <v>192</v>
      </c>
      <c r="D12" s="21">
        <v>181.71</v>
      </c>
      <c r="E12" s="22">
        <v>25220</v>
      </c>
      <c r="O12" s="26"/>
    </row>
    <row r="13" spans="1:24" x14ac:dyDescent="0.2">
      <c r="B13" s="115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</row>
    <row r="14" spans="1:24" x14ac:dyDescent="0.2">
      <c r="B14" s="122" t="s">
        <v>65</v>
      </c>
      <c r="C14" s="20" t="s">
        <v>66</v>
      </c>
      <c r="D14" s="21">
        <v>312</v>
      </c>
      <c r="E14" s="22">
        <v>19090</v>
      </c>
      <c r="O14" s="26"/>
    </row>
    <row r="15" spans="1:24" x14ac:dyDescent="0.2">
      <c r="B15" s="122" t="s">
        <v>69</v>
      </c>
      <c r="C15" s="20" t="s">
        <v>70</v>
      </c>
      <c r="D15" s="21">
        <v>360.34</v>
      </c>
      <c r="E15" s="22">
        <v>18140</v>
      </c>
      <c r="O15" s="26"/>
    </row>
    <row r="16" spans="1:24" x14ac:dyDescent="0.2">
      <c r="B16" s="122" t="s">
        <v>195</v>
      </c>
      <c r="C16" s="20" t="s">
        <v>196</v>
      </c>
      <c r="D16" s="21">
        <v>114.84</v>
      </c>
      <c r="E16" s="22">
        <v>17930</v>
      </c>
      <c r="O16" s="26"/>
    </row>
    <row r="17" spans="2:15" x14ac:dyDescent="0.2">
      <c r="B17" s="122" t="s">
        <v>73</v>
      </c>
      <c r="C17" s="20" t="s">
        <v>74</v>
      </c>
      <c r="D17" s="21">
        <v>43.75</v>
      </c>
      <c r="E17" s="22">
        <v>17180</v>
      </c>
      <c r="O17" s="26"/>
    </row>
    <row r="18" spans="2:15" x14ac:dyDescent="0.2">
      <c r="B18" s="122" t="s">
        <v>79</v>
      </c>
      <c r="C18" s="20" t="s">
        <v>80</v>
      </c>
      <c r="D18" s="21">
        <v>40.44</v>
      </c>
      <c r="E18" s="22">
        <v>16810</v>
      </c>
      <c r="O18" s="26"/>
    </row>
    <row r="19" spans="2:15" x14ac:dyDescent="0.2">
      <c r="B19" s="122" t="s">
        <v>85</v>
      </c>
      <c r="C19" s="20" t="s">
        <v>86</v>
      </c>
      <c r="D19" s="21">
        <v>363.45</v>
      </c>
      <c r="E19" s="22">
        <v>15250</v>
      </c>
      <c r="O19" s="26"/>
    </row>
    <row r="20" spans="2:15" x14ac:dyDescent="0.2">
      <c r="B20" s="122" t="s">
        <v>197</v>
      </c>
      <c r="C20" s="20" t="s">
        <v>198</v>
      </c>
      <c r="D20" s="21">
        <v>87.46</v>
      </c>
      <c r="E20" s="22">
        <v>16020</v>
      </c>
      <c r="O20" s="26"/>
    </row>
    <row r="21" spans="2:15" x14ac:dyDescent="0.2">
      <c r="B21" s="122" t="s">
        <v>203</v>
      </c>
      <c r="C21" s="20" t="s">
        <v>204</v>
      </c>
      <c r="D21" s="21">
        <v>97.08</v>
      </c>
      <c r="E21" s="22">
        <v>15070</v>
      </c>
      <c r="O21" s="26"/>
    </row>
    <row r="22" spans="2:15" x14ac:dyDescent="0.2">
      <c r="B22" s="122" t="s">
        <v>90</v>
      </c>
      <c r="C22" s="20" t="s">
        <v>91</v>
      </c>
      <c r="D22" s="21">
        <v>135.02000000000001</v>
      </c>
      <c r="E22" s="22">
        <v>14050</v>
      </c>
      <c r="O22" s="26"/>
    </row>
    <row r="23" spans="2:15" x14ac:dyDescent="0.2">
      <c r="B23" s="122" t="s">
        <v>92</v>
      </c>
      <c r="C23" s="20" t="s">
        <v>93</v>
      </c>
      <c r="D23" s="21">
        <v>206.61</v>
      </c>
      <c r="E23" s="22">
        <v>13880</v>
      </c>
      <c r="O23" s="26"/>
    </row>
    <row r="24" spans="2:15" x14ac:dyDescent="0.2">
      <c r="B24" s="122" t="s">
        <v>94</v>
      </c>
      <c r="C24" s="20" t="s">
        <v>94</v>
      </c>
      <c r="D24" s="21">
        <v>115.52</v>
      </c>
      <c r="E24" s="22">
        <v>13640</v>
      </c>
      <c r="O24" s="26"/>
    </row>
    <row r="25" spans="2:15" x14ac:dyDescent="0.2">
      <c r="B25" s="122" t="s">
        <v>95</v>
      </c>
      <c r="C25" s="20" t="s">
        <v>95</v>
      </c>
      <c r="D25" s="21">
        <v>206.68</v>
      </c>
      <c r="E25" s="22">
        <v>12990</v>
      </c>
      <c r="O25" s="26"/>
    </row>
    <row r="26" spans="2:15" x14ac:dyDescent="0.2">
      <c r="B26" s="122" t="s">
        <v>96</v>
      </c>
      <c r="C26" s="20" t="s">
        <v>97</v>
      </c>
      <c r="D26" s="21">
        <v>43.77</v>
      </c>
      <c r="E26" s="22">
        <v>12660</v>
      </c>
      <c r="O26" s="26"/>
    </row>
    <row r="27" spans="2:15" x14ac:dyDescent="0.2">
      <c r="B27" s="122" t="s">
        <v>100</v>
      </c>
      <c r="C27" s="20" t="s">
        <v>101</v>
      </c>
      <c r="D27" s="21">
        <v>98.74</v>
      </c>
      <c r="E27" s="22">
        <v>12490</v>
      </c>
      <c r="O27" s="26"/>
    </row>
    <row r="28" spans="2:15" x14ac:dyDescent="0.2">
      <c r="B28" s="122" t="s">
        <v>102</v>
      </c>
      <c r="C28" s="20" t="s">
        <v>103</v>
      </c>
      <c r="D28" s="21">
        <v>40.369999999999997</v>
      </c>
      <c r="E28" s="22">
        <v>11000</v>
      </c>
      <c r="O28" s="26"/>
    </row>
    <row r="29" spans="2:15" x14ac:dyDescent="0.2">
      <c r="B29" s="122" t="s">
        <v>104</v>
      </c>
      <c r="C29" s="20" t="s">
        <v>105</v>
      </c>
      <c r="D29" s="21">
        <v>408.48</v>
      </c>
      <c r="E29" s="22">
        <v>10570</v>
      </c>
      <c r="O29" s="26"/>
    </row>
    <row r="30" spans="2:15" x14ac:dyDescent="0.2">
      <c r="B30" s="122" t="s">
        <v>108</v>
      </c>
      <c r="C30" s="20" t="s">
        <v>109</v>
      </c>
      <c r="D30" s="21">
        <v>80.52</v>
      </c>
      <c r="E30" s="22">
        <v>10310</v>
      </c>
      <c r="O30" s="26"/>
    </row>
    <row r="31" spans="2:15" x14ac:dyDescent="0.2">
      <c r="B31" s="122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15" x14ac:dyDescent="0.2">
      <c r="B32" s="122" t="s">
        <v>113</v>
      </c>
      <c r="C32" s="20" t="s">
        <v>114</v>
      </c>
      <c r="D32" s="21">
        <v>8.17</v>
      </c>
      <c r="E32" s="22">
        <v>9320</v>
      </c>
      <c r="O32" s="26"/>
    </row>
    <row r="33" spans="2:15" x14ac:dyDescent="0.2">
      <c r="B33" s="122" t="s">
        <v>115</v>
      </c>
      <c r="C33" s="20" t="s">
        <v>116</v>
      </c>
      <c r="D33" s="21">
        <v>14.73</v>
      </c>
      <c r="E33" s="22">
        <v>9140</v>
      </c>
      <c r="O33" s="26"/>
    </row>
    <row r="34" spans="2:15" x14ac:dyDescent="0.2">
      <c r="B34" s="122" t="s">
        <v>117</v>
      </c>
      <c r="C34" s="20" t="s">
        <v>118</v>
      </c>
      <c r="D34" s="21">
        <v>56.9</v>
      </c>
      <c r="E34" s="22">
        <v>9000</v>
      </c>
      <c r="O34" s="26"/>
    </row>
    <row r="35" spans="2:15" x14ac:dyDescent="0.2">
      <c r="B35" s="122" t="s">
        <v>119</v>
      </c>
      <c r="C35" s="20" t="s">
        <v>120</v>
      </c>
      <c r="D35" s="21">
        <v>203.42</v>
      </c>
      <c r="E35" s="22">
        <v>8580</v>
      </c>
      <c r="O35" s="26"/>
    </row>
    <row r="36" spans="2:15" x14ac:dyDescent="0.2">
      <c r="B36" s="122" t="s">
        <v>122</v>
      </c>
      <c r="C36" s="20" t="s">
        <v>123</v>
      </c>
      <c r="D36" s="21">
        <v>126.81</v>
      </c>
      <c r="E36" s="22">
        <v>8200</v>
      </c>
      <c r="O36" s="26"/>
    </row>
    <row r="37" spans="2:15" x14ac:dyDescent="0.2">
      <c r="B37" s="122" t="s">
        <v>124</v>
      </c>
      <c r="C37" s="20" t="s">
        <v>125</v>
      </c>
      <c r="D37" s="21">
        <v>50.35</v>
      </c>
      <c r="E37" s="22">
        <v>8150</v>
      </c>
      <c r="O37" s="26"/>
    </row>
    <row r="38" spans="2:15" x14ac:dyDescent="0.2">
      <c r="B38" s="122" t="s">
        <v>127</v>
      </c>
      <c r="C38" s="20" t="s">
        <v>128</v>
      </c>
      <c r="D38" s="21">
        <v>88.7</v>
      </c>
      <c r="E38" s="22">
        <v>7910</v>
      </c>
      <c r="O38" s="26"/>
    </row>
    <row r="39" spans="2:15" x14ac:dyDescent="0.2">
      <c r="B39" s="122" t="s">
        <v>129</v>
      </c>
      <c r="C39" s="20" t="s">
        <v>130</v>
      </c>
      <c r="D39" s="21">
        <v>78.3</v>
      </c>
      <c r="E39" s="22">
        <v>7580</v>
      </c>
      <c r="O39" s="26"/>
    </row>
    <row r="40" spans="2:15" x14ac:dyDescent="0.2">
      <c r="B40" s="122" t="s">
        <v>131</v>
      </c>
      <c r="C40" s="20" t="s">
        <v>132</v>
      </c>
      <c r="D40" s="21">
        <v>50.36</v>
      </c>
      <c r="E40" s="22">
        <v>7140</v>
      </c>
      <c r="O40" s="26"/>
    </row>
    <row r="41" spans="2:15" x14ac:dyDescent="0.2">
      <c r="B41" s="122" t="s">
        <v>133</v>
      </c>
      <c r="C41" s="20" t="s">
        <v>134</v>
      </c>
      <c r="D41" s="21">
        <v>80.58</v>
      </c>
      <c r="E41" s="22">
        <v>6930</v>
      </c>
      <c r="O41" s="26"/>
    </row>
    <row r="42" spans="2:15" x14ac:dyDescent="0.2">
      <c r="B42" s="122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15" x14ac:dyDescent="0.2">
      <c r="B43" s="122" t="s">
        <v>139</v>
      </c>
      <c r="C43" s="20" t="s">
        <v>140</v>
      </c>
      <c r="D43" s="21">
        <v>54.6</v>
      </c>
      <c r="E43" s="22">
        <v>6370</v>
      </c>
      <c r="O43" s="26"/>
    </row>
    <row r="44" spans="2:15" x14ac:dyDescent="0.2">
      <c r="B44" s="122" t="s">
        <v>141</v>
      </c>
      <c r="C44" s="20" t="s">
        <v>142</v>
      </c>
      <c r="D44" s="21">
        <v>62.59</v>
      </c>
      <c r="E44" s="22">
        <v>6350</v>
      </c>
      <c r="O44" s="26"/>
    </row>
    <row r="45" spans="2:15" x14ac:dyDescent="0.2">
      <c r="B45" s="122" t="s">
        <v>143</v>
      </c>
      <c r="C45" s="20" t="s">
        <v>143</v>
      </c>
      <c r="D45" s="21">
        <v>62.71</v>
      </c>
      <c r="E45" s="22">
        <v>3603</v>
      </c>
      <c r="O45" s="26"/>
    </row>
    <row r="46" spans="2:15" x14ac:dyDescent="0.2">
      <c r="B46" s="122" t="s">
        <v>144</v>
      </c>
      <c r="C46" s="20" t="s">
        <v>145</v>
      </c>
      <c r="D46" s="21">
        <v>21.19</v>
      </c>
      <c r="E46" s="22">
        <v>2965</v>
      </c>
      <c r="O46" s="26"/>
    </row>
    <row r="47" spans="2:15" x14ac:dyDescent="0.2">
      <c r="B47" s="122" t="s">
        <v>149</v>
      </c>
      <c r="C47" s="20" t="s">
        <v>150</v>
      </c>
      <c r="D47" s="21">
        <v>26.99</v>
      </c>
      <c r="E47" s="22">
        <v>1400</v>
      </c>
      <c r="O47" s="26"/>
    </row>
    <row r="48" spans="2:15" x14ac:dyDescent="0.2">
      <c r="B48" s="123" t="s">
        <v>225</v>
      </c>
      <c r="C48" s="124" t="s">
        <v>226</v>
      </c>
      <c r="D48" s="21">
        <v>13.95</v>
      </c>
      <c r="E48" s="22">
        <v>2030</v>
      </c>
      <c r="O48" s="26"/>
    </row>
    <row r="49" spans="2:15" x14ac:dyDescent="0.2">
      <c r="B49" s="123" t="s">
        <v>227</v>
      </c>
      <c r="C49" s="124" t="s">
        <v>228</v>
      </c>
      <c r="D49" s="21">
        <v>19.95</v>
      </c>
      <c r="E49" s="22">
        <v>2560</v>
      </c>
      <c r="O49" s="26"/>
    </row>
    <row r="50" spans="2:15" x14ac:dyDescent="0.2">
      <c r="B50" s="125" t="s">
        <v>236</v>
      </c>
      <c r="C50" s="46" t="s">
        <v>237</v>
      </c>
      <c r="O50" s="26"/>
    </row>
    <row r="51" spans="2:15" x14ac:dyDescent="0.2">
      <c r="B51" s="122"/>
      <c r="O51" s="26"/>
    </row>
    <row r="52" spans="2:15" x14ac:dyDescent="0.2">
      <c r="B52" s="122"/>
      <c r="O52" s="26"/>
    </row>
    <row r="53" spans="2:15" x14ac:dyDescent="0.2">
      <c r="B53" s="122"/>
      <c r="O53" s="26"/>
    </row>
    <row r="54" spans="2:15" x14ac:dyDescent="0.2">
      <c r="B54" s="122"/>
      <c r="O54" s="26"/>
    </row>
    <row r="55" spans="2:15" x14ac:dyDescent="0.2">
      <c r="B55" s="122"/>
      <c r="O55" s="26"/>
    </row>
    <row r="56" spans="2:15" x14ac:dyDescent="0.2">
      <c r="B56" s="122"/>
      <c r="O56" s="26"/>
    </row>
    <row r="57" spans="2:15" x14ac:dyDescent="0.2">
      <c r="B57" s="122"/>
      <c r="O57" s="26"/>
    </row>
    <row r="58" spans="2:15" x14ac:dyDescent="0.2">
      <c r="B58" s="122"/>
      <c r="O58" s="26"/>
    </row>
    <row r="59" spans="2:15" x14ac:dyDescent="0.2">
      <c r="B59" s="126"/>
      <c r="C59" s="127"/>
      <c r="D59" s="128"/>
      <c r="E59" s="129"/>
      <c r="F59" s="130"/>
      <c r="G59" s="130"/>
      <c r="H59" s="130"/>
      <c r="I59" s="130"/>
      <c r="J59" s="130"/>
      <c r="K59" s="131"/>
      <c r="L59" s="131"/>
      <c r="M59" s="131"/>
      <c r="N59" s="131"/>
      <c r="O59" s="132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  <hyperlink ref="B4" r:id="rId5" xr:uid="{8FE2D0E7-8B55-451A-A95B-7A06B5C1BDA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5" t="s">
        <v>11</v>
      </c>
      <c r="C3" s="20" t="s">
        <v>12</v>
      </c>
      <c r="D3" s="21">
        <v>88</v>
      </c>
      <c r="E3" s="22">
        <f>+D3*[6]Main!$K$3</f>
        <v>909128</v>
      </c>
      <c r="F3" s="22">
        <f>[6]Main!$K$5-[6]Main!$K$6</f>
        <v>-257</v>
      </c>
      <c r="G3" s="22">
        <f>+E3-F3</f>
        <v>909385</v>
      </c>
      <c r="H3" s="22">
        <f>+[6]Main!$K$3</f>
        <v>10331</v>
      </c>
      <c r="I3" s="142" t="s">
        <v>361</v>
      </c>
      <c r="J3" s="43">
        <v>44913</v>
      </c>
      <c r="K3" s="27">
        <f>+[6]Model!$BL$49</f>
        <v>139.08156491053268</v>
      </c>
      <c r="L3" s="28">
        <f>K3/D3-1</f>
        <v>0.5804723285287805</v>
      </c>
      <c r="M3" s="36">
        <f>+[6]Model!$BL$45</f>
        <v>0.08</v>
      </c>
      <c r="N3" s="28">
        <f>+[6]Model!$BL$47</f>
        <v>0</v>
      </c>
      <c r="O3" s="116">
        <f>+[6]Model!$BL$46</f>
        <v>0.01</v>
      </c>
      <c r="P3" s="29">
        <f>+($G3/$H3)/T3</f>
        <v>568.2032616160601</v>
      </c>
      <c r="Q3" s="30">
        <f>+($G3/$H3)/U3</f>
        <v>39.895842815908068</v>
      </c>
      <c r="R3" s="30">
        <f>+($G3/$H3)/V3</f>
        <v>36.185731876308488</v>
      </c>
      <c r="S3" s="31">
        <f>+($G3/$H3)/W3</f>
        <v>22.013215348497774</v>
      </c>
      <c r="T3" s="32">
        <f>+[6]Model!$BA$34</f>
        <v>0.15491793611792834</v>
      </c>
      <c r="U3" s="27">
        <f>+[6]Model!$BB$34</f>
        <v>2.206367139333532</v>
      </c>
      <c r="V3" s="27">
        <f>+[6]Model!$BC$34</f>
        <v>2.4325852213221908</v>
      </c>
      <c r="W3" s="33">
        <f>+[6]Model!$BD$34</f>
        <v>3.9987287268800702</v>
      </c>
      <c r="X3" s="20">
        <v>1994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218526.68</v>
      </c>
      <c r="F4" s="22">
        <f>+[7]Main!$G$5-[7]Main!$G$6</f>
        <v>-83569</v>
      </c>
      <c r="G4" s="22">
        <f>+E4-F4</f>
        <v>302095.68</v>
      </c>
      <c r="H4" s="22">
        <f>+[7]Main!$G$3</f>
        <v>2746</v>
      </c>
      <c r="I4" s="142" t="s">
        <v>361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146.88</v>
      </c>
      <c r="E5" s="22">
        <f>+D5*[8]Main!$M$3</f>
        <v>146880</v>
      </c>
      <c r="F5" s="22">
        <f>+[8]Main!$M$5-[8]Main!$M$6</f>
        <v>6442</v>
      </c>
      <c r="G5" s="22">
        <f t="shared" ref="G5:G8" si="0">E5-F5</f>
        <v>140438</v>
      </c>
      <c r="H5" s="22">
        <f>+[8]Main!$M$3</f>
        <v>1000</v>
      </c>
      <c r="I5" s="148" t="s">
        <v>361</v>
      </c>
      <c r="J5" s="43">
        <v>44946</v>
      </c>
      <c r="K5" s="27">
        <f>+[8]Model!$Z$38</f>
        <v>159.2157215866865</v>
      </c>
      <c r="L5" s="28">
        <f>+K5/D5-1</f>
        <v>8.3985032589096509E-2</v>
      </c>
      <c r="M5" s="28">
        <f>+[8]Model!$Z$36</f>
        <v>0.08</v>
      </c>
      <c r="N5" s="28">
        <f>+[8]Model!$Z$35</f>
        <v>0.01</v>
      </c>
      <c r="O5" s="28">
        <v>0</v>
      </c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 x14ac:dyDescent="0.2">
      <c r="A9" s="82" t="s">
        <v>263</v>
      </c>
      <c r="B9" s="82" t="s">
        <v>266</v>
      </c>
      <c r="C9" s="82" t="s">
        <v>266</v>
      </c>
      <c r="X9" s="72">
        <v>1911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X10" s="72">
        <v>2002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+[13]Main!$P$5-[13]Main!$P$6</f>
        <v>2134</v>
      </c>
      <c r="G11" s="22">
        <f t="shared" si="1"/>
        <v>40202</v>
      </c>
      <c r="H11" s="23">
        <f>+[13]Main!$P$3</f>
        <v>252</v>
      </c>
      <c r="I11" s="47" t="s">
        <v>14</v>
      </c>
      <c r="J11" s="43">
        <v>44793</v>
      </c>
      <c r="X11" s="72">
        <v>2005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 x14ac:dyDescent="0.2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 x14ac:dyDescent="0.2">
      <c r="B17" s="144" t="s">
        <v>201</v>
      </c>
      <c r="C17" s="20" t="s">
        <v>202</v>
      </c>
      <c r="D17" s="21">
        <v>59.49</v>
      </c>
      <c r="E17" s="22">
        <f>+D17*H17</f>
        <v>9339.93</v>
      </c>
      <c r="F17" s="22">
        <f>+[17]Main!$P$5-[17]Main!$P$6</f>
        <v>282</v>
      </c>
      <c r="G17" s="22">
        <f>+E17-F17</f>
        <v>9057.93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 x14ac:dyDescent="0.2">
      <c r="B18" s="122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 x14ac:dyDescent="0.2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x14ac:dyDescent="0.2">
      <c r="B20" s="135" t="s">
        <v>339</v>
      </c>
      <c r="C20" s="143" t="s">
        <v>386</v>
      </c>
      <c r="D20" s="72">
        <v>25.54</v>
      </c>
      <c r="E20" s="71">
        <v>4800</v>
      </c>
      <c r="X20" s="72">
        <v>2012</v>
      </c>
    </row>
    <row r="26" spans="2:24" x14ac:dyDescent="0.2">
      <c r="B26" s="95" t="s">
        <v>258</v>
      </c>
    </row>
    <row r="27" spans="2:24" x14ac:dyDescent="0.2">
      <c r="B27" s="94" t="s">
        <v>286</v>
      </c>
      <c r="E27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9" sqref="B29"/>
    </sheetView>
  </sheetViews>
  <sheetFormatPr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109.86</v>
      </c>
      <c r="E3" s="22">
        <f>+D3*[18]Main!$M$3</f>
        <v>291299.13732564001</v>
      </c>
      <c r="F3" s="22">
        <f>+[18]Main!$M$5-[18]Main!$M$6</f>
        <v>38382</v>
      </c>
      <c r="G3" s="22">
        <f t="shared" ref="G3:G4" si="0">+E3-F3</f>
        <v>252917.13732564001</v>
      </c>
      <c r="H3" s="22">
        <f>+[18]Main!$M$3</f>
        <v>2651.5486740000001</v>
      </c>
      <c r="I3" s="140" t="s">
        <v>361</v>
      </c>
      <c r="J3" s="43">
        <v>44959</v>
      </c>
      <c r="K3" s="27">
        <f>+[18]Model!$AX$53</f>
        <v>215.87667010339968</v>
      </c>
      <c r="L3" s="28">
        <f>K3/D3-1</f>
        <v>0.9650161123557226</v>
      </c>
      <c r="M3" s="28">
        <f>+[18]Model!$AX$50</f>
        <v>0.08</v>
      </c>
      <c r="N3" s="28">
        <f>+[18]Model!$AX$51</f>
        <v>-0.05</v>
      </c>
      <c r="O3" s="28">
        <f>+[18]Model!$AX$52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7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 x14ac:dyDescent="0.2">
      <c r="A6" s="137" t="s">
        <v>263</v>
      </c>
      <c r="B6" s="137" t="s">
        <v>340</v>
      </c>
      <c r="C6" s="137" t="s">
        <v>341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 x14ac:dyDescent="0.2">
      <c r="A7" s="107" t="s">
        <v>263</v>
      </c>
      <c r="B7" s="144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45" t="s">
        <v>263</v>
      </c>
      <c r="B8" s="144" t="s">
        <v>387</v>
      </c>
      <c r="C8" s="145" t="s">
        <v>388</v>
      </c>
      <c r="D8" s="21">
        <v>12</v>
      </c>
      <c r="E8" s="22">
        <f>+D8*H8</f>
        <v>19357.212852000001</v>
      </c>
      <c r="F8" s="151">
        <f>+[20]Main!$L$5-[20]Main!$L$6</f>
        <v>688.14800000000014</v>
      </c>
      <c r="G8" s="22">
        <f>E8-F8</f>
        <v>18669.064852</v>
      </c>
      <c r="H8" s="22">
        <f>+[20]Main!$L$3</f>
        <v>1613.101071</v>
      </c>
      <c r="I8" s="150" t="s">
        <v>210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 x14ac:dyDescent="0.2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 x14ac:dyDescent="0.2">
      <c r="B11" s="134" t="s">
        <v>329</v>
      </c>
      <c r="C11" s="134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34" t="s">
        <v>135</v>
      </c>
      <c r="C12" s="134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 x14ac:dyDescent="0.2">
      <c r="B13" s="141" t="s">
        <v>370</v>
      </c>
      <c r="C13" s="134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B14" s="134" t="s">
        <v>334</v>
      </c>
      <c r="C14" s="134" t="s">
        <v>335</v>
      </c>
    </row>
    <row r="15" spans="1:24" s="20" customFormat="1" x14ac:dyDescent="0.2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B16" s="64" t="s">
        <v>258</v>
      </c>
    </row>
    <row r="17" spans="1:23" x14ac:dyDescent="0.2">
      <c r="B17" s="96" t="s">
        <v>288</v>
      </c>
    </row>
    <row r="18" spans="1:23" x14ac:dyDescent="0.2">
      <c r="B18" s="63" t="s">
        <v>257</v>
      </c>
    </row>
    <row r="19" spans="1:23" x14ac:dyDescent="0.2">
      <c r="B19" s="134" t="s">
        <v>328</v>
      </c>
    </row>
    <row r="20" spans="1:23" x14ac:dyDescent="0.2">
      <c r="B20" s="63" t="s">
        <v>256</v>
      </c>
    </row>
    <row r="21" spans="1:23" x14ac:dyDescent="0.2">
      <c r="B21" s="134" t="s">
        <v>331</v>
      </c>
    </row>
    <row r="22" spans="1:23" x14ac:dyDescent="0.2">
      <c r="B22" s="64" t="s">
        <v>332</v>
      </c>
    </row>
    <row r="23" spans="1:23" x14ac:dyDescent="0.2">
      <c r="B23" s="134" t="s">
        <v>333</v>
      </c>
    </row>
    <row r="24" spans="1:23" x14ac:dyDescent="0.2">
      <c r="B24" s="134" t="s">
        <v>336</v>
      </c>
    </row>
    <row r="25" spans="1:23" x14ac:dyDescent="0.2">
      <c r="B25" s="134" t="s">
        <v>337</v>
      </c>
    </row>
    <row r="26" spans="1:23" x14ac:dyDescent="0.2">
      <c r="B26" s="134" t="s">
        <v>338</v>
      </c>
    </row>
    <row r="27" spans="1:23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3" s="20" customFormat="1" x14ac:dyDescent="0.2">
      <c r="A28" s="107"/>
      <c r="B28" s="159" t="s">
        <v>394</v>
      </c>
      <c r="C28" s="63"/>
      <c r="D28" s="63"/>
      <c r="E28" s="63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5"/>
      <c r="Q28" s="24"/>
      <c r="R28" s="24"/>
      <c r="S28" s="26"/>
      <c r="T28" s="25"/>
      <c r="U28" s="24"/>
      <c r="V28" s="24"/>
      <c r="W28" s="26"/>
    </row>
    <row r="29" spans="1:23" x14ac:dyDescent="0.2">
      <c r="B29" s="141" t="s">
        <v>362</v>
      </c>
    </row>
    <row r="30" spans="1:23" x14ac:dyDescent="0.2">
      <c r="B30" s="63" t="s">
        <v>255</v>
      </c>
    </row>
    <row r="31" spans="1:23" x14ac:dyDescent="0.2">
      <c r="B31" s="141" t="s">
        <v>363</v>
      </c>
    </row>
    <row r="32" spans="1:23" x14ac:dyDescent="0.2">
      <c r="B32" s="141" t="s">
        <v>364</v>
      </c>
    </row>
    <row r="33" spans="2:2" x14ac:dyDescent="0.2">
      <c r="B33" s="141" t="s">
        <v>365</v>
      </c>
    </row>
    <row r="34" spans="2:2" x14ac:dyDescent="0.2">
      <c r="B34" s="141" t="s">
        <v>306</v>
      </c>
    </row>
    <row r="35" spans="2:2" x14ac:dyDescent="0.2">
      <c r="B35" s="141" t="s">
        <v>366</v>
      </c>
    </row>
    <row r="36" spans="2:2" x14ac:dyDescent="0.2">
      <c r="B36" s="141" t="s">
        <v>367</v>
      </c>
    </row>
    <row r="37" spans="2:2" x14ac:dyDescent="0.2">
      <c r="B37" s="141" t="s">
        <v>368</v>
      </c>
    </row>
    <row r="38" spans="2:2" x14ac:dyDescent="0.2">
      <c r="B38" s="141" t="s">
        <v>369</v>
      </c>
    </row>
    <row r="39" spans="2:2" x14ac:dyDescent="0.2">
      <c r="B39" s="141" t="s">
        <v>371</v>
      </c>
    </row>
    <row r="40" spans="2:2" x14ac:dyDescent="0.2">
      <c r="B40" s="141" t="s">
        <v>372</v>
      </c>
    </row>
    <row r="41" spans="2:2" x14ac:dyDescent="0.2">
      <c r="B41" s="141" t="s">
        <v>373</v>
      </c>
    </row>
    <row r="42" spans="2:2" x14ac:dyDescent="0.2">
      <c r="B42" s="141" t="s">
        <v>374</v>
      </c>
    </row>
    <row r="43" spans="2:2" x14ac:dyDescent="0.2">
      <c r="B43" s="141" t="s">
        <v>375</v>
      </c>
    </row>
    <row r="44" spans="2:2" x14ac:dyDescent="0.2">
      <c r="B44" s="141" t="s">
        <v>376</v>
      </c>
    </row>
    <row r="45" spans="2:2" x14ac:dyDescent="0.2">
      <c r="B45" s="141" t="s">
        <v>377</v>
      </c>
    </row>
    <row r="46" spans="2:2" x14ac:dyDescent="0.2">
      <c r="B46" s="141" t="s">
        <v>378</v>
      </c>
    </row>
    <row r="47" spans="2:2" x14ac:dyDescent="0.2">
      <c r="B47" s="141" t="s">
        <v>379</v>
      </c>
    </row>
    <row r="48" spans="2:2" x14ac:dyDescent="0.2">
      <c r="B48" s="141" t="s">
        <v>380</v>
      </c>
    </row>
    <row r="49" spans="2:2" x14ac:dyDescent="0.2">
      <c r="B49" s="141" t="s">
        <v>381</v>
      </c>
    </row>
    <row r="50" spans="2:2" x14ac:dyDescent="0.2">
      <c r="B50" s="141" t="s">
        <v>382</v>
      </c>
    </row>
    <row r="51" spans="2:2" x14ac:dyDescent="0.2">
      <c r="B51" s="141" t="s">
        <v>383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8"/>
  <sheetViews>
    <sheetView zoomScale="205" zoomScaleNormal="205" workbookViewId="0"/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+[21]Main!$N$5-[21]Main!$N$6</f>
        <v>1696.7459999999999</v>
      </c>
      <c r="G3" s="22">
        <f>E3-F3</f>
        <v>55775.706251789998</v>
      </c>
      <c r="H3" s="22">
        <f>+[21]Main!$N$3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+D4*[22]Main!$L$3*EUR</f>
        <v>53089.738980000009</v>
      </c>
      <c r="F4" s="22">
        <f>+([22]Main!$L$5-[22]Main!$L$6)*EUR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+[23]Main!$K$5-[23]Main!$K$6</f>
        <v>741.35200000000009</v>
      </c>
      <c r="G5" s="22">
        <f>E5-F5</f>
        <v>50843.144</v>
      </c>
      <c r="H5" s="22">
        <f>+[23]Main!$K$3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+[24]Main!$L$5-[24]Main!$L$6</f>
        <v>-1005</v>
      </c>
      <c r="G6" s="22">
        <f>E6-F6</f>
        <v>45269.86632465</v>
      </c>
      <c r="H6" s="22">
        <f>+[24]Main!$L$3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+[25]Main!$M$5-[25]Main!$M$6</f>
        <v>-235.76700000000005</v>
      </c>
      <c r="G7" s="22">
        <f>E7-F7</f>
        <v>20837.083825649999</v>
      </c>
      <c r="H7" s="22">
        <f>+[25]Main!$M$3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  <c r="C9" s="143" t="s">
        <v>384</v>
      </c>
    </row>
    <row r="10" spans="1:24" x14ac:dyDescent="0.2">
      <c r="B10" s="113" t="s">
        <v>327</v>
      </c>
    </row>
    <row r="17" spans="2:2" x14ac:dyDescent="0.2">
      <c r="B17" s="95" t="s">
        <v>258</v>
      </c>
    </row>
    <row r="18" spans="2:2" x14ac:dyDescent="0.2">
      <c r="B18" s="143" t="s">
        <v>385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65479</v>
      </c>
      <c r="G3" s="22">
        <f>+E3-F3</f>
        <v>1833089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+D5*[26]Main!$N$3</f>
        <v>146087.55000000002</v>
      </c>
      <c r="F5" s="22">
        <f>+[26]Main!$N$5-[26]Main!$N$6</f>
        <v>1173</v>
      </c>
      <c r="G5" s="22">
        <f t="shared" ref="G5:G7" si="0">+E5-F5</f>
        <v>144914.55000000002</v>
      </c>
      <c r="H5" s="22">
        <f>+[26]Main!$N$3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5" t="s">
        <v>269</v>
      </c>
      <c r="C6" s="82" t="s">
        <v>270</v>
      </c>
      <c r="D6" s="157">
        <v>12025</v>
      </c>
      <c r="E6" s="22">
        <f>D6*H6/JPY</f>
        <v>108755.68776016941</v>
      </c>
      <c r="F6" s="22">
        <f>([27]Main!$O$7-[27]Main!$O$8)/JPY</f>
        <v>3147.411085956328</v>
      </c>
      <c r="G6" s="22">
        <f t="shared" si="0"/>
        <v>105608.27667421309</v>
      </c>
      <c r="H6" s="22">
        <f>[27]Main!$O$4</f>
        <v>1238.413</v>
      </c>
      <c r="I6" s="158" t="s">
        <v>392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156" t="s">
        <v>263</v>
      </c>
      <c r="B7" s="5" t="s">
        <v>269</v>
      </c>
      <c r="C7" s="156" t="s">
        <v>393</v>
      </c>
      <c r="D7" s="21">
        <v>87.8</v>
      </c>
      <c r="E7" s="22">
        <f>D7*H7</f>
        <v>108732.6614</v>
      </c>
      <c r="F7" s="22">
        <f>([27]Main!$O$7-[27]Main!$O$8)/JPY</f>
        <v>3147.411085956328</v>
      </c>
      <c r="G7" s="22">
        <f t="shared" si="0"/>
        <v>105585.25031404367</v>
      </c>
      <c r="H7" s="22">
        <f>[27]Main!$O$4</f>
        <v>1238.413</v>
      </c>
      <c r="I7" s="158" t="s">
        <v>392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A8" s="85" t="s">
        <v>263</v>
      </c>
      <c r="B8" s="85" t="s">
        <v>273</v>
      </c>
      <c r="C8" s="85" t="s">
        <v>274</v>
      </c>
      <c r="D8" s="21"/>
      <c r="E8" s="22"/>
      <c r="F8" s="22"/>
      <c r="G8" s="22"/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x14ac:dyDescent="0.2">
      <c r="A9" s="87" t="s">
        <v>263</v>
      </c>
      <c r="B9" s="5" t="s">
        <v>177</v>
      </c>
      <c r="C9" s="10" t="s">
        <v>178</v>
      </c>
      <c r="D9" s="10">
        <v>73.88</v>
      </c>
      <c r="E9" s="52">
        <f>+D9*H9</f>
        <v>57820.358567719995</v>
      </c>
      <c r="F9" s="52">
        <f>+[28]Main!$J$5-[28]Main!$J$6</f>
        <v>7078</v>
      </c>
      <c r="G9" s="22">
        <f t="shared" ref="G9" si="1">+E9-F9</f>
        <v>50742.358567719995</v>
      </c>
      <c r="H9" s="52">
        <f>+[28]Main!$J$3</f>
        <v>782.62531899999999</v>
      </c>
      <c r="I9" s="147" t="s">
        <v>361</v>
      </c>
      <c r="J9" s="67">
        <v>44946</v>
      </c>
    </row>
    <row r="10" spans="1:24" x14ac:dyDescent="0.2">
      <c r="A10" s="87" t="s">
        <v>263</v>
      </c>
      <c r="B10" s="10" t="s">
        <v>179</v>
      </c>
      <c r="C10" s="46" t="s">
        <v>242</v>
      </c>
      <c r="D10" s="52">
        <v>59910</v>
      </c>
      <c r="E10" s="52" cm="1">
        <f t="array" ref="E10">6975000/JPY</f>
        <v>50938.435697071494</v>
      </c>
    </row>
    <row r="11" spans="1:24" x14ac:dyDescent="0.2">
      <c r="A11" s="88" t="s">
        <v>263</v>
      </c>
      <c r="B11" s="88" t="s">
        <v>277</v>
      </c>
      <c r="C11" s="88" t="s">
        <v>278</v>
      </c>
      <c r="D11" s="52"/>
      <c r="E11" s="52"/>
    </row>
    <row r="12" spans="1:24" x14ac:dyDescent="0.2">
      <c r="A12" s="98" t="s">
        <v>263</v>
      </c>
      <c r="B12" s="98" t="s">
        <v>295</v>
      </c>
      <c r="C12" s="98" t="s">
        <v>296</v>
      </c>
      <c r="D12" s="52"/>
      <c r="E12" s="52"/>
    </row>
    <row r="13" spans="1:24" x14ac:dyDescent="0.2">
      <c r="A13" s="98" t="s">
        <v>263</v>
      </c>
      <c r="B13" s="5" t="s">
        <v>173</v>
      </c>
      <c r="C13" s="10" t="s">
        <v>174</v>
      </c>
      <c r="D13" s="10">
        <v>130.47999999999999</v>
      </c>
      <c r="E13" s="52">
        <f>+D13*H13</f>
        <v>36664.879999999997</v>
      </c>
      <c r="F13" s="52">
        <f>+[29]Main!$N$5-[29]Main!$N$6</f>
        <v>538</v>
      </c>
      <c r="G13" s="52">
        <f>+E13-F13</f>
        <v>36126.879999999997</v>
      </c>
      <c r="H13" s="10">
        <f>+[29]Main!$N$3</f>
        <v>281</v>
      </c>
      <c r="I13" s="66" t="s">
        <v>210</v>
      </c>
      <c r="J13" s="67">
        <v>44799</v>
      </c>
      <c r="X13" s="10">
        <v>1982</v>
      </c>
    </row>
    <row r="14" spans="1:24" s="1" customFormat="1" x14ac:dyDescent="0.2">
      <c r="A14" s="1" t="s">
        <v>263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[30]Main!$L$5-[30]Main!$L$6</f>
        <v>1988</v>
      </c>
      <c r="G14" s="3">
        <f>+E14-F14</f>
        <v>20861.913459200001</v>
      </c>
      <c r="H14" s="3">
        <f>[30]Main!$L$3</f>
        <v>605.13542000000007</v>
      </c>
      <c r="I14" s="4" t="s">
        <v>392</v>
      </c>
      <c r="J14" s="155">
        <v>44987</v>
      </c>
      <c r="X14" s="1">
        <v>2004</v>
      </c>
    </row>
    <row r="15" spans="1:24" s="1" customFormat="1" x14ac:dyDescent="0.2">
      <c r="A15" s="1" t="s">
        <v>263</v>
      </c>
      <c r="B15" s="138" t="s">
        <v>342</v>
      </c>
      <c r="C15" s="1" t="s">
        <v>343</v>
      </c>
      <c r="D15" s="2"/>
      <c r="E15" s="3"/>
      <c r="F15" s="3"/>
      <c r="G15" s="3"/>
      <c r="H15" s="4"/>
      <c r="I15" s="4"/>
    </row>
    <row r="16" spans="1:24" x14ac:dyDescent="0.2">
      <c r="B16" s="10" t="s">
        <v>175</v>
      </c>
      <c r="C16" s="10" t="s">
        <v>176</v>
      </c>
      <c r="D16" s="10">
        <v>127.74</v>
      </c>
      <c r="E16" s="52">
        <v>21290</v>
      </c>
    </row>
    <row r="17" spans="2:23" s="1" customFormat="1" x14ac:dyDescent="0.2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3" s="1" customFormat="1" x14ac:dyDescent="0.2">
      <c r="B18" s="1" t="s">
        <v>261</v>
      </c>
      <c r="C18" s="1" t="s">
        <v>262</v>
      </c>
      <c r="D18" s="2"/>
      <c r="E18" s="3"/>
      <c r="F18" s="4"/>
      <c r="G18" s="4"/>
      <c r="H18" s="4"/>
    </row>
    <row r="19" spans="2:23" s="20" customFormat="1" x14ac:dyDescent="0.2">
      <c r="B19" s="115" t="s">
        <v>75</v>
      </c>
      <c r="C19" s="20" t="s">
        <v>76</v>
      </c>
      <c r="D19" s="21">
        <v>102.23</v>
      </c>
      <c r="E19" s="22">
        <f>+D19*[31]Main!$K$3</f>
        <v>20147.20788088</v>
      </c>
      <c r="F19" s="22">
        <f>+[31]Main!$K$5-[31]Main!$K$6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3" s="20" customFormat="1" x14ac:dyDescent="0.2">
      <c r="B20" s="65" t="s">
        <v>260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s="20" customFormat="1" x14ac:dyDescent="0.2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x14ac:dyDescent="0.2">
      <c r="B24" s="1" t="s">
        <v>54</v>
      </c>
      <c r="C24" s="1"/>
      <c r="D24" s="2"/>
      <c r="E24" s="3">
        <v>31500</v>
      </c>
    </row>
    <row r="25" spans="2:23" s="20" customFormat="1" x14ac:dyDescent="0.2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s="20" customFormat="1" x14ac:dyDescent="0.2">
      <c r="B26" s="20" t="s">
        <v>112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3" x14ac:dyDescent="0.2">
      <c r="B27" s="63" t="s">
        <v>259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44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[32]Main!$L$5-[32]Main!$L$6</f>
        <v>-2851</v>
      </c>
      <c r="G7" s="22">
        <f>E7-F7</f>
        <v>119466.20633988002</v>
      </c>
      <c r="H7" s="22">
        <f>+[32]Main!$L$3</f>
        <v>281.86987900000003</v>
      </c>
      <c r="I7" s="133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8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D4*[33]Main!$L$3</f>
        <v>310046.98749999999</v>
      </c>
      <c r="F4" s="22" cm="1">
        <f t="array" ref="F4">([33]Main!$L$5-[33]Main!$L$6)/RMB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D5*[33]Main!$L$3</f>
        <v>310046.98749999999</v>
      </c>
      <c r="F5" s="3" cm="1">
        <f t="array" ref="F5">([33]Main!$L$5-[33]Main!$L$6)/RMB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7" t="s">
        <v>263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+[34]Main!$L$5-[34]Main!$L$6</f>
        <v>7643.4470000000001</v>
      </c>
      <c r="G9" s="22">
        <f>E9-F9</f>
        <v>66071.040644859997</v>
      </c>
      <c r="H9" s="52">
        <f>+[34]Main!$L$3</f>
        <v>633.17718300000001</v>
      </c>
      <c r="I9" s="154" t="s">
        <v>361</v>
      </c>
      <c r="J9" s="67">
        <v>44971</v>
      </c>
    </row>
    <row r="10" spans="1:24" x14ac:dyDescent="0.2">
      <c r="A10" s="86" t="s">
        <v>263</v>
      </c>
      <c r="B10" s="11" t="s">
        <v>206</v>
      </c>
      <c r="C10" s="11" t="s">
        <v>207</v>
      </c>
    </row>
    <row r="11" spans="1:24" x14ac:dyDescent="0.2">
      <c r="A11" s="98" t="s">
        <v>263</v>
      </c>
      <c r="B11" s="98" t="s">
        <v>295</v>
      </c>
      <c r="C11" s="98" t="s">
        <v>296</v>
      </c>
    </row>
    <row r="12" spans="1:24" x14ac:dyDescent="0.2">
      <c r="A12" s="96" t="s">
        <v>263</v>
      </c>
      <c r="B12" s="10" t="s">
        <v>42</v>
      </c>
      <c r="C12" s="10" t="s">
        <v>43</v>
      </c>
    </row>
    <row r="13" spans="1:24" s="20" customFormat="1" x14ac:dyDescent="0.2">
      <c r="A13" s="98" t="s">
        <v>263</v>
      </c>
      <c r="B13" s="5" t="s">
        <v>36</v>
      </c>
      <c r="C13" s="20" t="s">
        <v>37</v>
      </c>
      <c r="D13" s="21">
        <v>36.71</v>
      </c>
      <c r="E13" s="22">
        <f>+D13*[35]Main!$M$3</f>
        <v>46254.6</v>
      </c>
      <c r="F13" s="22">
        <f>+[35]Main!$M$5-[35]Main!$M$6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263</v>
      </c>
      <c r="B14" s="98" t="s">
        <v>297</v>
      </c>
      <c r="C14" s="98" t="s">
        <v>298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6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389</v>
      </c>
      <c r="C24" s="149" t="s">
        <v>390</v>
      </c>
      <c r="D24" s="10">
        <v>8.86</v>
      </c>
      <c r="E24" s="52">
        <f>+D24*H24</f>
        <v>963.51364147999993</v>
      </c>
      <c r="F24" s="52">
        <f>+[36]Main!$K$5-[36]Main!$K$6</f>
        <v>-1163.2909999999999</v>
      </c>
      <c r="G24" s="52">
        <f>+E24-F24</f>
        <v>2126.8046414800001</v>
      </c>
      <c r="H24" s="52">
        <f>+[36]Main!$K$3</f>
        <v>108.748718</v>
      </c>
      <c r="I24" s="153" t="s">
        <v>361</v>
      </c>
      <c r="J24" s="67">
        <v>44965</v>
      </c>
    </row>
    <row r="25" spans="1:23" x14ac:dyDescent="0.2">
      <c r="B25" s="152" t="s">
        <v>391</v>
      </c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2023-03-10T20:52:04Z</dcterms:modified>
  <cp:category/>
  <cp:contentStatus/>
</cp:coreProperties>
</file>