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890FB3A-ABD0-4CBB-B0AB-16CB884CFAB9}" xr6:coauthVersionLast="47" xr6:coauthVersionMax="47" xr10:uidLastSave="{00000000-0000-0000-0000-000000000000}"/>
  <bookViews>
    <workbookView xWindow="-32325" yWindow="2700" windowWidth="27705" windowHeight="17655" activeTab="1" xr2:uid="{00000000-000D-0000-FFFF-FFFF00000000}"/>
  </bookViews>
  <sheets>
    <sheet name="Main" sheetId="1" r:id="rId1"/>
    <sheet name="Mo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2" i="2" l="1"/>
  <c r="M6" i="1"/>
  <c r="M5" i="1"/>
  <c r="X31" i="2"/>
  <c r="X32" i="2" s="1"/>
  <c r="W32" i="2"/>
  <c r="U32" i="2"/>
  <c r="V32" i="2"/>
  <c r="R12" i="2"/>
  <c r="Q12" i="2"/>
  <c r="R7" i="2"/>
  <c r="Q7" i="2"/>
  <c r="Q6" i="2"/>
  <c r="Q8" i="2" s="1"/>
  <c r="R6" i="2"/>
  <c r="R22" i="2" s="1"/>
  <c r="V5" i="2"/>
  <c r="V4" i="2"/>
  <c r="N12" i="2"/>
  <c r="N13" i="2" s="1"/>
  <c r="N15" i="2" s="1"/>
  <c r="N17" i="2" s="1"/>
  <c r="M12" i="2"/>
  <c r="M13" i="2" s="1"/>
  <c r="M15" i="2" s="1"/>
  <c r="M17" i="2" s="1"/>
  <c r="L12" i="2"/>
  <c r="L13" i="2" s="1"/>
  <c r="L15" i="2" s="1"/>
  <c r="L17" i="2" s="1"/>
  <c r="K12" i="2"/>
  <c r="K13" i="2" s="1"/>
  <c r="K15" i="2" s="1"/>
  <c r="K17" i="2" s="1"/>
  <c r="K18" i="2" s="1"/>
  <c r="K19" i="2"/>
  <c r="L19" i="2" s="1"/>
  <c r="M19" i="2" s="1"/>
  <c r="N19" i="2" s="1"/>
  <c r="N6" i="2"/>
  <c r="M6" i="2"/>
  <c r="L6" i="2"/>
  <c r="G16" i="2"/>
  <c r="G14" i="2"/>
  <c r="G11" i="2"/>
  <c r="G10" i="2"/>
  <c r="G9" i="2"/>
  <c r="G5" i="2"/>
  <c r="U5" i="2" s="1"/>
  <c r="G4" i="2"/>
  <c r="U4" i="2" s="1"/>
  <c r="T6" i="2"/>
  <c r="S6" i="2"/>
  <c r="K6" i="2"/>
  <c r="H30" i="2"/>
  <c r="H31" i="2" s="1"/>
  <c r="I30" i="2"/>
  <c r="I29" i="2"/>
  <c r="I28" i="2"/>
  <c r="I27" i="2"/>
  <c r="I26" i="2"/>
  <c r="I25" i="2"/>
  <c r="C24" i="2"/>
  <c r="E12" i="2"/>
  <c r="E7" i="2"/>
  <c r="I12" i="2"/>
  <c r="I7" i="2"/>
  <c r="E6" i="2"/>
  <c r="F30" i="2"/>
  <c r="F31" i="2" s="1"/>
  <c r="J30" i="2"/>
  <c r="J31" i="2" s="1"/>
  <c r="J35" i="2" s="1"/>
  <c r="F12" i="2"/>
  <c r="F7" i="2"/>
  <c r="F6" i="2"/>
  <c r="F8" i="2" s="1"/>
  <c r="J12" i="2"/>
  <c r="J7" i="2"/>
  <c r="J6" i="2"/>
  <c r="I6" i="2"/>
  <c r="H12" i="2"/>
  <c r="D12" i="2"/>
  <c r="D6" i="2"/>
  <c r="D8" i="2" s="1"/>
  <c r="H6" i="2"/>
  <c r="H8" i="2" s="1"/>
  <c r="M4" i="1"/>
  <c r="Y31" i="2" l="1"/>
  <c r="M7" i="1"/>
  <c r="I8" i="2"/>
  <c r="Q13" i="2"/>
  <c r="Q15" i="2" s="1"/>
  <c r="Q17" i="2" s="1"/>
  <c r="Q18" i="2" s="1"/>
  <c r="G7" i="2"/>
  <c r="R8" i="2"/>
  <c r="R13" i="2"/>
  <c r="R15" i="2" s="1"/>
  <c r="R17" i="2" s="1"/>
  <c r="R18" i="2" s="1"/>
  <c r="S22" i="2"/>
  <c r="T22" i="2"/>
  <c r="N22" i="2"/>
  <c r="M22" i="2"/>
  <c r="V6" i="2"/>
  <c r="G12" i="2"/>
  <c r="L22" i="2"/>
  <c r="L18" i="2"/>
  <c r="M18" i="2"/>
  <c r="N18" i="2"/>
  <c r="G6" i="2"/>
  <c r="G8" i="2" s="1"/>
  <c r="G13" i="2" s="1"/>
  <c r="G15" i="2" s="1"/>
  <c r="G17" i="2" s="1"/>
  <c r="E8" i="2"/>
  <c r="E13" i="2" s="1"/>
  <c r="E15" i="2" s="1"/>
  <c r="E17" i="2" s="1"/>
  <c r="D13" i="2"/>
  <c r="D15" i="2" s="1"/>
  <c r="D17" i="2" s="1"/>
  <c r="D18" i="2" s="1"/>
  <c r="I31" i="2"/>
  <c r="I35" i="2" s="1"/>
  <c r="U6" i="2"/>
  <c r="U22" i="2" s="1"/>
  <c r="E18" i="2"/>
  <c r="E24" i="2"/>
  <c r="H13" i="2"/>
  <c r="H15" i="2" s="1"/>
  <c r="H17" i="2" s="1"/>
  <c r="H22" i="2"/>
  <c r="F13" i="2"/>
  <c r="F15" i="2" s="1"/>
  <c r="F17" i="2" s="1"/>
  <c r="I22" i="2"/>
  <c r="I13" i="2"/>
  <c r="I15" i="2" s="1"/>
  <c r="I17" i="2" s="1"/>
  <c r="J8" i="2"/>
  <c r="J13" i="2" s="1"/>
  <c r="J15" i="2" s="1"/>
  <c r="J17" i="2" s="1"/>
  <c r="J22" i="2"/>
  <c r="Z31" i="2" l="1"/>
  <c r="Y32" i="2"/>
  <c r="D24" i="2"/>
  <c r="K22" i="2"/>
  <c r="V22" i="2"/>
  <c r="G24" i="2"/>
  <c r="G18" i="2"/>
  <c r="F18" i="2"/>
  <c r="F24" i="2"/>
  <c r="J18" i="2"/>
  <c r="J24" i="2"/>
  <c r="I24" i="2"/>
  <c r="I18" i="2"/>
  <c r="H18" i="2"/>
  <c r="H24" i="2"/>
  <c r="AA31" i="2" l="1"/>
  <c r="Z32" i="2"/>
  <c r="AB31" i="2" l="1"/>
  <c r="AA32" i="2"/>
  <c r="AC31" i="2" l="1"/>
  <c r="AB32" i="2"/>
  <c r="AD31" i="2" l="1"/>
  <c r="AC32" i="2"/>
  <c r="AE31" i="2" l="1"/>
  <c r="AD32" i="2"/>
  <c r="AF31" i="2" l="1"/>
  <c r="AE32" i="2"/>
  <c r="AG31" i="2" l="1"/>
  <c r="AF32" i="2"/>
  <c r="AG32" i="2" l="1"/>
  <c r="AH31" i="2"/>
  <c r="AI31" i="2" l="1"/>
  <c r="AH32" i="2"/>
  <c r="AJ31" i="2" l="1"/>
  <c r="AI32" i="2"/>
  <c r="AK31" i="2" l="1"/>
  <c r="AJ32" i="2"/>
  <c r="AL31" i="2" l="1"/>
  <c r="AK32" i="2"/>
  <c r="AM31" i="2" l="1"/>
  <c r="AL32" i="2"/>
  <c r="AN31" i="2" l="1"/>
  <c r="AM32" i="2"/>
  <c r="AO31" i="2" l="1"/>
  <c r="AN32" i="2"/>
  <c r="AP31" i="2" l="1"/>
  <c r="AO32" i="2"/>
  <c r="AQ31" i="2" l="1"/>
  <c r="AP32" i="2"/>
  <c r="AR31" i="2" l="1"/>
  <c r="AQ32" i="2"/>
  <c r="AS31" i="2" l="1"/>
  <c r="AR32" i="2"/>
  <c r="AT31" i="2" l="1"/>
  <c r="AS32" i="2"/>
  <c r="AU31" i="2" l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AT32" i="2"/>
  <c r="DF31" i="2" l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EF31" i="2" s="1"/>
  <c r="EG31" i="2" s="1"/>
  <c r="EH31" i="2" s="1"/>
  <c r="EI31" i="2" s="1"/>
  <c r="Z37" i="2"/>
  <c r="Z38" i="2" s="1"/>
  <c r="Z39" i="2" s="1"/>
</calcChain>
</file>

<file path=xl/sharedStrings.xml><?xml version="1.0" encoding="utf-8"?>
<sst xmlns="http://schemas.openxmlformats.org/spreadsheetml/2006/main" count="49" uniqueCount="46">
  <si>
    <t>Price</t>
  </si>
  <si>
    <t>Shares</t>
  </si>
  <si>
    <t>MC</t>
  </si>
  <si>
    <t>Cash</t>
  </si>
  <si>
    <t>Debt</t>
  </si>
  <si>
    <t>EV</t>
  </si>
  <si>
    <t>Main</t>
  </si>
  <si>
    <t>Subscription</t>
  </si>
  <si>
    <t>Services</t>
  </si>
  <si>
    <t>Revenue</t>
  </si>
  <si>
    <t>COGS</t>
  </si>
  <si>
    <t>Gross Profit</t>
  </si>
  <si>
    <t>R&amp;D</t>
  </si>
  <si>
    <t>M&amp;S</t>
  </si>
  <si>
    <t>G&amp;A</t>
  </si>
  <si>
    <t>OpEx</t>
  </si>
  <si>
    <t>OpInc</t>
  </si>
  <si>
    <t>IntExp</t>
  </si>
  <si>
    <t>Pretax</t>
  </si>
  <si>
    <t>Taxes</t>
  </si>
  <si>
    <t>NetInc</t>
  </si>
  <si>
    <t>EPS</t>
  </si>
  <si>
    <t>Revenue y/y</t>
  </si>
  <si>
    <t>Reported NI</t>
  </si>
  <si>
    <t>Model NI</t>
  </si>
  <si>
    <t>CFFO</t>
  </si>
  <si>
    <t>D&amp;A</t>
  </si>
  <si>
    <t>Amortization</t>
  </si>
  <si>
    <t>SBC</t>
  </si>
  <si>
    <t>Investment Gain</t>
  </si>
  <si>
    <t>WC</t>
  </si>
  <si>
    <t>CapEx</t>
  </si>
  <si>
    <t>FCF</t>
  </si>
  <si>
    <t>FY22</t>
  </si>
  <si>
    <t>FY21</t>
  </si>
  <si>
    <t>FY20</t>
  </si>
  <si>
    <t>FY23</t>
  </si>
  <si>
    <t>FY19</t>
  </si>
  <si>
    <t>FY18</t>
  </si>
  <si>
    <t>Growth Rate</t>
  </si>
  <si>
    <t>Terminal</t>
  </si>
  <si>
    <t>Discount</t>
  </si>
  <si>
    <t>NPV</t>
  </si>
  <si>
    <t>Q322</t>
  </si>
  <si>
    <t>Share</t>
  </si>
  <si>
    <t>FY24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</si>
</sst>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3" fillId="0" borderId="0" xfId="0" applyNumberFormat="1" applyFont="1"/>
    <xf numFmtId="0" fontId="1" fillId="0" borderId="0" xfId="0" applyFont="1"/>
    <xf numFmtId="3" fontId="1" fillId="0" borderId="0" xfId="0" applyNumberFormat="1" applyFont="1"/>
    <xf numFmtId="2" fontId="1" fillId="0" borderId="0" xfId="0" applyNumberFormat="1" applyFont="1"/>
    <xf numFmtId="0" fontId="5" fillId="0" borderId="0" xfId="1" applyFont="1"/>
    <xf numFmtId="165" fontId="1" fillId="0" borderId="0" xfId="0" applyNumberFormat="1" applyFont="1"/>
    <xf numFmtId="9" fontId="1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24715252-917A-41E5-88F9-208AF07A73E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20053</xdr:colOff>
      <xdr:row>0</xdr:row>
      <xdr:rowOff>0</xdr:rowOff>
    </xdr:from>
    <xdr:to>
      <xdr:col>10</xdr:col>
      <xdr:colOff>20053</xdr:colOff>
      <xdr:row>44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AC83CAC-3125-93E7-D431-D15B3301FCE7}"/>
            </a:ext>
          </a:extLst>
        </xdr:cNvPr>
        <xdr:cNvCxnSpPr/>
      </xdr:nvCxnSpPr>
      <xdr:spPr>
        <a:xfrm>
          <a:off x="5935579" y="0"/>
          <a:ext cx="0" cy="69933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17045</xdr:colOff>
      <xdr:row>0</xdr:row>
      <xdr:rowOff>17045</xdr:rowOff>
    </xdr:from>
    <xdr:to>
      <xdr:col>21</xdr:col>
      <xdr:colOff>17045</xdr:colOff>
      <xdr:row>44</xdr:row>
      <xdr:rowOff>112295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5BD5754-A16A-4AD3-937E-CC176C903663}"/>
            </a:ext>
          </a:extLst>
        </xdr:cNvPr>
        <xdr:cNvCxnSpPr/>
      </xdr:nvCxnSpPr>
      <xdr:spPr>
        <a:xfrm>
          <a:off x="10785308" y="17045"/>
          <a:ext cx="0" cy="69933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N8"/>
  <sheetViews>
    <sheetView zoomScale="130" zoomScaleNormal="130" workbookViewId="0">
      <selection activeCell="N2" sqref="N2"/>
    </sheetView>
  </sheetViews>
  <sheetFormatPr defaultRowHeight="12.75" x14ac:dyDescent="0.2"/>
  <cols>
    <col min="1" max="12" width="9.140625" style="1"/>
    <col min="13" max="13" width="9.85546875" style="1" bestFit="1" customWidth="1"/>
    <col min="14" max="16384" width="9.140625" style="1"/>
  </cols>
  <sheetData>
    <row r="2" spans="12:14" x14ac:dyDescent="0.2">
      <c r="L2" s="1" t="s">
        <v>0</v>
      </c>
      <c r="M2" s="1">
        <v>146.88</v>
      </c>
    </row>
    <row r="3" spans="12:14" x14ac:dyDescent="0.2">
      <c r="L3" s="1" t="s">
        <v>1</v>
      </c>
      <c r="M3" s="3">
        <v>1000</v>
      </c>
      <c r="N3" s="13" t="s">
        <v>43</v>
      </c>
    </row>
    <row r="4" spans="12:14" x14ac:dyDescent="0.2">
      <c r="L4" s="1" t="s">
        <v>2</v>
      </c>
      <c r="M4" s="3">
        <f>M2*M3</f>
        <v>146880</v>
      </c>
      <c r="N4" s="2"/>
    </row>
    <row r="5" spans="12:14" x14ac:dyDescent="0.2">
      <c r="L5" s="1" t="s">
        <v>3</v>
      </c>
      <c r="M5" s="3">
        <f>6076+5842+5124</f>
        <v>17042</v>
      </c>
      <c r="N5" s="13" t="s">
        <v>43</v>
      </c>
    </row>
    <row r="6" spans="12:14" x14ac:dyDescent="0.2">
      <c r="L6" s="1" t="s">
        <v>4</v>
      </c>
      <c r="M6" s="3">
        <f>1182+9418</f>
        <v>10600</v>
      </c>
      <c r="N6" s="13" t="s">
        <v>43</v>
      </c>
    </row>
    <row r="7" spans="12:14" x14ac:dyDescent="0.2">
      <c r="L7" s="1" t="s">
        <v>5</v>
      </c>
      <c r="M7" s="3">
        <f>M4-M5+M6</f>
        <v>140438</v>
      </c>
    </row>
    <row r="8" spans="12:14" x14ac:dyDescent="0.2">
      <c r="M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1EF7-9F5A-4F57-B991-3E7AE6D7AE6D}">
  <dimension ref="A1:EI39"/>
  <sheetViews>
    <sheetView tabSelected="1" zoomScale="190" zoomScaleNormal="190" workbookViewId="0">
      <pane xSplit="2" ySplit="3" topLeftCell="T25" activePane="bottomRight" state="frozen"/>
      <selection pane="topRight"/>
      <selection pane="bottomLeft"/>
      <selection pane="bottomRight" activeCell="Z36" sqref="Z36"/>
    </sheetView>
  </sheetViews>
  <sheetFormatPr defaultRowHeight="12.75" x14ac:dyDescent="0.2"/>
  <cols>
    <col min="1" max="1" width="5.140625" style="5" bestFit="1" customWidth="1"/>
    <col min="2" max="2" width="15" style="5" customWidth="1"/>
    <col min="3" max="12" width="8.5703125" style="5" customWidth="1"/>
    <col min="13" max="16" width="9.140625" style="5"/>
    <col min="17" max="22" width="9.140625" style="13"/>
    <col min="23" max="24" width="9.140625" style="5"/>
    <col min="25" max="25" width="11.7109375" style="5" customWidth="1"/>
    <col min="26" max="26" width="12" style="5" bestFit="1" customWidth="1"/>
    <col min="27" max="16384" width="9.140625" style="5"/>
  </cols>
  <sheetData>
    <row r="1" spans="1:23" x14ac:dyDescent="0.2">
      <c r="A1" s="8" t="s">
        <v>6</v>
      </c>
    </row>
    <row r="2" spans="1:23" x14ac:dyDescent="0.2">
      <c r="A2" s="8"/>
      <c r="Q2" s="13" t="s">
        <v>38</v>
      </c>
      <c r="R2" s="13" t="s">
        <v>37</v>
      </c>
      <c r="S2" s="13" t="s">
        <v>35</v>
      </c>
      <c r="T2" s="13" t="s">
        <v>34</v>
      </c>
      <c r="U2" s="13" t="s">
        <v>33</v>
      </c>
      <c r="V2" s="13" t="s">
        <v>36</v>
      </c>
      <c r="W2" s="13" t="s">
        <v>45</v>
      </c>
    </row>
    <row r="3" spans="1:23" s="9" customFormat="1" x14ac:dyDescent="0.2">
      <c r="C3" s="9">
        <v>44226</v>
      </c>
      <c r="D3" s="9">
        <v>44316</v>
      </c>
      <c r="E3" s="9">
        <v>44407</v>
      </c>
      <c r="F3" s="9">
        <v>44500</v>
      </c>
      <c r="G3" s="9">
        <v>44591</v>
      </c>
      <c r="H3" s="9">
        <v>44681</v>
      </c>
      <c r="I3" s="9">
        <v>44772</v>
      </c>
      <c r="J3" s="9">
        <v>44865</v>
      </c>
      <c r="K3" s="9">
        <v>44956</v>
      </c>
      <c r="L3" s="9">
        <v>45046</v>
      </c>
      <c r="M3" s="9">
        <v>44772</v>
      </c>
      <c r="N3" s="9">
        <v>44865</v>
      </c>
      <c r="Q3" s="14">
        <v>43131</v>
      </c>
      <c r="R3" s="14">
        <v>43496</v>
      </c>
      <c r="S3" s="14">
        <v>43861</v>
      </c>
      <c r="T3" s="14">
        <v>44227</v>
      </c>
      <c r="U3" s="14">
        <v>44592</v>
      </c>
      <c r="V3" s="14">
        <v>44957</v>
      </c>
      <c r="W3" s="14">
        <v>45322</v>
      </c>
    </row>
    <row r="4" spans="1:23" s="6" customFormat="1" x14ac:dyDescent="0.2">
      <c r="B4" s="6" t="s">
        <v>7</v>
      </c>
      <c r="D4" s="6">
        <v>5536</v>
      </c>
      <c r="E4" s="6">
        <v>5914</v>
      </c>
      <c r="F4" s="6">
        <v>6379</v>
      </c>
      <c r="G4" s="6">
        <f>24657-F4-E4-D4</f>
        <v>6828</v>
      </c>
      <c r="H4" s="6">
        <v>6856</v>
      </c>
      <c r="I4" s="6">
        <v>7143</v>
      </c>
      <c r="J4" s="6">
        <v>7233</v>
      </c>
      <c r="K4" s="6">
        <v>7300</v>
      </c>
      <c r="Q4" s="15">
        <v>9766</v>
      </c>
      <c r="R4" s="15">
        <v>12413</v>
      </c>
      <c r="S4" s="15">
        <v>16043</v>
      </c>
      <c r="T4" s="15">
        <v>19976</v>
      </c>
      <c r="U4" s="15">
        <f>SUM(D4:G4)</f>
        <v>24657</v>
      </c>
      <c r="V4" s="15">
        <f>SUM(H4:K4)</f>
        <v>28532</v>
      </c>
      <c r="W4" s="15"/>
    </row>
    <row r="5" spans="1:23" s="6" customFormat="1" x14ac:dyDescent="0.2">
      <c r="B5" s="6" t="s">
        <v>8</v>
      </c>
      <c r="D5" s="6">
        <v>427</v>
      </c>
      <c r="E5" s="6">
        <v>426</v>
      </c>
      <c r="F5" s="6">
        <v>484</v>
      </c>
      <c r="G5" s="6">
        <f>1835-F5-E5-D5</f>
        <v>498</v>
      </c>
      <c r="H5" s="6">
        <v>555</v>
      </c>
      <c r="I5" s="6">
        <v>577</v>
      </c>
      <c r="J5" s="6">
        <v>604</v>
      </c>
      <c r="K5" s="6">
        <v>700</v>
      </c>
      <c r="Q5" s="15">
        <v>774</v>
      </c>
      <c r="R5" s="15">
        <v>869</v>
      </c>
      <c r="S5" s="15">
        <v>1055</v>
      </c>
      <c r="T5" s="15">
        <v>1276</v>
      </c>
      <c r="U5" s="15">
        <f>SUM(D5:G5)</f>
        <v>1835</v>
      </c>
      <c r="V5" s="15">
        <f>SUM(H5:K5)</f>
        <v>2436</v>
      </c>
      <c r="W5" s="15"/>
    </row>
    <row r="6" spans="1:23" s="4" customFormat="1" x14ac:dyDescent="0.2">
      <c r="B6" s="4" t="s">
        <v>9</v>
      </c>
      <c r="D6" s="4">
        <f>D4+D5</f>
        <v>5963</v>
      </c>
      <c r="E6" s="4">
        <f>E4+E5</f>
        <v>6340</v>
      </c>
      <c r="F6" s="4">
        <f>F4+F5</f>
        <v>6863</v>
      </c>
      <c r="G6" s="4">
        <f>G4+G5</f>
        <v>7326</v>
      </c>
      <c r="H6" s="4">
        <f>H4+H5</f>
        <v>7411</v>
      </c>
      <c r="I6" s="4">
        <f>I4+I5</f>
        <v>7720</v>
      </c>
      <c r="J6" s="4">
        <f>J4+J5</f>
        <v>7837</v>
      </c>
      <c r="K6" s="4">
        <f>K4+K5</f>
        <v>8000</v>
      </c>
      <c r="L6" s="4">
        <f t="shared" ref="L6:N6" si="0">L4+L5</f>
        <v>0</v>
      </c>
      <c r="M6" s="4">
        <f t="shared" si="0"/>
        <v>0</v>
      </c>
      <c r="N6" s="4">
        <f t="shared" si="0"/>
        <v>0</v>
      </c>
      <c r="Q6" s="4">
        <f t="shared" ref="Q6:V6" si="1">Q4+Q5</f>
        <v>10540</v>
      </c>
      <c r="R6" s="4">
        <f t="shared" si="1"/>
        <v>13282</v>
      </c>
      <c r="S6" s="4">
        <f t="shared" si="1"/>
        <v>17098</v>
      </c>
      <c r="T6" s="4">
        <f t="shared" si="1"/>
        <v>21252</v>
      </c>
      <c r="U6" s="4">
        <f t="shared" si="1"/>
        <v>26492</v>
      </c>
      <c r="V6" s="4">
        <f t="shared" si="1"/>
        <v>30968</v>
      </c>
      <c r="W6" s="16"/>
    </row>
    <row r="7" spans="1:23" s="6" customFormat="1" x14ac:dyDescent="0.2">
      <c r="B7" s="6" t="s">
        <v>10</v>
      </c>
      <c r="D7" s="6">
        <v>1555</v>
      </c>
      <c r="E7" s="6">
        <f>1146+467</f>
        <v>1613</v>
      </c>
      <c r="F7" s="6">
        <f>1335+509</f>
        <v>1844</v>
      </c>
      <c r="G7" s="6">
        <f>5059+1967-F7-E7-D7</f>
        <v>2014</v>
      </c>
      <c r="H7" s="6">
        <v>2045</v>
      </c>
      <c r="I7" s="6">
        <f>1490+637</f>
        <v>2127</v>
      </c>
      <c r="J7" s="6">
        <f>1451+637</f>
        <v>2088</v>
      </c>
      <c r="Q7" s="15">
        <f>2033+740</f>
        <v>2773</v>
      </c>
      <c r="R7" s="15">
        <f>2604+847</f>
        <v>3451</v>
      </c>
      <c r="S7" s="15"/>
      <c r="T7" s="15"/>
      <c r="U7" s="15"/>
      <c r="V7" s="15"/>
      <c r="W7" s="15"/>
    </row>
    <row r="8" spans="1:23" s="6" customFormat="1" x14ac:dyDescent="0.2">
      <c r="B8" s="6" t="s">
        <v>11</v>
      </c>
      <c r="D8" s="6">
        <f>D6-D7</f>
        <v>4408</v>
      </c>
      <c r="E8" s="6">
        <f>E6-E7</f>
        <v>4727</v>
      </c>
      <c r="F8" s="6">
        <f>+F6-F7</f>
        <v>5019</v>
      </c>
      <c r="G8" s="6">
        <f>+G6-G7</f>
        <v>5312</v>
      </c>
      <c r="H8" s="6">
        <f>H6-H7</f>
        <v>5366</v>
      </c>
      <c r="I8" s="6">
        <f>I6-I7</f>
        <v>5593</v>
      </c>
      <c r="J8" s="6">
        <f>J6-J7</f>
        <v>5749</v>
      </c>
      <c r="Q8" s="15">
        <f>+Q6-Q7</f>
        <v>7767</v>
      </c>
      <c r="R8" s="15">
        <f>+R6-R7</f>
        <v>9831</v>
      </c>
      <c r="S8" s="15"/>
      <c r="T8" s="15"/>
      <c r="U8" s="15"/>
      <c r="V8" s="15"/>
      <c r="W8" s="15"/>
    </row>
    <row r="9" spans="1:23" s="6" customFormat="1" x14ac:dyDescent="0.2">
      <c r="B9" s="6" t="s">
        <v>12</v>
      </c>
      <c r="D9" s="6">
        <v>951</v>
      </c>
      <c r="E9" s="6">
        <v>1020</v>
      </c>
      <c r="F9" s="6">
        <v>1203</v>
      </c>
      <c r="G9" s="6">
        <f>4465-F9-E9-D9</f>
        <v>1291</v>
      </c>
      <c r="H9" s="6">
        <v>1318</v>
      </c>
      <c r="I9" s="6">
        <v>1329</v>
      </c>
      <c r="J9" s="6">
        <v>1280</v>
      </c>
      <c r="Q9" s="15">
        <v>1553</v>
      </c>
      <c r="R9" s="15">
        <v>1886</v>
      </c>
      <c r="S9" s="15"/>
      <c r="T9" s="15"/>
      <c r="U9" s="15"/>
      <c r="V9" s="15"/>
      <c r="W9" s="15"/>
    </row>
    <row r="10" spans="1:23" s="6" customFormat="1" x14ac:dyDescent="0.2">
      <c r="B10" s="6" t="s">
        <v>13</v>
      </c>
      <c r="D10" s="6">
        <v>2544</v>
      </c>
      <c r="E10" s="6">
        <v>2736</v>
      </c>
      <c r="F10" s="6">
        <v>3111</v>
      </c>
      <c r="G10" s="6">
        <f>11855-F10-E10-D10</f>
        <v>3464</v>
      </c>
      <c r="H10" s="6">
        <v>3372</v>
      </c>
      <c r="I10" s="6">
        <v>3424</v>
      </c>
      <c r="J10" s="6">
        <v>3345</v>
      </c>
      <c r="Q10" s="15">
        <v>4671</v>
      </c>
      <c r="R10" s="15">
        <v>6064</v>
      </c>
      <c r="S10" s="15"/>
      <c r="T10" s="15"/>
      <c r="U10" s="15"/>
      <c r="V10" s="15"/>
      <c r="W10" s="15"/>
    </row>
    <row r="11" spans="1:23" s="6" customFormat="1" x14ac:dyDescent="0.2">
      <c r="B11" s="6" t="s">
        <v>14</v>
      </c>
      <c r="D11" s="6">
        <v>559</v>
      </c>
      <c r="E11" s="6">
        <v>639</v>
      </c>
      <c r="F11" s="6">
        <v>667</v>
      </c>
      <c r="G11" s="6">
        <f>2598-F11-E11-D11</f>
        <v>733</v>
      </c>
      <c r="H11" s="6">
        <v>656</v>
      </c>
      <c r="I11" s="6">
        <v>647</v>
      </c>
      <c r="J11" s="6">
        <v>664</v>
      </c>
      <c r="Q11" s="15">
        <v>1089</v>
      </c>
      <c r="R11" s="15">
        <v>1346</v>
      </c>
      <c r="S11" s="15"/>
      <c r="T11" s="15"/>
      <c r="U11" s="15"/>
      <c r="V11" s="15"/>
      <c r="W11" s="15"/>
    </row>
    <row r="12" spans="1:23" s="6" customFormat="1" x14ac:dyDescent="0.2">
      <c r="B12" s="6" t="s">
        <v>15</v>
      </c>
      <c r="D12" s="6">
        <f>SUM(D9:D11)</f>
        <v>4054</v>
      </c>
      <c r="E12" s="6">
        <f>SUM(E9:E11)</f>
        <v>4395</v>
      </c>
      <c r="F12" s="6">
        <f>SUM(F9:F11)</f>
        <v>4981</v>
      </c>
      <c r="G12" s="6">
        <f>SUM(G9:G11)</f>
        <v>5488</v>
      </c>
      <c r="H12" s="6">
        <f>SUM(H9:H11)</f>
        <v>5346</v>
      </c>
      <c r="I12" s="6">
        <f>SUM(I9:I11)</f>
        <v>5400</v>
      </c>
      <c r="J12" s="6">
        <f>SUM(J9:J11)</f>
        <v>5289</v>
      </c>
      <c r="K12" s="6">
        <f>SUM(K9:K11)</f>
        <v>0</v>
      </c>
      <c r="L12" s="6">
        <f t="shared" ref="L12:N12" si="2">SUM(L9:L11)</f>
        <v>0</v>
      </c>
      <c r="M12" s="6">
        <f t="shared" si="2"/>
        <v>0</v>
      </c>
      <c r="N12" s="6">
        <f t="shared" si="2"/>
        <v>0</v>
      </c>
      <c r="Q12" s="6">
        <f t="shared" ref="Q12:R12" si="3">SUM(Q9:Q11)</f>
        <v>7313</v>
      </c>
      <c r="R12" s="6">
        <f t="shared" si="3"/>
        <v>9296</v>
      </c>
      <c r="S12" s="15"/>
      <c r="T12" s="15"/>
      <c r="U12" s="15"/>
      <c r="V12" s="15"/>
      <c r="W12" s="15"/>
    </row>
    <row r="13" spans="1:23" s="6" customFormat="1" x14ac:dyDescent="0.2">
      <c r="B13" s="6" t="s">
        <v>16</v>
      </c>
      <c r="D13" s="6">
        <f>D8-D12</f>
        <v>354</v>
      </c>
      <c r="E13" s="6">
        <f>E8-E12</f>
        <v>332</v>
      </c>
      <c r="F13" s="6">
        <f>F8-F12</f>
        <v>38</v>
      </c>
      <c r="G13" s="6">
        <f>G8-G12</f>
        <v>-176</v>
      </c>
      <c r="H13" s="6">
        <f>H8-H12</f>
        <v>20</v>
      </c>
      <c r="I13" s="6">
        <f>I8-I12</f>
        <v>193</v>
      </c>
      <c r="J13" s="6">
        <f>J8-J12</f>
        <v>460</v>
      </c>
      <c r="K13" s="6">
        <f>K8-K12</f>
        <v>0</v>
      </c>
      <c r="L13" s="6">
        <f t="shared" ref="L13:N13" si="4">L8-L12</f>
        <v>0</v>
      </c>
      <c r="M13" s="6">
        <f t="shared" si="4"/>
        <v>0</v>
      </c>
      <c r="N13" s="6">
        <f t="shared" si="4"/>
        <v>0</v>
      </c>
      <c r="Q13" s="6">
        <f t="shared" ref="Q13:R13" si="5">Q8-Q12</f>
        <v>454</v>
      </c>
      <c r="R13" s="6">
        <f t="shared" si="5"/>
        <v>535</v>
      </c>
      <c r="S13" s="15"/>
      <c r="T13" s="15"/>
      <c r="U13" s="15"/>
      <c r="V13" s="15"/>
    </row>
    <row r="14" spans="1:23" x14ac:dyDescent="0.2">
      <c r="B14" s="5" t="s">
        <v>17</v>
      </c>
      <c r="D14" s="5">
        <v>-38</v>
      </c>
      <c r="E14" s="5">
        <v>-32</v>
      </c>
      <c r="F14" s="5">
        <v>-102</v>
      </c>
      <c r="G14" s="5">
        <f>-227-F14-E14-D14</f>
        <v>-55</v>
      </c>
      <c r="H14" s="5">
        <v>-56</v>
      </c>
      <c r="I14" s="5">
        <v>-57</v>
      </c>
      <c r="J14" s="5">
        <v>-8</v>
      </c>
      <c r="Q14" s="13">
        <v>-87</v>
      </c>
      <c r="R14" s="13">
        <v>-154</v>
      </c>
    </row>
    <row r="15" spans="1:23" x14ac:dyDescent="0.2">
      <c r="B15" s="5" t="s">
        <v>18</v>
      </c>
      <c r="D15" s="6">
        <f>D14+D13</f>
        <v>316</v>
      </c>
      <c r="E15" s="6">
        <f>E14+E13</f>
        <v>300</v>
      </c>
      <c r="F15" s="6">
        <f>F14+F13</f>
        <v>-64</v>
      </c>
      <c r="G15" s="6">
        <f>G14+G13</f>
        <v>-231</v>
      </c>
      <c r="H15" s="6">
        <f>H14+H13</f>
        <v>-36</v>
      </c>
      <c r="I15" s="6">
        <f>I14+I13</f>
        <v>136</v>
      </c>
      <c r="J15" s="6">
        <f>J14+J13</f>
        <v>452</v>
      </c>
      <c r="K15" s="6">
        <f>K14+K13</f>
        <v>0</v>
      </c>
      <c r="L15" s="6">
        <f t="shared" ref="L15:N15" si="6">L14+L13</f>
        <v>0</v>
      </c>
      <c r="M15" s="6">
        <f t="shared" si="6"/>
        <v>0</v>
      </c>
      <c r="N15" s="6">
        <f t="shared" si="6"/>
        <v>0</v>
      </c>
      <c r="Q15" s="6">
        <f t="shared" ref="Q15" si="7">Q14+Q13</f>
        <v>367</v>
      </c>
      <c r="R15" s="6">
        <f t="shared" ref="R15" si="8">R14+R13</f>
        <v>381</v>
      </c>
    </row>
    <row r="16" spans="1:23" x14ac:dyDescent="0.2">
      <c r="B16" s="5" t="s">
        <v>19</v>
      </c>
      <c r="D16" s="5">
        <v>135</v>
      </c>
      <c r="E16" s="5">
        <v>291</v>
      </c>
      <c r="F16" s="5">
        <v>0</v>
      </c>
      <c r="G16" s="5">
        <f>88-F16-E16-D16</f>
        <v>-338</v>
      </c>
      <c r="H16" s="5">
        <v>-57</v>
      </c>
      <c r="I16" s="5">
        <v>113</v>
      </c>
      <c r="J16" s="5">
        <v>265</v>
      </c>
      <c r="Q16" s="13">
        <v>60</v>
      </c>
      <c r="R16" s="13">
        <v>0</v>
      </c>
    </row>
    <row r="17" spans="2:139" x14ac:dyDescent="0.2">
      <c r="B17" s="5" t="s">
        <v>20</v>
      </c>
      <c r="D17" s="6">
        <f>D15-D16</f>
        <v>181</v>
      </c>
      <c r="E17" s="6">
        <f>E15-E16</f>
        <v>9</v>
      </c>
      <c r="F17" s="6">
        <f>F15-F16</f>
        <v>-64</v>
      </c>
      <c r="G17" s="6">
        <f>G15-G16</f>
        <v>107</v>
      </c>
      <c r="H17" s="6">
        <f>H15-H16</f>
        <v>21</v>
      </c>
      <c r="I17" s="6">
        <f>I15-I16</f>
        <v>23</v>
      </c>
      <c r="J17" s="6">
        <f>J15-J16</f>
        <v>187</v>
      </c>
      <c r="K17" s="6">
        <f t="shared" ref="K17" si="9">K15-K16</f>
        <v>0</v>
      </c>
      <c r="L17" s="6">
        <f t="shared" ref="L17" si="10">L15-L16</f>
        <v>0</v>
      </c>
      <c r="M17" s="6">
        <f t="shared" ref="M17" si="11">M15-M16</f>
        <v>0</v>
      </c>
      <c r="N17" s="6">
        <f t="shared" ref="N17" si="12">N15-N16</f>
        <v>0</v>
      </c>
      <c r="Q17" s="6">
        <f t="shared" ref="Q17" si="13">Q15-Q16</f>
        <v>307</v>
      </c>
      <c r="R17" s="6">
        <f t="shared" ref="R17" si="14">R15-R16</f>
        <v>381</v>
      </c>
    </row>
    <row r="18" spans="2:139" x14ac:dyDescent="0.2">
      <c r="B18" s="5" t="s">
        <v>21</v>
      </c>
      <c r="D18" s="7">
        <f>D17/D19</f>
        <v>0.1925531914893617</v>
      </c>
      <c r="E18" s="7">
        <f>E17/E19</f>
        <v>9.4736842105263164E-3</v>
      </c>
      <c r="F18" s="7">
        <f>F17/F19</f>
        <v>-6.3936063936063936E-2</v>
      </c>
      <c r="G18" s="7">
        <f>G17/G19</f>
        <v>0.10985626283367557</v>
      </c>
      <c r="H18" s="7">
        <f>H17/H19</f>
        <v>2.097902097902098E-2</v>
      </c>
      <c r="I18" s="7">
        <f>I17/I19</f>
        <v>2.2977022977022976E-2</v>
      </c>
      <c r="J18" s="7">
        <f>J17/J19</f>
        <v>0.187</v>
      </c>
      <c r="K18" s="7">
        <f>K17/K19</f>
        <v>0</v>
      </c>
      <c r="L18" s="7">
        <f t="shared" ref="L18:N18" si="15">L17/L19</f>
        <v>0</v>
      </c>
      <c r="M18" s="7">
        <f t="shared" si="15"/>
        <v>0</v>
      </c>
      <c r="N18" s="7">
        <f t="shared" si="15"/>
        <v>0</v>
      </c>
      <c r="Q18" s="7">
        <f t="shared" ref="Q18" si="16">Q17/Q19</f>
        <v>0.41768707482993195</v>
      </c>
      <c r="R18" s="7">
        <f t="shared" ref="R18" si="17">R17/R19</f>
        <v>0.49161290322580647</v>
      </c>
    </row>
    <row r="19" spans="2:139" s="6" customFormat="1" x14ac:dyDescent="0.2">
      <c r="B19" s="6" t="s">
        <v>1</v>
      </c>
      <c r="D19" s="6">
        <v>940</v>
      </c>
      <c r="E19" s="6">
        <v>950</v>
      </c>
      <c r="F19" s="6">
        <v>1001</v>
      </c>
      <c r="G19" s="6">
        <v>974</v>
      </c>
      <c r="H19" s="6">
        <v>1001</v>
      </c>
      <c r="I19" s="6">
        <v>1001</v>
      </c>
      <c r="J19" s="6">
        <v>1000</v>
      </c>
      <c r="K19" s="6">
        <f>+J19</f>
        <v>1000</v>
      </c>
      <c r="L19" s="6">
        <f t="shared" ref="L19:N19" si="18">+K19</f>
        <v>1000</v>
      </c>
      <c r="M19" s="6">
        <f t="shared" si="18"/>
        <v>1000</v>
      </c>
      <c r="N19" s="6">
        <f t="shared" si="18"/>
        <v>1000</v>
      </c>
      <c r="Q19" s="15">
        <v>735</v>
      </c>
      <c r="R19" s="15">
        <v>775</v>
      </c>
      <c r="S19" s="15"/>
      <c r="T19" s="15"/>
      <c r="U19" s="15"/>
      <c r="V19" s="15"/>
    </row>
    <row r="22" spans="2:139" s="11" customFormat="1" x14ac:dyDescent="0.2">
      <c r="B22" s="11" t="s">
        <v>22</v>
      </c>
      <c r="H22" s="12">
        <f>+H6/D6-1</f>
        <v>0.24283078987087037</v>
      </c>
      <c r="I22" s="12">
        <f>+I6/E6-1</f>
        <v>0.21766561514195581</v>
      </c>
      <c r="J22" s="12">
        <f>+J6/F6-1</f>
        <v>0.14192044295497586</v>
      </c>
      <c r="K22" s="12">
        <f t="shared" ref="K22:N22" si="19">+K6/G6-1</f>
        <v>9.2001092001092077E-2</v>
      </c>
      <c r="L22" s="12">
        <f t="shared" si="19"/>
        <v>-1</v>
      </c>
      <c r="M22" s="12">
        <f t="shared" si="19"/>
        <v>-1</v>
      </c>
      <c r="N22" s="12">
        <f t="shared" si="19"/>
        <v>-1</v>
      </c>
      <c r="Q22" s="17"/>
      <c r="R22" s="18">
        <f>+R6/Q6-1</f>
        <v>0.26015180265654658</v>
      </c>
      <c r="S22" s="18">
        <f>+S6/R6-1</f>
        <v>0.28730612859509108</v>
      </c>
      <c r="T22" s="18">
        <f>+T6/S6-1</f>
        <v>0.24295239209264241</v>
      </c>
      <c r="U22" s="18">
        <f>+U6/T6-1</f>
        <v>0.24656502917372491</v>
      </c>
      <c r="V22" s="18">
        <f>+V6/U6-1</f>
        <v>0.16895666616337013</v>
      </c>
      <c r="W22" s="18">
        <f>+W6/V6-1</f>
        <v>-1</v>
      </c>
    </row>
    <row r="24" spans="2:139" s="6" customFormat="1" x14ac:dyDescent="0.2">
      <c r="B24" s="6" t="s">
        <v>24</v>
      </c>
      <c r="C24" s="6">
        <f>+C17</f>
        <v>0</v>
      </c>
      <c r="D24" s="6">
        <f>+D17</f>
        <v>181</v>
      </c>
      <c r="E24" s="6">
        <f>+E17</f>
        <v>9</v>
      </c>
      <c r="F24" s="6">
        <f>+F17</f>
        <v>-64</v>
      </c>
      <c r="G24" s="6">
        <f>+G17</f>
        <v>107</v>
      </c>
      <c r="H24" s="6">
        <f>+H17</f>
        <v>21</v>
      </c>
      <c r="I24" s="6">
        <f>+I17</f>
        <v>23</v>
      </c>
      <c r="J24" s="6">
        <f>+J17</f>
        <v>187</v>
      </c>
      <c r="Q24" s="15"/>
      <c r="R24" s="15"/>
      <c r="S24" s="15"/>
      <c r="T24" s="15"/>
      <c r="U24" s="15"/>
      <c r="V24" s="15"/>
    </row>
    <row r="25" spans="2:139" s="6" customFormat="1" x14ac:dyDescent="0.2">
      <c r="B25" s="6" t="s">
        <v>23</v>
      </c>
      <c r="F25" s="6">
        <v>468</v>
      </c>
      <c r="H25" s="6">
        <v>28</v>
      </c>
      <c r="I25" s="6">
        <f>68</f>
        <v>68</v>
      </c>
      <c r="J25" s="6">
        <v>210</v>
      </c>
      <c r="Q25" s="15"/>
      <c r="R25" s="15"/>
      <c r="S25" s="15"/>
      <c r="T25" s="15"/>
      <c r="U25" s="15"/>
      <c r="V25" s="15"/>
    </row>
    <row r="26" spans="2:139" s="6" customFormat="1" x14ac:dyDescent="0.2">
      <c r="B26" s="6" t="s">
        <v>26</v>
      </c>
      <c r="F26" s="6">
        <v>963</v>
      </c>
      <c r="H26" s="6">
        <v>906</v>
      </c>
      <c r="I26" s="6">
        <f>907</f>
        <v>907</v>
      </c>
      <c r="J26" s="6">
        <v>941</v>
      </c>
      <c r="Q26" s="15"/>
      <c r="R26" s="15"/>
      <c r="S26" s="15"/>
      <c r="T26" s="15"/>
      <c r="U26" s="15"/>
      <c r="V26" s="15"/>
    </row>
    <row r="27" spans="2:139" s="6" customFormat="1" x14ac:dyDescent="0.2">
      <c r="B27" s="6" t="s">
        <v>27</v>
      </c>
      <c r="F27" s="6">
        <v>344</v>
      </c>
      <c r="H27" s="6">
        <v>394</v>
      </c>
      <c r="I27" s="6">
        <f>408</f>
        <v>408</v>
      </c>
      <c r="J27" s="6">
        <v>423</v>
      </c>
      <c r="Q27" s="15"/>
      <c r="R27" s="15"/>
      <c r="S27" s="15"/>
      <c r="T27" s="15"/>
      <c r="U27" s="15"/>
      <c r="V27" s="15"/>
    </row>
    <row r="28" spans="2:139" s="6" customFormat="1" x14ac:dyDescent="0.2">
      <c r="B28" s="6" t="s">
        <v>28</v>
      </c>
      <c r="F28" s="6">
        <v>812</v>
      </c>
      <c r="H28" s="6">
        <v>776</v>
      </c>
      <c r="I28" s="6">
        <f>851</f>
        <v>851</v>
      </c>
      <c r="J28" s="6">
        <v>843</v>
      </c>
      <c r="Q28" s="15"/>
      <c r="R28" s="15"/>
      <c r="S28" s="15"/>
      <c r="T28" s="15"/>
      <c r="U28" s="15"/>
      <c r="V28" s="15"/>
    </row>
    <row r="29" spans="2:139" s="6" customFormat="1" x14ac:dyDescent="0.2">
      <c r="B29" s="6" t="s">
        <v>29</v>
      </c>
      <c r="F29" s="6">
        <v>-363</v>
      </c>
      <c r="H29" s="6">
        <v>-7</v>
      </c>
      <c r="I29" s="6">
        <f>-45</f>
        <v>-45</v>
      </c>
      <c r="J29" s="6">
        <v>-23</v>
      </c>
      <c r="Q29" s="15"/>
      <c r="R29" s="15"/>
      <c r="S29" s="15"/>
      <c r="T29" s="15"/>
      <c r="U29" s="15"/>
      <c r="V29" s="15"/>
    </row>
    <row r="30" spans="2:139" s="6" customFormat="1" x14ac:dyDescent="0.2">
      <c r="B30" s="6" t="s">
        <v>30</v>
      </c>
      <c r="F30" s="6">
        <f>91-405+189-548-191-956</f>
        <v>-1820</v>
      </c>
      <c r="H30" s="6">
        <f>5805-399-409-1222-202-1994</f>
        <v>1579</v>
      </c>
      <c r="I30" s="6">
        <f>-790-505+113+326-186-813</f>
        <v>-1855</v>
      </c>
      <c r="J30" s="6">
        <f>471-375-63-309-173-1632</f>
        <v>-2081</v>
      </c>
      <c r="Q30" s="15"/>
      <c r="R30" s="15"/>
      <c r="S30" s="15"/>
      <c r="T30" s="15"/>
      <c r="U30" s="15"/>
      <c r="V30" s="15"/>
    </row>
    <row r="31" spans="2:139" s="6" customFormat="1" x14ac:dyDescent="0.2">
      <c r="B31" s="6" t="s">
        <v>25</v>
      </c>
      <c r="F31" s="6">
        <f>SUM(F25:F30)</f>
        <v>404</v>
      </c>
      <c r="H31" s="6">
        <f>SUM(H25:H30)</f>
        <v>3676</v>
      </c>
      <c r="I31" s="6">
        <f>SUM(I25:I30)</f>
        <v>334</v>
      </c>
      <c r="J31" s="6">
        <f>SUM(J25:J30)</f>
        <v>313</v>
      </c>
      <c r="Q31" s="15"/>
      <c r="R31" s="15"/>
      <c r="S31" s="15"/>
      <c r="T31" s="15">
        <v>4331</v>
      </c>
      <c r="U31" s="15">
        <v>4801</v>
      </c>
      <c r="V31" s="15">
        <v>6000</v>
      </c>
      <c r="W31" s="6">
        <v>7000</v>
      </c>
      <c r="X31" s="6">
        <f>+W31*(1+$Z$34)</f>
        <v>7490</v>
      </c>
      <c r="Y31" s="6">
        <f t="shared" ref="Y31:AG31" si="20">+X31*(1+$Z$34)</f>
        <v>8014.3</v>
      </c>
      <c r="Z31" s="6">
        <f t="shared" si="20"/>
        <v>8575.3010000000013</v>
      </c>
      <c r="AA31" s="6">
        <f t="shared" si="20"/>
        <v>9175.572070000002</v>
      </c>
      <c r="AB31" s="6">
        <f t="shared" si="20"/>
        <v>9817.8621149000028</v>
      </c>
      <c r="AC31" s="6">
        <f t="shared" si="20"/>
        <v>10505.112462943003</v>
      </c>
      <c r="AD31" s="6">
        <f t="shared" si="20"/>
        <v>11240.470335349015</v>
      </c>
      <c r="AE31" s="6">
        <f t="shared" si="20"/>
        <v>12027.303258823447</v>
      </c>
      <c r="AF31" s="6">
        <f t="shared" si="20"/>
        <v>12869.214486941089</v>
      </c>
      <c r="AG31" s="6">
        <f t="shared" si="20"/>
        <v>13770.059501026966</v>
      </c>
      <c r="AH31" s="6">
        <f>AG31*(1+$Z$35)</f>
        <v>13907.760096037237</v>
      </c>
      <c r="AI31" s="6">
        <f t="shared" ref="AI31:CT31" si="21">AH31*(1+$Z$35)</f>
        <v>14046.837696997609</v>
      </c>
      <c r="AJ31" s="6">
        <f t="shared" si="21"/>
        <v>14187.306073967586</v>
      </c>
      <c r="AK31" s="6">
        <f t="shared" si="21"/>
        <v>14329.179134707261</v>
      </c>
      <c r="AL31" s="6">
        <f t="shared" si="21"/>
        <v>14472.470926054333</v>
      </c>
      <c r="AM31" s="6">
        <f t="shared" si="21"/>
        <v>14617.195635314876</v>
      </c>
      <c r="AN31" s="6">
        <f t="shared" si="21"/>
        <v>14763.367591668026</v>
      </c>
      <c r="AO31" s="6">
        <f t="shared" si="21"/>
        <v>14911.001267584707</v>
      </c>
      <c r="AP31" s="6">
        <f t="shared" si="21"/>
        <v>15060.111280260553</v>
      </c>
      <c r="AQ31" s="6">
        <f t="shared" si="21"/>
        <v>15210.712393063159</v>
      </c>
      <c r="AR31" s="6">
        <f t="shared" si="21"/>
        <v>15362.81951699379</v>
      </c>
      <c r="AS31" s="6">
        <f t="shared" si="21"/>
        <v>15516.447712163728</v>
      </c>
      <c r="AT31" s="6">
        <f t="shared" si="21"/>
        <v>15671.612189285366</v>
      </c>
      <c r="AU31" s="6">
        <f t="shared" si="21"/>
        <v>15828.32831117822</v>
      </c>
      <c r="AV31" s="6">
        <f t="shared" si="21"/>
        <v>15986.611594290003</v>
      </c>
      <c r="AW31" s="6">
        <f t="shared" si="21"/>
        <v>16146.477710232903</v>
      </c>
      <c r="AX31" s="6">
        <f t="shared" si="21"/>
        <v>16307.942487335231</v>
      </c>
      <c r="AY31" s="6">
        <f t="shared" si="21"/>
        <v>16471.021912208584</v>
      </c>
      <c r="AZ31" s="6">
        <f t="shared" si="21"/>
        <v>16635.732131330671</v>
      </c>
      <c r="BA31" s="6">
        <f t="shared" si="21"/>
        <v>16802.089452643977</v>
      </c>
      <c r="BB31" s="6">
        <f t="shared" si="21"/>
        <v>16970.110347170415</v>
      </c>
      <c r="BC31" s="6">
        <f t="shared" si="21"/>
        <v>17139.811450642119</v>
      </c>
      <c r="BD31" s="6">
        <f t="shared" si="21"/>
        <v>17311.20956514854</v>
      </c>
      <c r="BE31" s="6">
        <f t="shared" si="21"/>
        <v>17484.321660800026</v>
      </c>
      <c r="BF31" s="6">
        <f t="shared" si="21"/>
        <v>17659.164877408028</v>
      </c>
      <c r="BG31" s="6">
        <f t="shared" si="21"/>
        <v>17835.756526182107</v>
      </c>
      <c r="BH31" s="6">
        <f t="shared" si="21"/>
        <v>18014.114091443927</v>
      </c>
      <c r="BI31" s="6">
        <f t="shared" si="21"/>
        <v>18194.255232358366</v>
      </c>
      <c r="BJ31" s="6">
        <f t="shared" si="21"/>
        <v>18376.19778468195</v>
      </c>
      <c r="BK31" s="6">
        <f t="shared" si="21"/>
        <v>18559.959762528768</v>
      </c>
      <c r="BL31" s="6">
        <f t="shared" si="21"/>
        <v>18745.559360154057</v>
      </c>
      <c r="BM31" s="6">
        <f t="shared" si="21"/>
        <v>18933.014953755599</v>
      </c>
      <c r="BN31" s="6">
        <f t="shared" si="21"/>
        <v>19122.345103293155</v>
      </c>
      <c r="BO31" s="6">
        <f t="shared" si="21"/>
        <v>19313.568554326088</v>
      </c>
      <c r="BP31" s="6">
        <f t="shared" si="21"/>
        <v>19506.704239869348</v>
      </c>
      <c r="BQ31" s="6">
        <f t="shared" si="21"/>
        <v>19701.771282268041</v>
      </c>
      <c r="BR31" s="6">
        <f t="shared" si="21"/>
        <v>19898.788995090723</v>
      </c>
      <c r="BS31" s="6">
        <f t="shared" si="21"/>
        <v>20097.776885041629</v>
      </c>
      <c r="BT31" s="6">
        <f t="shared" si="21"/>
        <v>20298.754653892047</v>
      </c>
      <c r="BU31" s="6">
        <f t="shared" si="21"/>
        <v>20501.742200430966</v>
      </c>
      <c r="BV31" s="6">
        <f t="shared" si="21"/>
        <v>20706.759622435275</v>
      </c>
      <c r="BW31" s="6">
        <f t="shared" si="21"/>
        <v>20913.827218659626</v>
      </c>
      <c r="BX31" s="6">
        <f t="shared" si="21"/>
        <v>21122.965490846222</v>
      </c>
      <c r="BY31" s="6">
        <f t="shared" si="21"/>
        <v>21334.195145754686</v>
      </c>
      <c r="BZ31" s="6">
        <f t="shared" si="21"/>
        <v>21547.537097212233</v>
      </c>
      <c r="CA31" s="6">
        <f t="shared" si="21"/>
        <v>21763.012468184355</v>
      </c>
      <c r="CB31" s="6">
        <f t="shared" si="21"/>
        <v>21980.642592866199</v>
      </c>
      <c r="CC31" s="6">
        <f t="shared" si="21"/>
        <v>22200.449018794861</v>
      </c>
      <c r="CD31" s="6">
        <f t="shared" si="21"/>
        <v>22422.45350898281</v>
      </c>
      <c r="CE31" s="6">
        <f t="shared" si="21"/>
        <v>22646.678044072636</v>
      </c>
      <c r="CF31" s="6">
        <f t="shared" si="21"/>
        <v>22873.144824513362</v>
      </c>
      <c r="CG31" s="6">
        <f t="shared" si="21"/>
        <v>23101.876272758494</v>
      </c>
      <c r="CH31" s="6">
        <f t="shared" si="21"/>
        <v>23332.895035486079</v>
      </c>
      <c r="CI31" s="6">
        <f t="shared" si="21"/>
        <v>23566.223985840941</v>
      </c>
      <c r="CJ31" s="6">
        <f t="shared" si="21"/>
        <v>23801.886225699353</v>
      </c>
      <c r="CK31" s="6">
        <f t="shared" si="21"/>
        <v>24039.905087956347</v>
      </c>
      <c r="CL31" s="6">
        <f t="shared" si="21"/>
        <v>24280.304138835912</v>
      </c>
      <c r="CM31" s="6">
        <f t="shared" si="21"/>
        <v>24523.107180224273</v>
      </c>
      <c r="CN31" s="6">
        <f t="shared" si="21"/>
        <v>24768.338252026515</v>
      </c>
      <c r="CO31" s="6">
        <f t="shared" si="21"/>
        <v>25016.021634546782</v>
      </c>
      <c r="CP31" s="6">
        <f t="shared" si="21"/>
        <v>25266.181850892248</v>
      </c>
      <c r="CQ31" s="6">
        <f t="shared" si="21"/>
        <v>25518.843669401169</v>
      </c>
      <c r="CR31" s="6">
        <f t="shared" si="21"/>
        <v>25774.032106095179</v>
      </c>
      <c r="CS31" s="6">
        <f t="shared" si="21"/>
        <v>26031.772427156131</v>
      </c>
      <c r="CT31" s="6">
        <f t="shared" si="21"/>
        <v>26292.090151427692</v>
      </c>
      <c r="CU31" s="6">
        <f t="shared" ref="CU31:EI31" si="22">CT31*(1+$Z$35)</f>
        <v>26555.011052941969</v>
      </c>
      <c r="CV31" s="6">
        <f t="shared" si="22"/>
        <v>26820.56116347139</v>
      </c>
      <c r="CW31" s="6">
        <f t="shared" si="22"/>
        <v>27088.766775106105</v>
      </c>
      <c r="CX31" s="6">
        <f t="shared" si="22"/>
        <v>27359.654442857165</v>
      </c>
      <c r="CY31" s="6">
        <f t="shared" si="22"/>
        <v>27633.250987285737</v>
      </c>
      <c r="CZ31" s="6">
        <f t="shared" si="22"/>
        <v>27909.583497158594</v>
      </c>
      <c r="DA31" s="6">
        <f t="shared" si="22"/>
        <v>28188.679332130181</v>
      </c>
      <c r="DB31" s="6">
        <f t="shared" si="22"/>
        <v>28470.566125451482</v>
      </c>
      <c r="DC31" s="6">
        <f t="shared" si="22"/>
        <v>28755.271786705998</v>
      </c>
      <c r="DD31" s="6">
        <f t="shared" si="22"/>
        <v>29042.824504573058</v>
      </c>
      <c r="DE31" s="6">
        <f t="shared" si="22"/>
        <v>29333.25274961879</v>
      </c>
      <c r="DF31" s="6">
        <f t="shared" si="22"/>
        <v>29626.58527711498</v>
      </c>
      <c r="DG31" s="6">
        <f t="shared" si="22"/>
        <v>29922.85112988613</v>
      </c>
      <c r="DH31" s="6">
        <f t="shared" si="22"/>
        <v>30222.079641184991</v>
      </c>
      <c r="DI31" s="6">
        <f t="shared" si="22"/>
        <v>30524.300437596841</v>
      </c>
      <c r="DJ31" s="6">
        <f t="shared" si="22"/>
        <v>30829.543441972812</v>
      </c>
      <c r="DK31" s="6">
        <f t="shared" si="22"/>
        <v>31137.83887639254</v>
      </c>
      <c r="DL31" s="6">
        <f t="shared" si="22"/>
        <v>31449.217265156465</v>
      </c>
      <c r="DM31" s="6">
        <f t="shared" si="22"/>
        <v>31763.709437808029</v>
      </c>
      <c r="DN31" s="6">
        <f t="shared" si="22"/>
        <v>32081.346532186111</v>
      </c>
      <c r="DO31" s="6">
        <f t="shared" si="22"/>
        <v>32402.159997507973</v>
      </c>
      <c r="DP31" s="6">
        <f t="shared" si="22"/>
        <v>32726.181597483053</v>
      </c>
      <c r="DQ31" s="6">
        <f t="shared" si="22"/>
        <v>33053.443413457884</v>
      </c>
      <c r="DR31" s="6">
        <f t="shared" si="22"/>
        <v>33383.977847592461</v>
      </c>
      <c r="DS31" s="6">
        <f t="shared" si="22"/>
        <v>33717.817626068383</v>
      </c>
      <c r="DT31" s="6">
        <f t="shared" si="22"/>
        <v>34054.995802329067</v>
      </c>
      <c r="DU31" s="6">
        <f t="shared" si="22"/>
        <v>34395.545760352361</v>
      </c>
      <c r="DV31" s="6">
        <f t="shared" si="22"/>
        <v>34739.501217955883</v>
      </c>
      <c r="DW31" s="6">
        <f t="shared" si="22"/>
        <v>35086.89623013544</v>
      </c>
      <c r="DX31" s="6">
        <f t="shared" si="22"/>
        <v>35437.765192436796</v>
      </c>
      <c r="DY31" s="6">
        <f t="shared" si="22"/>
        <v>35792.142844361166</v>
      </c>
      <c r="DZ31" s="6">
        <f t="shared" si="22"/>
        <v>36150.064272804775</v>
      </c>
      <c r="EA31" s="6">
        <f t="shared" si="22"/>
        <v>36511.564915532821</v>
      </c>
      <c r="EB31" s="6">
        <f t="shared" si="22"/>
        <v>36876.680564688148</v>
      </c>
      <c r="EC31" s="6">
        <f t="shared" si="22"/>
        <v>37245.44737033503</v>
      </c>
      <c r="ED31" s="6">
        <f t="shared" si="22"/>
        <v>37617.901844038381</v>
      </c>
      <c r="EE31" s="6">
        <f t="shared" si="22"/>
        <v>37994.080862478768</v>
      </c>
      <c r="EF31" s="6">
        <f t="shared" si="22"/>
        <v>38374.021671103554</v>
      </c>
      <c r="EG31" s="6">
        <f t="shared" si="22"/>
        <v>38757.761887814588</v>
      </c>
      <c r="EH31" s="6">
        <f t="shared" si="22"/>
        <v>39145.339506692733</v>
      </c>
      <c r="EI31" s="6">
        <f t="shared" si="22"/>
        <v>39536.792901759662</v>
      </c>
    </row>
    <row r="32" spans="2:139" s="6" customFormat="1" x14ac:dyDescent="0.2">
      <c r="Q32" s="15"/>
      <c r="R32" s="15"/>
      <c r="S32" s="15"/>
      <c r="T32" s="15"/>
      <c r="U32" s="18">
        <f>+U31/T31-1</f>
        <v>0.10851997229277299</v>
      </c>
      <c r="V32" s="18">
        <f>+V31/U31-1</f>
        <v>0.24973963757550521</v>
      </c>
      <c r="W32" s="18">
        <f>+W31/V31-1</f>
        <v>0.16666666666666674</v>
      </c>
      <c r="X32" s="19">
        <f t="shared" ref="X32:AA32" si="23">+X31/W31-1</f>
        <v>7.0000000000000062E-2</v>
      </c>
      <c r="Y32" s="19">
        <f t="shared" si="23"/>
        <v>7.0000000000000062E-2</v>
      </c>
      <c r="Z32" s="19">
        <f t="shared" si="23"/>
        <v>7.0000000000000062E-2</v>
      </c>
      <c r="AA32" s="19">
        <f t="shared" si="23"/>
        <v>7.0000000000000062E-2</v>
      </c>
      <c r="AB32" s="19">
        <f t="shared" ref="AB32" si="24">+AB31/AA31-1</f>
        <v>7.0000000000000062E-2</v>
      </c>
      <c r="AC32" s="19">
        <f t="shared" ref="AC32" si="25">+AC31/AB31-1</f>
        <v>7.0000000000000062E-2</v>
      </c>
      <c r="AD32" s="19">
        <f t="shared" ref="AD32" si="26">+AD31/AC31-1</f>
        <v>7.0000000000000062E-2</v>
      </c>
      <c r="AE32" s="19">
        <f t="shared" ref="AE32" si="27">+AE31/AD31-1</f>
        <v>7.0000000000000062E-2</v>
      </c>
      <c r="AF32" s="19">
        <f t="shared" ref="AF32" si="28">+AF31/AE31-1</f>
        <v>7.0000000000000062E-2</v>
      </c>
      <c r="AG32" s="19">
        <f t="shared" ref="AG32" si="29">+AG31/AF31-1</f>
        <v>7.0000000000000062E-2</v>
      </c>
      <c r="AH32" s="19">
        <f t="shared" ref="AH32" si="30">+AH31/AG31-1</f>
        <v>1.0000000000000009E-2</v>
      </c>
      <c r="AI32" s="19">
        <f t="shared" ref="AI32" si="31">+AI31/AH31-1</f>
        <v>1.0000000000000009E-2</v>
      </c>
      <c r="AJ32" s="19">
        <f t="shared" ref="AJ32" si="32">+AJ31/AI31-1</f>
        <v>1.0000000000000009E-2</v>
      </c>
      <c r="AK32" s="19">
        <f t="shared" ref="AK32" si="33">+AK31/AJ31-1</f>
        <v>1.0000000000000009E-2</v>
      </c>
      <c r="AL32" s="19">
        <f t="shared" ref="AL32" si="34">+AL31/AK31-1</f>
        <v>1.0000000000000009E-2</v>
      </c>
      <c r="AM32" s="19">
        <f t="shared" ref="AM32" si="35">+AM31/AL31-1</f>
        <v>1.0000000000000009E-2</v>
      </c>
      <c r="AN32" s="19">
        <f t="shared" ref="AN32" si="36">+AN31/AM31-1</f>
        <v>1.0000000000000009E-2</v>
      </c>
      <c r="AO32" s="19">
        <f t="shared" ref="AO32" si="37">+AO31/AN31-1</f>
        <v>1.0000000000000009E-2</v>
      </c>
      <c r="AP32" s="19">
        <f t="shared" ref="AP32" si="38">+AP31/AO31-1</f>
        <v>1.0000000000000009E-2</v>
      </c>
      <c r="AQ32" s="19">
        <f t="shared" ref="AQ32" si="39">+AQ31/AP31-1</f>
        <v>1.0000000000000009E-2</v>
      </c>
      <c r="AR32" s="19">
        <f t="shared" ref="AR32" si="40">+AR31/AQ31-1</f>
        <v>1.0000000000000009E-2</v>
      </c>
      <c r="AS32" s="19">
        <f t="shared" ref="AS32" si="41">+AS31/AR31-1</f>
        <v>1.0000000000000009E-2</v>
      </c>
      <c r="AT32" s="19">
        <f t="shared" ref="AT32" si="42">+AT31/AS31-1</f>
        <v>1.0000000000000009E-2</v>
      </c>
    </row>
    <row r="34" spans="2:26" x14ac:dyDescent="0.2">
      <c r="B34" s="5" t="s">
        <v>31</v>
      </c>
      <c r="F34" s="5">
        <v>-166</v>
      </c>
      <c r="I34" s="5">
        <v>-203</v>
      </c>
      <c r="J34" s="5">
        <v>-198</v>
      </c>
      <c r="Y34" s="11" t="s">
        <v>39</v>
      </c>
      <c r="Z34" s="12">
        <v>7.0000000000000007E-2</v>
      </c>
    </row>
    <row r="35" spans="2:26" x14ac:dyDescent="0.2">
      <c r="B35" s="5" t="s">
        <v>32</v>
      </c>
      <c r="I35" s="6">
        <f>+I31+I34</f>
        <v>131</v>
      </c>
      <c r="J35" s="6">
        <f>+J31+J34</f>
        <v>115</v>
      </c>
      <c r="Y35" s="5" t="s">
        <v>40</v>
      </c>
      <c r="Z35" s="10">
        <v>0.01</v>
      </c>
    </row>
    <row r="36" spans="2:26" x14ac:dyDescent="0.2">
      <c r="Y36" s="5" t="s">
        <v>41</v>
      </c>
      <c r="Z36" s="10">
        <v>0.08</v>
      </c>
    </row>
    <row r="37" spans="2:26" x14ac:dyDescent="0.2">
      <c r="Y37" s="5" t="s">
        <v>42</v>
      </c>
      <c r="Z37" s="6">
        <f>NPV(Z36,W31:DE31)+Main!M5-Main!M6</f>
        <v>159215.7215866865</v>
      </c>
    </row>
    <row r="38" spans="2:26" x14ac:dyDescent="0.2">
      <c r="Y38" s="11" t="s">
        <v>44</v>
      </c>
      <c r="Z38" s="20">
        <f>+Z37/1000</f>
        <v>159.2157215866865</v>
      </c>
    </row>
    <row r="39" spans="2:26" x14ac:dyDescent="0.2">
      <c r="Z39" s="10">
        <f>+Z38/Main!M2-1</f>
        <v>8.3985032589096509E-2</v>
      </c>
    </row>
  </sheetData>
  <hyperlinks>
    <hyperlink ref="A1" location="Main!A1" display="Main" xr:uid="{451C7D6A-BD4E-4638-B6B9-E06FA9FB837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2022-06-15T15:49:46Z</dcterms:created>
  <dcterms:modified xsi:type="dcterms:W3CDTF">2023-01-20T15:48:54Z</dcterms:modified>
  <cp:category/>
  <cp:contentStatus/>
</cp:coreProperties>
</file>