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818371B-8DCE-459C-8F44-17702767722D}" xr6:coauthVersionLast="47" xr6:coauthVersionMax="47" xr10:uidLastSave="{00000000-0000-0000-0000-000000000000}"/>
  <bookViews>
    <workbookView xWindow="-51525" yWindow="585" windowWidth="22020" windowHeight="19995" tabRatio="319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47" i="2" l="1"/>
  <c r="V42" i="2"/>
  <c r="V50" i="2" s="1"/>
  <c r="V40" i="2"/>
  <c r="V37" i="2"/>
  <c r="V33" i="2"/>
  <c r="V32" i="2"/>
  <c r="V19" i="2"/>
  <c r="V17" i="2"/>
  <c r="V12" i="2"/>
  <c r="V6" i="2"/>
  <c r="V11" i="2" s="1"/>
  <c r="U6" i="2"/>
  <c r="T6" i="2"/>
  <c r="S6" i="2"/>
  <c r="R19" i="2"/>
  <c r="R17" i="2"/>
  <c r="R12" i="2"/>
  <c r="R11" i="2"/>
  <c r="R13" i="2" s="1"/>
  <c r="R18" i="2" s="1"/>
  <c r="R20" i="2" s="1"/>
  <c r="R22" i="2" s="1"/>
  <c r="R23" i="2" s="1"/>
  <c r="R6" i="2"/>
  <c r="Q6" i="2"/>
  <c r="P6" i="2"/>
  <c r="O6" i="2"/>
  <c r="AC12" i="2"/>
  <c r="AB12" i="2"/>
  <c r="AC17" i="2"/>
  <c r="AB17" i="2"/>
  <c r="AB11" i="2"/>
  <c r="Q47" i="2"/>
  <c r="Q42" i="2"/>
  <c r="Q50" i="2" s="1"/>
  <c r="Q37" i="2"/>
  <c r="Q33" i="2"/>
  <c r="Q32" i="2" s="1"/>
  <c r="Q12" i="2"/>
  <c r="Q11" i="2"/>
  <c r="P49" i="2"/>
  <c r="O50" i="2"/>
  <c r="P47" i="2"/>
  <c r="O32" i="2"/>
  <c r="P42" i="2"/>
  <c r="O40" i="2"/>
  <c r="P37" i="2"/>
  <c r="P33" i="2"/>
  <c r="P11" i="2"/>
  <c r="P19" i="2"/>
  <c r="P12" i="2"/>
  <c r="O19" i="2"/>
  <c r="O12" i="2"/>
  <c r="O11" i="2"/>
  <c r="AH16" i="2"/>
  <c r="AI16" i="2" s="1"/>
  <c r="AJ16" i="2" s="1"/>
  <c r="AH14" i="2"/>
  <c r="AI14" i="2" s="1"/>
  <c r="AJ14" i="2" s="1"/>
  <c r="AK14" i="2" s="1"/>
  <c r="AL14" i="2" s="1"/>
  <c r="AM14" i="2" s="1"/>
  <c r="AN14" i="2" s="1"/>
  <c r="AO14" i="2" s="1"/>
  <c r="AG64" i="2"/>
  <c r="AG65" i="2" s="1"/>
  <c r="AG59" i="2"/>
  <c r="AG60" i="2" s="1"/>
  <c r="AC11" i="2"/>
  <c r="N47" i="2"/>
  <c r="N42" i="2"/>
  <c r="N50" i="2" s="1"/>
  <c r="N37" i="2"/>
  <c r="N33" i="2"/>
  <c r="N40" i="2" s="1"/>
  <c r="AH2" i="2"/>
  <c r="AI2" i="2" s="1"/>
  <c r="AJ2" i="2" s="1"/>
  <c r="AK2" i="2" s="1"/>
  <c r="AL2" i="2" s="1"/>
  <c r="AM2" i="2" s="1"/>
  <c r="AN2" i="2" s="1"/>
  <c r="AO2" i="2" s="1"/>
  <c r="R2" i="2"/>
  <c r="V2" i="2" s="1"/>
  <c r="Q2" i="2"/>
  <c r="U2" i="2" s="1"/>
  <c r="Z2" i="2" s="1"/>
  <c r="P2" i="2"/>
  <c r="T2" i="2" s="1"/>
  <c r="Y2" i="2" s="1"/>
  <c r="O2" i="2"/>
  <c r="S2" i="2" s="1"/>
  <c r="X2" i="2" s="1"/>
  <c r="AD17" i="2"/>
  <c r="AD12" i="2"/>
  <c r="AE17" i="2"/>
  <c r="AE12" i="2"/>
  <c r="AE11" i="2"/>
  <c r="AD11" i="2"/>
  <c r="G12" i="2"/>
  <c r="G17" i="2"/>
  <c r="G11" i="2"/>
  <c r="K12" i="2"/>
  <c r="H12" i="2"/>
  <c r="H11" i="2"/>
  <c r="L12" i="2"/>
  <c r="I12" i="2"/>
  <c r="I11" i="2"/>
  <c r="M17" i="2"/>
  <c r="L17" i="2"/>
  <c r="K17" i="2"/>
  <c r="J17" i="2"/>
  <c r="I17" i="2"/>
  <c r="H17" i="2"/>
  <c r="F17" i="2"/>
  <c r="F18" i="2" s="1"/>
  <c r="E17" i="2"/>
  <c r="E18" i="2" s="1"/>
  <c r="D17" i="2"/>
  <c r="D18" i="2" s="1"/>
  <c r="C17" i="2"/>
  <c r="C18" i="2" s="1"/>
  <c r="M12" i="2"/>
  <c r="AF11" i="2"/>
  <c r="AG11" i="2"/>
  <c r="M11" i="2"/>
  <c r="L11" i="2"/>
  <c r="K11" i="2"/>
  <c r="J11" i="2"/>
  <c r="N11" i="2"/>
  <c r="J12" i="2"/>
  <c r="N12" i="2"/>
  <c r="AF12" i="2"/>
  <c r="AF17" i="2"/>
  <c r="AG12" i="2"/>
  <c r="AG17" i="2"/>
  <c r="N17" i="2"/>
  <c r="G4" i="1"/>
  <c r="G7" i="1" s="1"/>
  <c r="V13" i="2" l="1"/>
  <c r="V18" i="2" s="1"/>
  <c r="V20" i="2" s="1"/>
  <c r="V22" i="2" s="1"/>
  <c r="V23" i="2" s="1"/>
  <c r="V27" i="2"/>
  <c r="AB13" i="2"/>
  <c r="T27" i="2"/>
  <c r="W2" i="2"/>
  <c r="P32" i="2"/>
  <c r="V28" i="2"/>
  <c r="S28" i="2"/>
  <c r="U28" i="2"/>
  <c r="S27" i="2"/>
  <c r="AC13" i="2"/>
  <c r="AC18" i="2" s="1"/>
  <c r="AC20" i="2" s="1"/>
  <c r="AC22" i="2" s="1"/>
  <c r="AC23" i="2" s="1"/>
  <c r="Q13" i="2"/>
  <c r="Q28" i="2" s="1"/>
  <c r="U27" i="2"/>
  <c r="AB18" i="2"/>
  <c r="AB20" i="2" s="1"/>
  <c r="AB22" i="2" s="1"/>
  <c r="AB23" i="2" s="1"/>
  <c r="AE13" i="2"/>
  <c r="AE28" i="2" s="1"/>
  <c r="O13" i="2"/>
  <c r="Q40" i="2"/>
  <c r="AH15" i="2"/>
  <c r="AI15" i="2" s="1"/>
  <c r="AJ15" i="2" s="1"/>
  <c r="AK15" i="2" s="1"/>
  <c r="AL15" i="2" s="1"/>
  <c r="AM15" i="2" s="1"/>
  <c r="AN15" i="2" s="1"/>
  <c r="AO15" i="2" s="1"/>
  <c r="P40" i="2"/>
  <c r="P50" i="2"/>
  <c r="AH19" i="2"/>
  <c r="H13" i="2"/>
  <c r="H28" i="2" s="1"/>
  <c r="Q17" i="2"/>
  <c r="P17" i="2"/>
  <c r="AH24" i="2"/>
  <c r="AI24" i="2" s="1"/>
  <c r="AJ24" i="2" s="1"/>
  <c r="AK24" i="2" s="1"/>
  <c r="AL24" i="2" s="1"/>
  <c r="AM24" i="2" s="1"/>
  <c r="AN24" i="2" s="1"/>
  <c r="AO24" i="2" s="1"/>
  <c r="AK16" i="2"/>
  <c r="AL16" i="2" s="1"/>
  <c r="AM16" i="2" s="1"/>
  <c r="AN16" i="2" s="1"/>
  <c r="AO16" i="2" s="1"/>
  <c r="P13" i="2"/>
  <c r="P28" i="2" s="1"/>
  <c r="R28" i="2"/>
  <c r="R27" i="2"/>
  <c r="AG27" i="2"/>
  <c r="AF27" i="2"/>
  <c r="AH11" i="2"/>
  <c r="O17" i="2"/>
  <c r="I13" i="2"/>
  <c r="I28" i="2" s="1"/>
  <c r="AE27" i="2"/>
  <c r="AD13" i="2"/>
  <c r="AD28" i="2" s="1"/>
  <c r="L27" i="2"/>
  <c r="N32" i="2"/>
  <c r="M27" i="2"/>
  <c r="N13" i="2"/>
  <c r="N28" i="2" s="1"/>
  <c r="P27" i="2"/>
  <c r="K27" i="2"/>
  <c r="Q27" i="2"/>
  <c r="N27" i="2"/>
  <c r="G13" i="2"/>
  <c r="K13" i="2"/>
  <c r="K28" i="2" s="1"/>
  <c r="H18" i="2"/>
  <c r="H20" i="2" s="1"/>
  <c r="H22" i="2" s="1"/>
  <c r="H23" i="2" s="1"/>
  <c r="L13" i="2"/>
  <c r="L28" i="2" s="1"/>
  <c r="J13" i="2"/>
  <c r="J28" i="2" s="1"/>
  <c r="M13" i="2"/>
  <c r="M28" i="2" s="1"/>
  <c r="AF13" i="2"/>
  <c r="AF28" i="2" s="1"/>
  <c r="AG13" i="2"/>
  <c r="AG28" i="2" s="1"/>
  <c r="N18" i="2"/>
  <c r="N20" i="2" s="1"/>
  <c r="U30" i="2" l="1"/>
  <c r="V30" i="2"/>
  <c r="T28" i="2"/>
  <c r="S30" i="2"/>
  <c r="AE18" i="2"/>
  <c r="AH17" i="2"/>
  <c r="P18" i="2"/>
  <c r="P20" i="2" s="1"/>
  <c r="P30" i="2" s="1"/>
  <c r="O27" i="2"/>
  <c r="AE20" i="2"/>
  <c r="AE22" i="2" s="1"/>
  <c r="AE23" i="2" s="1"/>
  <c r="AE29" i="2"/>
  <c r="M18" i="2"/>
  <c r="M20" i="2" s="1"/>
  <c r="AI17" i="2"/>
  <c r="N22" i="2"/>
  <c r="N23" i="2" s="1"/>
  <c r="N30" i="2"/>
  <c r="AI11" i="2"/>
  <c r="AH27" i="2"/>
  <c r="Q18" i="2"/>
  <c r="Q20" i="2" s="1"/>
  <c r="I18" i="2"/>
  <c r="I20" i="2" s="1"/>
  <c r="I22" i="2" s="1"/>
  <c r="I23" i="2" s="1"/>
  <c r="AD18" i="2"/>
  <c r="K18" i="2"/>
  <c r="K20" i="2" s="1"/>
  <c r="AF18" i="2"/>
  <c r="G18" i="2"/>
  <c r="G20" i="2" s="1"/>
  <c r="G22" i="2" s="1"/>
  <c r="G23" i="2" s="1"/>
  <c r="G28" i="2"/>
  <c r="J18" i="2"/>
  <c r="J20" i="2" s="1"/>
  <c r="J22" i="2" s="1"/>
  <c r="J23" i="2" s="1"/>
  <c r="L18" i="2"/>
  <c r="L20" i="2" s="1"/>
  <c r="AG18" i="2"/>
  <c r="T30" i="2" l="1"/>
  <c r="AE30" i="2"/>
  <c r="AF20" i="2"/>
  <c r="AF22" i="2" s="1"/>
  <c r="AF23" i="2" s="1"/>
  <c r="AF29" i="2"/>
  <c r="AD20" i="2"/>
  <c r="AD29" i="2"/>
  <c r="AG20" i="2"/>
  <c r="AG30" i="2" s="1"/>
  <c r="AG29" i="2"/>
  <c r="AJ17" i="2"/>
  <c r="AI27" i="2"/>
  <c r="AJ11" i="2"/>
  <c r="AI12" i="2"/>
  <c r="AI13" i="2" s="1"/>
  <c r="M22" i="2"/>
  <c r="M23" i="2" s="1"/>
  <c r="M30" i="2"/>
  <c r="AH12" i="2"/>
  <c r="AH13" i="2" s="1"/>
  <c r="L22" i="2"/>
  <c r="L23" i="2" s="1"/>
  <c r="L30" i="2"/>
  <c r="K22" i="2"/>
  <c r="K23" i="2" s="1"/>
  <c r="K30" i="2"/>
  <c r="AD22" i="2"/>
  <c r="AD23" i="2" s="1"/>
  <c r="AD30" i="2"/>
  <c r="AG22" i="2"/>
  <c r="AG23" i="2" s="1"/>
  <c r="Q30" i="2"/>
  <c r="R30" i="2"/>
  <c r="P22" i="2"/>
  <c r="P23" i="2" s="1"/>
  <c r="O28" i="2"/>
  <c r="O18" i="2"/>
  <c r="O20" i="2" s="1"/>
  <c r="AF30" i="2" l="1"/>
  <c r="AG52" i="2"/>
  <c r="AI28" i="2"/>
  <c r="AI18" i="2"/>
  <c r="AI29" i="2" s="1"/>
  <c r="AK17" i="2"/>
  <c r="AH28" i="2"/>
  <c r="AH18" i="2"/>
  <c r="AK11" i="2"/>
  <c r="AJ27" i="2"/>
  <c r="AJ12" i="2"/>
  <c r="AJ13" i="2" s="1"/>
  <c r="Q22" i="2"/>
  <c r="Q23" i="2" s="1"/>
  <c r="AH20" i="2" l="1"/>
  <c r="AH29" i="2"/>
  <c r="AJ28" i="2"/>
  <c r="AJ18" i="2"/>
  <c r="AJ29" i="2" s="1"/>
  <c r="O30" i="2"/>
  <c r="AH21" i="2"/>
  <c r="AL17" i="2"/>
  <c r="AK27" i="2"/>
  <c r="AK12" i="2"/>
  <c r="AK13" i="2" s="1"/>
  <c r="AL11" i="2"/>
  <c r="O22" i="2"/>
  <c r="AH30" i="2" l="1"/>
  <c r="AH22" i="2"/>
  <c r="AH23" i="2" s="1"/>
  <c r="AK28" i="2"/>
  <c r="AK18" i="2"/>
  <c r="AK29" i="2" s="1"/>
  <c r="AL27" i="2"/>
  <c r="AL12" i="2"/>
  <c r="AL13" i="2" s="1"/>
  <c r="AM11" i="2"/>
  <c r="O23" i="2"/>
  <c r="AH32" i="2"/>
  <c r="AM17" i="2"/>
  <c r="AO17" i="2" l="1"/>
  <c r="AN17" i="2"/>
  <c r="AI19" i="2"/>
  <c r="AI20" i="2" s="1"/>
  <c r="AM27" i="2"/>
  <c r="AM12" i="2"/>
  <c r="AM13" i="2" s="1"/>
  <c r="AN11" i="2"/>
  <c r="AL28" i="2"/>
  <c r="AL18" i="2"/>
  <c r="AL29" i="2" s="1"/>
  <c r="AM28" i="2" l="1"/>
  <c r="AM18" i="2"/>
  <c r="AM29" i="2" s="1"/>
  <c r="AN27" i="2"/>
  <c r="AN12" i="2"/>
  <c r="AN13" i="2" s="1"/>
  <c r="AO11" i="2"/>
  <c r="AI21" i="2"/>
  <c r="AI30" i="2" s="1"/>
  <c r="AI22" i="2" l="1"/>
  <c r="AO12" i="2"/>
  <c r="AO13" i="2" s="1"/>
  <c r="AO27" i="2"/>
  <c r="AN18" i="2"/>
  <c r="AN29" i="2" s="1"/>
  <c r="AN28" i="2"/>
  <c r="AO28" i="2" l="1"/>
  <c r="AO18" i="2"/>
  <c r="AO29" i="2" s="1"/>
  <c r="AI23" i="2"/>
  <c r="AI32" i="2"/>
  <c r="AJ19" i="2" l="1"/>
  <c r="AJ20" i="2" s="1"/>
  <c r="AJ21" i="2" l="1"/>
  <c r="AJ30" i="2" s="1"/>
  <c r="AJ22" i="2" l="1"/>
  <c r="AJ23" i="2" s="1"/>
  <c r="AJ32" i="2"/>
  <c r="AK19" i="2" l="1"/>
  <c r="AK20" i="2" s="1"/>
  <c r="AK21" i="2" l="1"/>
  <c r="AK30" i="2" s="1"/>
  <c r="AK22" i="2" l="1"/>
  <c r="AK23" i="2" l="1"/>
  <c r="AK32" i="2"/>
  <c r="AL19" i="2" l="1"/>
  <c r="AL20" i="2" s="1"/>
  <c r="AL21" i="2" l="1"/>
  <c r="AL30" i="2" s="1"/>
  <c r="AL22" i="2" l="1"/>
  <c r="AL23" i="2" s="1"/>
  <c r="AL32" i="2" l="1"/>
  <c r="AM19" i="2" s="1"/>
  <c r="AM20" i="2" s="1"/>
  <c r="AM21" i="2" l="1"/>
  <c r="AM30" i="2" s="1"/>
  <c r="AM22" i="2" l="1"/>
  <c r="AM23" i="2" s="1"/>
  <c r="AM32" i="2" l="1"/>
  <c r="AN19" i="2" s="1"/>
  <c r="AN20" i="2" s="1"/>
  <c r="AN21" i="2" l="1"/>
  <c r="AN30" i="2" s="1"/>
  <c r="AN22" i="2" l="1"/>
  <c r="AN23" i="2" l="1"/>
  <c r="AN32" i="2"/>
  <c r="AO19" i="2" l="1"/>
  <c r="AO20" i="2" s="1"/>
  <c r="AO21" i="2" l="1"/>
  <c r="AO30" i="2" s="1"/>
  <c r="AO22" i="2" l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AR35" i="2" s="1"/>
  <c r="AR36" i="2" s="1"/>
  <c r="AR37" i="2" s="1"/>
  <c r="AO32" i="2" l="1"/>
  <c r="AO23" i="2"/>
</calcChain>
</file>

<file path=xl/sharedStrings.xml><?xml version="1.0" encoding="utf-8"?>
<sst xmlns="http://schemas.openxmlformats.org/spreadsheetml/2006/main" count="111" uniqueCount="104">
  <si>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</si>
  <si>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</si>
  <si>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</si>
  <si>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</si>
  <si>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</si>
  <si>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</si>
  <si>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</si>
  <si>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</si>
  <si>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</si>
  <si>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</si>
  <si>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</si>
  <si>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</si>
  <si>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</si>
  <si>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</si>
  <si>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</si>
  <si>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</si>
  <si>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</si>
  <si>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</si>
  <si>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</si>
  <si>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</si>
  <si>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</si>
  <si>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</si>
  <si>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</si>
  <si>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</si>
  <si>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</si>
  <si>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</si>
  <si>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</si>
  <si>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</si>
  <si>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</si>
  <si>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</si>
  <si>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</si>
  <si>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</si>
  <si>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</si>
  <si>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</si>
  <si>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</si>
  <si>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</si>
  <si>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</si>
  <si>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</si>
  <si>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</si>
  <si>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</si>
  <si>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</si>
  <si>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</si>
  <si>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</si>
  <si>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</si>
  <si>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</si>
  <si>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</si>
  <si>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</si>
  <si>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</si>
  <si>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</si>
  <si>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</si>
  <si>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</si>
  <si>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</si>
  <si>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</si>
  <si>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</si>
  <si>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</si>
  <si>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</si>
  <si>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</si>
  <si>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</si>
  <si>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</si>
  <si>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</si>
  <si>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</si>
  <si>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</si>
  <si>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</si>
  <si>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</si>
  <si>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</si>
  <si>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</si>
  <si>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</si>
  <si>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</si>
  <si>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</si>
  <si>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</si>
  <si>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</si>
  <si>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</si>
  <si>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</si>
  <si>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</si>
  <si>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</si>
  <si>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</si>
  <si>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</si>
  <si>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</si>
  <si>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</si>
  <si>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</si>
  <si>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</si>
  <si>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</si>
  <si>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</si>
  <si>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</si>
  <si>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</si>
  <si>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</si>
  <si>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</si>
  <si>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</si>
  <si>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</si>
  <si>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</si>
  <si>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</si>
  <si>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</si>
  <si>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</si>
  <si>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</si>
  <si>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</si>
  <si>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Cerner</t>
  </si>
  <si>
    <t>FY17</t>
  </si>
  <si>
    <t>FQ125</t>
  </si>
  <si>
    <t>FQ225</t>
  </si>
  <si>
    <t>FQ325</t>
  </si>
  <si>
    <t>FQ425</t>
  </si>
  <si>
    <t xml:space="preserve">  License Support</t>
  </si>
  <si>
    <t xml:space="preserve">  Cloud Services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</si>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</sst>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1</xdr:row>
      <xdr:rowOff>21433</xdr:rowOff>
    </xdr:from>
    <xdr:to>
      <xdr:col>17</xdr:col>
      <xdr:colOff>38100</xdr:colOff>
      <xdr:row>68</xdr:row>
      <xdr:rowOff>113369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0932319" y="182167"/>
          <a:ext cx="0" cy="105396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43069</xdr:colOff>
      <xdr:row>0</xdr:row>
      <xdr:rowOff>0</xdr:rowOff>
    </xdr:from>
    <xdr:to>
      <xdr:col>33</xdr:col>
      <xdr:colOff>43069</xdr:colOff>
      <xdr:row>75</xdr:row>
      <xdr:rowOff>157370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15059439" y="0"/>
          <a:ext cx="0" cy="12249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tabSelected="1" zoomScale="205" zoomScaleNormal="205" zoomScaleSheetLayoutView="100" workbookViewId="0">
      <selection activeCell="G4" sqref="G4"/>
    </sheetView>
  </sheetViews>
  <sheetFormatPr defaultColWidth="8.5703125" defaultRowHeight="12.75" x14ac:dyDescent="0.2"/>
  <cols>
    <col min="1" max="6" width="8.5703125" style="1"/>
    <col min="7" max="7" width="8.28515625" style="1" customWidth="1"/>
    <col min="8" max="16384" width="8.5703125" style="1"/>
  </cols>
  <sheetData>
    <row r="2" spans="2:8" x14ac:dyDescent="0.2">
      <c r="B2" s="1" t="s">
        <v>95</v>
      </c>
      <c r="F2" s="1" t="s">
        <v>0</v>
      </c>
      <c r="G2" s="2">
        <v>141</v>
      </c>
    </row>
    <row r="3" spans="2:8" x14ac:dyDescent="0.2">
      <c r="F3" s="1" t="s">
        <v>1</v>
      </c>
      <c r="G3" s="3">
        <v>2834</v>
      </c>
      <c r="H3" s="4" t="s">
        <v>103</v>
      </c>
    </row>
    <row r="4" spans="2:8" x14ac:dyDescent="0.2">
      <c r="F4" s="1" t="s">
        <v>2</v>
      </c>
      <c r="G4" s="3">
        <f>G3*G2</f>
        <v>399594</v>
      </c>
    </row>
    <row r="5" spans="2:8" x14ac:dyDescent="0.2">
      <c r="F5" s="1" t="s">
        <v>3</v>
      </c>
      <c r="G5" s="3">
        <v>10661</v>
      </c>
      <c r="H5" s="4" t="s">
        <v>103</v>
      </c>
    </row>
    <row r="6" spans="2:8" x14ac:dyDescent="0.2">
      <c r="F6" s="1" t="s">
        <v>4</v>
      </c>
      <c r="G6" s="3">
        <v>86869</v>
      </c>
      <c r="H6" s="4" t="s">
        <v>103</v>
      </c>
    </row>
    <row r="7" spans="2:8" x14ac:dyDescent="0.2">
      <c r="F7" s="1" t="s">
        <v>5</v>
      </c>
      <c r="G7" s="3">
        <f>G4-G5+G6</f>
        <v>475802</v>
      </c>
    </row>
    <row r="16" spans="2:8" x14ac:dyDescent="0.2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Z65"/>
  <sheetViews>
    <sheetView zoomScale="160" zoomScaleNormal="160" zoomScaleSheetLayoutView="100" workbookViewId="0">
      <pane xSplit="2" ySplit="3" topLeftCell="P17" activePane="bottomRight" state="frozen"/>
      <selection pane="topRight" activeCell="C1" sqref="C1"/>
      <selection pane="bottomLeft" activeCell="A4" sqref="A4"/>
      <selection pane="bottomRight" activeCell="V32" sqref="V32"/>
    </sheetView>
  </sheetViews>
  <sheetFormatPr defaultColWidth="8.5703125" defaultRowHeight="12.75" x14ac:dyDescent="0.2"/>
  <cols>
    <col min="1" max="1" width="5" style="1" bestFit="1" customWidth="1"/>
    <col min="2" max="2" width="17.42578125" style="1" customWidth="1"/>
    <col min="3" max="8" width="9" style="4" customWidth="1"/>
    <col min="9" max="16" width="9.7109375" style="4" customWidth="1"/>
    <col min="17" max="28" width="9" style="4" customWidth="1"/>
    <col min="29" max="29" width="8.5703125" style="1"/>
    <col min="30" max="31" width="8.5703125" style="4"/>
    <col min="32" max="33" width="9.5703125" style="4" customWidth="1"/>
    <col min="34" max="43" width="8.5703125" style="1"/>
    <col min="44" max="44" width="9.28515625" style="1" customWidth="1"/>
    <col min="45" max="16384" width="8.5703125" style="1"/>
  </cols>
  <sheetData>
    <row r="1" spans="1:41" x14ac:dyDescent="0.2">
      <c r="A1" s="10" t="s">
        <v>7</v>
      </c>
    </row>
    <row r="2" spans="1:41" s="11" customFormat="1" x14ac:dyDescent="0.2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V2" si="0">+L2+365</f>
        <v>44895</v>
      </c>
      <c r="Q2" s="12">
        <f t="shared" si="0"/>
        <v>44985</v>
      </c>
      <c r="R2" s="12">
        <f t="shared" si="0"/>
        <v>45077</v>
      </c>
      <c r="S2" s="12">
        <f t="shared" si="0"/>
        <v>45169</v>
      </c>
      <c r="T2" s="12">
        <f t="shared" si="0"/>
        <v>45260</v>
      </c>
      <c r="U2" s="12">
        <f t="shared" si="0"/>
        <v>45350</v>
      </c>
      <c r="V2" s="12">
        <f t="shared" si="0"/>
        <v>45442</v>
      </c>
      <c r="W2" s="12">
        <f>+R2+366</f>
        <v>45443</v>
      </c>
      <c r="X2" s="12">
        <f>+S2+366</f>
        <v>45535</v>
      </c>
      <c r="Y2" s="12">
        <f>+T2+366</f>
        <v>45626</v>
      </c>
      <c r="Z2" s="12">
        <f>+U2+366</f>
        <v>45716</v>
      </c>
      <c r="AA2" s="12"/>
      <c r="AB2" s="12">
        <v>42886</v>
      </c>
      <c r="AC2" s="12">
        <v>43251</v>
      </c>
      <c r="AD2" s="12">
        <v>43616</v>
      </c>
      <c r="AE2" s="12">
        <v>43982</v>
      </c>
      <c r="AF2" s="12">
        <v>44347</v>
      </c>
      <c r="AG2" s="12">
        <v>44712</v>
      </c>
      <c r="AH2" s="12">
        <f>AG2+365</f>
        <v>45077</v>
      </c>
      <c r="AI2" s="12">
        <f>AH2+366</f>
        <v>45443</v>
      </c>
      <c r="AJ2" s="12">
        <f t="shared" ref="AJ2" si="1">AI2+365</f>
        <v>45808</v>
      </c>
      <c r="AK2" s="12">
        <f t="shared" ref="AK2:AL2" si="2">AJ2+365</f>
        <v>46173</v>
      </c>
      <c r="AL2" s="12">
        <f t="shared" si="2"/>
        <v>46538</v>
      </c>
      <c r="AM2" s="12">
        <f>AL2+366</f>
        <v>46904</v>
      </c>
      <c r="AN2" s="12">
        <f t="shared" ref="AN2" si="3">AM2+365</f>
        <v>47269</v>
      </c>
      <c r="AO2" s="12">
        <f>AN2+365</f>
        <v>47634</v>
      </c>
    </row>
    <row r="3" spans="1:41" x14ac:dyDescent="0.2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91</v>
      </c>
      <c r="T3" s="4" t="s">
        <v>92</v>
      </c>
      <c r="U3" s="4" t="s">
        <v>93</v>
      </c>
      <c r="V3" s="4" t="s">
        <v>94</v>
      </c>
      <c r="W3" s="4" t="s">
        <v>97</v>
      </c>
      <c r="X3" s="4" t="s">
        <v>98</v>
      </c>
      <c r="Y3" s="4" t="s">
        <v>99</v>
      </c>
      <c r="Z3" s="4" t="s">
        <v>100</v>
      </c>
      <c r="AB3" s="4" t="s">
        <v>96</v>
      </c>
      <c r="AC3" s="4" t="s">
        <v>71</v>
      </c>
      <c r="AD3" s="4" t="s">
        <v>47</v>
      </c>
      <c r="AE3" s="4" t="s">
        <v>43</v>
      </c>
      <c r="AF3" s="4" t="s">
        <v>30</v>
      </c>
      <c r="AG3" s="4" t="s">
        <v>31</v>
      </c>
      <c r="AH3" s="4" t="s">
        <v>48</v>
      </c>
      <c r="AI3" s="4" t="s">
        <v>49</v>
      </c>
      <c r="AJ3" s="4" t="s">
        <v>50</v>
      </c>
      <c r="AK3" s="4" t="s">
        <v>51</v>
      </c>
      <c r="AL3" s="4" t="s">
        <v>52</v>
      </c>
      <c r="AM3" s="4" t="s">
        <v>53</v>
      </c>
      <c r="AN3" s="4" t="s">
        <v>54</v>
      </c>
      <c r="AO3" s="4" t="s">
        <v>55</v>
      </c>
    </row>
    <row r="4" spans="1:41" x14ac:dyDescent="0.2">
      <c r="B4" s="1" t="s">
        <v>102</v>
      </c>
      <c r="O4" s="5">
        <v>3579</v>
      </c>
      <c r="P4" s="5">
        <v>3813</v>
      </c>
      <c r="Q4" s="5">
        <v>4053</v>
      </c>
      <c r="R4" s="5">
        <v>4437</v>
      </c>
      <c r="S4" s="5">
        <v>4635</v>
      </c>
      <c r="T4" s="5">
        <v>4775</v>
      </c>
      <c r="U4" s="5">
        <v>5054</v>
      </c>
      <c r="V4" s="5">
        <v>5311</v>
      </c>
      <c r="W4" s="5"/>
      <c r="X4" s="5"/>
      <c r="Y4" s="5"/>
      <c r="Z4" s="5"/>
      <c r="AC4" s="4"/>
      <c r="AH4" s="4"/>
      <c r="AI4" s="4"/>
      <c r="AJ4" s="4"/>
      <c r="AK4" s="4"/>
      <c r="AL4" s="4"/>
      <c r="AM4" s="4"/>
      <c r="AN4" s="4"/>
      <c r="AO4" s="4"/>
    </row>
    <row r="5" spans="1:41" x14ac:dyDescent="0.2">
      <c r="B5" s="1" t="s">
        <v>101</v>
      </c>
      <c r="O5" s="5">
        <v>4838</v>
      </c>
      <c r="P5" s="5">
        <v>4785</v>
      </c>
      <c r="Q5" s="5">
        <v>4870</v>
      </c>
      <c r="R5" s="5">
        <v>4933</v>
      </c>
      <c r="S5" s="5">
        <v>4912</v>
      </c>
      <c r="T5" s="5">
        <v>4864</v>
      </c>
      <c r="U5" s="5">
        <v>4909</v>
      </c>
      <c r="V5" s="5">
        <v>4923</v>
      </c>
      <c r="W5" s="5"/>
      <c r="X5" s="5"/>
      <c r="Y5" s="5"/>
      <c r="Z5" s="5"/>
      <c r="AC5" s="4"/>
      <c r="AH5" s="4"/>
      <c r="AI5" s="4"/>
      <c r="AJ5" s="4"/>
      <c r="AK5" s="4"/>
      <c r="AL5" s="4"/>
      <c r="AM5" s="4"/>
      <c r="AN5" s="4"/>
      <c r="AO5" s="4"/>
    </row>
    <row r="6" spans="1:41" s="3" customFormat="1" x14ac:dyDescent="0.2">
      <c r="B6" s="3" t="s">
        <v>33</v>
      </c>
      <c r="C6" s="5"/>
      <c r="D6" s="5"/>
      <c r="E6" s="5"/>
      <c r="F6" s="5"/>
      <c r="G6" s="5">
        <v>6947</v>
      </c>
      <c r="H6" s="5">
        <v>7112</v>
      </c>
      <c r="I6" s="5">
        <v>7252</v>
      </c>
      <c r="J6" s="5">
        <v>7389</v>
      </c>
      <c r="K6" s="5">
        <v>7371</v>
      </c>
      <c r="L6" s="5">
        <v>7554</v>
      </c>
      <c r="M6" s="5">
        <v>7637</v>
      </c>
      <c r="N6" s="5">
        <v>7612</v>
      </c>
      <c r="O6" s="5">
        <f t="shared" ref="O6:P6" si="4">+O5+O4</f>
        <v>8417</v>
      </c>
      <c r="P6" s="5">
        <f t="shared" si="4"/>
        <v>8598</v>
      </c>
      <c r="Q6" s="5">
        <f t="shared" ref="Q6:U6" si="5">+Q5+Q4</f>
        <v>8923</v>
      </c>
      <c r="R6" s="5">
        <f>+R5+R4</f>
        <v>9370</v>
      </c>
      <c r="S6" s="5">
        <f t="shared" ref="S6" si="6">+S5+S4</f>
        <v>9547</v>
      </c>
      <c r="T6" s="5">
        <f t="shared" ref="T6" si="7">+T5+T4</f>
        <v>9639</v>
      </c>
      <c r="U6" s="5">
        <f t="shared" ref="U6" si="8">+U5+U4</f>
        <v>9963</v>
      </c>
      <c r="V6" s="5">
        <f t="shared" ref="V6:Z6" si="9">+V5+V4</f>
        <v>10234</v>
      </c>
      <c r="W6" s="5"/>
      <c r="X6" s="5"/>
      <c r="Y6" s="5"/>
      <c r="Z6" s="5"/>
      <c r="AA6" s="5"/>
      <c r="AB6" s="5">
        <v>23800</v>
      </c>
      <c r="AC6" s="3">
        <v>26254</v>
      </c>
      <c r="AD6" s="5">
        <v>26707</v>
      </c>
      <c r="AE6" s="5">
        <v>27392</v>
      </c>
      <c r="AF6" s="5">
        <v>28700</v>
      </c>
      <c r="AG6" s="5">
        <v>30174</v>
      </c>
    </row>
    <row r="7" spans="1:41" s="3" customFormat="1" x14ac:dyDescent="0.2">
      <c r="B7" s="3" t="s">
        <v>34</v>
      </c>
      <c r="C7" s="5"/>
      <c r="D7" s="5"/>
      <c r="E7" s="5"/>
      <c r="F7" s="5"/>
      <c r="G7" s="5">
        <v>886</v>
      </c>
      <c r="H7" s="5">
        <v>1092</v>
      </c>
      <c r="I7" s="5">
        <v>1276</v>
      </c>
      <c r="J7" s="5">
        <v>2144</v>
      </c>
      <c r="K7" s="5">
        <v>813</v>
      </c>
      <c r="L7" s="5">
        <v>1237</v>
      </c>
      <c r="M7" s="5">
        <v>1289</v>
      </c>
      <c r="N7" s="5">
        <v>2539</v>
      </c>
      <c r="O7" s="5">
        <v>904</v>
      </c>
      <c r="P7" s="5">
        <v>1435</v>
      </c>
      <c r="Q7" s="5">
        <v>1288</v>
      </c>
      <c r="R7" s="5">
        <v>2152</v>
      </c>
      <c r="S7" s="5">
        <v>809</v>
      </c>
      <c r="T7" s="5">
        <v>1178</v>
      </c>
      <c r="U7" s="5">
        <v>1256</v>
      </c>
      <c r="V7" s="5">
        <v>1838</v>
      </c>
      <c r="W7" s="5"/>
      <c r="X7" s="5"/>
      <c r="Y7" s="5"/>
      <c r="Z7" s="5"/>
      <c r="AA7" s="5"/>
      <c r="AB7" s="5">
        <v>6418</v>
      </c>
      <c r="AC7" s="3">
        <v>6190</v>
      </c>
      <c r="AD7" s="5">
        <v>5855</v>
      </c>
      <c r="AE7" s="5">
        <v>5127</v>
      </c>
      <c r="AF7" s="5">
        <v>5399</v>
      </c>
      <c r="AG7" s="5">
        <v>5878</v>
      </c>
    </row>
    <row r="8" spans="1:41" s="3" customFormat="1" x14ac:dyDescent="0.2">
      <c r="B8" s="3" t="s">
        <v>35</v>
      </c>
      <c r="C8" s="5"/>
      <c r="D8" s="5"/>
      <c r="E8" s="5"/>
      <c r="F8" s="5"/>
      <c r="G8" s="5">
        <v>814</v>
      </c>
      <c r="H8" s="5">
        <v>844</v>
      </c>
      <c r="I8" s="5">
        <v>820</v>
      </c>
      <c r="J8" s="5">
        <v>882</v>
      </c>
      <c r="K8" s="5">
        <v>763</v>
      </c>
      <c r="L8" s="5">
        <v>767</v>
      </c>
      <c r="M8" s="5">
        <v>798</v>
      </c>
      <c r="N8" s="5">
        <v>856</v>
      </c>
      <c r="O8" s="5">
        <v>763</v>
      </c>
      <c r="P8" s="5">
        <v>850</v>
      </c>
      <c r="Q8" s="5">
        <v>811</v>
      </c>
      <c r="R8" s="5">
        <v>850</v>
      </c>
      <c r="S8" s="5">
        <v>714</v>
      </c>
      <c r="T8" s="5">
        <v>756</v>
      </c>
      <c r="U8" s="5">
        <v>754</v>
      </c>
      <c r="V8" s="5">
        <v>842</v>
      </c>
      <c r="W8" s="5"/>
      <c r="X8" s="5"/>
      <c r="Y8" s="5"/>
      <c r="Z8" s="5"/>
      <c r="AA8" s="5"/>
      <c r="AB8" s="5">
        <v>4152</v>
      </c>
      <c r="AC8" s="3">
        <v>3993</v>
      </c>
      <c r="AD8" s="5">
        <v>3704</v>
      </c>
      <c r="AE8" s="5">
        <v>3443</v>
      </c>
      <c r="AF8" s="5">
        <v>3359</v>
      </c>
      <c r="AG8" s="5">
        <v>3183</v>
      </c>
    </row>
    <row r="9" spans="1:41" s="3" customFormat="1" x14ac:dyDescent="0.2">
      <c r="B9" s="3" t="s">
        <v>36</v>
      </c>
      <c r="C9" s="5"/>
      <c r="D9" s="5"/>
      <c r="E9" s="5"/>
      <c r="F9" s="5"/>
      <c r="G9" s="5">
        <v>720</v>
      </c>
      <c r="H9" s="5">
        <v>752</v>
      </c>
      <c r="I9" s="5">
        <v>737</v>
      </c>
      <c r="J9" s="5">
        <v>812</v>
      </c>
      <c r="K9" s="5">
        <v>781</v>
      </c>
      <c r="L9" s="5">
        <v>802</v>
      </c>
      <c r="M9" s="5">
        <v>789</v>
      </c>
      <c r="N9" s="5">
        <v>833</v>
      </c>
      <c r="O9" s="5">
        <v>1361</v>
      </c>
      <c r="P9" s="5">
        <v>1392</v>
      </c>
      <c r="Q9" s="5">
        <v>1376</v>
      </c>
      <c r="R9" s="5">
        <v>1465</v>
      </c>
      <c r="S9" s="5">
        <v>1383</v>
      </c>
      <c r="T9" s="5">
        <v>1368</v>
      </c>
      <c r="U9" s="5">
        <v>1307</v>
      </c>
      <c r="V9" s="5">
        <v>1373</v>
      </c>
      <c r="W9" s="5"/>
      <c r="X9" s="5"/>
      <c r="Y9" s="5"/>
      <c r="Z9" s="5"/>
      <c r="AA9" s="5"/>
      <c r="AB9" s="5">
        <v>3358</v>
      </c>
      <c r="AC9" s="3">
        <v>3394</v>
      </c>
      <c r="AD9" s="5">
        <v>3240</v>
      </c>
      <c r="AE9" s="5">
        <v>3106</v>
      </c>
      <c r="AF9" s="5">
        <v>3021</v>
      </c>
      <c r="AG9" s="5">
        <v>3205</v>
      </c>
    </row>
    <row r="11" spans="1:41" s="8" customFormat="1" x14ac:dyDescent="0.2">
      <c r="B11" s="8" t="s">
        <v>8</v>
      </c>
      <c r="C11" s="9"/>
      <c r="D11" s="9"/>
      <c r="E11" s="9"/>
      <c r="F11" s="9"/>
      <c r="G11" s="9">
        <f t="shared" ref="G11:Q11" si="10">SUM(G6:G9)</f>
        <v>9367</v>
      </c>
      <c r="H11" s="9">
        <f t="shared" si="10"/>
        <v>9800</v>
      </c>
      <c r="I11" s="9">
        <f t="shared" si="10"/>
        <v>10085</v>
      </c>
      <c r="J11" s="9">
        <f t="shared" si="10"/>
        <v>11227</v>
      </c>
      <c r="K11" s="9">
        <f t="shared" si="10"/>
        <v>9728</v>
      </c>
      <c r="L11" s="9">
        <f t="shared" si="10"/>
        <v>10360</v>
      </c>
      <c r="M11" s="9">
        <f t="shared" si="10"/>
        <v>10513</v>
      </c>
      <c r="N11" s="9">
        <f t="shared" si="10"/>
        <v>11840</v>
      </c>
      <c r="O11" s="9">
        <f t="shared" si="10"/>
        <v>11445</v>
      </c>
      <c r="P11" s="9">
        <f t="shared" si="10"/>
        <v>12275</v>
      </c>
      <c r="Q11" s="9">
        <f t="shared" si="10"/>
        <v>12398</v>
      </c>
      <c r="R11" s="9">
        <f>SUM(R6:R9)</f>
        <v>13837</v>
      </c>
      <c r="S11" s="9"/>
      <c r="T11" s="9"/>
      <c r="U11" s="9"/>
      <c r="V11" s="9">
        <f>SUM(V6:V9)</f>
        <v>14287</v>
      </c>
      <c r="W11" s="9"/>
      <c r="X11" s="9"/>
      <c r="Y11" s="9"/>
      <c r="Z11" s="9"/>
      <c r="AA11" s="9"/>
      <c r="AB11" s="9">
        <f t="shared" ref="AB11:AG11" si="11">SUM(AB6:AB9)</f>
        <v>37728</v>
      </c>
      <c r="AC11" s="9">
        <f t="shared" si="11"/>
        <v>39831</v>
      </c>
      <c r="AD11" s="9">
        <f t="shared" si="11"/>
        <v>39506</v>
      </c>
      <c r="AE11" s="9">
        <f t="shared" si="11"/>
        <v>39068</v>
      </c>
      <c r="AF11" s="9">
        <f t="shared" si="11"/>
        <v>40479</v>
      </c>
      <c r="AG11" s="9">
        <f t="shared" si="11"/>
        <v>42440</v>
      </c>
      <c r="AH11" s="9">
        <f>SUM(O11:R11)</f>
        <v>49955</v>
      </c>
      <c r="AI11" s="9">
        <f>AH11*1.03</f>
        <v>51453.65</v>
      </c>
      <c r="AJ11" s="9">
        <f t="shared" ref="AJ11:AO11" si="12">AI11*1.03</f>
        <v>52997.2595</v>
      </c>
      <c r="AK11" s="9">
        <f t="shared" si="12"/>
        <v>54587.177284999998</v>
      </c>
      <c r="AL11" s="9">
        <f t="shared" si="12"/>
        <v>56224.792603549999</v>
      </c>
      <c r="AM11" s="9">
        <f t="shared" si="12"/>
        <v>57911.5363816565</v>
      </c>
      <c r="AN11" s="9">
        <f t="shared" si="12"/>
        <v>59648.882473106198</v>
      </c>
      <c r="AO11" s="9">
        <f t="shared" si="12"/>
        <v>61438.348947299382</v>
      </c>
    </row>
    <row r="12" spans="1:41" s="3" customFormat="1" x14ac:dyDescent="0.2">
      <c r="B12" s="3" t="s">
        <v>16</v>
      </c>
      <c r="C12" s="5"/>
      <c r="D12" s="5"/>
      <c r="E12" s="5"/>
      <c r="F12" s="5"/>
      <c r="G12" s="5">
        <f>1011+246+623</f>
        <v>1880</v>
      </c>
      <c r="H12" s="5">
        <f>1064+244+631</f>
        <v>1939</v>
      </c>
      <c r="I12" s="5">
        <f>1064+230+621</f>
        <v>1915</v>
      </c>
      <c r="J12" s="5">
        <f>(1214+253+655)</f>
        <v>2122</v>
      </c>
      <c r="K12" s="5">
        <f>1214+245+644</f>
        <v>2103</v>
      </c>
      <c r="L12" s="5">
        <f>1259+229+671</f>
        <v>2159</v>
      </c>
      <c r="M12" s="5">
        <f>1305+244+669</f>
        <v>2218</v>
      </c>
      <c r="N12" s="5">
        <f>1435+254+707</f>
        <v>2396</v>
      </c>
      <c r="O12" s="5">
        <f>1735+249+1053</f>
        <v>3037</v>
      </c>
      <c r="P12" s="5">
        <f>1891+286+1181</f>
        <v>3358</v>
      </c>
      <c r="Q12" s="5">
        <f>1980+244+1215</f>
        <v>3439</v>
      </c>
      <c r="R12" s="5">
        <f>2157+261+1312</f>
        <v>3730</v>
      </c>
      <c r="S12" s="5"/>
      <c r="T12" s="5"/>
      <c r="U12" s="5"/>
      <c r="V12" s="5">
        <f>2522+241+1160</f>
        <v>3923</v>
      </c>
      <c r="W12" s="5"/>
      <c r="X12" s="5"/>
      <c r="Y12" s="5"/>
      <c r="Z12" s="5"/>
      <c r="AA12" s="5"/>
      <c r="AB12" s="5">
        <f>3015+1653+2801</f>
        <v>7469</v>
      </c>
      <c r="AC12" s="3">
        <f>3612+1581+2888</f>
        <v>8081</v>
      </c>
      <c r="AD12" s="5">
        <f>3782+1360+2853</f>
        <v>7995</v>
      </c>
      <c r="AE12" s="5">
        <f>4006+1116+2816</f>
        <v>7938</v>
      </c>
      <c r="AF12" s="5">
        <f>(4353+972+2530)</f>
        <v>7855</v>
      </c>
      <c r="AG12" s="5">
        <f>(5213+972+2692)</f>
        <v>8877</v>
      </c>
      <c r="AH12" s="3">
        <f>SUM(O12:R12)</f>
        <v>13564</v>
      </c>
      <c r="AI12" s="3">
        <f>AI11*0.2</f>
        <v>10290.730000000001</v>
      </c>
      <c r="AJ12" s="3">
        <f t="shared" ref="AJ12:AO12" si="13">AJ11*0.2</f>
        <v>10599.4519</v>
      </c>
      <c r="AK12" s="3">
        <f t="shared" si="13"/>
        <v>10917.435457</v>
      </c>
      <c r="AL12" s="3">
        <f t="shared" si="13"/>
        <v>11244.958520710001</v>
      </c>
      <c r="AM12" s="3">
        <f t="shared" si="13"/>
        <v>11582.307276331301</v>
      </c>
      <c r="AN12" s="3">
        <f t="shared" si="13"/>
        <v>11929.776494621241</v>
      </c>
      <c r="AO12" s="3">
        <f t="shared" si="13"/>
        <v>12287.669789459876</v>
      </c>
    </row>
    <row r="13" spans="1:41" s="3" customFormat="1" x14ac:dyDescent="0.2">
      <c r="B13" s="3" t="s">
        <v>17</v>
      </c>
      <c r="C13" s="5"/>
      <c r="D13" s="5"/>
      <c r="E13" s="5"/>
      <c r="F13" s="5"/>
      <c r="G13" s="5">
        <f t="shared" ref="G13" si="14">G11-G12</f>
        <v>7487</v>
      </c>
      <c r="H13" s="5">
        <f>H11-H12</f>
        <v>7861</v>
      </c>
      <c r="I13" s="5">
        <f>I11-I12</f>
        <v>8170</v>
      </c>
      <c r="J13" s="5">
        <f>J11-J12</f>
        <v>9105</v>
      </c>
      <c r="K13" s="5">
        <f t="shared" ref="K13:O13" si="15">K11-K12</f>
        <v>7625</v>
      </c>
      <c r="L13" s="5">
        <f t="shared" si="15"/>
        <v>8201</v>
      </c>
      <c r="M13" s="5">
        <f t="shared" si="15"/>
        <v>8295</v>
      </c>
      <c r="N13" s="5">
        <f t="shared" si="15"/>
        <v>9444</v>
      </c>
      <c r="O13" s="5">
        <f t="shared" si="15"/>
        <v>8408</v>
      </c>
      <c r="P13" s="5">
        <f t="shared" ref="P13:R13" si="16">P11*0.8</f>
        <v>9820</v>
      </c>
      <c r="Q13" s="5">
        <f>Q11-Q12</f>
        <v>8959</v>
      </c>
      <c r="R13" s="5">
        <f t="shared" ref="R13" si="17">+R11-R12</f>
        <v>10107</v>
      </c>
      <c r="S13" s="5"/>
      <c r="T13" s="5"/>
      <c r="U13" s="5"/>
      <c r="V13" s="5">
        <f>+V11-V12</f>
        <v>10364</v>
      </c>
      <c r="W13" s="5"/>
      <c r="X13" s="5"/>
      <c r="Y13" s="5"/>
      <c r="Z13" s="5"/>
      <c r="AA13" s="5"/>
      <c r="AB13" s="5">
        <f t="shared" ref="AB13:AD13" si="18">AB11-AB12</f>
        <v>30259</v>
      </c>
      <c r="AC13" s="5">
        <f t="shared" si="18"/>
        <v>31750</v>
      </c>
      <c r="AD13" s="5">
        <f t="shared" si="18"/>
        <v>31511</v>
      </c>
      <c r="AE13" s="5">
        <f t="shared" ref="AE13" si="19">AE11-AE12</f>
        <v>31130</v>
      </c>
      <c r="AF13" s="5">
        <f>AF11-AF12</f>
        <v>32624</v>
      </c>
      <c r="AG13" s="5">
        <f t="shared" ref="AG13" si="20">AG11-AG12</f>
        <v>33563</v>
      </c>
      <c r="AH13" s="3">
        <f>AH11-AH12</f>
        <v>36391</v>
      </c>
      <c r="AI13" s="3">
        <f t="shared" ref="AI13:AO13" si="21">AI11-AI12</f>
        <v>41162.92</v>
      </c>
      <c r="AJ13" s="3">
        <f t="shared" si="21"/>
        <v>42397.8076</v>
      </c>
      <c r="AK13" s="3">
        <f t="shared" si="21"/>
        <v>43669.741827999998</v>
      </c>
      <c r="AL13" s="3">
        <f t="shared" si="21"/>
        <v>44979.834082839996</v>
      </c>
      <c r="AM13" s="3">
        <f t="shared" si="21"/>
        <v>46329.229105325197</v>
      </c>
      <c r="AN13" s="3">
        <f t="shared" si="21"/>
        <v>47719.105978484957</v>
      </c>
      <c r="AO13" s="3">
        <f t="shared" si="21"/>
        <v>49150.679157839506</v>
      </c>
    </row>
    <row r="14" spans="1:41" s="3" customFormat="1" x14ac:dyDescent="0.2">
      <c r="B14" s="3" t="s">
        <v>19</v>
      </c>
      <c r="C14" s="5"/>
      <c r="D14" s="5"/>
      <c r="E14" s="5"/>
      <c r="F14" s="5"/>
      <c r="G14" s="5">
        <v>1854</v>
      </c>
      <c r="H14" s="5">
        <v>1836</v>
      </c>
      <c r="I14" s="5">
        <v>1915</v>
      </c>
      <c r="J14" s="5">
        <v>2077</v>
      </c>
      <c r="K14" s="5">
        <v>1854</v>
      </c>
      <c r="L14" s="5">
        <v>1954</v>
      </c>
      <c r="M14" s="5">
        <v>2004</v>
      </c>
      <c r="N14" s="5">
        <v>2238</v>
      </c>
      <c r="O14" s="5">
        <v>2177</v>
      </c>
      <c r="P14" s="5">
        <v>2216</v>
      </c>
      <c r="Q14" s="5">
        <v>2150</v>
      </c>
      <c r="R14" s="5">
        <v>2289</v>
      </c>
      <c r="S14" s="5"/>
      <c r="T14" s="5"/>
      <c r="U14" s="5"/>
      <c r="V14" s="5">
        <v>2114</v>
      </c>
      <c r="W14" s="5"/>
      <c r="X14" s="5"/>
      <c r="Y14" s="5"/>
      <c r="Z14" s="5"/>
      <c r="AA14" s="5"/>
      <c r="AB14" s="5">
        <v>8197</v>
      </c>
      <c r="AC14" s="3">
        <v>8431</v>
      </c>
      <c r="AD14" s="5">
        <v>8509</v>
      </c>
      <c r="AE14" s="5">
        <v>8094</v>
      </c>
      <c r="AF14" s="5">
        <v>7682</v>
      </c>
      <c r="AG14" s="5">
        <v>8047</v>
      </c>
      <c r="AH14" s="3">
        <f t="shared" ref="AH14:AH16" si="22">SUM(O14:R14)</f>
        <v>8832</v>
      </c>
      <c r="AI14" s="3">
        <f>AH14*1.02</f>
        <v>9008.64</v>
      </c>
      <c r="AJ14" s="3">
        <f t="shared" ref="AJ14:AO14" si="23">AI14*1.02</f>
        <v>9188.8127999999997</v>
      </c>
      <c r="AK14" s="3">
        <f t="shared" si="23"/>
        <v>9372.5890560000007</v>
      </c>
      <c r="AL14" s="3">
        <f t="shared" si="23"/>
        <v>9560.040837120001</v>
      </c>
      <c r="AM14" s="3">
        <f t="shared" si="23"/>
        <v>9751.241653862402</v>
      </c>
      <c r="AN14" s="3">
        <f t="shared" si="23"/>
        <v>9946.2664869396503</v>
      </c>
      <c r="AO14" s="3">
        <f t="shared" si="23"/>
        <v>10145.191816678444</v>
      </c>
    </row>
    <row r="15" spans="1:41" s="3" customFormat="1" x14ac:dyDescent="0.2">
      <c r="B15" s="3" t="s">
        <v>20</v>
      </c>
      <c r="C15" s="5"/>
      <c r="D15" s="5"/>
      <c r="E15" s="5"/>
      <c r="F15" s="5"/>
      <c r="G15" s="5">
        <v>1589</v>
      </c>
      <c r="H15" s="5">
        <v>1601</v>
      </c>
      <c r="I15" s="5">
        <v>1621</v>
      </c>
      <c r="J15" s="5">
        <v>1715</v>
      </c>
      <c r="K15" s="5">
        <v>1684</v>
      </c>
      <c r="L15" s="5">
        <v>1754</v>
      </c>
      <c r="M15" s="5">
        <v>1816</v>
      </c>
      <c r="N15" s="5">
        <v>1965</v>
      </c>
      <c r="O15" s="5">
        <v>2093</v>
      </c>
      <c r="P15" s="5">
        <v>2158</v>
      </c>
      <c r="Q15" s="5">
        <v>2146</v>
      </c>
      <c r="R15" s="5">
        <v>2289</v>
      </c>
      <c r="S15" s="5"/>
      <c r="T15" s="5"/>
      <c r="U15" s="5"/>
      <c r="V15" s="5">
        <v>2226</v>
      </c>
      <c r="W15" s="5"/>
      <c r="X15" s="5"/>
      <c r="Y15" s="5"/>
      <c r="Z15" s="5"/>
      <c r="AA15" s="5"/>
      <c r="AB15" s="5">
        <v>6159</v>
      </c>
      <c r="AC15" s="3">
        <v>6091</v>
      </c>
      <c r="AD15" s="5">
        <v>6026</v>
      </c>
      <c r="AE15" s="5">
        <v>6067</v>
      </c>
      <c r="AF15" s="5">
        <v>6527</v>
      </c>
      <c r="AG15" s="5">
        <v>7219</v>
      </c>
      <c r="AH15" s="3">
        <f t="shared" si="22"/>
        <v>8686</v>
      </c>
      <c r="AI15" s="3">
        <f t="shared" ref="AI15:AO15" si="24">AH15*1.01</f>
        <v>8772.86</v>
      </c>
      <c r="AJ15" s="3">
        <f t="shared" si="24"/>
        <v>8860.588600000001</v>
      </c>
      <c r="AK15" s="3">
        <f t="shared" si="24"/>
        <v>8949.1944860000003</v>
      </c>
      <c r="AL15" s="3">
        <f t="shared" si="24"/>
        <v>9038.6864308599997</v>
      </c>
      <c r="AM15" s="3">
        <f t="shared" si="24"/>
        <v>9129.0732951686005</v>
      </c>
      <c r="AN15" s="3">
        <f t="shared" si="24"/>
        <v>9220.3640281202861</v>
      </c>
      <c r="AO15" s="3">
        <f t="shared" si="24"/>
        <v>9312.5676684014888</v>
      </c>
    </row>
    <row r="16" spans="1:41" s="3" customFormat="1" x14ac:dyDescent="0.2">
      <c r="B16" s="3" t="s">
        <v>21</v>
      </c>
      <c r="C16" s="5"/>
      <c r="D16" s="5"/>
      <c r="E16" s="5"/>
      <c r="F16" s="5"/>
      <c r="G16" s="5">
        <v>295</v>
      </c>
      <c r="H16" s="5">
        <v>324</v>
      </c>
      <c r="I16" s="5">
        <v>330</v>
      </c>
      <c r="J16" s="5">
        <v>306</v>
      </c>
      <c r="K16" s="5">
        <v>298</v>
      </c>
      <c r="L16" s="5">
        <v>319</v>
      </c>
      <c r="M16" s="5">
        <v>335</v>
      </c>
      <c r="N16" s="5">
        <v>364</v>
      </c>
      <c r="O16" s="5">
        <v>411</v>
      </c>
      <c r="P16" s="5">
        <v>366</v>
      </c>
      <c r="Q16" s="5">
        <v>402</v>
      </c>
      <c r="R16" s="5">
        <v>400</v>
      </c>
      <c r="S16" s="5"/>
      <c r="T16" s="5"/>
      <c r="U16" s="5"/>
      <c r="V16" s="5">
        <v>402</v>
      </c>
      <c r="W16" s="5"/>
      <c r="X16" s="5"/>
      <c r="Y16" s="5"/>
      <c r="Z16" s="5"/>
      <c r="AA16" s="5"/>
      <c r="AB16" s="5">
        <v>1176</v>
      </c>
      <c r="AC16" s="3">
        <v>1289</v>
      </c>
      <c r="AD16" s="5">
        <v>1265</v>
      </c>
      <c r="AE16" s="5">
        <v>1181</v>
      </c>
      <c r="AF16" s="5">
        <v>1254</v>
      </c>
      <c r="AG16" s="5">
        <v>1317</v>
      </c>
      <c r="AH16" s="3">
        <f t="shared" si="22"/>
        <v>1579</v>
      </c>
      <c r="AI16" s="3">
        <f t="shared" ref="AI16:AO16" si="25">AH16*1.01</f>
        <v>1594.79</v>
      </c>
      <c r="AJ16" s="3">
        <f t="shared" si="25"/>
        <v>1610.7379000000001</v>
      </c>
      <c r="AK16" s="3">
        <f t="shared" si="25"/>
        <v>1626.8452790000001</v>
      </c>
      <c r="AL16" s="3">
        <f t="shared" si="25"/>
        <v>1643.1137317900002</v>
      </c>
      <c r="AM16" s="3">
        <f t="shared" si="25"/>
        <v>1659.5448691079002</v>
      </c>
      <c r="AN16" s="3">
        <f t="shared" si="25"/>
        <v>1676.1403177989794</v>
      </c>
      <c r="AO16" s="3">
        <f t="shared" si="25"/>
        <v>1692.9017209769693</v>
      </c>
    </row>
    <row r="17" spans="2:130" s="3" customFormat="1" x14ac:dyDescent="0.2">
      <c r="B17" s="3" t="s">
        <v>22</v>
      </c>
      <c r="C17" s="5">
        <f t="shared" ref="C17:M17" si="26">SUM(C14:C16)</f>
        <v>0</v>
      </c>
      <c r="D17" s="5">
        <f t="shared" si="26"/>
        <v>0</v>
      </c>
      <c r="E17" s="5">
        <f t="shared" si="26"/>
        <v>0</v>
      </c>
      <c r="F17" s="5">
        <f t="shared" si="26"/>
        <v>0</v>
      </c>
      <c r="G17" s="5">
        <f t="shared" ref="G17" si="27">SUM(G14:G16)</f>
        <v>3738</v>
      </c>
      <c r="H17" s="5">
        <f t="shared" si="26"/>
        <v>3761</v>
      </c>
      <c r="I17" s="5">
        <f t="shared" si="26"/>
        <v>3866</v>
      </c>
      <c r="J17" s="5">
        <f t="shared" si="26"/>
        <v>4098</v>
      </c>
      <c r="K17" s="5">
        <f t="shared" si="26"/>
        <v>3836</v>
      </c>
      <c r="L17" s="5">
        <f t="shared" si="26"/>
        <v>4027</v>
      </c>
      <c r="M17" s="5">
        <f t="shared" si="26"/>
        <v>4155</v>
      </c>
      <c r="N17" s="5">
        <f>SUM(N14:N16)</f>
        <v>4567</v>
      </c>
      <c r="O17" s="5">
        <f t="shared" ref="O17:R17" si="28">SUM(O14:O16)</f>
        <v>4681</v>
      </c>
      <c r="P17" s="5">
        <f t="shared" si="28"/>
        <v>4740</v>
      </c>
      <c r="Q17" s="5">
        <f t="shared" si="28"/>
        <v>4698</v>
      </c>
      <c r="R17" s="5">
        <f t="shared" si="28"/>
        <v>4978</v>
      </c>
      <c r="S17" s="5"/>
      <c r="T17" s="5"/>
      <c r="U17" s="5"/>
      <c r="V17" s="5">
        <f>SUM(V14:V16)</f>
        <v>4742</v>
      </c>
      <c r="W17" s="5"/>
      <c r="X17" s="5"/>
      <c r="Y17" s="5"/>
      <c r="Z17" s="5"/>
      <c r="AA17" s="5"/>
      <c r="AB17" s="5">
        <f t="shared" ref="AB17:AD17" si="29">SUM(AB14:AB16)</f>
        <v>15532</v>
      </c>
      <c r="AC17" s="5">
        <f t="shared" si="29"/>
        <v>15811</v>
      </c>
      <c r="AD17" s="5">
        <f t="shared" si="29"/>
        <v>15800</v>
      </c>
      <c r="AE17" s="5">
        <f t="shared" ref="AE17" si="30">SUM(AE14:AE16)</f>
        <v>15342</v>
      </c>
      <c r="AF17" s="5">
        <f>SUM(AF14:AF16)</f>
        <v>15463</v>
      </c>
      <c r="AG17" s="5">
        <f>SUM(AG14:AG16)</f>
        <v>16583</v>
      </c>
      <c r="AH17" s="5">
        <f t="shared" ref="AH17" si="31">SUM(AH14:AH16)</f>
        <v>19097</v>
      </c>
      <c r="AI17" s="5">
        <f t="shared" ref="AI17" si="32">SUM(AI14:AI16)</f>
        <v>19376.29</v>
      </c>
      <c r="AJ17" s="5">
        <f t="shared" ref="AJ17" si="33">SUM(AJ14:AJ16)</f>
        <v>19660.139300000003</v>
      </c>
      <c r="AK17" s="5">
        <f t="shared" ref="AK17" si="34">SUM(AK14:AK16)</f>
        <v>19948.628821000002</v>
      </c>
      <c r="AL17" s="5">
        <f t="shared" ref="AL17" si="35">SUM(AL14:AL16)</f>
        <v>20241.84099977</v>
      </c>
      <c r="AM17" s="5">
        <f t="shared" ref="AM17" si="36">SUM(AM14:AM16)</f>
        <v>20539.859818138902</v>
      </c>
      <c r="AN17" s="5">
        <f t="shared" ref="AN17" si="37">SUM(AN14:AN16)</f>
        <v>20842.770832858914</v>
      </c>
      <c r="AO17" s="5">
        <f t="shared" ref="AO17" si="38">SUM(AO14:AO16)</f>
        <v>21150.661206056902</v>
      </c>
    </row>
    <row r="18" spans="2:130" s="3" customFormat="1" x14ac:dyDescent="0.2">
      <c r="B18" s="3" t="s">
        <v>23</v>
      </c>
      <c r="C18" s="5">
        <f t="shared" ref="C18:M18" si="39">C13-C17</f>
        <v>0</v>
      </c>
      <c r="D18" s="5">
        <f t="shared" si="39"/>
        <v>0</v>
      </c>
      <c r="E18" s="5">
        <f t="shared" si="39"/>
        <v>0</v>
      </c>
      <c r="F18" s="5">
        <f t="shared" si="39"/>
        <v>0</v>
      </c>
      <c r="G18" s="5">
        <f t="shared" ref="G18" si="40">G13-G17</f>
        <v>3749</v>
      </c>
      <c r="H18" s="5">
        <f t="shared" si="39"/>
        <v>4100</v>
      </c>
      <c r="I18" s="5">
        <f t="shared" si="39"/>
        <v>4304</v>
      </c>
      <c r="J18" s="5">
        <f t="shared" si="39"/>
        <v>5007</v>
      </c>
      <c r="K18" s="5">
        <f t="shared" si="39"/>
        <v>3789</v>
      </c>
      <c r="L18" s="5">
        <f t="shared" si="39"/>
        <v>4174</v>
      </c>
      <c r="M18" s="5">
        <f t="shared" si="39"/>
        <v>4140</v>
      </c>
      <c r="N18" s="5">
        <f>N13-N17</f>
        <v>4877</v>
      </c>
      <c r="O18" s="5">
        <f t="shared" ref="O18:R18" si="41">O13-O17</f>
        <v>3727</v>
      </c>
      <c r="P18" s="5">
        <f t="shared" si="41"/>
        <v>5080</v>
      </c>
      <c r="Q18" s="5">
        <f t="shared" si="41"/>
        <v>4261</v>
      </c>
      <c r="R18" s="5">
        <f t="shared" si="41"/>
        <v>5129</v>
      </c>
      <c r="S18" s="5"/>
      <c r="T18" s="5"/>
      <c r="U18" s="5"/>
      <c r="V18" s="5">
        <f>V13-V17</f>
        <v>5622</v>
      </c>
      <c r="W18" s="5"/>
      <c r="X18" s="5"/>
      <c r="Y18" s="5"/>
      <c r="Z18" s="5"/>
      <c r="AA18" s="5"/>
      <c r="AB18" s="5">
        <f t="shared" ref="AB18:AD18" si="42">AB13-AB17</f>
        <v>14727</v>
      </c>
      <c r="AC18" s="5">
        <f t="shared" si="42"/>
        <v>15939</v>
      </c>
      <c r="AD18" s="5">
        <f t="shared" si="42"/>
        <v>15711</v>
      </c>
      <c r="AE18" s="5">
        <f t="shared" ref="AE18" si="43">AE13-AE17</f>
        <v>15788</v>
      </c>
      <c r="AF18" s="5">
        <f>AF13-AF17</f>
        <v>17161</v>
      </c>
      <c r="AG18" s="5">
        <f>AG13-AG17</f>
        <v>16980</v>
      </c>
      <c r="AH18" s="5">
        <f t="shared" ref="AH18" si="44">AH13-AH17</f>
        <v>17294</v>
      </c>
      <c r="AI18" s="5">
        <f t="shared" ref="AI18" si="45">AI13-AI17</f>
        <v>21786.629999999997</v>
      </c>
      <c r="AJ18" s="5">
        <f t="shared" ref="AJ18" si="46">AJ13-AJ17</f>
        <v>22737.668299999998</v>
      </c>
      <c r="AK18" s="5">
        <f t="shared" ref="AK18" si="47">AK13-AK17</f>
        <v>23721.113006999996</v>
      </c>
      <c r="AL18" s="5">
        <f t="shared" ref="AL18" si="48">AL13-AL17</f>
        <v>24737.993083069996</v>
      </c>
      <c r="AM18" s="5">
        <f t="shared" ref="AM18" si="49">AM13-AM17</f>
        <v>25789.369287186295</v>
      </c>
      <c r="AN18" s="5">
        <f t="shared" ref="AN18" si="50">AN13-AN17</f>
        <v>26876.335145626043</v>
      </c>
      <c r="AO18" s="5">
        <f t="shared" ref="AO18" si="51">AO13-AO17</f>
        <v>28000.017951782604</v>
      </c>
    </row>
    <row r="19" spans="2:130" s="3" customFormat="1" x14ac:dyDescent="0.2">
      <c r="B19" s="3" t="s">
        <v>24</v>
      </c>
      <c r="C19" s="5"/>
      <c r="D19" s="5"/>
      <c r="E19" s="5"/>
      <c r="F19" s="5"/>
      <c r="G19" s="5">
        <v>-614</v>
      </c>
      <c r="H19" s="5">
        <v>-600</v>
      </c>
      <c r="I19" s="5">
        <v>-585</v>
      </c>
      <c r="J19" s="5">
        <v>-697</v>
      </c>
      <c r="K19" s="5">
        <v>-705</v>
      </c>
      <c r="L19" s="5">
        <v>-679</v>
      </c>
      <c r="M19" s="5">
        <v>-667</v>
      </c>
      <c r="N19" s="5">
        <v>-704</v>
      </c>
      <c r="O19" s="5">
        <f>-787-180</f>
        <v>-967</v>
      </c>
      <c r="P19" s="5">
        <f>-856-71</f>
        <v>-927</v>
      </c>
      <c r="Q19" s="5">
        <v>-908</v>
      </c>
      <c r="R19" s="5">
        <f>-955-76</f>
        <v>-1031</v>
      </c>
      <c r="S19" s="5"/>
      <c r="T19" s="5"/>
      <c r="U19" s="5"/>
      <c r="V19" s="5">
        <f>-876-26</f>
        <v>-902</v>
      </c>
      <c r="W19" s="5"/>
      <c r="X19" s="5"/>
      <c r="Y19" s="5"/>
      <c r="Z19" s="5"/>
      <c r="AA19" s="5"/>
      <c r="AB19" s="5">
        <v>-1798</v>
      </c>
      <c r="AC19" s="5">
        <v>-2025</v>
      </c>
      <c r="AD19" s="5">
        <v>-2082</v>
      </c>
      <c r="AE19" s="5">
        <v>-1995</v>
      </c>
      <c r="AF19" s="5">
        <v>-2496</v>
      </c>
      <c r="AG19" s="5">
        <v>-2755</v>
      </c>
      <c r="AH19" s="3">
        <f t="shared" ref="AH19:AH21" si="52">SUM(O19:R19)</f>
        <v>-3833</v>
      </c>
      <c r="AI19" s="3">
        <f t="shared" ref="AI19:AO19" si="53">AH32*$AR$33</f>
        <v>0</v>
      </c>
      <c r="AJ19" s="3">
        <f t="shared" si="53"/>
        <v>185.18635499999996</v>
      </c>
      <c r="AK19" s="3">
        <f t="shared" si="53"/>
        <v>380.03061956749997</v>
      </c>
      <c r="AL19" s="3">
        <f t="shared" si="53"/>
        <v>584.89034039332375</v>
      </c>
      <c r="AM19" s="3">
        <f t="shared" si="53"/>
        <v>800.13484949276199</v>
      </c>
      <c r="AN19" s="3">
        <f t="shared" si="53"/>
        <v>1026.145634654534</v>
      </c>
      <c r="AO19" s="3">
        <f t="shared" si="53"/>
        <v>1263.3167212869189</v>
      </c>
    </row>
    <row r="20" spans="2:130" x14ac:dyDescent="0.2">
      <c r="B20" s="1" t="s">
        <v>25</v>
      </c>
      <c r="G20" s="5">
        <f t="shared" ref="G20" si="54">+G18+G19</f>
        <v>3135</v>
      </c>
      <c r="H20" s="5">
        <f t="shared" ref="H20:J20" si="55">+H18+H19</f>
        <v>3500</v>
      </c>
      <c r="I20" s="5">
        <f t="shared" si="55"/>
        <v>3719</v>
      </c>
      <c r="J20" s="5">
        <f t="shared" si="55"/>
        <v>4310</v>
      </c>
      <c r="K20" s="5">
        <f t="shared" ref="K20" si="56">+K18+K19</f>
        <v>3084</v>
      </c>
      <c r="L20" s="5">
        <f t="shared" ref="L20" si="57">+L18+L19</f>
        <v>3495</v>
      </c>
      <c r="M20" s="5">
        <f t="shared" ref="M20" si="58">+M18+M19</f>
        <v>3473</v>
      </c>
      <c r="N20" s="5">
        <f>+N18+N19</f>
        <v>4173</v>
      </c>
      <c r="O20" s="5">
        <f t="shared" ref="O20:R20" si="59">+O18+O19</f>
        <v>2760</v>
      </c>
      <c r="P20" s="5">
        <f t="shared" si="59"/>
        <v>4153</v>
      </c>
      <c r="Q20" s="5">
        <f t="shared" si="59"/>
        <v>3353</v>
      </c>
      <c r="R20" s="5">
        <f t="shared" si="59"/>
        <v>4098</v>
      </c>
      <c r="S20" s="5"/>
      <c r="T20" s="5"/>
      <c r="U20" s="5"/>
      <c r="V20" s="5">
        <f t="shared" ref="V20" si="60">+V18+V19</f>
        <v>4720</v>
      </c>
      <c r="W20" s="5"/>
      <c r="X20" s="5"/>
      <c r="Y20" s="5"/>
      <c r="Z20" s="5"/>
      <c r="AA20" s="5"/>
      <c r="AB20" s="5">
        <f t="shared" ref="AB20:AD20" si="61">+AB18+AB19</f>
        <v>12929</v>
      </c>
      <c r="AC20" s="5">
        <f t="shared" si="61"/>
        <v>13914</v>
      </c>
      <c r="AD20" s="5">
        <f t="shared" si="61"/>
        <v>13629</v>
      </c>
      <c r="AE20" s="5">
        <f t="shared" ref="AE20:AF20" si="62">+AE18+AE19</f>
        <v>13793</v>
      </c>
      <c r="AF20" s="5">
        <f t="shared" si="62"/>
        <v>14665</v>
      </c>
      <c r="AG20" s="5">
        <f>+AG18+AG19</f>
        <v>14225</v>
      </c>
      <c r="AH20" s="5">
        <f t="shared" ref="AH20" si="63">+AH18+AH19</f>
        <v>13461</v>
      </c>
      <c r="AI20" s="5">
        <f t="shared" ref="AI20" si="64">+AI18+AI19</f>
        <v>21786.629999999997</v>
      </c>
      <c r="AJ20" s="5">
        <f t="shared" ref="AJ20" si="65">+AJ18+AJ19</f>
        <v>22922.854654999999</v>
      </c>
      <c r="AK20" s="5">
        <f t="shared" ref="AK20" si="66">+AK18+AK19</f>
        <v>24101.143626567497</v>
      </c>
      <c r="AL20" s="5">
        <f t="shared" ref="AL20" si="67">+AL18+AL19</f>
        <v>25322.883423463321</v>
      </c>
      <c r="AM20" s="5">
        <f t="shared" ref="AM20" si="68">+AM18+AM19</f>
        <v>26589.504136679057</v>
      </c>
      <c r="AN20" s="5">
        <f t="shared" ref="AN20" si="69">+AN18+AN19</f>
        <v>27902.480780280577</v>
      </c>
      <c r="AO20" s="5">
        <f t="shared" ref="AO20" si="70">+AO18+AO19</f>
        <v>29263.334673069523</v>
      </c>
    </row>
    <row r="21" spans="2:130" x14ac:dyDescent="0.2">
      <c r="B21" s="1" t="s">
        <v>26</v>
      </c>
      <c r="G21" s="4">
        <v>344</v>
      </c>
      <c r="H21" s="4">
        <v>530</v>
      </c>
      <c r="I21" s="4">
        <v>0</v>
      </c>
      <c r="J21" s="5">
        <v>124</v>
      </c>
      <c r="K21" s="5">
        <v>224</v>
      </c>
      <c r="L21" s="5">
        <v>0</v>
      </c>
      <c r="M21" s="5">
        <v>521</v>
      </c>
      <c r="N21" s="5">
        <v>435</v>
      </c>
      <c r="O21" s="5">
        <v>108</v>
      </c>
      <c r="P21" s="5">
        <v>403</v>
      </c>
      <c r="Q21" s="5">
        <v>322</v>
      </c>
      <c r="R21" s="5">
        <v>-210</v>
      </c>
      <c r="S21" s="5"/>
      <c r="T21" s="5"/>
      <c r="U21" s="5"/>
      <c r="V21" s="5">
        <v>1158</v>
      </c>
      <c r="W21" s="5"/>
      <c r="X21" s="5"/>
      <c r="Y21" s="5"/>
      <c r="Z21" s="5"/>
      <c r="AB21" s="5">
        <v>2182</v>
      </c>
      <c r="AC21" s="3">
        <v>9066</v>
      </c>
      <c r="AD21" s="5">
        <v>1185</v>
      </c>
      <c r="AE21" s="5">
        <v>1928</v>
      </c>
      <c r="AF21" s="5">
        <v>0</v>
      </c>
      <c r="AG21" s="5">
        <v>932</v>
      </c>
      <c r="AH21" s="3">
        <f t="shared" si="52"/>
        <v>623</v>
      </c>
      <c r="AI21" s="3">
        <f>AI20*0.15</f>
        <v>3267.9944999999993</v>
      </c>
      <c r="AJ21" s="3">
        <f>AJ20*0.15</f>
        <v>3438.4281982499997</v>
      </c>
      <c r="AK21" s="3">
        <f>AK20*0.15</f>
        <v>3615.1715439851246</v>
      </c>
      <c r="AL21" s="3">
        <f t="shared" ref="AL21:AO21" si="71">AL20*0.15</f>
        <v>3798.4325135194981</v>
      </c>
      <c r="AM21" s="3">
        <f>AM20*0.15</f>
        <v>3988.4256205018582</v>
      </c>
      <c r="AN21" s="3">
        <f t="shared" si="71"/>
        <v>4185.3721170420868</v>
      </c>
      <c r="AO21" s="3">
        <f t="shared" si="71"/>
        <v>4389.5002009604286</v>
      </c>
    </row>
    <row r="22" spans="2:130" x14ac:dyDescent="0.2">
      <c r="B22" s="1" t="s">
        <v>27</v>
      </c>
      <c r="G22" s="5">
        <f t="shared" ref="G22" si="72">G20-G21</f>
        <v>2791</v>
      </c>
      <c r="H22" s="5">
        <f>H20-H21</f>
        <v>2970</v>
      </c>
      <c r="I22" s="5">
        <f>I20-I21</f>
        <v>3719</v>
      </c>
      <c r="J22" s="5">
        <f>J20-J21</f>
        <v>4186</v>
      </c>
      <c r="K22" s="5">
        <f t="shared" ref="K22:M22" si="73">K20-K21</f>
        <v>2860</v>
      </c>
      <c r="L22" s="5">
        <f t="shared" si="73"/>
        <v>3495</v>
      </c>
      <c r="M22" s="5">
        <f t="shared" si="73"/>
        <v>2952</v>
      </c>
      <c r="N22" s="5">
        <f>N20-N21</f>
        <v>3738</v>
      </c>
      <c r="O22" s="5">
        <f t="shared" ref="O22:R22" si="74">O20-O21</f>
        <v>2652</v>
      </c>
      <c r="P22" s="5">
        <f t="shared" si="74"/>
        <v>3750</v>
      </c>
      <c r="Q22" s="5">
        <f t="shared" si="74"/>
        <v>3031</v>
      </c>
      <c r="R22" s="5">
        <f t="shared" si="74"/>
        <v>4308</v>
      </c>
      <c r="S22" s="5"/>
      <c r="T22" s="5"/>
      <c r="U22" s="5"/>
      <c r="V22" s="5">
        <f t="shared" ref="V22" si="75">V20-V21</f>
        <v>3562</v>
      </c>
      <c r="W22" s="5"/>
      <c r="X22" s="5"/>
      <c r="Y22" s="5"/>
      <c r="Z22" s="5"/>
      <c r="AB22" s="5">
        <f t="shared" ref="AB22:AD22" si="76">AB20-AB21</f>
        <v>10747</v>
      </c>
      <c r="AC22" s="5">
        <f t="shared" si="76"/>
        <v>4848</v>
      </c>
      <c r="AD22" s="5">
        <f t="shared" si="76"/>
        <v>12444</v>
      </c>
      <c r="AE22" s="5">
        <f t="shared" ref="AE22" si="77">AE20-AE21</f>
        <v>11865</v>
      </c>
      <c r="AF22" s="5">
        <f>AF20-AF21</f>
        <v>14665</v>
      </c>
      <c r="AG22" s="5">
        <f>AG20-AG21</f>
        <v>13293</v>
      </c>
      <c r="AH22" s="5">
        <f t="shared" ref="AH22" si="78">AH20-AH21</f>
        <v>12838</v>
      </c>
      <c r="AI22" s="5">
        <f t="shared" ref="AI22" si="79">AI20-AI21</f>
        <v>18518.635499999997</v>
      </c>
      <c r="AJ22" s="5">
        <f t="shared" ref="AJ22" si="80">AJ20-AJ21</f>
        <v>19484.426456749999</v>
      </c>
      <c r="AK22" s="5">
        <f t="shared" ref="AK22" si="81">AK20-AK21</f>
        <v>20485.972082582372</v>
      </c>
      <c r="AL22" s="5">
        <f t="shared" ref="AL22" si="82">AL20-AL21</f>
        <v>21524.450909943822</v>
      </c>
      <c r="AM22" s="5">
        <f t="shared" ref="AM22" si="83">AM20-AM21</f>
        <v>22601.0785161772</v>
      </c>
      <c r="AN22" s="5">
        <f t="shared" ref="AN22" si="84">AN20-AN21</f>
        <v>23717.10866323849</v>
      </c>
      <c r="AO22" s="5">
        <f t="shared" ref="AO22" si="85">AO20-AO21</f>
        <v>24873.834472109094</v>
      </c>
      <c r="AP22" s="3">
        <f t="shared" ref="AP22:BU22" si="86">AO22*(1+$AR$32)</f>
        <v>25122.572816830187</v>
      </c>
      <c r="AQ22" s="3">
        <f t="shared" si="86"/>
        <v>25373.798544998488</v>
      </c>
      <c r="AR22" s="3">
        <f t="shared" si="86"/>
        <v>25627.536530448473</v>
      </c>
      <c r="AS22" s="3">
        <f t="shared" si="86"/>
        <v>25883.811895752959</v>
      </c>
      <c r="AT22" s="3">
        <f t="shared" si="86"/>
        <v>26142.650014710489</v>
      </c>
      <c r="AU22" s="3">
        <f t="shared" si="86"/>
        <v>26404.076514857596</v>
      </c>
      <c r="AV22" s="3">
        <f t="shared" si="86"/>
        <v>26668.117280006172</v>
      </c>
      <c r="AW22" s="3">
        <f t="shared" si="86"/>
        <v>26934.798452806233</v>
      </c>
      <c r="AX22" s="3">
        <f t="shared" si="86"/>
        <v>27204.146437334297</v>
      </c>
      <c r="AY22" s="3">
        <f t="shared" si="86"/>
        <v>27476.187901707639</v>
      </c>
      <c r="AZ22" s="3">
        <f t="shared" si="86"/>
        <v>27750.949780724717</v>
      </c>
      <c r="BA22" s="3">
        <f t="shared" si="86"/>
        <v>28028.459278531966</v>
      </c>
      <c r="BB22" s="3">
        <f t="shared" si="86"/>
        <v>28308.743871317285</v>
      </c>
      <c r="BC22" s="3">
        <f t="shared" si="86"/>
        <v>28591.831310030459</v>
      </c>
      <c r="BD22" s="3">
        <f t="shared" si="86"/>
        <v>28877.749623130763</v>
      </c>
      <c r="BE22" s="3">
        <f t="shared" si="86"/>
        <v>29166.527119362072</v>
      </c>
      <c r="BF22" s="3">
        <f t="shared" si="86"/>
        <v>29458.192390555694</v>
      </c>
      <c r="BG22" s="3">
        <f t="shared" si="86"/>
        <v>29752.77431446125</v>
      </c>
      <c r="BH22" s="3">
        <f t="shared" si="86"/>
        <v>30050.302057605863</v>
      </c>
      <c r="BI22" s="3">
        <f t="shared" si="86"/>
        <v>30350.805078181922</v>
      </c>
      <c r="BJ22" s="3">
        <f t="shared" si="86"/>
        <v>30654.313128963742</v>
      </c>
      <c r="BK22" s="3">
        <f t="shared" si="86"/>
        <v>30960.856260253378</v>
      </c>
      <c r="BL22" s="3">
        <f t="shared" si="86"/>
        <v>31270.464822855913</v>
      </c>
      <c r="BM22" s="3">
        <f t="shared" si="86"/>
        <v>31583.169471084471</v>
      </c>
      <c r="BN22" s="3">
        <f t="shared" si="86"/>
        <v>31899.001165795315</v>
      </c>
      <c r="BO22" s="3">
        <f t="shared" si="86"/>
        <v>32217.991177453267</v>
      </c>
      <c r="BP22" s="3">
        <f t="shared" si="86"/>
        <v>32540.171089227799</v>
      </c>
      <c r="BQ22" s="3">
        <f t="shared" si="86"/>
        <v>32865.572800120077</v>
      </c>
      <c r="BR22" s="3">
        <f t="shared" si="86"/>
        <v>33194.228528121275</v>
      </c>
      <c r="BS22" s="3">
        <f t="shared" si="86"/>
        <v>33526.170813402488</v>
      </c>
      <c r="BT22" s="3">
        <f t="shared" si="86"/>
        <v>33861.432521536517</v>
      </c>
      <c r="BU22" s="3">
        <f t="shared" si="86"/>
        <v>34200.04684675188</v>
      </c>
      <c r="BV22" s="3">
        <f t="shared" ref="BV22:DA22" si="87">BU22*(1+$AR$32)</f>
        <v>34542.047315219403</v>
      </c>
      <c r="BW22" s="3">
        <f t="shared" si="87"/>
        <v>34887.467788371599</v>
      </c>
      <c r="BX22" s="3">
        <f t="shared" si="87"/>
        <v>35236.342466255315</v>
      </c>
      <c r="BY22" s="3">
        <f t="shared" si="87"/>
        <v>35588.705890917867</v>
      </c>
      <c r="BZ22" s="3">
        <f t="shared" si="87"/>
        <v>35944.592949827049</v>
      </c>
      <c r="CA22" s="3">
        <f t="shared" si="87"/>
        <v>36304.038879325322</v>
      </c>
      <c r="CB22" s="3">
        <f t="shared" si="87"/>
        <v>36667.079268118578</v>
      </c>
      <c r="CC22" s="3">
        <f t="shared" si="87"/>
        <v>37033.750060799764</v>
      </c>
      <c r="CD22" s="3">
        <f t="shared" si="87"/>
        <v>37404.087561407759</v>
      </c>
      <c r="CE22" s="3">
        <f t="shared" si="87"/>
        <v>37778.128437021835</v>
      </c>
      <c r="CF22" s="3">
        <f t="shared" si="87"/>
        <v>38155.909721392054</v>
      </c>
      <c r="CG22" s="3">
        <f t="shared" si="87"/>
        <v>38537.468818605972</v>
      </c>
      <c r="CH22" s="3">
        <f t="shared" si="87"/>
        <v>38922.843506792029</v>
      </c>
      <c r="CI22" s="3">
        <f t="shared" si="87"/>
        <v>39312.071941859947</v>
      </c>
      <c r="CJ22" s="3">
        <f t="shared" si="87"/>
        <v>39705.192661278546</v>
      </c>
      <c r="CK22" s="3">
        <f t="shared" si="87"/>
        <v>40102.244587891335</v>
      </c>
      <c r="CL22" s="3">
        <f t="shared" si="87"/>
        <v>40503.267033770251</v>
      </c>
      <c r="CM22" s="3">
        <f t="shared" si="87"/>
        <v>40908.299704107951</v>
      </c>
      <c r="CN22" s="3">
        <f t="shared" si="87"/>
        <v>41317.382701149028</v>
      </c>
      <c r="CO22" s="3">
        <f t="shared" si="87"/>
        <v>41730.556528160516</v>
      </c>
      <c r="CP22" s="3">
        <f t="shared" si="87"/>
        <v>42147.86209344212</v>
      </c>
      <c r="CQ22" s="3">
        <f t="shared" si="87"/>
        <v>42569.340714376543</v>
      </c>
      <c r="CR22" s="3">
        <f t="shared" si="87"/>
        <v>42995.034121520308</v>
      </c>
      <c r="CS22" s="3">
        <f t="shared" si="87"/>
        <v>43424.984462735512</v>
      </c>
      <c r="CT22" s="3">
        <f t="shared" si="87"/>
        <v>43859.234307362865</v>
      </c>
      <c r="CU22" s="3">
        <f t="shared" si="87"/>
        <v>44297.826650436495</v>
      </c>
      <c r="CV22" s="3">
        <f t="shared" si="87"/>
        <v>44740.804916940862</v>
      </c>
      <c r="CW22" s="3">
        <f t="shared" si="87"/>
        <v>45188.212966110274</v>
      </c>
      <c r="CX22" s="3">
        <f t="shared" si="87"/>
        <v>45640.095095771379</v>
      </c>
      <c r="CY22" s="3">
        <f t="shared" si="87"/>
        <v>46096.496046729095</v>
      </c>
      <c r="CZ22" s="3">
        <f t="shared" si="87"/>
        <v>46557.461007196383</v>
      </c>
      <c r="DA22" s="3">
        <f t="shared" si="87"/>
        <v>47023.035617268346</v>
      </c>
      <c r="DB22" s="3">
        <f t="shared" ref="DB22:DZ22" si="88">DA22*(1+$AR$32)</f>
        <v>47493.265973441026</v>
      </c>
      <c r="DC22" s="3">
        <f t="shared" si="88"/>
        <v>47968.198633175438</v>
      </c>
      <c r="DD22" s="3">
        <f t="shared" si="88"/>
        <v>48447.880619507196</v>
      </c>
      <c r="DE22" s="3">
        <f t="shared" si="88"/>
        <v>48932.359425702271</v>
      </c>
      <c r="DF22" s="3">
        <f t="shared" si="88"/>
        <v>49421.683019959295</v>
      </c>
      <c r="DG22" s="3">
        <f t="shared" si="88"/>
        <v>49915.899850158887</v>
      </c>
      <c r="DH22" s="3">
        <f t="shared" si="88"/>
        <v>50415.058848660476</v>
      </c>
      <c r="DI22" s="3">
        <f t="shared" si="88"/>
        <v>50919.209437147081</v>
      </c>
      <c r="DJ22" s="3">
        <f t="shared" si="88"/>
        <v>51428.401531518553</v>
      </c>
      <c r="DK22" s="3">
        <f t="shared" si="88"/>
        <v>51942.685546833738</v>
      </c>
      <c r="DL22" s="3">
        <f t="shared" si="88"/>
        <v>52462.112402302075</v>
      </c>
      <c r="DM22" s="3">
        <f t="shared" si="88"/>
        <v>52986.733526325093</v>
      </c>
      <c r="DN22" s="3">
        <f t="shared" si="88"/>
        <v>53516.600861588347</v>
      </c>
      <c r="DO22" s="3">
        <f t="shared" si="88"/>
        <v>54051.766870204228</v>
      </c>
      <c r="DP22" s="3">
        <f t="shared" si="88"/>
        <v>54592.284538906271</v>
      </c>
      <c r="DQ22" s="3">
        <f t="shared" si="88"/>
        <v>55138.207384295332</v>
      </c>
      <c r="DR22" s="3">
        <f t="shared" si="88"/>
        <v>55689.589458138289</v>
      </c>
      <c r="DS22" s="3">
        <f t="shared" si="88"/>
        <v>56246.485352719676</v>
      </c>
      <c r="DT22" s="3">
        <f t="shared" si="88"/>
        <v>56808.950206246875</v>
      </c>
      <c r="DU22" s="3">
        <f t="shared" si="88"/>
        <v>57377.039708309341</v>
      </c>
      <c r="DV22" s="3">
        <f t="shared" si="88"/>
        <v>57950.810105392433</v>
      </c>
      <c r="DW22" s="3">
        <f t="shared" si="88"/>
        <v>58530.318206446354</v>
      </c>
      <c r="DX22" s="3">
        <f t="shared" si="88"/>
        <v>59115.621388510815</v>
      </c>
      <c r="DY22" s="3">
        <f t="shared" si="88"/>
        <v>59706.777602395923</v>
      </c>
      <c r="DZ22" s="3">
        <f t="shared" si="88"/>
        <v>60303.845378419886</v>
      </c>
    </row>
    <row r="23" spans="2:130" x14ac:dyDescent="0.2">
      <c r="B23" s="1" t="s">
        <v>28</v>
      </c>
      <c r="G23" s="6">
        <f t="shared" ref="G23" si="89">G22/G24</f>
        <v>0.89829417444480208</v>
      </c>
      <c r="H23" s="6">
        <f>H22/H24</f>
        <v>0.97504924491135914</v>
      </c>
      <c r="I23" s="6">
        <f>I22/I24</f>
        <v>1.2421509686038743</v>
      </c>
      <c r="J23" s="6">
        <f>J22/J24</f>
        <v>1.4223581379544683</v>
      </c>
      <c r="K23" s="6">
        <f t="shared" ref="K23:R23" si="90">K22/K24</f>
        <v>0.99965047186298495</v>
      </c>
      <c r="L23" s="6">
        <f t="shared" si="90"/>
        <v>1.2973273942093542</v>
      </c>
      <c r="M23" s="6">
        <f t="shared" si="90"/>
        <v>1.0718954248366013</v>
      </c>
      <c r="N23" s="6">
        <f t="shared" si="90"/>
        <v>1.363238512035011</v>
      </c>
      <c r="O23" s="6">
        <f t="shared" si="90"/>
        <v>0.96541681834728799</v>
      </c>
      <c r="P23" s="6">
        <f t="shared" si="90"/>
        <v>1.3656227239621268</v>
      </c>
      <c r="Q23" s="6">
        <f t="shared" si="90"/>
        <v>1.0918587896253602</v>
      </c>
      <c r="R23" s="6">
        <f t="shared" si="90"/>
        <v>1.5407725321888412</v>
      </c>
      <c r="S23" s="6"/>
      <c r="T23" s="6"/>
      <c r="U23" s="6"/>
      <c r="V23" s="6">
        <f t="shared" ref="V23" si="91">V22/V24</f>
        <v>1.2568807339449541</v>
      </c>
      <c r="W23" s="6"/>
      <c r="X23" s="6"/>
      <c r="Y23" s="6"/>
      <c r="Z23" s="6"/>
      <c r="AB23" s="6">
        <f t="shared" ref="AB23:AD23" si="92">AB22/AB24</f>
        <v>2.5484941901825944</v>
      </c>
      <c r="AC23" s="6">
        <f t="shared" si="92"/>
        <v>1.1439358187824447</v>
      </c>
      <c r="AD23" s="6">
        <f t="shared" si="92"/>
        <v>3.334405144694534</v>
      </c>
      <c r="AE23" s="6">
        <f t="shared" ref="AE23" si="93">AE22/AE24</f>
        <v>3.6020036429872495</v>
      </c>
      <c r="AF23" s="6">
        <f>AF22/AF24</f>
        <v>4.852746525479815</v>
      </c>
      <c r="AG23" s="6">
        <f t="shared" ref="AG23:AH23" si="94">AG22/AG24</f>
        <v>4.7713567839195976</v>
      </c>
      <c r="AH23" s="6">
        <f t="shared" si="94"/>
        <v>4.6409399005874379</v>
      </c>
      <c r="AI23" s="6">
        <f t="shared" ref="AI23:AO23" si="95">AI22/AI24</f>
        <v>6.6944909173068226</v>
      </c>
      <c r="AJ23" s="6">
        <f t="shared" si="95"/>
        <v>7.0436245663804788</v>
      </c>
      <c r="AK23" s="6">
        <f t="shared" si="95"/>
        <v>7.4056835364057374</v>
      </c>
      <c r="AL23" s="6">
        <f t="shared" si="95"/>
        <v>7.7810938671283587</v>
      </c>
      <c r="AM23" s="6">
        <f t="shared" si="95"/>
        <v>8.170294990032426</v>
      </c>
      <c r="AN23" s="6">
        <f t="shared" si="95"/>
        <v>8.5737401403483027</v>
      </c>
      <c r="AO23" s="6">
        <f t="shared" si="95"/>
        <v>8.9918967816029269</v>
      </c>
    </row>
    <row r="24" spans="2:130" s="3" customFormat="1" x14ac:dyDescent="0.2">
      <c r="B24" s="3" t="s">
        <v>1</v>
      </c>
      <c r="C24" s="5"/>
      <c r="D24" s="5"/>
      <c r="E24" s="5"/>
      <c r="F24" s="5"/>
      <c r="G24" s="5">
        <v>3107</v>
      </c>
      <c r="H24" s="5">
        <v>3046</v>
      </c>
      <c r="I24" s="5">
        <v>2994</v>
      </c>
      <c r="J24" s="5">
        <v>2943</v>
      </c>
      <c r="K24" s="5">
        <v>2861</v>
      </c>
      <c r="L24" s="5">
        <v>2694</v>
      </c>
      <c r="M24" s="5">
        <v>2754</v>
      </c>
      <c r="N24" s="5">
        <v>2742</v>
      </c>
      <c r="O24" s="5">
        <v>2747</v>
      </c>
      <c r="P24" s="5">
        <v>2746</v>
      </c>
      <c r="Q24" s="5">
        <v>2776</v>
      </c>
      <c r="R24" s="5">
        <v>2796</v>
      </c>
      <c r="S24" s="5"/>
      <c r="T24" s="5"/>
      <c r="U24" s="5"/>
      <c r="V24" s="5">
        <v>2834</v>
      </c>
      <c r="W24" s="5"/>
      <c r="X24" s="5"/>
      <c r="Y24" s="5"/>
      <c r="Z24" s="5"/>
      <c r="AA24" s="5"/>
      <c r="AB24" s="5">
        <v>4217</v>
      </c>
      <c r="AC24" s="3">
        <v>4238</v>
      </c>
      <c r="AD24" s="5">
        <v>3732</v>
      </c>
      <c r="AE24" s="5">
        <v>3294</v>
      </c>
      <c r="AF24" s="5">
        <v>3022</v>
      </c>
      <c r="AG24" s="5">
        <v>2786</v>
      </c>
      <c r="AH24" s="3">
        <f>AVERAGE(O24:R24)</f>
        <v>2766.25</v>
      </c>
      <c r="AI24" s="3">
        <f>AH24</f>
        <v>2766.25</v>
      </c>
      <c r="AJ24" s="3">
        <f t="shared" ref="AJ24:AO24" si="96">AI24</f>
        <v>2766.25</v>
      </c>
      <c r="AK24" s="3">
        <f t="shared" si="96"/>
        <v>2766.25</v>
      </c>
      <c r="AL24" s="3">
        <f t="shared" si="96"/>
        <v>2766.25</v>
      </c>
      <c r="AM24" s="3">
        <f t="shared" si="96"/>
        <v>2766.25</v>
      </c>
      <c r="AN24" s="3">
        <f t="shared" si="96"/>
        <v>2766.25</v>
      </c>
      <c r="AO24" s="3">
        <f t="shared" si="96"/>
        <v>2766.25</v>
      </c>
    </row>
    <row r="25" spans="2:130" x14ac:dyDescent="0.2">
      <c r="B25" s="1" t="s">
        <v>29</v>
      </c>
      <c r="N25" s="4">
        <v>1.54</v>
      </c>
      <c r="O25" s="4">
        <v>1.03</v>
      </c>
      <c r="P25" s="4">
        <v>1.21</v>
      </c>
      <c r="AG25" s="4">
        <v>1.54</v>
      </c>
    </row>
    <row r="27" spans="2:130" x14ac:dyDescent="0.2">
      <c r="B27" s="1" t="s">
        <v>32</v>
      </c>
      <c r="K27" s="7">
        <f>K11/G11-1</f>
        <v>3.8539553752535483E-2</v>
      </c>
      <c r="L27" s="7">
        <f>L11/H11-1</f>
        <v>5.7142857142857162E-2</v>
      </c>
      <c r="M27" s="7">
        <f>M11/I11-1</f>
        <v>4.2439266236985684E-2</v>
      </c>
      <c r="N27" s="7">
        <f>N11/J11-1</f>
        <v>5.4600516611739591E-2</v>
      </c>
      <c r="O27" s="7">
        <f t="shared" ref="O27:R27" si="97">O11/K11-1</f>
        <v>0.17650082236842102</v>
      </c>
      <c r="P27" s="7">
        <f t="shared" si="97"/>
        <v>0.18484555984555984</v>
      </c>
      <c r="Q27" s="7">
        <f t="shared" si="97"/>
        <v>0.17930181679824986</v>
      </c>
      <c r="R27" s="7">
        <f t="shared" si="97"/>
        <v>0.16866554054054061</v>
      </c>
      <c r="S27" s="7">
        <f t="shared" ref="S27" si="98">S11/O11-1</f>
        <v>-1</v>
      </c>
      <c r="T27" s="7">
        <f t="shared" ref="T27" si="99">T11/P11-1</f>
        <v>-1</v>
      </c>
      <c r="U27" s="7">
        <f t="shared" ref="U27" si="100">U11/Q11-1</f>
        <v>-1</v>
      </c>
      <c r="V27" s="7">
        <f t="shared" ref="V27" si="101">V11/R11-1</f>
        <v>3.2521500325215058E-2</v>
      </c>
      <c r="W27" s="7"/>
      <c r="X27" s="7"/>
      <c r="Y27" s="7"/>
      <c r="Z27" s="7"/>
      <c r="AA27" s="7"/>
      <c r="AB27" s="7"/>
      <c r="AD27" s="13"/>
      <c r="AE27" s="13">
        <f t="shared" ref="AE27:AF27" si="102">AE11/AD11-1</f>
        <v>-1.108692350529028E-2</v>
      </c>
      <c r="AF27" s="13">
        <f t="shared" si="102"/>
        <v>3.6116514794716892E-2</v>
      </c>
      <c r="AG27" s="13">
        <f>AG11/AF11-1</f>
        <v>4.8444872650015958E-2</v>
      </c>
      <c r="AH27" s="13">
        <f t="shared" ref="AH27:AO27" si="103">AH11/AG11-1</f>
        <v>0.17707351555136674</v>
      </c>
      <c r="AI27" s="13">
        <f t="shared" si="103"/>
        <v>3.0000000000000027E-2</v>
      </c>
      <c r="AJ27" s="13">
        <f t="shared" si="103"/>
        <v>3.0000000000000027E-2</v>
      </c>
      <c r="AK27" s="13">
        <f t="shared" si="103"/>
        <v>3.0000000000000027E-2</v>
      </c>
      <c r="AL27" s="13">
        <f t="shared" si="103"/>
        <v>3.0000000000000027E-2</v>
      </c>
      <c r="AM27" s="13">
        <f t="shared" si="103"/>
        <v>3.0000000000000027E-2</v>
      </c>
      <c r="AN27" s="13">
        <f t="shared" si="103"/>
        <v>3.0000000000000027E-2</v>
      </c>
      <c r="AO27" s="13">
        <f t="shared" si="103"/>
        <v>3.0000000000000027E-2</v>
      </c>
    </row>
    <row r="28" spans="2:130" x14ac:dyDescent="0.2">
      <c r="B28" s="1" t="s">
        <v>18</v>
      </c>
      <c r="G28" s="7">
        <f t="shared" ref="G28:M28" si="104">G13/G11</f>
        <v>0.79929539874025834</v>
      </c>
      <c r="H28" s="7">
        <f t="shared" si="104"/>
        <v>0.80214285714285716</v>
      </c>
      <c r="I28" s="7">
        <f t="shared" si="104"/>
        <v>0.8101140307387209</v>
      </c>
      <c r="J28" s="7">
        <f t="shared" si="104"/>
        <v>0.81099136011401085</v>
      </c>
      <c r="K28" s="7">
        <f t="shared" si="104"/>
        <v>0.78381990131578949</v>
      </c>
      <c r="L28" s="7">
        <f t="shared" si="104"/>
        <v>0.79160231660231661</v>
      </c>
      <c r="M28" s="7">
        <f t="shared" si="104"/>
        <v>0.78902311423951299</v>
      </c>
      <c r="N28" s="7">
        <f>N13/N11</f>
        <v>0.79763513513513518</v>
      </c>
      <c r="O28" s="7">
        <f t="shared" ref="O28:Y28" si="105">O13/O11</f>
        <v>0.73464394932284838</v>
      </c>
      <c r="P28" s="7">
        <f t="shared" si="105"/>
        <v>0.8</v>
      </c>
      <c r="Q28" s="7">
        <f t="shared" si="105"/>
        <v>0.72261655105662204</v>
      </c>
      <c r="R28" s="7">
        <f t="shared" si="105"/>
        <v>0.73043289730432892</v>
      </c>
      <c r="S28" s="7" t="e">
        <f t="shared" si="105"/>
        <v>#DIV/0!</v>
      </c>
      <c r="T28" s="7" t="e">
        <f t="shared" si="105"/>
        <v>#DIV/0!</v>
      </c>
      <c r="U28" s="7" t="e">
        <f t="shared" si="105"/>
        <v>#DIV/0!</v>
      </c>
      <c r="V28" s="7">
        <f t="shared" si="105"/>
        <v>0.72541471267585922</v>
      </c>
      <c r="W28" s="7"/>
      <c r="X28" s="7"/>
      <c r="Y28" s="7"/>
      <c r="Z28" s="7"/>
      <c r="AA28" s="7"/>
      <c r="AB28" s="7"/>
      <c r="AC28" s="7"/>
      <c r="AD28" s="7">
        <f t="shared" ref="AD28:AF28" si="106">AD13/AD11</f>
        <v>0.79762567711233734</v>
      </c>
      <c r="AE28" s="7">
        <f t="shared" si="106"/>
        <v>0.79681580833418653</v>
      </c>
      <c r="AF28" s="7">
        <f t="shared" si="106"/>
        <v>0.80594876355641198</v>
      </c>
      <c r="AG28" s="7">
        <f>AG13/AG11</f>
        <v>0.79083411875589071</v>
      </c>
      <c r="AH28" s="7">
        <f t="shared" ref="AH28:AO28" si="107">AH13/AH11</f>
        <v>0.72847562806525878</v>
      </c>
      <c r="AI28" s="7">
        <f t="shared" si="107"/>
        <v>0.79999999999999993</v>
      </c>
      <c r="AJ28" s="7">
        <f t="shared" si="107"/>
        <v>0.8</v>
      </c>
      <c r="AK28" s="7">
        <f t="shared" si="107"/>
        <v>0.8</v>
      </c>
      <c r="AL28" s="7">
        <f t="shared" si="107"/>
        <v>0.79999999999999993</v>
      </c>
      <c r="AM28" s="7">
        <f t="shared" si="107"/>
        <v>0.79999999999999993</v>
      </c>
      <c r="AN28" s="7">
        <f t="shared" si="107"/>
        <v>0.79999999999999993</v>
      </c>
      <c r="AO28" s="7">
        <f t="shared" si="107"/>
        <v>0.8</v>
      </c>
    </row>
    <row r="29" spans="2:130" x14ac:dyDescent="0.2">
      <c r="B29" s="1" t="s">
        <v>90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f t="shared" ref="AD29:AF29" si="108">AD18/AD11</f>
        <v>0.39768642737811977</v>
      </c>
      <c r="AE29" s="7">
        <f t="shared" si="108"/>
        <v>0.40411590048121226</v>
      </c>
      <c r="AF29" s="7">
        <f t="shared" si="108"/>
        <v>0.42394822006472493</v>
      </c>
      <c r="AG29" s="7">
        <f>AG18/AG11</f>
        <v>0.40009425070688032</v>
      </c>
      <c r="AH29" s="7">
        <f t="shared" ref="AH29:AO29" si="109">AH18/AH11</f>
        <v>0.34619157241517368</v>
      </c>
      <c r="AI29" s="7">
        <f t="shared" si="109"/>
        <v>0.42342243941877783</v>
      </c>
      <c r="AJ29" s="7">
        <f t="shared" si="109"/>
        <v>0.42903479377079862</v>
      </c>
      <c r="AK29" s="7">
        <f t="shared" si="109"/>
        <v>0.43455467358482225</v>
      </c>
      <c r="AL29" s="7">
        <f t="shared" si="109"/>
        <v>0.43998371425754362</v>
      </c>
      <c r="AM29" s="7">
        <f t="shared" si="109"/>
        <v>0.44532352098596861</v>
      </c>
      <c r="AN29" s="7">
        <f t="shared" si="109"/>
        <v>0.45057566933871285</v>
      </c>
      <c r="AO29" s="7">
        <f t="shared" si="109"/>
        <v>0.45574170581635376</v>
      </c>
    </row>
    <row r="30" spans="2:130" x14ac:dyDescent="0.2">
      <c r="B30" s="1" t="s">
        <v>83</v>
      </c>
      <c r="G30" s="7"/>
      <c r="H30" s="7"/>
      <c r="I30" s="7"/>
      <c r="J30" s="7"/>
      <c r="K30" s="7">
        <f t="shared" ref="K30:N30" si="110">K21/K20</f>
        <v>7.2632944228274973E-2</v>
      </c>
      <c r="L30" s="7">
        <f t="shared" si="110"/>
        <v>0</v>
      </c>
      <c r="M30" s="7">
        <f t="shared" si="110"/>
        <v>0.15001439677512238</v>
      </c>
      <c r="N30" s="7">
        <f t="shared" si="110"/>
        <v>0.10424155283968368</v>
      </c>
      <c r="O30" s="7">
        <f>O21/O20</f>
        <v>3.9130434782608699E-2</v>
      </c>
      <c r="P30" s="7">
        <f t="shared" ref="P30:Y30" si="111">P21/P20</f>
        <v>9.7038285576691544E-2</v>
      </c>
      <c r="Q30" s="7">
        <f t="shared" si="111"/>
        <v>9.6033402922755737E-2</v>
      </c>
      <c r="R30" s="7">
        <f t="shared" si="111"/>
        <v>-5.1244509516837483E-2</v>
      </c>
      <c r="S30" s="7" t="e">
        <f t="shared" si="111"/>
        <v>#DIV/0!</v>
      </c>
      <c r="T30" s="7" t="e">
        <f t="shared" si="111"/>
        <v>#DIV/0!</v>
      </c>
      <c r="U30" s="7" t="e">
        <f t="shared" si="111"/>
        <v>#DIV/0!</v>
      </c>
      <c r="V30" s="7">
        <f t="shared" si="111"/>
        <v>0.24533898305084745</v>
      </c>
      <c r="W30" s="7"/>
      <c r="X30" s="7"/>
      <c r="Y30" s="7"/>
      <c r="Z30" s="7"/>
      <c r="AA30" s="7"/>
      <c r="AB30" s="7"/>
      <c r="AC30" s="7"/>
      <c r="AD30" s="7">
        <f t="shared" ref="AD30:AO30" si="112">AD21/AD20</f>
        <v>8.6946951353731011E-2</v>
      </c>
      <c r="AE30" s="7">
        <f t="shared" si="112"/>
        <v>0.13978104835786268</v>
      </c>
      <c r="AF30" s="7">
        <f t="shared" si="112"/>
        <v>0</v>
      </c>
      <c r="AG30" s="7">
        <f t="shared" si="112"/>
        <v>6.5518453427065027E-2</v>
      </c>
      <c r="AH30" s="7">
        <f t="shared" si="112"/>
        <v>4.6281851274050961E-2</v>
      </c>
      <c r="AI30" s="7">
        <f t="shared" si="112"/>
        <v>0.15</v>
      </c>
      <c r="AJ30" s="7">
        <f t="shared" si="112"/>
        <v>0.15</v>
      </c>
      <c r="AK30" s="7">
        <f t="shared" si="112"/>
        <v>0.15</v>
      </c>
      <c r="AL30" s="7">
        <f t="shared" si="112"/>
        <v>0.15</v>
      </c>
      <c r="AM30" s="7">
        <f t="shared" si="112"/>
        <v>0.15</v>
      </c>
      <c r="AN30" s="7">
        <f t="shared" si="112"/>
        <v>0.15</v>
      </c>
      <c r="AO30" s="7">
        <f t="shared" si="112"/>
        <v>0.15</v>
      </c>
    </row>
    <row r="32" spans="2:130" x14ac:dyDescent="0.2">
      <c r="B32" s="1" t="s">
        <v>70</v>
      </c>
      <c r="N32" s="5">
        <f>N33-N42</f>
        <v>-53957</v>
      </c>
      <c r="O32" s="5">
        <f>O33-O42</f>
        <v>0</v>
      </c>
      <c r="P32" s="5">
        <f>P33-P42</f>
        <v>-83569</v>
      </c>
      <c r="Q32" s="5">
        <f>Q33-Q42</f>
        <v>-83042</v>
      </c>
      <c r="R32" s="5"/>
      <c r="S32" s="5"/>
      <c r="T32" s="5"/>
      <c r="U32" s="5"/>
      <c r="V32" s="5">
        <f>+V33-V42</f>
        <v>-76208</v>
      </c>
      <c r="W32" s="5"/>
      <c r="X32" s="5"/>
      <c r="Y32" s="5"/>
      <c r="Z32" s="5"/>
      <c r="AH32" s="3">
        <f>R32</f>
        <v>0</v>
      </c>
      <c r="AI32" s="3">
        <f>AH32+AI22</f>
        <v>18518.635499999997</v>
      </c>
      <c r="AJ32" s="3">
        <f t="shared" ref="AJ32:AO32" si="113">AI32+AJ22</f>
        <v>38003.061956749996</v>
      </c>
      <c r="AK32" s="3">
        <f t="shared" si="113"/>
        <v>58489.034039332371</v>
      </c>
      <c r="AL32" s="3">
        <f t="shared" si="113"/>
        <v>80013.4849492762</v>
      </c>
      <c r="AM32" s="3">
        <f t="shared" si="113"/>
        <v>102614.56346545339</v>
      </c>
      <c r="AN32" s="3">
        <f t="shared" si="113"/>
        <v>126331.67212869189</v>
      </c>
      <c r="AO32" s="3">
        <f t="shared" si="113"/>
        <v>151205.50660080099</v>
      </c>
      <c r="AQ32" s="1" t="s">
        <v>87</v>
      </c>
      <c r="AR32" s="14">
        <v>0.01</v>
      </c>
    </row>
    <row r="33" spans="2:44" s="3" customFormat="1" x14ac:dyDescent="0.2">
      <c r="B33" s="3" t="s">
        <v>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f>21383+519</f>
        <v>21902</v>
      </c>
      <c r="O33" s="5"/>
      <c r="P33" s="5">
        <f>6813+537</f>
        <v>7350</v>
      </c>
      <c r="Q33" s="5">
        <f>8219+550</f>
        <v>8769</v>
      </c>
      <c r="R33" s="5"/>
      <c r="S33" s="5"/>
      <c r="T33" s="5"/>
      <c r="U33" s="5"/>
      <c r="V33" s="5">
        <f>10454+207</f>
        <v>10661</v>
      </c>
      <c r="W33" s="5"/>
      <c r="X33" s="5"/>
      <c r="Y33" s="5"/>
      <c r="Z33" s="5"/>
      <c r="AA33" s="5"/>
      <c r="AB33" s="5"/>
      <c r="AD33" s="5"/>
      <c r="AE33" s="5"/>
      <c r="AF33" s="5"/>
      <c r="AG33" s="5"/>
      <c r="AQ33" s="1" t="s">
        <v>84</v>
      </c>
      <c r="AR33" s="14">
        <v>0.01</v>
      </c>
    </row>
    <row r="34" spans="2:44" s="3" customFormat="1" x14ac:dyDescent="0.2">
      <c r="B34" s="3" t="s">
        <v>57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5953</v>
      </c>
      <c r="O34" s="5"/>
      <c r="P34" s="5">
        <v>6197</v>
      </c>
      <c r="Q34" s="5">
        <v>6213</v>
      </c>
      <c r="R34" s="5"/>
      <c r="S34" s="5"/>
      <c r="T34" s="5"/>
      <c r="U34" s="5"/>
      <c r="V34" s="5">
        <v>7874</v>
      </c>
      <c r="W34" s="5"/>
      <c r="X34" s="5"/>
      <c r="Y34" s="5"/>
      <c r="Z34" s="5"/>
      <c r="AA34" s="5"/>
      <c r="AB34" s="5"/>
      <c r="AD34" s="5"/>
      <c r="AE34" s="5"/>
      <c r="AF34" s="5"/>
      <c r="AG34" s="5"/>
      <c r="AQ34" s="1" t="s">
        <v>85</v>
      </c>
      <c r="AR34" s="14">
        <v>0.06</v>
      </c>
    </row>
    <row r="35" spans="2:44" s="3" customFormat="1" x14ac:dyDescent="0.2">
      <c r="B35" s="3" t="s">
        <v>58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v>3778</v>
      </c>
      <c r="O35" s="5"/>
      <c r="P35" s="5">
        <v>4014</v>
      </c>
      <c r="Q35" s="5">
        <v>3714</v>
      </c>
      <c r="R35" s="5"/>
      <c r="S35" s="5"/>
      <c r="T35" s="5"/>
      <c r="U35" s="5"/>
      <c r="V35" s="5">
        <v>4019</v>
      </c>
      <c r="W35" s="5"/>
      <c r="X35" s="5"/>
      <c r="Y35" s="5"/>
      <c r="Z35" s="5"/>
      <c r="AA35" s="5"/>
      <c r="AB35" s="5"/>
      <c r="AD35" s="5"/>
      <c r="AE35" s="5"/>
      <c r="AF35" s="5"/>
      <c r="AG35" s="5"/>
      <c r="AQ35" s="1" t="s">
        <v>86</v>
      </c>
      <c r="AR35" s="3">
        <f>NPV(AR34,AI22:DZ22)+N32</f>
        <v>394881.7286035514</v>
      </c>
    </row>
    <row r="36" spans="2:44" s="3" customFormat="1" x14ac:dyDescent="0.2">
      <c r="B36" s="3" t="s">
        <v>59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9716</v>
      </c>
      <c r="O36" s="5"/>
      <c r="P36" s="5">
        <v>14351</v>
      </c>
      <c r="Q36" s="5">
        <v>16345</v>
      </c>
      <c r="R36" s="5"/>
      <c r="S36" s="5"/>
      <c r="T36" s="5"/>
      <c r="U36" s="5"/>
      <c r="V36" s="5">
        <v>21536</v>
      </c>
      <c r="W36" s="5"/>
      <c r="X36" s="5"/>
      <c r="Y36" s="5"/>
      <c r="Z36" s="5"/>
      <c r="AA36" s="5"/>
      <c r="AB36" s="5"/>
      <c r="AD36" s="5"/>
      <c r="AE36" s="5"/>
      <c r="AF36" s="5"/>
      <c r="AG36" s="5"/>
      <c r="AQ36" s="1" t="s">
        <v>88</v>
      </c>
      <c r="AR36" s="15">
        <f>AR35/O24</f>
        <v>143.75017422772166</v>
      </c>
    </row>
    <row r="37" spans="2:44" s="3" customFormat="1" x14ac:dyDescent="0.2">
      <c r="B37" s="3" t="s">
        <v>60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f>1440+43811</f>
        <v>45251</v>
      </c>
      <c r="O37" s="5"/>
      <c r="P37" s="5">
        <f>11593+61513</f>
        <v>73106</v>
      </c>
      <c r="Q37" s="5">
        <f>10707+61499</f>
        <v>72206</v>
      </c>
      <c r="R37" s="5"/>
      <c r="S37" s="5"/>
      <c r="T37" s="5"/>
      <c r="U37" s="5"/>
      <c r="V37" s="5">
        <f>6890+62230</f>
        <v>69120</v>
      </c>
      <c r="W37" s="5"/>
      <c r="X37" s="5"/>
      <c r="Y37" s="5"/>
      <c r="Z37" s="5"/>
      <c r="AA37" s="5"/>
      <c r="AB37" s="5"/>
      <c r="AD37" s="5"/>
      <c r="AE37" s="5"/>
      <c r="AF37" s="5"/>
      <c r="AG37" s="5"/>
      <c r="AQ37" s="1" t="s">
        <v>89</v>
      </c>
      <c r="AR37" s="14">
        <f>AR36/Main!G2-1</f>
        <v>1.9504781756891187E-2</v>
      </c>
    </row>
    <row r="38" spans="2:44" s="3" customFormat="1" x14ac:dyDescent="0.2">
      <c r="B38" s="3" t="s">
        <v>61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v>12782</v>
      </c>
      <c r="O38" s="5"/>
      <c r="P38" s="5">
        <v>12091</v>
      </c>
      <c r="Q38" s="5">
        <v>12153</v>
      </c>
      <c r="R38" s="5"/>
      <c r="S38" s="5"/>
      <c r="T38" s="5"/>
      <c r="U38" s="5"/>
      <c r="V38" s="5">
        <v>12273</v>
      </c>
      <c r="W38" s="5"/>
      <c r="X38" s="5"/>
      <c r="Y38" s="5"/>
      <c r="Z38" s="5"/>
      <c r="AA38" s="5"/>
      <c r="AB38" s="5"/>
      <c r="AD38" s="5"/>
      <c r="AE38" s="5"/>
      <c r="AF38" s="5"/>
      <c r="AG38" s="5"/>
    </row>
    <row r="39" spans="2:44" s="3" customFormat="1" x14ac:dyDescent="0.2">
      <c r="B39" s="3" t="s">
        <v>62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9915</v>
      </c>
      <c r="O39" s="5"/>
      <c r="P39" s="5">
        <v>11360</v>
      </c>
      <c r="Q39" s="5">
        <v>12220</v>
      </c>
      <c r="R39" s="5"/>
      <c r="S39" s="5"/>
      <c r="T39" s="5"/>
      <c r="U39" s="5"/>
      <c r="V39" s="5">
        <v>15493</v>
      </c>
      <c r="W39" s="5"/>
      <c r="X39" s="5"/>
      <c r="Y39" s="5"/>
      <c r="Z39" s="5"/>
      <c r="AA39" s="5"/>
      <c r="AB39" s="5"/>
      <c r="AD39" s="5"/>
      <c r="AE39" s="5"/>
      <c r="AF39" s="5"/>
      <c r="AG39" s="5"/>
    </row>
    <row r="40" spans="2:44" s="3" customFormat="1" x14ac:dyDescent="0.2">
      <c r="B40" s="3" t="s">
        <v>56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f>SUM(N33:N39)</f>
        <v>109297</v>
      </c>
      <c r="O40" s="5">
        <f>SUM(O33:O39)</f>
        <v>0</v>
      </c>
      <c r="P40" s="5">
        <f>SUM(P33:P39)</f>
        <v>128469</v>
      </c>
      <c r="Q40" s="5">
        <f>SUM(Q33:Q39)</f>
        <v>131620</v>
      </c>
      <c r="R40" s="5"/>
      <c r="S40" s="5"/>
      <c r="T40" s="5"/>
      <c r="U40" s="5"/>
      <c r="V40" s="5">
        <f>SUM(V33:V39)</f>
        <v>140976</v>
      </c>
      <c r="W40" s="5"/>
      <c r="X40" s="5"/>
      <c r="Y40" s="5"/>
      <c r="Z40" s="5"/>
      <c r="AA40" s="5"/>
      <c r="AB40" s="5"/>
      <c r="AD40" s="5"/>
      <c r="AE40" s="5"/>
      <c r="AF40" s="5"/>
      <c r="AG40" s="5"/>
    </row>
    <row r="42" spans="2:44" s="3" customFormat="1" x14ac:dyDescent="0.2">
      <c r="B42" s="3" t="s">
        <v>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f>3749+72110</f>
        <v>75859</v>
      </c>
      <c r="O42" s="5"/>
      <c r="P42" s="5">
        <f>81173+9746</f>
        <v>90919</v>
      </c>
      <c r="Q42" s="5">
        <f>5415+86396</f>
        <v>91811</v>
      </c>
      <c r="R42" s="5"/>
      <c r="S42" s="5"/>
      <c r="T42" s="5"/>
      <c r="U42" s="5"/>
      <c r="V42" s="5">
        <f>10605+76264</f>
        <v>86869</v>
      </c>
      <c r="W42" s="5"/>
      <c r="X42" s="5"/>
      <c r="Y42" s="5"/>
      <c r="Z42" s="5"/>
      <c r="AA42" s="5"/>
      <c r="AB42" s="5"/>
      <c r="AD42" s="5"/>
      <c r="AE42" s="5"/>
      <c r="AF42" s="5"/>
      <c r="AG42" s="5"/>
    </row>
    <row r="43" spans="2:44" s="3" customFormat="1" x14ac:dyDescent="0.2">
      <c r="B43" s="3" t="s">
        <v>64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1317</v>
      </c>
      <c r="O43" s="5"/>
      <c r="P43" s="5">
        <v>1647</v>
      </c>
      <c r="Q43" s="5">
        <v>1610</v>
      </c>
      <c r="R43" s="5"/>
      <c r="S43" s="5"/>
      <c r="T43" s="5"/>
      <c r="U43" s="5"/>
      <c r="V43" s="5">
        <v>2357</v>
      </c>
      <c r="W43" s="5"/>
      <c r="X43" s="5"/>
      <c r="Y43" s="5"/>
      <c r="Z43" s="5"/>
      <c r="AA43" s="5"/>
      <c r="AB43" s="5"/>
      <c r="AD43" s="5"/>
      <c r="AE43" s="5"/>
      <c r="AF43" s="5"/>
      <c r="AG43" s="5"/>
    </row>
    <row r="44" spans="2:44" s="3" customFormat="1" x14ac:dyDescent="0.2">
      <c r="B44" s="3" t="s">
        <v>65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1944</v>
      </c>
      <c r="O44" s="5"/>
      <c r="P44" s="5">
        <v>1780</v>
      </c>
      <c r="Q44" s="5">
        <v>1736</v>
      </c>
      <c r="R44" s="5"/>
      <c r="S44" s="5"/>
      <c r="T44" s="5"/>
      <c r="U44" s="5"/>
      <c r="V44" s="5">
        <v>1916</v>
      </c>
      <c r="W44" s="5"/>
      <c r="X44" s="5"/>
      <c r="Y44" s="5"/>
      <c r="Z44" s="5"/>
      <c r="AA44" s="5"/>
      <c r="AB44" s="5"/>
      <c r="AD44" s="5"/>
      <c r="AE44" s="5"/>
      <c r="AF44" s="5"/>
      <c r="AG44" s="5"/>
    </row>
    <row r="45" spans="2:44" s="3" customFormat="1" x14ac:dyDescent="0.2">
      <c r="B45" s="3" t="s">
        <v>63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v>8357</v>
      </c>
      <c r="O45" s="5"/>
      <c r="P45" s="5">
        <v>8705</v>
      </c>
      <c r="Q45" s="5">
        <v>8598</v>
      </c>
      <c r="R45" s="5"/>
      <c r="S45" s="5"/>
      <c r="T45" s="5"/>
      <c r="U45" s="5"/>
      <c r="V45" s="5">
        <v>9313</v>
      </c>
      <c r="W45" s="5"/>
      <c r="X45" s="5"/>
      <c r="Y45" s="5"/>
      <c r="Z45" s="5"/>
      <c r="AA45" s="5"/>
      <c r="AB45" s="5"/>
      <c r="AD45" s="5"/>
      <c r="AE45" s="5"/>
      <c r="AF45" s="5"/>
      <c r="AG45" s="5"/>
    </row>
    <row r="46" spans="2:44" s="3" customFormat="1" x14ac:dyDescent="0.2">
      <c r="B46" s="3" t="s">
        <v>66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4144</v>
      </c>
      <c r="O46" s="5"/>
      <c r="P46" s="5">
        <v>5228</v>
      </c>
      <c r="Q46" s="5">
        <v>5521</v>
      </c>
      <c r="R46" s="5"/>
      <c r="S46" s="5"/>
      <c r="T46" s="5"/>
      <c r="U46" s="5"/>
      <c r="V46" s="5">
        <v>7353</v>
      </c>
      <c r="W46" s="5"/>
      <c r="X46" s="5"/>
      <c r="Y46" s="5"/>
      <c r="Z46" s="5"/>
      <c r="AA46" s="5"/>
      <c r="AB46" s="5"/>
      <c r="AD46" s="5"/>
      <c r="AE46" s="5"/>
      <c r="AF46" s="5"/>
      <c r="AG46" s="5"/>
    </row>
    <row r="47" spans="2:44" s="3" customFormat="1" x14ac:dyDescent="0.2">
      <c r="B47" s="3" t="s">
        <v>61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f>12210+6031</f>
        <v>18241</v>
      </c>
      <c r="O47" s="5"/>
      <c r="P47" s="5">
        <f>11128+7165</f>
        <v>18293</v>
      </c>
      <c r="Q47" s="5">
        <f>11335+6814</f>
        <v>18149</v>
      </c>
      <c r="R47" s="5"/>
      <c r="S47" s="5"/>
      <c r="T47" s="5"/>
      <c r="U47" s="5"/>
      <c r="V47" s="5">
        <f>10817+3692</f>
        <v>14509</v>
      </c>
      <c r="W47" s="5"/>
      <c r="X47" s="5"/>
      <c r="Y47" s="5"/>
      <c r="Z47" s="5"/>
      <c r="AA47" s="5"/>
      <c r="AB47" s="5"/>
      <c r="AD47" s="5"/>
      <c r="AE47" s="5"/>
      <c r="AF47" s="5"/>
      <c r="AG47" s="5"/>
    </row>
    <row r="48" spans="2:44" s="3" customFormat="1" x14ac:dyDescent="0.2">
      <c r="B48" s="3" t="s">
        <v>67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v>5203</v>
      </c>
      <c r="O48" s="5"/>
      <c r="P48" s="5">
        <v>5673</v>
      </c>
      <c r="Q48" s="5">
        <v>6107</v>
      </c>
      <c r="R48" s="5"/>
      <c r="S48" s="5"/>
      <c r="T48" s="5"/>
      <c r="U48" s="5"/>
      <c r="V48" s="5">
        <v>9420</v>
      </c>
      <c r="W48" s="5"/>
      <c r="X48" s="5"/>
      <c r="Y48" s="5"/>
      <c r="Z48" s="5"/>
      <c r="AA48" s="5"/>
      <c r="AB48" s="5"/>
      <c r="AD48" s="5"/>
      <c r="AE48" s="5"/>
      <c r="AF48" s="5"/>
      <c r="AG48" s="5"/>
    </row>
    <row r="49" spans="2:33" s="3" customFormat="1" x14ac:dyDescent="0.2">
      <c r="B49" s="3" t="s">
        <v>68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-5768</v>
      </c>
      <c r="O49" s="5"/>
      <c r="P49" s="5">
        <f>-4246+470</f>
        <v>-3776</v>
      </c>
      <c r="Q49" s="5">
        <v>-1912</v>
      </c>
      <c r="R49" s="5"/>
      <c r="S49" s="5"/>
      <c r="T49" s="5"/>
      <c r="U49" s="5"/>
      <c r="V49" s="5">
        <v>9239</v>
      </c>
      <c r="W49" s="5"/>
      <c r="X49" s="5"/>
      <c r="Y49" s="5"/>
      <c r="Z49" s="5"/>
      <c r="AA49" s="5"/>
      <c r="AB49" s="5"/>
      <c r="AD49" s="5"/>
      <c r="AE49" s="5"/>
      <c r="AF49" s="5"/>
      <c r="AG49" s="5"/>
    </row>
    <row r="50" spans="2:33" s="3" customFormat="1" x14ac:dyDescent="0.2">
      <c r="B50" s="3" t="s">
        <v>69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>
        <f>SUM(N42:N49)</f>
        <v>109297</v>
      </c>
      <c r="O50" s="5">
        <f>SUM(O42:O49)</f>
        <v>0</v>
      </c>
      <c r="P50" s="5">
        <f>SUM(P42:P49)</f>
        <v>128469</v>
      </c>
      <c r="Q50" s="5">
        <f>SUM(Q42:Q49)</f>
        <v>131620</v>
      </c>
      <c r="R50" s="5"/>
      <c r="S50" s="5"/>
      <c r="T50" s="5"/>
      <c r="U50" s="5"/>
      <c r="V50" s="5">
        <f>SUM(V42:V49)</f>
        <v>140976</v>
      </c>
      <c r="W50" s="5"/>
      <c r="X50" s="5"/>
      <c r="Y50" s="5"/>
      <c r="Z50" s="5"/>
      <c r="AA50" s="5"/>
      <c r="AB50" s="5"/>
      <c r="AD50" s="5"/>
      <c r="AE50" s="5"/>
      <c r="AF50" s="5"/>
      <c r="AG50" s="5"/>
    </row>
    <row r="52" spans="2:33" s="3" customFormat="1" x14ac:dyDescent="0.2">
      <c r="B52" s="3" t="s">
        <v>72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D52" s="5"/>
      <c r="AE52" s="5"/>
      <c r="AF52" s="5"/>
      <c r="AG52" s="5">
        <f>+AG22</f>
        <v>13293</v>
      </c>
    </row>
    <row r="53" spans="2:33" s="3" customFormat="1" x14ac:dyDescent="0.2">
      <c r="B53" s="3" t="s">
        <v>73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D53" s="5"/>
      <c r="AE53" s="5"/>
      <c r="AF53" s="5"/>
      <c r="AG53" s="5">
        <v>6717</v>
      </c>
    </row>
    <row r="54" spans="2:33" s="3" customFormat="1" x14ac:dyDescent="0.2">
      <c r="B54" s="3" t="s">
        <v>74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D54" s="5"/>
      <c r="AE54" s="5"/>
      <c r="AF54" s="5"/>
      <c r="AG54" s="5">
        <v>1972</v>
      </c>
    </row>
    <row r="55" spans="2:33" s="3" customFormat="1" x14ac:dyDescent="0.2">
      <c r="B55" s="3" t="s">
        <v>75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D55" s="5"/>
      <c r="AE55" s="5"/>
      <c r="AF55" s="5"/>
      <c r="AG55" s="5">
        <v>1150</v>
      </c>
    </row>
    <row r="56" spans="2:33" s="3" customFormat="1" x14ac:dyDescent="0.2">
      <c r="B56" s="3" t="s">
        <v>61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D56" s="5"/>
      <c r="AE56" s="5"/>
      <c r="AF56" s="5"/>
      <c r="AG56" s="5">
        <v>-1146</v>
      </c>
    </row>
    <row r="57" spans="2:33" s="3" customFormat="1" x14ac:dyDescent="0.2">
      <c r="B57" s="3" t="s">
        <v>76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D57" s="5"/>
      <c r="AE57" s="5"/>
      <c r="AF57" s="5"/>
      <c r="AG57" s="5">
        <v>2613</v>
      </c>
    </row>
    <row r="58" spans="2:33" s="3" customFormat="1" x14ac:dyDescent="0.2">
      <c r="B58" s="3" t="s">
        <v>77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D58" s="5"/>
      <c r="AE58" s="5"/>
      <c r="AF58" s="5"/>
      <c r="AG58" s="5">
        <v>220</v>
      </c>
    </row>
    <row r="59" spans="2:33" s="3" customFormat="1" x14ac:dyDescent="0.2">
      <c r="B59" s="3" t="s">
        <v>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D59" s="5"/>
      <c r="AE59" s="5"/>
      <c r="AF59" s="5"/>
      <c r="AG59" s="5">
        <f>-874+11-733-398+7</f>
        <v>-1987</v>
      </c>
    </row>
    <row r="60" spans="2:33" s="3" customFormat="1" x14ac:dyDescent="0.2">
      <c r="B60" s="3" t="s">
        <v>79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D60" s="5"/>
      <c r="AE60" s="5">
        <v>13139</v>
      </c>
      <c r="AF60" s="5">
        <v>15887</v>
      </c>
      <c r="AG60" s="5">
        <f>SUM(AG53:AG59)</f>
        <v>9539</v>
      </c>
    </row>
    <row r="62" spans="2:33" s="3" customFormat="1" x14ac:dyDescent="0.2">
      <c r="B62" s="3" t="s">
        <v>80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D62" s="5"/>
      <c r="AE62" s="5">
        <v>-1564</v>
      </c>
      <c r="AF62" s="5">
        <v>-2135</v>
      </c>
      <c r="AG62" s="5">
        <v>-4511</v>
      </c>
    </row>
    <row r="63" spans="2:33" s="3" customFormat="1" x14ac:dyDescent="0.2">
      <c r="B63" s="3" t="s">
        <v>81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D63" s="5"/>
      <c r="AE63" s="5"/>
      <c r="AF63" s="5"/>
      <c r="AG63" s="5">
        <v>-148</v>
      </c>
    </row>
    <row r="64" spans="2:33" s="3" customFormat="1" x14ac:dyDescent="0.2">
      <c r="B64" s="3" t="s">
        <v>82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D64" s="5"/>
      <c r="AE64" s="5"/>
      <c r="AF64" s="5"/>
      <c r="AG64" s="5">
        <f>-10272+19788+6363</f>
        <v>15879</v>
      </c>
    </row>
    <row r="65" spans="3:33" s="3" customFormat="1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D65" s="5"/>
      <c r="AE65" s="5"/>
      <c r="AF65" s="5"/>
      <c r="AG65" s="5">
        <f>SUM(AG62:AG64)</f>
        <v>11220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2024-06-29T19:41:44Z</dcterms:modified>
</cp:coreProperties>
</file>