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43DEA59-831F-40D1-86E5-299765DBD16F}" xr6:coauthVersionLast="47" xr6:coauthVersionMax="47" xr10:uidLastSave="{00000000-0000-0000-0000-000000000000}"/>
  <bookViews>
    <workbookView xWindow="-51300" yWindow="120" windowWidth="26340" windowHeight="2091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0" i="2" l="1"/>
  <c r="AG20" i="2"/>
  <c r="Q82" i="2"/>
  <c r="Q83" i="2" s="1"/>
  <c r="Q78" i="2"/>
  <c r="Q79" i="2" s="1"/>
  <c r="Q72" i="2"/>
  <c r="Q73" i="2" s="1"/>
  <c r="Q93" i="2" s="1"/>
  <c r="Q63" i="2"/>
  <c r="Q47" i="2"/>
  <c r="Q54" i="2"/>
  <c r="Q46" i="2"/>
  <c r="P82" i="2"/>
  <c r="P83" i="2"/>
  <c r="P78" i="2"/>
  <c r="P79" i="2" s="1"/>
  <c r="P72" i="2"/>
  <c r="P73" i="2" s="1"/>
  <c r="P93" i="2" s="1"/>
  <c r="P47" i="2"/>
  <c r="P54" i="2" s="1"/>
  <c r="P63" i="2"/>
  <c r="O82" i="2"/>
  <c r="O83" i="2" s="1"/>
  <c r="O78" i="2"/>
  <c r="O79" i="2" s="1"/>
  <c r="O72" i="2"/>
  <c r="O73" i="2" s="1"/>
  <c r="O93" i="2" s="1"/>
  <c r="O47" i="2"/>
  <c r="O54" i="2" s="1"/>
  <c r="O63" i="2"/>
  <c r="AF43" i="2"/>
  <c r="AF42" i="2"/>
  <c r="AF41" i="2"/>
  <c r="AF40" i="2"/>
  <c r="AF39" i="2"/>
  <c r="AF34" i="2"/>
  <c r="AF26" i="2"/>
  <c r="AF25" i="2"/>
  <c r="AF24" i="2"/>
  <c r="AF27" i="2" s="1"/>
  <c r="AF19" i="2"/>
  <c r="AF18" i="2"/>
  <c r="AF37" i="2" s="1"/>
  <c r="AE82" i="2"/>
  <c r="AE83" i="2" s="1"/>
  <c r="AE78" i="2"/>
  <c r="AE79" i="2" s="1"/>
  <c r="AE72" i="2"/>
  <c r="AE73" i="2" s="1"/>
  <c r="AE93" i="2" s="1"/>
  <c r="AD82" i="2"/>
  <c r="AD83" i="2" s="1"/>
  <c r="AD78" i="2"/>
  <c r="AD79" i="2" s="1"/>
  <c r="AD72" i="2"/>
  <c r="AD73" i="2" s="1"/>
  <c r="AD93" i="2" s="1"/>
  <c r="AD29" i="2"/>
  <c r="AD63" i="2"/>
  <c r="AD47" i="2"/>
  <c r="AD54" i="2" s="1"/>
  <c r="AD46" i="2"/>
  <c r="AE20" i="2"/>
  <c r="AD20" i="2"/>
  <c r="AC20" i="2"/>
  <c r="AC23" i="2" s="1"/>
  <c r="AB20" i="2"/>
  <c r="AA20" i="2"/>
  <c r="Z20" i="2"/>
  <c r="AB82" i="2"/>
  <c r="AB83" i="2" s="1"/>
  <c r="AB78" i="2"/>
  <c r="AB79" i="2" s="1"/>
  <c r="AC82" i="2"/>
  <c r="AC83" i="2" s="1"/>
  <c r="AC78" i="2"/>
  <c r="AC79" i="2" s="1"/>
  <c r="AC72" i="2"/>
  <c r="AC73" i="2" s="1"/>
  <c r="AC93" i="2" s="1"/>
  <c r="AC29" i="2"/>
  <c r="AC63" i="2"/>
  <c r="AC47" i="2"/>
  <c r="AC54" i="2"/>
  <c r="AE38" i="2"/>
  <c r="AE37" i="2"/>
  <c r="AD38" i="2"/>
  <c r="AD37" i="2"/>
  <c r="AC38" i="2"/>
  <c r="AC37" i="2"/>
  <c r="AC31" i="2"/>
  <c r="AE43" i="2"/>
  <c r="AE42" i="2"/>
  <c r="AE41" i="2"/>
  <c r="AE40" i="2"/>
  <c r="AE39" i="2"/>
  <c r="AE63" i="2"/>
  <c r="AE47" i="2"/>
  <c r="AE54" i="2" s="1"/>
  <c r="AE31" i="2"/>
  <c r="AE29" i="2"/>
  <c r="AE27" i="2"/>
  <c r="AB72" i="2"/>
  <c r="AB73" i="2" s="1"/>
  <c r="AB93" i="2" s="1"/>
  <c r="AB63" i="2"/>
  <c r="AB47" i="2"/>
  <c r="AB54" i="2" s="1"/>
  <c r="AB38" i="2"/>
  <c r="AB37" i="2"/>
  <c r="AB31" i="2"/>
  <c r="AB29" i="2"/>
  <c r="R82" i="2"/>
  <c r="R83" i="2" s="1"/>
  <c r="R78" i="2"/>
  <c r="R79" i="2" s="1"/>
  <c r="R72" i="2"/>
  <c r="R73" i="2" s="1"/>
  <c r="R93" i="2" s="1"/>
  <c r="R63" i="2"/>
  <c r="R47" i="2"/>
  <c r="R46" i="2" s="1"/>
  <c r="S82" i="2"/>
  <c r="S83" i="2" s="1"/>
  <c r="S78" i="2"/>
  <c r="S79" i="2" s="1"/>
  <c r="S72" i="2"/>
  <c r="S73" i="2" s="1"/>
  <c r="S93" i="2" s="1"/>
  <c r="S63" i="2"/>
  <c r="S47" i="2"/>
  <c r="S54" i="2" s="1"/>
  <c r="T82" i="2"/>
  <c r="T83" i="2" s="1"/>
  <c r="T78" i="2"/>
  <c r="T79" i="2" s="1"/>
  <c r="T72" i="2"/>
  <c r="T73" i="2" s="1"/>
  <c r="T93" i="2" s="1"/>
  <c r="T63" i="2"/>
  <c r="T47" i="2"/>
  <c r="T54" i="2" s="1"/>
  <c r="T46" i="2"/>
  <c r="U82" i="2"/>
  <c r="U83" i="2" s="1"/>
  <c r="U78" i="2"/>
  <c r="U79" i="2" s="1"/>
  <c r="U72" i="2"/>
  <c r="U73" i="2" s="1"/>
  <c r="U93" i="2" s="1"/>
  <c r="U63" i="2"/>
  <c r="U47" i="2"/>
  <c r="U46" i="2" s="1"/>
  <c r="V82" i="2"/>
  <c r="V83" i="2" s="1"/>
  <c r="V78" i="2"/>
  <c r="V79" i="2" s="1"/>
  <c r="V72" i="2"/>
  <c r="V73" i="2" s="1"/>
  <c r="V93" i="2" s="1"/>
  <c r="V63" i="2"/>
  <c r="V47" i="2"/>
  <c r="V46" i="2" s="1"/>
  <c r="Z82" i="2"/>
  <c r="Z78" i="2"/>
  <c r="Z79" i="2" s="1"/>
  <c r="Z72" i="2"/>
  <c r="Z73" i="2" s="1"/>
  <c r="Z93" i="2" s="1"/>
  <c r="Z83" i="2"/>
  <c r="AA82" i="2"/>
  <c r="AA83" i="2" s="1"/>
  <c r="AA78" i="2"/>
  <c r="AA79" i="2" s="1"/>
  <c r="AA72" i="2"/>
  <c r="AA73" i="2" s="1"/>
  <c r="AA93" i="2" s="1"/>
  <c r="AA63" i="2"/>
  <c r="AA52" i="2"/>
  <c r="AA47" i="2"/>
  <c r="P46" i="2" l="1"/>
  <c r="AE36" i="2"/>
  <c r="AF29" i="2"/>
  <c r="AA54" i="2"/>
  <c r="AF20" i="2"/>
  <c r="AF38" i="2"/>
  <c r="S94" i="2"/>
  <c r="AC85" i="2"/>
  <c r="U94" i="2"/>
  <c r="AE85" i="2"/>
  <c r="P85" i="2"/>
  <c r="AF23" i="2"/>
  <c r="AF36" i="2"/>
  <c r="T94" i="2"/>
  <c r="Q85" i="2"/>
  <c r="R94" i="2"/>
  <c r="AD85" i="2"/>
  <c r="AE23" i="2"/>
  <c r="AE28" i="2" s="1"/>
  <c r="AE30" i="2" s="1"/>
  <c r="AE32" i="2" s="1"/>
  <c r="O85" i="2"/>
  <c r="O46" i="2"/>
  <c r="AE94" i="2"/>
  <c r="AB85" i="2"/>
  <c r="AB94" i="2"/>
  <c r="AC94" i="2"/>
  <c r="AD94" i="2"/>
  <c r="AC46" i="2"/>
  <c r="AE46" i="2"/>
  <c r="AB46" i="2"/>
  <c r="V94" i="2"/>
  <c r="U54" i="2"/>
  <c r="Z85" i="2"/>
  <c r="S46" i="2"/>
  <c r="U85" i="2"/>
  <c r="AA85" i="2"/>
  <c r="V85" i="2"/>
  <c r="S85" i="2"/>
  <c r="R85" i="2"/>
  <c r="T85" i="2"/>
  <c r="R54" i="2"/>
  <c r="AA46" i="2"/>
  <c r="V54" i="2"/>
  <c r="AA43" i="2"/>
  <c r="AA38" i="2"/>
  <c r="AA37" i="2"/>
  <c r="AA31" i="2"/>
  <c r="AA29" i="2"/>
  <c r="AA23" i="2"/>
  <c r="Z23" i="2"/>
  <c r="Z44" i="2" s="1"/>
  <c r="AP29" i="2"/>
  <c r="AP27" i="2"/>
  <c r="AP23" i="2"/>
  <c r="AQ29" i="2"/>
  <c r="AQ27" i="2"/>
  <c r="AQ23" i="2"/>
  <c r="AR29" i="2"/>
  <c r="AR27" i="2"/>
  <c r="AR23" i="2"/>
  <c r="Z63" i="2"/>
  <c r="Z47" i="2"/>
  <c r="Z46" i="2" s="1"/>
  <c r="Z43" i="2"/>
  <c r="Y43" i="2"/>
  <c r="X43" i="2"/>
  <c r="W43" i="2"/>
  <c r="V43" i="2"/>
  <c r="Z38" i="2"/>
  <c r="Z37" i="2"/>
  <c r="Z29" i="2"/>
  <c r="Y20" i="2"/>
  <c r="Y23" i="2" s="1"/>
  <c r="AM36" i="2"/>
  <c r="AN100" i="2"/>
  <c r="AO36" i="2"/>
  <c r="AN36" i="2"/>
  <c r="AS36" i="2"/>
  <c r="AR36" i="2"/>
  <c r="AQ36" i="2"/>
  <c r="AP36" i="2"/>
  <c r="AV36" i="2"/>
  <c r="AU36" i="2"/>
  <c r="AT36" i="2"/>
  <c r="BA36" i="2"/>
  <c r="AZ36" i="2"/>
  <c r="AY36" i="2"/>
  <c r="AX36" i="2"/>
  <c r="AW36" i="2"/>
  <c r="BK16" i="2"/>
  <c r="BK14" i="2"/>
  <c r="BK13" i="2"/>
  <c r="BK12" i="2"/>
  <c r="Y82" i="2"/>
  <c r="Y83" i="2" s="1"/>
  <c r="Y78" i="2"/>
  <c r="Y79" i="2" s="1"/>
  <c r="Y72" i="2"/>
  <c r="Y73" i="2" s="1"/>
  <c r="Y93" i="2" s="1"/>
  <c r="Y63" i="2"/>
  <c r="Y47" i="2"/>
  <c r="Y31" i="2"/>
  <c r="Y29" i="2"/>
  <c r="Y27" i="2"/>
  <c r="X20" i="2"/>
  <c r="R38" i="2"/>
  <c r="Q38" i="2"/>
  <c r="P38" i="2"/>
  <c r="O38" i="2"/>
  <c r="R37" i="2"/>
  <c r="Q37" i="2"/>
  <c r="P37" i="2"/>
  <c r="O37" i="2"/>
  <c r="Y38" i="2"/>
  <c r="X38" i="2"/>
  <c r="W38" i="2"/>
  <c r="V38" i="2"/>
  <c r="U38" i="2"/>
  <c r="T38" i="2"/>
  <c r="S38" i="2"/>
  <c r="W37" i="2"/>
  <c r="V37" i="2"/>
  <c r="U37" i="2"/>
  <c r="T37" i="2"/>
  <c r="S37" i="2"/>
  <c r="Y37" i="2"/>
  <c r="X37" i="2"/>
  <c r="X82" i="2"/>
  <c r="X83" i="2" s="1"/>
  <c r="X78" i="2"/>
  <c r="X79" i="2" s="1"/>
  <c r="X72" i="2"/>
  <c r="X73" i="2" s="1"/>
  <c r="X93" i="2" s="1"/>
  <c r="W82" i="2"/>
  <c r="W83" i="2" s="1"/>
  <c r="W78" i="2"/>
  <c r="W79" i="2" s="1"/>
  <c r="W72" i="2"/>
  <c r="W73" i="2" s="1"/>
  <c r="X63" i="2"/>
  <c r="X47" i="2"/>
  <c r="X54" i="2" s="1"/>
  <c r="AE33" i="2" l="1"/>
  <c r="AE65" i="2"/>
  <c r="AF44" i="2"/>
  <c r="AF28" i="2"/>
  <c r="AF30" i="2" s="1"/>
  <c r="Y28" i="2"/>
  <c r="W93" i="2"/>
  <c r="Z94" i="2" s="1"/>
  <c r="AA94" i="2"/>
  <c r="AE44" i="2"/>
  <c r="AR28" i="2"/>
  <c r="AR30" i="2" s="1"/>
  <c r="AR32" i="2" s="1"/>
  <c r="AR33" i="2" s="1"/>
  <c r="AA44" i="2"/>
  <c r="Y54" i="2"/>
  <c r="Y46" i="2"/>
  <c r="Z54" i="2"/>
  <c r="W94" i="2"/>
  <c r="Y94" i="2"/>
  <c r="X94" i="2"/>
  <c r="AP28" i="2"/>
  <c r="AP30" i="2" s="1"/>
  <c r="AP32" i="2" s="1"/>
  <c r="AP33" i="2" s="1"/>
  <c r="AQ28" i="2"/>
  <c r="AQ30" i="2" s="1"/>
  <c r="AQ32" i="2" s="1"/>
  <c r="AQ33" i="2" s="1"/>
  <c r="BK11" i="2"/>
  <c r="X46" i="2"/>
  <c r="Y85" i="2"/>
  <c r="BK15" i="2"/>
  <c r="W85" i="2"/>
  <c r="Y44" i="2"/>
  <c r="X85" i="2"/>
  <c r="BK34" i="2"/>
  <c r="X29" i="2"/>
  <c r="BL29" i="2"/>
  <c r="W63" i="2"/>
  <c r="W47" i="2"/>
  <c r="W46" i="2" s="1"/>
  <c r="X27" i="2"/>
  <c r="X42" i="2"/>
  <c r="X41" i="2"/>
  <c r="AA42" i="2"/>
  <c r="AD42" i="2"/>
  <c r="AC42" i="2"/>
  <c r="AB42" i="2"/>
  <c r="AB41" i="2"/>
  <c r="AA41" i="2"/>
  <c r="AD41" i="2"/>
  <c r="AC41" i="2"/>
  <c r="V42" i="2"/>
  <c r="U42" i="2"/>
  <c r="T42" i="2"/>
  <c r="S42" i="2"/>
  <c r="R42" i="2"/>
  <c r="Q42" i="2"/>
  <c r="P42" i="2"/>
  <c r="O42" i="2"/>
  <c r="N42" i="2"/>
  <c r="V41" i="2"/>
  <c r="U41" i="2"/>
  <c r="T41" i="2"/>
  <c r="S41" i="2"/>
  <c r="R41" i="2"/>
  <c r="Q41" i="2"/>
  <c r="P41" i="2"/>
  <c r="O41" i="2"/>
  <c r="N41" i="2"/>
  <c r="W41" i="2"/>
  <c r="W42" i="2"/>
  <c r="AB40" i="2"/>
  <c r="AA40" i="2"/>
  <c r="AD40" i="2"/>
  <c r="AC40" i="2"/>
  <c r="X40" i="2"/>
  <c r="X39" i="2"/>
  <c r="V40" i="2"/>
  <c r="U40" i="2"/>
  <c r="T40" i="2"/>
  <c r="S40" i="2"/>
  <c r="R40" i="2"/>
  <c r="Q40" i="2"/>
  <c r="P40" i="2"/>
  <c r="O40" i="2"/>
  <c r="N40" i="2"/>
  <c r="W40" i="2"/>
  <c r="AA39" i="2"/>
  <c r="AD39" i="2"/>
  <c r="AC39" i="2"/>
  <c r="Q39" i="2"/>
  <c r="P39" i="2"/>
  <c r="O39" i="2"/>
  <c r="N39" i="2"/>
  <c r="V39" i="2"/>
  <c r="U39" i="2"/>
  <c r="T39" i="2"/>
  <c r="S39" i="2"/>
  <c r="R39" i="2"/>
  <c r="W39" i="2"/>
  <c r="AB43" i="2"/>
  <c r="AD43" i="2"/>
  <c r="BE31" i="2"/>
  <c r="BE29" i="2"/>
  <c r="BF43" i="2"/>
  <c r="BE43" i="2"/>
  <c r="BD43" i="2"/>
  <c r="BD31" i="2"/>
  <c r="BD29" i="2"/>
  <c r="BC31" i="2"/>
  <c r="BC29" i="2"/>
  <c r="BE27" i="2"/>
  <c r="BD27" i="2"/>
  <c r="BC27" i="2"/>
  <c r="BE20" i="2"/>
  <c r="BE23" i="2" s="1"/>
  <c r="BE44" i="2" s="1"/>
  <c r="BD20" i="2"/>
  <c r="BD23" i="2" s="1"/>
  <c r="BD44" i="2" s="1"/>
  <c r="BC20" i="2"/>
  <c r="BC23" i="2" s="1"/>
  <c r="BC44" i="2" s="1"/>
  <c r="BB36" i="2"/>
  <c r="BG15" i="2"/>
  <c r="BG14" i="2"/>
  <c r="BG13" i="2"/>
  <c r="BG12" i="2"/>
  <c r="BG11" i="2"/>
  <c r="BG43" i="2"/>
  <c r="BF31" i="2"/>
  <c r="BF29" i="2"/>
  <c r="BF27" i="2"/>
  <c r="BF20" i="2"/>
  <c r="BF23" i="2" s="1"/>
  <c r="BG31" i="2"/>
  <c r="BG29" i="2"/>
  <c r="BH34" i="2"/>
  <c r="BH26" i="2"/>
  <c r="BH25" i="2"/>
  <c r="BH24" i="2"/>
  <c r="BH22" i="2"/>
  <c r="BH21" i="2"/>
  <c r="BG27" i="2"/>
  <c r="BG20" i="2"/>
  <c r="BG23" i="2" s="1"/>
  <c r="BG44" i="2" s="1"/>
  <c r="BH19" i="2"/>
  <c r="BH18" i="2"/>
  <c r="BH16" i="2"/>
  <c r="BH15" i="2"/>
  <c r="BH14" i="2"/>
  <c r="BH13" i="2"/>
  <c r="BH12" i="2"/>
  <c r="BH11" i="2"/>
  <c r="BH9" i="2"/>
  <c r="BH43" i="2" s="1"/>
  <c r="BH6" i="2"/>
  <c r="BH3" i="2"/>
  <c r="BI34" i="2"/>
  <c r="BI26" i="2"/>
  <c r="BI25" i="2"/>
  <c r="BI24" i="2"/>
  <c r="BI22" i="2"/>
  <c r="BI21" i="2"/>
  <c r="BI6" i="2"/>
  <c r="BI3" i="2"/>
  <c r="BI9" i="2"/>
  <c r="BI16" i="2"/>
  <c r="BI15" i="2"/>
  <c r="BI14" i="2"/>
  <c r="BI13" i="2"/>
  <c r="BI12" i="2"/>
  <c r="BI11" i="2"/>
  <c r="BI19" i="2"/>
  <c r="BI18" i="2"/>
  <c r="BJ34" i="2"/>
  <c r="BJ26" i="2"/>
  <c r="BJ25" i="2"/>
  <c r="BJ24" i="2"/>
  <c r="BJ22" i="2"/>
  <c r="BJ21" i="2"/>
  <c r="BJ19" i="2"/>
  <c r="BJ18" i="2"/>
  <c r="BJ16" i="2"/>
  <c r="BJ15" i="2"/>
  <c r="BJ14" i="2"/>
  <c r="BJ13" i="2"/>
  <c r="BJ12" i="2"/>
  <c r="BJ11" i="2"/>
  <c r="BJ9" i="2"/>
  <c r="BJ6" i="2"/>
  <c r="BJ3" i="2"/>
  <c r="AP2" i="2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L31" i="2"/>
  <c r="L29" i="2"/>
  <c r="L27" i="2"/>
  <c r="L20" i="2"/>
  <c r="L23" i="2" s="1"/>
  <c r="N43" i="2"/>
  <c r="J31" i="2"/>
  <c r="J29" i="2"/>
  <c r="J27" i="2"/>
  <c r="J20" i="2"/>
  <c r="J23" i="2" s="1"/>
  <c r="J44" i="2" s="1"/>
  <c r="N31" i="2"/>
  <c r="N29" i="2"/>
  <c r="N27" i="2"/>
  <c r="N20" i="2"/>
  <c r="N23" i="2" s="1"/>
  <c r="Q43" i="2"/>
  <c r="P43" i="2"/>
  <c r="O43" i="2"/>
  <c r="R43" i="2"/>
  <c r="K31" i="2"/>
  <c r="K29" i="2"/>
  <c r="K27" i="2"/>
  <c r="K20" i="2"/>
  <c r="K23" i="2" s="1"/>
  <c r="K44" i="2" s="1"/>
  <c r="S43" i="2"/>
  <c r="O31" i="2"/>
  <c r="O29" i="2"/>
  <c r="O27" i="2"/>
  <c r="O20" i="2"/>
  <c r="O23" i="2" s="1"/>
  <c r="M31" i="2"/>
  <c r="M29" i="2"/>
  <c r="M27" i="2"/>
  <c r="M20" i="2"/>
  <c r="M23" i="2" s="1"/>
  <c r="T43" i="2"/>
  <c r="U43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4" i="2" s="1"/>
  <c r="U20" i="2"/>
  <c r="T20" i="2"/>
  <c r="T23" i="2" s="1"/>
  <c r="S20" i="2"/>
  <c r="S23" i="2" s="1"/>
  <c r="R20" i="2"/>
  <c r="R23" i="2" s="1"/>
  <c r="R44" i="2" s="1"/>
  <c r="Q20" i="2"/>
  <c r="Q23" i="2" s="1"/>
  <c r="Q44" i="2" s="1"/>
  <c r="W20" i="2"/>
  <c r="W23" i="2" s="1"/>
  <c r="K4" i="1"/>
  <c r="K7" i="1" s="1"/>
  <c r="AF31" i="2" l="1"/>
  <c r="AF32" i="2" s="1"/>
  <c r="AF33" i="2" s="1"/>
  <c r="AA36" i="2"/>
  <c r="U23" i="2"/>
  <c r="Y36" i="2"/>
  <c r="BK9" i="2"/>
  <c r="BK20" i="2" s="1"/>
  <c r="BL9" i="2"/>
  <c r="BM9" i="2" s="1"/>
  <c r="BM43" i="2" s="1"/>
  <c r="BK29" i="2"/>
  <c r="BL24" i="2"/>
  <c r="BM24" i="2" s="1"/>
  <c r="BN24" i="2" s="1"/>
  <c r="BO24" i="2" s="1"/>
  <c r="BP24" i="2" s="1"/>
  <c r="BC28" i="2"/>
  <c r="BC30" i="2" s="1"/>
  <c r="BC32" i="2" s="1"/>
  <c r="BC33" i="2" s="1"/>
  <c r="BL14" i="2"/>
  <c r="BM14" i="2" s="1"/>
  <c r="BL13" i="2"/>
  <c r="BM13" i="2" s="1"/>
  <c r="BN13" i="2" s="1"/>
  <c r="BD28" i="2"/>
  <c r="BD30" i="2" s="1"/>
  <c r="BD32" i="2" s="1"/>
  <c r="BD33" i="2" s="1"/>
  <c r="AD27" i="2"/>
  <c r="X36" i="2"/>
  <c r="AA27" i="2"/>
  <c r="AA28" i="2" s="1"/>
  <c r="AB27" i="2"/>
  <c r="BL25" i="2"/>
  <c r="BM25" i="2" s="1"/>
  <c r="BN25" i="2" s="1"/>
  <c r="BO25" i="2" s="1"/>
  <c r="BP25" i="2" s="1"/>
  <c r="BQ25" i="2" s="1"/>
  <c r="BR25" i="2" s="1"/>
  <c r="BS25" i="2" s="1"/>
  <c r="BK21" i="2"/>
  <c r="BL16" i="2"/>
  <c r="BM16" i="2" s="1"/>
  <c r="BN16" i="2" s="1"/>
  <c r="BO16" i="2" s="1"/>
  <c r="BP16" i="2" s="1"/>
  <c r="BQ16" i="2" s="1"/>
  <c r="BR16" i="2" s="1"/>
  <c r="BS16" i="2" s="1"/>
  <c r="BK26" i="2"/>
  <c r="Y41" i="2"/>
  <c r="Z41" i="2"/>
  <c r="BK39" i="2"/>
  <c r="BK40" i="2"/>
  <c r="BK22" i="2"/>
  <c r="Y42" i="2"/>
  <c r="Y40" i="2"/>
  <c r="Z40" i="2"/>
  <c r="BK41" i="2"/>
  <c r="Y39" i="2"/>
  <c r="AD23" i="2"/>
  <c r="BK42" i="2"/>
  <c r="BL12" i="2"/>
  <c r="BM12" i="2" s="1"/>
  <c r="BN12" i="2" s="1"/>
  <c r="BO12" i="2" s="1"/>
  <c r="BP12" i="2" s="1"/>
  <c r="BQ12" i="2" s="1"/>
  <c r="BR12" i="2" s="1"/>
  <c r="BS12" i="2" s="1"/>
  <c r="W54" i="2"/>
  <c r="BK24" i="2"/>
  <c r="Z27" i="2"/>
  <c r="Z42" i="2"/>
  <c r="BE28" i="2"/>
  <c r="BE30" i="2" s="1"/>
  <c r="BE32" i="2" s="1"/>
  <c r="BE33" i="2" s="1"/>
  <c r="BL15" i="2"/>
  <c r="BL42" i="2" s="1"/>
  <c r="Z39" i="2"/>
  <c r="BL26" i="2"/>
  <c r="BM26" i="2" s="1"/>
  <c r="BN26" i="2" s="1"/>
  <c r="BO26" i="2" s="1"/>
  <c r="BP26" i="2" s="1"/>
  <c r="BQ26" i="2" s="1"/>
  <c r="BR26" i="2" s="1"/>
  <c r="BS26" i="2" s="1"/>
  <c r="BK25" i="2"/>
  <c r="AB36" i="2"/>
  <c r="AB39" i="2"/>
  <c r="BL11" i="2"/>
  <c r="BL34" i="2"/>
  <c r="BM34" i="2" s="1"/>
  <c r="BN34" i="2" s="1"/>
  <c r="BO34" i="2" s="1"/>
  <c r="BP34" i="2" s="1"/>
  <c r="BQ34" i="2" s="1"/>
  <c r="BR34" i="2" s="1"/>
  <c r="BS34" i="2" s="1"/>
  <c r="X23" i="2"/>
  <c r="X44" i="2" s="1"/>
  <c r="BI42" i="2"/>
  <c r="BH39" i="2"/>
  <c r="BI40" i="2"/>
  <c r="BH41" i="2"/>
  <c r="BD36" i="2"/>
  <c r="BJ42" i="2"/>
  <c r="BJ41" i="2"/>
  <c r="BJ20" i="2"/>
  <c r="BJ23" i="2" s="1"/>
  <c r="BJ44" i="2" s="1"/>
  <c r="BE36" i="2"/>
  <c r="BI41" i="2"/>
  <c r="BH42" i="2"/>
  <c r="BI20" i="2"/>
  <c r="BI23" i="2" s="1"/>
  <c r="BI44" i="2" s="1"/>
  <c r="BH40" i="2"/>
  <c r="BJ39" i="2"/>
  <c r="BF36" i="2"/>
  <c r="BJ40" i="2"/>
  <c r="BC36" i="2"/>
  <c r="BH27" i="2"/>
  <c r="BI39" i="2"/>
  <c r="BI29" i="2"/>
  <c r="BJ43" i="2"/>
  <c r="BJ27" i="2"/>
  <c r="BI31" i="2"/>
  <c r="BI43" i="2"/>
  <c r="BH20" i="2"/>
  <c r="BH23" i="2" s="1"/>
  <c r="BH44" i="2" s="1"/>
  <c r="BH29" i="2"/>
  <c r="BH31" i="2"/>
  <c r="BJ29" i="2"/>
  <c r="BJ31" i="2"/>
  <c r="BI27" i="2"/>
  <c r="P36" i="2"/>
  <c r="O36" i="2"/>
  <c r="N36" i="2"/>
  <c r="BG36" i="2"/>
  <c r="BF28" i="2"/>
  <c r="BF30" i="2" s="1"/>
  <c r="BF32" i="2" s="1"/>
  <c r="BF33" i="2" s="1"/>
  <c r="BF44" i="2"/>
  <c r="BG28" i="2"/>
  <c r="BG30" i="2" s="1"/>
  <c r="BG32" i="2" s="1"/>
  <c r="BG33" i="2" s="1"/>
  <c r="L44" i="2"/>
  <c r="L28" i="2"/>
  <c r="L30" i="2" s="1"/>
  <c r="L32" i="2" s="1"/>
  <c r="L33" i="2" s="1"/>
  <c r="Q36" i="2"/>
  <c r="J28" i="2"/>
  <c r="J30" i="2" s="1"/>
  <c r="J32" i="2" s="1"/>
  <c r="J33" i="2" s="1"/>
  <c r="N28" i="2"/>
  <c r="N30" i="2" s="1"/>
  <c r="N32" i="2" s="1"/>
  <c r="N33" i="2" s="1"/>
  <c r="N44" i="2"/>
  <c r="M28" i="2"/>
  <c r="M30" i="2" s="1"/>
  <c r="M32" i="2" s="1"/>
  <c r="M33" i="2" s="1"/>
  <c r="R36" i="2"/>
  <c r="K28" i="2"/>
  <c r="K30" i="2" s="1"/>
  <c r="K32" i="2" s="1"/>
  <c r="K33" i="2" s="1"/>
  <c r="M44" i="2"/>
  <c r="S36" i="2"/>
  <c r="O28" i="2"/>
  <c r="O30" i="2" s="1"/>
  <c r="O32" i="2" s="1"/>
  <c r="O44" i="2"/>
  <c r="U36" i="2"/>
  <c r="T36" i="2"/>
  <c r="P28" i="2"/>
  <c r="P30" i="2" s="1"/>
  <c r="P32" i="2" s="1"/>
  <c r="V36" i="2"/>
  <c r="P44" i="2"/>
  <c r="Q28" i="2"/>
  <c r="Q30" i="2" s="1"/>
  <c r="Q32" i="2" s="1"/>
  <c r="R28" i="2"/>
  <c r="R30" i="2" s="1"/>
  <c r="R32" i="2" s="1"/>
  <c r="W36" i="2"/>
  <c r="W44" i="2"/>
  <c r="W28" i="2"/>
  <c r="W30" i="2" s="1"/>
  <c r="W32" i="2" s="1"/>
  <c r="S28" i="2"/>
  <c r="S30" i="2" s="1"/>
  <c r="S32" i="2" s="1"/>
  <c r="S44" i="2"/>
  <c r="T44" i="2"/>
  <c r="T28" i="2"/>
  <c r="U28" i="2"/>
  <c r="U44" i="2"/>
  <c r="V28" i="2"/>
  <c r="Q33" i="2" l="1"/>
  <c r="Q65" i="2"/>
  <c r="P33" i="2"/>
  <c r="P65" i="2"/>
  <c r="O33" i="2"/>
  <c r="O65" i="2"/>
  <c r="S33" i="2"/>
  <c r="S65" i="2"/>
  <c r="R33" i="2"/>
  <c r="R65" i="2"/>
  <c r="AC27" i="2"/>
  <c r="AC43" i="2"/>
  <c r="BK43" i="2"/>
  <c r="BM40" i="2"/>
  <c r="BL41" i="2"/>
  <c r="W33" i="2"/>
  <c r="W65" i="2"/>
  <c r="BL21" i="2"/>
  <c r="BL43" i="2"/>
  <c r="BM27" i="2"/>
  <c r="BL27" i="2"/>
  <c r="BL22" i="2"/>
  <c r="BK36" i="2"/>
  <c r="BL40" i="2"/>
  <c r="AC36" i="2"/>
  <c r="Z36" i="2"/>
  <c r="BM15" i="2"/>
  <c r="BM42" i="2" s="1"/>
  <c r="BJ28" i="2"/>
  <c r="BJ30" i="2" s="1"/>
  <c r="BJ32" i="2" s="1"/>
  <c r="BJ33" i="2" s="1"/>
  <c r="BK27" i="2"/>
  <c r="BN9" i="2"/>
  <c r="BO9" i="2" s="1"/>
  <c r="AD36" i="2"/>
  <c r="X28" i="2"/>
  <c r="X30" i="2" s="1"/>
  <c r="BN14" i="2"/>
  <c r="BM41" i="2"/>
  <c r="BO13" i="2"/>
  <c r="BN40" i="2"/>
  <c r="BM11" i="2"/>
  <c r="BL39" i="2"/>
  <c r="BL20" i="2"/>
  <c r="BL36" i="2" s="1"/>
  <c r="AB23" i="2"/>
  <c r="BN27" i="2"/>
  <c r="BP27" i="2"/>
  <c r="BQ24" i="2"/>
  <c r="BO27" i="2"/>
  <c r="BJ36" i="2"/>
  <c r="BH36" i="2"/>
  <c r="BI36" i="2"/>
  <c r="BI28" i="2"/>
  <c r="BI30" i="2" s="1"/>
  <c r="BI32" i="2" s="1"/>
  <c r="BI33" i="2" s="1"/>
  <c r="BH28" i="2"/>
  <c r="BH30" i="2" s="1"/>
  <c r="BH32" i="2" s="1"/>
  <c r="BH33" i="2" s="1"/>
  <c r="V30" i="2"/>
  <c r="V32" i="2" s="1"/>
  <c r="U30" i="2"/>
  <c r="U32" i="2" s="1"/>
  <c r="T30" i="2"/>
  <c r="T32" i="2" s="1"/>
  <c r="AC44" i="2" l="1"/>
  <c r="AC28" i="2"/>
  <c r="AC30" i="2" s="1"/>
  <c r="T33" i="2"/>
  <c r="T65" i="2"/>
  <c r="U33" i="2"/>
  <c r="U65" i="2"/>
  <c r="V33" i="2"/>
  <c r="V65" i="2"/>
  <c r="BK23" i="2"/>
  <c r="BK44" i="2" s="1"/>
  <c r="BN15" i="2"/>
  <c r="BO15" i="2" s="1"/>
  <c r="Y30" i="2"/>
  <c r="Y32" i="2" s="1"/>
  <c r="AD44" i="2"/>
  <c r="AD28" i="2"/>
  <c r="AD30" i="2" s="1"/>
  <c r="BN43" i="2"/>
  <c r="Z28" i="2"/>
  <c r="Z30" i="2" s="1"/>
  <c r="Z32" i="2" s="1"/>
  <c r="AA30" i="2"/>
  <c r="AA32" i="2" s="1"/>
  <c r="BL23" i="2"/>
  <c r="BL44" i="2" s="1"/>
  <c r="BO14" i="2"/>
  <c r="BN41" i="2"/>
  <c r="BP13" i="2"/>
  <c r="BO40" i="2"/>
  <c r="AB44" i="2"/>
  <c r="AB28" i="2"/>
  <c r="AB30" i="2" s="1"/>
  <c r="BN11" i="2"/>
  <c r="BM39" i="2"/>
  <c r="BM22" i="2"/>
  <c r="BM21" i="2"/>
  <c r="BM20" i="2"/>
  <c r="BP9" i="2"/>
  <c r="BO43" i="2"/>
  <c r="X32" i="2"/>
  <c r="BR24" i="2"/>
  <c r="BQ27" i="2"/>
  <c r="AA33" i="2" l="1"/>
  <c r="AA65" i="2"/>
  <c r="Z33" i="2"/>
  <c r="Z65" i="2"/>
  <c r="Y33" i="2"/>
  <c r="Y65" i="2"/>
  <c r="BK28" i="2"/>
  <c r="BK30" i="2" s="1"/>
  <c r="AC32" i="2"/>
  <c r="BN42" i="2"/>
  <c r="BK31" i="2"/>
  <c r="X33" i="2"/>
  <c r="X65" i="2"/>
  <c r="BL31" i="2"/>
  <c r="BP15" i="2"/>
  <c r="BO42" i="2"/>
  <c r="AB32" i="2"/>
  <c r="BL28" i="2"/>
  <c r="BL30" i="2" s="1"/>
  <c r="BP14" i="2"/>
  <c r="BO41" i="2"/>
  <c r="BQ13" i="2"/>
  <c r="BP40" i="2"/>
  <c r="BM36" i="2"/>
  <c r="BM23" i="2"/>
  <c r="BO11" i="2"/>
  <c r="BN39" i="2"/>
  <c r="BN22" i="2"/>
  <c r="BN20" i="2"/>
  <c r="BN21" i="2"/>
  <c r="BQ9" i="2"/>
  <c r="BP43" i="2"/>
  <c r="BK46" i="2"/>
  <c r="BS24" i="2"/>
  <c r="BS27" i="2" s="1"/>
  <c r="BR27" i="2"/>
  <c r="AC33" i="2" l="1"/>
  <c r="AC65" i="2"/>
  <c r="AB33" i="2"/>
  <c r="AB65" i="2"/>
  <c r="BK32" i="2"/>
  <c r="BK33" i="2" s="1"/>
  <c r="AD32" i="2"/>
  <c r="BL32" i="2"/>
  <c r="BL33" i="2" s="1"/>
  <c r="BQ15" i="2"/>
  <c r="BP42" i="2"/>
  <c r="BQ14" i="2"/>
  <c r="BP41" i="2"/>
  <c r="BR13" i="2"/>
  <c r="BQ40" i="2"/>
  <c r="BN23" i="2"/>
  <c r="BN36" i="2"/>
  <c r="BP11" i="2"/>
  <c r="BO39" i="2"/>
  <c r="BO22" i="2"/>
  <c r="BO20" i="2"/>
  <c r="BO21" i="2"/>
  <c r="BM44" i="2"/>
  <c r="BM28" i="2"/>
  <c r="BR9" i="2"/>
  <c r="BQ43" i="2"/>
  <c r="AD33" i="2" l="1"/>
  <c r="AD65" i="2"/>
  <c r="BL46" i="2"/>
  <c r="BM29" i="2" s="1"/>
  <c r="BM30" i="2" s="1"/>
  <c r="BM31" i="2" s="1"/>
  <c r="BM32" i="2" s="1"/>
  <c r="BM46" i="2" s="1"/>
  <c r="BN29" i="2" s="1"/>
  <c r="BR15" i="2"/>
  <c r="BQ42" i="2"/>
  <c r="BR14" i="2"/>
  <c r="BQ41" i="2"/>
  <c r="BS13" i="2"/>
  <c r="BS40" i="2" s="1"/>
  <c r="BR40" i="2"/>
  <c r="BO23" i="2"/>
  <c r="BO36" i="2"/>
  <c r="BQ11" i="2"/>
  <c r="BP39" i="2"/>
  <c r="BP22" i="2"/>
  <c r="BP20" i="2"/>
  <c r="BP21" i="2"/>
  <c r="BN44" i="2"/>
  <c r="BN28" i="2"/>
  <c r="BS9" i="2"/>
  <c r="BR43" i="2"/>
  <c r="BM33" i="2" l="1"/>
  <c r="BN30" i="2"/>
  <c r="BN31" i="2" s="1"/>
  <c r="BN32" i="2" s="1"/>
  <c r="BN33" i="2" s="1"/>
  <c r="BS15" i="2"/>
  <c r="BS42" i="2" s="1"/>
  <c r="BR42" i="2"/>
  <c r="BS14" i="2"/>
  <c r="BS41" i="2" s="1"/>
  <c r="BR41" i="2"/>
  <c r="BP36" i="2"/>
  <c r="BP23" i="2"/>
  <c r="BR11" i="2"/>
  <c r="BQ39" i="2"/>
  <c r="BQ22" i="2"/>
  <c r="BQ20" i="2"/>
  <c r="BQ21" i="2"/>
  <c r="BO28" i="2"/>
  <c r="BO44" i="2"/>
  <c r="BS43" i="2"/>
  <c r="BN46" i="2" l="1"/>
  <c r="BO29" i="2" s="1"/>
  <c r="BO30" i="2" s="1"/>
  <c r="BO31" i="2" s="1"/>
  <c r="BO32" i="2" s="1"/>
  <c r="BO33" i="2" s="1"/>
  <c r="BQ36" i="2"/>
  <c r="BQ23" i="2"/>
  <c r="BS11" i="2"/>
  <c r="BR39" i="2"/>
  <c r="BR22" i="2"/>
  <c r="BR21" i="2"/>
  <c r="BR20" i="2"/>
  <c r="BP28" i="2"/>
  <c r="BP44" i="2"/>
  <c r="BR23" i="2" l="1"/>
  <c r="BR36" i="2"/>
  <c r="BS39" i="2"/>
  <c r="BS22" i="2"/>
  <c r="BS21" i="2"/>
  <c r="BS20" i="2"/>
  <c r="BQ28" i="2"/>
  <c r="BQ44" i="2"/>
  <c r="BO46" i="2"/>
  <c r="BS23" i="2" l="1"/>
  <c r="BS36" i="2"/>
  <c r="BR44" i="2"/>
  <c r="BR28" i="2"/>
  <c r="BP29" i="2"/>
  <c r="BP30" i="2" s="1"/>
  <c r="BP31" i="2" s="1"/>
  <c r="BP32" i="2" s="1"/>
  <c r="BP33" i="2" s="1"/>
  <c r="BS44" i="2" l="1"/>
  <c r="BS28" i="2"/>
  <c r="BP46" i="2"/>
  <c r="BQ29" i="2" l="1"/>
  <c r="BQ30" i="2" s="1"/>
  <c r="BQ31" i="2" s="1"/>
  <c r="BQ32" i="2" s="1"/>
  <c r="BQ33" i="2" s="1"/>
  <c r="BQ46" i="2" l="1"/>
  <c r="BR29" i="2" l="1"/>
  <c r="BR30" i="2" s="1"/>
  <c r="BR31" i="2" s="1"/>
  <c r="BR32" i="2" s="1"/>
  <c r="BR33" i="2" s="1"/>
  <c r="BR46" i="2" l="1"/>
  <c r="BS29" i="2" s="1"/>
  <c r="BS30" i="2" s="1"/>
  <c r="BS31" i="2" s="1"/>
  <c r="BS32" i="2" s="1"/>
  <c r="BS33" i="2" s="1"/>
  <c r="BS46" i="2" l="1"/>
  <c r="BT32" i="2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BV47" i="2" s="1"/>
  <c r="BV4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tc={25D31764-16FB-4D93-B4DD-0EA3D148D991}</author>
    <author>tc={89E45B5F-0C20-4B81-874E-AD8DF93707A2}</author>
    <author>tc={9EC27BD9-44A2-48E9-9E13-C02A116B6B0B}</author>
    <author>tc={1C7E52D4-5BCB-4AA9-9278-E6CDC311AA1D}</author>
    <author>tc={D82076A3-F6B1-40A8-A09D-2B367ECEDED9}</author>
    <author>tc={4F53D287-EDAA-4481-ACF6-A09E2F7614C4}</author>
    <author>tc={D59D67FB-5872-4BE5-9EBC-DF8085F0DD3F}</author>
    <author>tc={E6C3522C-40A3-4C89-A5ED-958660D0694F}</author>
    <author>tc={BC0611F9-311A-4928-9AD6-94F49AE6B822}</author>
    <author>tc={1123E429-DC3C-402F-A940-60A8A504E208}</author>
    <author>tc={F0CECC32-58CA-41B9-9B42-426709AD1A9F}</author>
    <author>tc={EEC432E6-C1EF-4C03-8D2E-1AD7704A7DFC}</author>
    <author>tc={4DD78E31-7CCE-477B-B706-40FDCE9AC3DE}</author>
    <author>tc={7DD33F83-8D06-4AB5-AE42-CC8AE1143AEE}</author>
    <author>tc={9ABE8371-ABDF-42F1-936F-09DADC3E4649}</author>
  </authors>
  <commentList>
    <comment ref="AB9" authorId="0" shapeId="0" xr:uid="{25D31764-16FB-4D93-B4DD-0EA3D148D991}">
      <text>
        <t>[Threaded comment]
Your version of Excel allows you to read this threaded comment; however, any edits to it will get removed if the file is opened in a newer version of Excel. Learn more: https://go.microsoft.com/fwlink/?linkid=870924
Comment:
    I estimated 23.7B prior to results</t>
      </text>
    </comment>
    <comment ref="Y20" authorId="1" shapeId="0" xr:uid="{89E45B5F-0C20-4B81-874E-AD8DF93707A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125-130B</t>
      </text>
    </comment>
    <comment ref="Z20" authorId="2" shapeId="0" xr:uid="{9EC27BD9-44A2-48E9-9E13-C02A116B6B0B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140-148B</t>
      </text>
    </comment>
    <comment ref="AA20" authorId="3" shapeId="0" xr:uid="{1C7E52D4-5BCB-4AA9-9278-E6CDC311AA1D}">
      <text>
        <t>[Threaded comment]
Your version of Excel allows you to read this threaded comment; however, any edits to it will get removed if the file is opened in a newer version of Excel. Learn more: https://go.microsoft.com/fwlink/?linkid=870924
Comment:
    Q422 guidance: 121-126B</t>
      </text>
    </comment>
    <comment ref="AB20" authorId="4" shapeId="0" xr:uid="{D82076A3-F6B1-40A8-A09D-2B367ECEDED9}">
      <text>
        <t>[Threaded comment]
Your version of Excel allows you to read this threaded comment; however, any edits to it will get removed if the file is opened in a newer version of Excel. Learn more: https://go.microsoft.com/fwlink/?linkid=870924
Comment:
    Q123 guidance: 127-133B</t>
      </text>
    </comment>
    <comment ref="AC20" authorId="5" shapeId="0" xr:uid="{4F53D287-EDAA-4481-ACF6-A09E2F7614C4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138B-143B
I estimated 135B prior to guidance</t>
      </text>
    </comment>
    <comment ref="AE20" authorId="6" shapeId="0" xr:uid="{D59D67FB-5872-4BE5-9EBC-DF8085F0DD3F}">
      <text>
        <t>[Threaded comment]
Your version of Excel allows you to read this threaded comment; however, any edits to it will get removed if the file is opened in a newer version of Excel. Learn more: https://go.microsoft.com/fwlink/?linkid=870924
Comment:
    138-143.5B</t>
      </text>
    </comment>
    <comment ref="AF20" authorId="7" shapeId="0" xr:uid="{E6C3522C-40A3-4C89-A5ED-958660D0694F}">
      <text>
        <t>[Threaded comment]
Your version of Excel allows you to read this threaded comment; however, any edits to it will get removed if the file is opened in a newer version of Excel. Learn more: https://go.microsoft.com/fwlink/?linkid=870924
Comment:
    144-149B</t>
      </text>
    </comment>
    <comment ref="Y28" authorId="8" shapeId="0" xr:uid="{BC0611F9-311A-4928-9AD6-94F49AE6B822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0.0-3.5B</t>
      </text>
    </comment>
    <comment ref="Z28" authorId="9" shapeId="0" xr:uid="{1123E429-DC3C-402F-A940-60A8A504E208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0-4B</t>
      </text>
    </comment>
    <comment ref="AA28" authorId="10" shapeId="0" xr:uid="{F0CECC32-58CA-41B9-9B42-426709AD1A9F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 0-4B</t>
      </text>
    </comment>
    <comment ref="AB28" authorId="11" shapeId="0" xr:uid="{EEC432E6-C1EF-4C03-8D2E-1AD7704A7DF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5.5-8.5B
I estimated 5.6B prior to guidance</t>
      </text>
    </comment>
    <comment ref="AF28" authorId="12" shapeId="0" xr:uid="{4DD78E31-7CCE-477B-B706-40FDCE9AC3DE}">
      <text>
        <t>[Threaded comment]
Your version of Excel allows you to read this threaded comment; however, any edits to it will get removed if the file is opened in a newer version of Excel. Learn more: https://go.microsoft.com/fwlink/?linkid=870924
Comment:
    10-14B</t>
      </text>
    </comment>
    <comment ref="Y36" authorId="13" shapeId="0" xr:uid="{7DD33F83-8D06-4AB5-AE42-CC8AE1143AEE}">
      <text>
        <t>[Threaded comment]
Your version of Excel allows you to read this threaded comment; however, any edits to it will get removed if the file is opened in a newer version of Excel. Learn more: https://go.microsoft.com/fwlink/?linkid=870924
Comment:
    +19% net of FX</t>
      </text>
    </comment>
    <comment ref="AE44" authorId="14" shapeId="0" xr:uid="{9ABE8371-ABDF-42F1-936F-09DADC3E4649}">
      <text>
        <t>[Threaded comment]
Your version of Excel allows you to read this threaded comment; however, any edits to it will get removed if the file is opened in a newer version of Excel. Learn more: https://go.microsoft.com/fwlink/?linkid=870924
Comment:
    Record</t>
      </text>
    </comment>
  </commentList>
</comments>
</file>

<file path=xl/sharedStrings.xml><?xml version="1.0" encoding="utf-8"?>
<sst xmlns="http://schemas.openxmlformats.org/spreadsheetml/2006/main" count="132" uniqueCount="119">
  <si>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</si>
  <si>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</si>
  <si>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</si>
  <si>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</si>
  <si>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</si>
  <si>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</si>
  <si>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</si>
  <si>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</si>
  <si>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</si>
  <si>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</si>
  <si>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</si>
  <si>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</si>
  <si>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</si>
  <si>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</si>
  <si>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</si>
  <si>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</si>
  <si>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</si>
  <si>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</si>
  <si>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</si>
  <si>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</si>
  <si>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</si>
  <si>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</si>
  <si>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</si>
  <si>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</si>
  <si>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</si>
  <si>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</si>
  <si>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</si>
  <si>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</si>
  <si>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</si>
  <si>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</si>
  <si>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</si>
  <si>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</si>
  <si>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</si>
  <si>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</si>
  <si>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</si>
  <si>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</si>
  <si>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</si>
  <si>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</si>
  <si>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</si>
  <si>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</si>
  <si>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</si>
  <si>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</si>
  <si>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</si>
  <si>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</si>
  <si>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</si>
  <si>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</si>
  <si>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</si>
  <si>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</si>
  <si>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</si>
  <si>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</si>
  <si>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</si>
  <si>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</si>
  <si>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</si>
  <si>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</si>
  <si>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</si>
  <si>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</si>
  <si>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</si>
  <si>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</si>
  <si>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</si>
  <si>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</si>
  <si>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</si>
  <si>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</si>
  <si>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</si>
  <si>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</si>
  <si>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</si>
  <si>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</si>
  <si>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</si>
  <si>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</si>
  <si>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</si>
  <si>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</si>
  <si>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</si>
  <si>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</si>
  <si>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</si>
  <si>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</si>
  <si>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</si>
  <si>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</si>
  <si>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</si>
  <si>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</si>
  <si>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</si>
  <si>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</si>
  <si>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CEO: Andy Jassy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</si>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</sst>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48494</xdr:colOff>
      <xdr:row>0</xdr:row>
      <xdr:rowOff>0</xdr:rowOff>
    </xdr:from>
    <xdr:to>
      <xdr:col>31</xdr:col>
      <xdr:colOff>48494</xdr:colOff>
      <xdr:row>106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5052011" y="0"/>
          <a:ext cx="0" cy="174172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66675</xdr:colOff>
      <xdr:row>0</xdr:row>
      <xdr:rowOff>0</xdr:rowOff>
    </xdr:from>
    <xdr:to>
      <xdr:col>62</xdr:col>
      <xdr:colOff>66675</xdr:colOff>
      <xdr:row>88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B8D1A3E-D1D5-4929-A5A0-67791399E88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9" dT="2023-08-16T02:08:15.29" personId="{9B8D1A3E-D1D5-4929-A5A0-67791399E886}" id="{25D31764-16FB-4D93-B4DD-0EA3D148D991}">
    <text>I estimated 23.7B prior to results</text>
  </threadedComment>
  <threadedComment ref="Y20" dT="2022-07-29T15:08:40.16" personId="{9B8D1A3E-D1D5-4929-A5A0-67791399E886}" id="{89E45B5F-0C20-4B81-874E-AD8DF93707A2}">
    <text>Q222 guidance: 125-130B</text>
  </threadedComment>
  <threadedComment ref="Z20" dT="2022-12-19T01:59:36.72" personId="{9B8D1A3E-D1D5-4929-A5A0-67791399E886}" id="{9EC27BD9-44A2-48E9-9E13-C02A116B6B0B}">
    <text>Q3 guidance: 140-148B</text>
  </threadedComment>
  <threadedComment ref="AA20" dT="2023-02-09T23:50:01.81" personId="{9B8D1A3E-D1D5-4929-A5A0-67791399E886}" id="{1C7E52D4-5BCB-4AA9-9278-E6CDC311AA1D}">
    <text>Q422 guidance: 121-126B</text>
  </threadedComment>
  <threadedComment ref="AB20" dT="2023-04-30T02:01:08.68" personId="{9B8D1A3E-D1D5-4929-A5A0-67791399E886}" id="{D82076A3-F6B1-40A8-A09D-2B367ECEDED9}">
    <text>Q123 guidance: 127-133B</text>
  </threadedComment>
  <threadedComment ref="AC20" dT="2023-08-16T02:05:55.59" personId="{9B8D1A3E-D1D5-4929-A5A0-67791399E886}" id="{4F53D287-EDAA-4481-ACF6-A09E2F7614C4}">
    <text>Q223 guidance: 138B-143B
I estimated 135B prior to guidance</text>
  </threadedComment>
  <threadedComment ref="AE20" dT="2024-06-23T16:19:36.30" personId="{9B8D1A3E-D1D5-4929-A5A0-67791399E886}" id="{D59D67FB-5872-4BE5-9EBC-DF8085F0DD3F}">
    <text>138-143.5B</text>
  </threadedComment>
  <threadedComment ref="AF20" dT="2024-06-23T16:05:07.31" personId="{9B8D1A3E-D1D5-4929-A5A0-67791399E886}" id="{E6C3522C-40A3-4C89-A5ED-958660D0694F}">
    <text>144-149B</text>
  </threadedComment>
  <threadedComment ref="Y28" dT="2022-07-29T15:10:25.65" personId="{9B8D1A3E-D1D5-4929-A5A0-67791399E886}" id="{BC0611F9-311A-4928-9AD6-94F49AE6B822}">
    <text>Q222 guidance: 0.0-3.5B</text>
  </threadedComment>
  <threadedComment ref="Z28" dT="2022-12-19T02:00:02.84" personId="{9B8D1A3E-D1D5-4929-A5A0-67791399E886}" id="{1123E429-DC3C-402F-A940-60A8A504E208}">
    <text>Q3 guidance: 0-4B</text>
  </threadedComment>
  <threadedComment ref="AA28" dT="2023-02-09T23:51:52.21" personId="{9B8D1A3E-D1D5-4929-A5A0-67791399E886}" id="{F0CECC32-58CA-41B9-9B42-426709AD1A9F}">
    <text>Q4 guidance 0-4B</text>
  </threadedComment>
  <threadedComment ref="AB28" dT="2023-08-16T02:06:13.82" personId="{9B8D1A3E-D1D5-4929-A5A0-67791399E886}" id="{EEC432E6-C1EF-4C03-8D2E-1AD7704A7DFC}">
    <text>Q223 guidance: 5.5-8.5B
I estimated 5.6B prior to guidance</text>
  </threadedComment>
  <threadedComment ref="AF28" dT="2024-06-23T16:05:23.51" personId="{9B8D1A3E-D1D5-4929-A5A0-67791399E886}" id="{4DD78E31-7CCE-477B-B706-40FDCE9AC3DE}">
    <text>10-14B</text>
  </threadedComment>
  <threadedComment ref="Y36" dT="2022-12-19T01:32:23.85" personId="{9B8D1A3E-D1D5-4929-A5A0-67791399E886}" id="{7DD33F83-8D06-4AB5-AE42-CC8AE1143AEE}">
    <text>+19% net of FX</text>
  </threadedComment>
  <threadedComment ref="AE44" dT="2024-06-23T17:00:25.95" personId="{9B8D1A3E-D1D5-4929-A5A0-67791399E886}" id="{9ABE8371-ABDF-42F1-936F-09DADC3E4649}">
    <text>Record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9"/>
  <sheetViews>
    <sheetView zoomScale="190" zoomScaleNormal="190" workbookViewId="0">
      <selection activeCell="K8" sqref="K8"/>
    </sheetView>
  </sheetViews>
  <sheetFormatPr defaultRowHeight="12.75" x14ac:dyDescent="0.2"/>
  <sheetData>
    <row r="2" spans="2:12" x14ac:dyDescent="0.2">
      <c r="J2" t="s">
        <v>1</v>
      </c>
      <c r="K2" s="1">
        <v>198</v>
      </c>
    </row>
    <row r="3" spans="2:12" x14ac:dyDescent="0.2">
      <c r="J3" t="s">
        <v>2</v>
      </c>
      <c r="K3" s="2">
        <v>10406.627415000001</v>
      </c>
      <c r="L3" s="3" t="s">
        <v>108</v>
      </c>
    </row>
    <row r="4" spans="2:12" x14ac:dyDescent="0.2">
      <c r="B4" t="s">
        <v>103</v>
      </c>
      <c r="J4" t="s">
        <v>3</v>
      </c>
      <c r="K4" s="2">
        <f>K3*K2</f>
        <v>2060512.2281700002</v>
      </c>
    </row>
    <row r="5" spans="2:12" x14ac:dyDescent="0.2">
      <c r="B5" t="s">
        <v>106</v>
      </c>
      <c r="J5" t="s">
        <v>4</v>
      </c>
      <c r="K5" s="2">
        <v>85074</v>
      </c>
      <c r="L5" s="3" t="s">
        <v>108</v>
      </c>
    </row>
    <row r="6" spans="2:12" x14ac:dyDescent="0.2">
      <c r="B6" t="s">
        <v>104</v>
      </c>
      <c r="J6" t="s">
        <v>5</v>
      </c>
      <c r="K6" s="2">
        <v>57634</v>
      </c>
      <c r="L6" s="3" t="s">
        <v>108</v>
      </c>
    </row>
    <row r="7" spans="2:12" x14ac:dyDescent="0.2">
      <c r="J7" t="s">
        <v>6</v>
      </c>
      <c r="K7" s="2">
        <f>K4-K5+K6</f>
        <v>2033072.2281700002</v>
      </c>
      <c r="L7" s="3"/>
    </row>
    <row r="8" spans="2:12" x14ac:dyDescent="0.2">
      <c r="K8" s="1"/>
    </row>
    <row r="9" spans="2:12" x14ac:dyDescent="0.2">
      <c r="J9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C100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2.75" x14ac:dyDescent="0.2"/>
  <cols>
    <col min="1" max="1" width="5" bestFit="1" customWidth="1"/>
    <col min="2" max="2" width="18.42578125" customWidth="1"/>
    <col min="3" max="26" width="9.140625" style="3"/>
    <col min="70" max="71" width="9.5703125" customWidth="1"/>
  </cols>
  <sheetData>
    <row r="1" spans="1:81" x14ac:dyDescent="0.2">
      <c r="A1" s="12" t="s">
        <v>0</v>
      </c>
    </row>
    <row r="2" spans="1:81" x14ac:dyDescent="0.2">
      <c r="C2" s="3" t="s">
        <v>116</v>
      </c>
      <c r="D2" s="3" t="s">
        <v>117</v>
      </c>
      <c r="E2" s="3" t="s">
        <v>118</v>
      </c>
      <c r="F2" s="3" t="s">
        <v>115</v>
      </c>
      <c r="G2" s="3" t="s">
        <v>114</v>
      </c>
      <c r="H2" s="3" t="s">
        <v>113</v>
      </c>
      <c r="I2" s="3" t="s">
        <v>112</v>
      </c>
      <c r="J2" s="3" t="s">
        <v>51</v>
      </c>
      <c r="K2" s="3" t="s">
        <v>50</v>
      </c>
      <c r="L2" s="3" t="s">
        <v>49</v>
      </c>
      <c r="M2" s="3" t="s">
        <v>48</v>
      </c>
      <c r="N2" s="3" t="s">
        <v>47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7</v>
      </c>
      <c r="X2" s="3" t="s">
        <v>17</v>
      </c>
      <c r="Y2" s="3" t="s">
        <v>18</v>
      </c>
      <c r="Z2" s="3" t="s">
        <v>19</v>
      </c>
      <c r="AA2" s="3" t="s">
        <v>52</v>
      </c>
      <c r="AB2" s="3" t="s">
        <v>53</v>
      </c>
      <c r="AC2" s="3" t="s">
        <v>54</v>
      </c>
      <c r="AD2" s="3" t="s">
        <v>55</v>
      </c>
      <c r="AE2" s="3" t="s">
        <v>108</v>
      </c>
      <c r="AF2" s="3" t="s">
        <v>109</v>
      </c>
      <c r="AG2" s="3" t="s">
        <v>110</v>
      </c>
      <c r="AH2" s="3" t="s">
        <v>111</v>
      </c>
      <c r="AJ2">
        <v>1995</v>
      </c>
      <c r="AK2">
        <v>1996</v>
      </c>
      <c r="AL2">
        <v>1997</v>
      </c>
      <c r="AM2">
        <v>1998</v>
      </c>
      <c r="AN2">
        <v>1999</v>
      </c>
      <c r="AO2">
        <v>2000</v>
      </c>
      <c r="AP2">
        <f>+AO2+1</f>
        <v>2001</v>
      </c>
      <c r="AQ2">
        <f t="shared" ref="AQ2:CC2" si="0">+AP2+1</f>
        <v>2002</v>
      </c>
      <c r="AR2">
        <f t="shared" si="0"/>
        <v>2003</v>
      </c>
      <c r="AS2">
        <f t="shared" si="0"/>
        <v>2004</v>
      </c>
      <c r="AT2">
        <f t="shared" si="0"/>
        <v>2005</v>
      </c>
      <c r="AU2">
        <f t="shared" si="0"/>
        <v>2006</v>
      </c>
      <c r="AV2">
        <f t="shared" si="0"/>
        <v>2007</v>
      </c>
      <c r="AW2">
        <f t="shared" si="0"/>
        <v>2008</v>
      </c>
      <c r="AX2">
        <f t="shared" si="0"/>
        <v>2009</v>
      </c>
      <c r="AY2">
        <f t="shared" si="0"/>
        <v>2010</v>
      </c>
      <c r="AZ2">
        <f t="shared" si="0"/>
        <v>2011</v>
      </c>
      <c r="BA2">
        <f t="shared" si="0"/>
        <v>2012</v>
      </c>
      <c r="BB2">
        <f t="shared" si="0"/>
        <v>2013</v>
      </c>
      <c r="BC2">
        <f t="shared" si="0"/>
        <v>2014</v>
      </c>
      <c r="BD2">
        <f t="shared" si="0"/>
        <v>2015</v>
      </c>
      <c r="BE2">
        <f t="shared" si="0"/>
        <v>2016</v>
      </c>
      <c r="BF2">
        <f t="shared" si="0"/>
        <v>2017</v>
      </c>
      <c r="BG2">
        <f t="shared" si="0"/>
        <v>2018</v>
      </c>
      <c r="BH2">
        <f t="shared" si="0"/>
        <v>2019</v>
      </c>
      <c r="BI2">
        <f t="shared" si="0"/>
        <v>2020</v>
      </c>
      <c r="BJ2">
        <f t="shared" si="0"/>
        <v>2021</v>
      </c>
      <c r="BK2">
        <f t="shared" si="0"/>
        <v>2022</v>
      </c>
      <c r="BL2">
        <f t="shared" si="0"/>
        <v>2023</v>
      </c>
      <c r="BM2">
        <f t="shared" si="0"/>
        <v>2024</v>
      </c>
      <c r="BN2">
        <f t="shared" si="0"/>
        <v>2025</v>
      </c>
      <c r="BO2">
        <f t="shared" si="0"/>
        <v>2026</v>
      </c>
      <c r="BP2">
        <f t="shared" si="0"/>
        <v>2027</v>
      </c>
      <c r="BQ2">
        <f t="shared" si="0"/>
        <v>2028</v>
      </c>
      <c r="BR2">
        <f t="shared" si="0"/>
        <v>2029</v>
      </c>
      <c r="BS2">
        <f t="shared" si="0"/>
        <v>2030</v>
      </c>
      <c r="BT2">
        <f t="shared" si="0"/>
        <v>2031</v>
      </c>
      <c r="BU2">
        <f t="shared" si="0"/>
        <v>2032</v>
      </c>
      <c r="BV2">
        <f t="shared" si="0"/>
        <v>2033</v>
      </c>
      <c r="BW2">
        <f t="shared" si="0"/>
        <v>2034</v>
      </c>
      <c r="BX2">
        <f t="shared" si="0"/>
        <v>2035</v>
      </c>
      <c r="BY2">
        <f t="shared" si="0"/>
        <v>2036</v>
      </c>
      <c r="BZ2">
        <f t="shared" si="0"/>
        <v>2037</v>
      </c>
      <c r="CA2">
        <f t="shared" si="0"/>
        <v>2038</v>
      </c>
      <c r="CB2">
        <f t="shared" si="0"/>
        <v>2039</v>
      </c>
      <c r="CC2">
        <f t="shared" si="0"/>
        <v>2040</v>
      </c>
    </row>
    <row r="3" spans="1:81" s="2" customFormat="1" x14ac:dyDescent="0.2">
      <c r="B3" s="2" t="s">
        <v>35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BC3" s="2">
        <v>50834</v>
      </c>
      <c r="BD3" s="2">
        <v>63708</v>
      </c>
      <c r="BE3" s="2">
        <v>79785</v>
      </c>
      <c r="BF3" s="2">
        <v>106110</v>
      </c>
      <c r="BG3" s="2">
        <v>141366</v>
      </c>
      <c r="BH3" s="2">
        <f>SUM(K3:N3)</f>
        <v>170773</v>
      </c>
      <c r="BI3" s="2">
        <f t="shared" ref="BI3:BI6" si="1">SUM(O3:R3)</f>
        <v>236282</v>
      </c>
      <c r="BJ3" s="2">
        <f>SUM(S3:V3)</f>
        <v>279833</v>
      </c>
    </row>
    <row r="4" spans="1:81" s="2" customFormat="1" x14ac:dyDescent="0.2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C4" s="2">
        <v>11567</v>
      </c>
      <c r="BD4" s="2">
        <v>12483</v>
      </c>
      <c r="BE4" s="2">
        <v>13580</v>
      </c>
    </row>
    <row r="5" spans="1:81" s="2" customFormat="1" x14ac:dyDescent="0.2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C5" s="2">
        <v>38517</v>
      </c>
      <c r="BD5" s="2">
        <v>50401</v>
      </c>
      <c r="BE5" s="2">
        <v>64887</v>
      </c>
    </row>
    <row r="6" spans="1:81" s="2" customFormat="1" x14ac:dyDescent="0.2">
      <c r="B6" s="2" t="s">
        <v>36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BC6" s="2">
        <v>33510</v>
      </c>
      <c r="BD6" s="2">
        <v>35418</v>
      </c>
      <c r="BE6" s="2">
        <v>43983</v>
      </c>
      <c r="BF6" s="2">
        <v>103273</v>
      </c>
      <c r="BG6" s="2">
        <v>134099</v>
      </c>
      <c r="BH6" s="2">
        <f>SUM(K6:N6)</f>
        <v>74723</v>
      </c>
      <c r="BI6" s="2">
        <f t="shared" si="1"/>
        <v>104412</v>
      </c>
      <c r="BJ6" s="2">
        <f t="shared" ref="BJ6" si="2">SUM(S6:V6)</f>
        <v>127787</v>
      </c>
    </row>
    <row r="7" spans="1:81" s="2" customFormat="1" x14ac:dyDescent="0.2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C7" s="2">
        <v>10938</v>
      </c>
      <c r="BD7" s="2">
        <v>10026</v>
      </c>
      <c r="BE7" s="2">
        <v>10631</v>
      </c>
    </row>
    <row r="8" spans="1:81" s="2" customFormat="1" x14ac:dyDescent="0.2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C8" s="2">
        <v>22369</v>
      </c>
      <c r="BD8" s="2">
        <v>25196</v>
      </c>
      <c r="BE8" s="2">
        <v>33107</v>
      </c>
    </row>
    <row r="9" spans="1:81" s="2" customFormat="1" x14ac:dyDescent="0.2">
      <c r="B9" s="2" t="s">
        <v>37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/>
      <c r="AG9" s="4"/>
      <c r="BC9" s="2">
        <v>4644</v>
      </c>
      <c r="BD9" s="2">
        <v>7880</v>
      </c>
      <c r="BE9" s="2">
        <v>12219</v>
      </c>
      <c r="BF9" s="2">
        <v>17459</v>
      </c>
      <c r="BG9" s="2">
        <v>25655</v>
      </c>
      <c r="BH9" s="2">
        <f>SUM(K9:N9)</f>
        <v>35026</v>
      </c>
      <c r="BI9" s="2">
        <f>SUM(O9:R9)</f>
        <v>45370</v>
      </c>
      <c r="BJ9" s="2">
        <f>SUM(S9:V9)</f>
        <v>62202</v>
      </c>
      <c r="BK9" s="2">
        <f>SUM(W9:Z9)</f>
        <v>80096</v>
      </c>
      <c r="BL9" s="2">
        <f>SUM(AA9:AD9)</f>
        <v>90757</v>
      </c>
      <c r="BM9" s="2">
        <f>+BL9*1.3</f>
        <v>117984.1</v>
      </c>
      <c r="BN9" s="2">
        <f t="shared" ref="BN9:BP9" si="3">+BM9*1.3</f>
        <v>153379.33000000002</v>
      </c>
      <c r="BO9" s="2">
        <f t="shared" si="3"/>
        <v>199393.12900000002</v>
      </c>
      <c r="BP9" s="2">
        <f t="shared" si="3"/>
        <v>259211.06770000004</v>
      </c>
      <c r="BQ9" s="2">
        <f>+BP9*1.2</f>
        <v>311053.28124000004</v>
      </c>
      <c r="BR9" s="2">
        <f t="shared" ref="BR9:BS9" si="4">+BQ9*1.2</f>
        <v>373263.93748800003</v>
      </c>
      <c r="BS9" s="2">
        <f t="shared" si="4"/>
        <v>447916.72498560004</v>
      </c>
    </row>
    <row r="11" spans="1:81" s="2" customFormat="1" x14ac:dyDescent="0.2">
      <c r="B11" s="2" t="s">
        <v>40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/>
      <c r="AG11" s="4"/>
      <c r="BG11" s="2">
        <f>26939+27165+29061+39822</f>
        <v>122987</v>
      </c>
      <c r="BH11" s="2">
        <f t="shared" ref="BH11:BH26" si="5">SUM(K11:N11)</f>
        <v>141247</v>
      </c>
      <c r="BI11" s="2">
        <f t="shared" ref="BI11:BI16" si="6">SUM(O11:R11)</f>
        <v>197349</v>
      </c>
      <c r="BJ11" s="2">
        <f t="shared" ref="BJ11:BJ16" si="7">SUM(S11:V11)</f>
        <v>222075</v>
      </c>
      <c r="BK11" s="2">
        <f t="shared" ref="BK11:BK16" si="8">SUM(W11:Z11)</f>
        <v>220004</v>
      </c>
      <c r="BL11" s="2">
        <f t="shared" ref="BL11:BL16" si="9">SUM(AA11:AD11)</f>
        <v>231872</v>
      </c>
      <c r="BM11" s="2">
        <f>+BL11*1.05</f>
        <v>243465.60000000001</v>
      </c>
      <c r="BN11" s="2">
        <f t="shared" ref="BN11:BS11" si="10">+BM11*1.05</f>
        <v>255638.88</v>
      </c>
      <c r="BO11" s="2">
        <f t="shared" si="10"/>
        <v>268420.82400000002</v>
      </c>
      <c r="BP11" s="2">
        <f t="shared" si="10"/>
        <v>281841.86520000006</v>
      </c>
      <c r="BQ11" s="2">
        <f t="shared" si="10"/>
        <v>295933.95846000005</v>
      </c>
      <c r="BR11" s="2">
        <f t="shared" si="10"/>
        <v>310730.65638300008</v>
      </c>
      <c r="BS11" s="2">
        <f t="shared" si="10"/>
        <v>326267.1892021501</v>
      </c>
    </row>
    <row r="12" spans="1:81" s="2" customFormat="1" x14ac:dyDescent="0.2">
      <c r="B12" s="2" t="s">
        <v>41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/>
      <c r="AG12" s="4"/>
      <c r="BG12" s="2">
        <f>4263+4312+4248+4401</f>
        <v>17224</v>
      </c>
      <c r="BH12" s="2">
        <f t="shared" si="5"/>
        <v>17192</v>
      </c>
      <c r="BI12" s="2">
        <f t="shared" si="6"/>
        <v>16224</v>
      </c>
      <c r="BJ12" s="2">
        <f t="shared" si="7"/>
        <v>17075</v>
      </c>
      <c r="BK12" s="2">
        <f t="shared" si="8"/>
        <v>18963</v>
      </c>
      <c r="BL12" s="2">
        <f t="shared" si="9"/>
        <v>20030</v>
      </c>
      <c r="BM12" s="2">
        <f t="shared" ref="BM12:BS12" si="11">+BL12*1.05</f>
        <v>21031.5</v>
      </c>
      <c r="BN12" s="2">
        <f t="shared" si="11"/>
        <v>22083.075000000001</v>
      </c>
      <c r="BO12" s="2">
        <f t="shared" si="11"/>
        <v>23187.228750000002</v>
      </c>
      <c r="BP12" s="2">
        <f t="shared" si="11"/>
        <v>24346.590187500002</v>
      </c>
      <c r="BQ12" s="2">
        <f t="shared" si="11"/>
        <v>25563.919696875004</v>
      </c>
      <c r="BR12" s="2">
        <f t="shared" si="11"/>
        <v>26842.115681718755</v>
      </c>
      <c r="BS12" s="2">
        <f t="shared" si="11"/>
        <v>28184.221465804694</v>
      </c>
    </row>
    <row r="13" spans="1:81" s="2" customFormat="1" x14ac:dyDescent="0.2">
      <c r="B13" s="2" t="s">
        <v>42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/>
      <c r="AG13" s="4"/>
      <c r="BG13" s="2">
        <f>9265+9702+10395+13383</f>
        <v>42745</v>
      </c>
      <c r="BH13" s="2">
        <f t="shared" si="5"/>
        <v>53761</v>
      </c>
      <c r="BI13" s="2">
        <f t="shared" si="6"/>
        <v>80437</v>
      </c>
      <c r="BJ13" s="2">
        <f t="shared" si="7"/>
        <v>103366</v>
      </c>
      <c r="BK13" s="2">
        <f t="shared" si="8"/>
        <v>117716</v>
      </c>
      <c r="BL13" s="2">
        <f t="shared" si="9"/>
        <v>140053</v>
      </c>
      <c r="BM13" s="2">
        <f t="shared" ref="BM13:BS13" si="12">+BL13*1.05</f>
        <v>147055.65</v>
      </c>
      <c r="BN13" s="2">
        <f t="shared" si="12"/>
        <v>154408.4325</v>
      </c>
      <c r="BO13" s="2">
        <f t="shared" si="12"/>
        <v>162128.85412500001</v>
      </c>
      <c r="BP13" s="2">
        <f t="shared" si="12"/>
        <v>170235.29683125002</v>
      </c>
      <c r="BQ13" s="2">
        <f t="shared" si="12"/>
        <v>178747.06167281253</v>
      </c>
      <c r="BR13" s="2">
        <f t="shared" si="12"/>
        <v>187684.41475645316</v>
      </c>
      <c r="BS13" s="2">
        <f t="shared" si="12"/>
        <v>197068.63549427583</v>
      </c>
    </row>
    <row r="14" spans="1:81" s="2" customFormat="1" x14ac:dyDescent="0.2">
      <c r="B14" s="2" t="s">
        <v>43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/>
      <c r="AG14" s="4"/>
      <c r="BG14" s="2">
        <f>3102+3408+3698+3959</f>
        <v>14167</v>
      </c>
      <c r="BH14" s="2">
        <f t="shared" si="5"/>
        <v>19210</v>
      </c>
      <c r="BI14" s="2">
        <f t="shared" si="6"/>
        <v>25207</v>
      </c>
      <c r="BJ14" s="2">
        <f t="shared" si="7"/>
        <v>31768</v>
      </c>
      <c r="BK14" s="2">
        <f t="shared" si="8"/>
        <v>35218</v>
      </c>
      <c r="BL14" s="2">
        <f t="shared" si="9"/>
        <v>40209</v>
      </c>
      <c r="BM14" s="2">
        <f>+BL14*1.1</f>
        <v>44229.9</v>
      </c>
      <c r="BN14" s="2">
        <f t="shared" ref="BN14:BP14" si="13">+BM14*1.1</f>
        <v>48652.890000000007</v>
      </c>
      <c r="BO14" s="2">
        <f t="shared" si="13"/>
        <v>53518.179000000011</v>
      </c>
      <c r="BP14" s="2">
        <f t="shared" si="13"/>
        <v>58869.99690000002</v>
      </c>
      <c r="BQ14" s="2">
        <f t="shared" ref="BQ14:BS14" si="14">+BP14*1.05</f>
        <v>61813.496745000026</v>
      </c>
      <c r="BR14" s="2">
        <f t="shared" si="14"/>
        <v>64904.171582250026</v>
      </c>
      <c r="BS14" s="2">
        <f t="shared" si="14"/>
        <v>68149.380161362526</v>
      </c>
    </row>
    <row r="15" spans="1:81" s="2" customFormat="1" x14ac:dyDescent="0.2">
      <c r="B15" s="2" t="s">
        <v>44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/>
      <c r="AG15" s="4"/>
      <c r="BG15" s="2">
        <f>2031+2194+2495+3388</f>
        <v>10108</v>
      </c>
      <c r="BH15" s="2">
        <f t="shared" si="5"/>
        <v>14086</v>
      </c>
      <c r="BI15" s="2">
        <f t="shared" si="6"/>
        <v>20875</v>
      </c>
      <c r="BJ15" s="2">
        <f t="shared" si="7"/>
        <v>31160</v>
      </c>
      <c r="BK15" s="2">
        <f t="shared" si="8"/>
        <v>37739</v>
      </c>
      <c r="BL15" s="2">
        <f t="shared" si="9"/>
        <v>46906</v>
      </c>
      <c r="BM15" s="2">
        <f t="shared" ref="BM15:BP15" si="15">+BL15*1.1</f>
        <v>51596.600000000006</v>
      </c>
      <c r="BN15" s="2">
        <f t="shared" si="15"/>
        <v>56756.260000000009</v>
      </c>
      <c r="BO15" s="2">
        <f t="shared" si="15"/>
        <v>62431.886000000013</v>
      </c>
      <c r="BP15" s="2">
        <f t="shared" si="15"/>
        <v>68675.074600000022</v>
      </c>
      <c r="BQ15" s="2">
        <f t="shared" ref="BQ15:BS15" si="16">+BP15*1.05</f>
        <v>72108.828330000033</v>
      </c>
      <c r="BR15" s="2">
        <f t="shared" si="16"/>
        <v>75714.269746500038</v>
      </c>
      <c r="BS15" s="2">
        <f t="shared" si="16"/>
        <v>79499.983233825042</v>
      </c>
    </row>
    <row r="16" spans="1:81" s="2" customFormat="1" x14ac:dyDescent="0.2">
      <c r="B16" s="2" t="s">
        <v>45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/>
      <c r="AG16" s="4"/>
      <c r="BH16" s="2">
        <f t="shared" si="5"/>
        <v>0</v>
      </c>
      <c r="BI16" s="2">
        <f t="shared" si="6"/>
        <v>602</v>
      </c>
      <c r="BJ16" s="2">
        <f t="shared" si="7"/>
        <v>2176</v>
      </c>
      <c r="BK16" s="2">
        <f t="shared" si="8"/>
        <v>4247</v>
      </c>
      <c r="BL16" s="2">
        <f t="shared" si="9"/>
        <v>4958</v>
      </c>
      <c r="BM16" s="2">
        <f t="shared" ref="BM16:BS16" si="17">+BL16*1.05</f>
        <v>5205.9000000000005</v>
      </c>
      <c r="BN16" s="2">
        <f t="shared" si="17"/>
        <v>5466.1950000000006</v>
      </c>
      <c r="BO16" s="2">
        <f t="shared" si="17"/>
        <v>5739.504750000001</v>
      </c>
      <c r="BP16" s="2">
        <f t="shared" si="17"/>
        <v>6026.4799875000017</v>
      </c>
      <c r="BQ16" s="2">
        <f t="shared" si="17"/>
        <v>6327.803986875002</v>
      </c>
      <c r="BR16" s="2">
        <f t="shared" si="17"/>
        <v>6644.1941862187523</v>
      </c>
      <c r="BS16" s="2">
        <f t="shared" si="17"/>
        <v>6976.4038955296901</v>
      </c>
    </row>
    <row r="17" spans="2:133" x14ac:dyDescent="0.2">
      <c r="BK17" s="2"/>
      <c r="BL17" s="2"/>
    </row>
    <row r="18" spans="2:133" s="2" customFormat="1" x14ac:dyDescent="0.2">
      <c r="B18" s="2" t="s">
        <v>20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f>+AB18*1.08</f>
        <v>63754.560000000005</v>
      </c>
      <c r="BF18" s="2">
        <v>118573</v>
      </c>
      <c r="BG18" s="2">
        <v>141915</v>
      </c>
      <c r="BH18" s="2">
        <f t="shared" si="5"/>
        <v>160407</v>
      </c>
      <c r="BI18" s="2">
        <f>SUM(O18:R18)</f>
        <v>215915</v>
      </c>
      <c r="BJ18" s="2">
        <f t="shared" ref="BJ18:BJ26" si="18">SUM(S18:V18)</f>
        <v>241787</v>
      </c>
    </row>
    <row r="19" spans="2:133" s="2" customFormat="1" x14ac:dyDescent="0.2">
      <c r="B19" s="2" t="s">
        <v>21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f>+AB19*1.08</f>
        <v>81379.08</v>
      </c>
      <c r="BF19" s="2">
        <v>59293</v>
      </c>
      <c r="BG19" s="2">
        <v>90972</v>
      </c>
      <c r="BH19" s="2">
        <f t="shared" si="5"/>
        <v>120115</v>
      </c>
      <c r="BI19" s="2">
        <f t="shared" ref="BI19:BI26" si="19">SUM(O19:R19)</f>
        <v>170149</v>
      </c>
      <c r="BJ19" s="2">
        <f t="shared" si="18"/>
        <v>228035</v>
      </c>
    </row>
    <row r="20" spans="2:133" s="5" customFormat="1" x14ac:dyDescent="0.2">
      <c r="B20" s="5" t="s">
        <v>8</v>
      </c>
      <c r="C20" s="6"/>
      <c r="D20" s="6"/>
      <c r="E20" s="6"/>
      <c r="F20" s="6"/>
      <c r="G20" s="6"/>
      <c r="H20" s="6"/>
      <c r="I20" s="6"/>
      <c r="J20" s="6">
        <f t="shared" ref="J20" si="20">J18+J19</f>
        <v>72383</v>
      </c>
      <c r="K20" s="6">
        <f t="shared" ref="K20:M20" si="21">K18+K19</f>
        <v>59700</v>
      </c>
      <c r="L20" s="6">
        <f t="shared" ref="L20" si="22">L18+L19</f>
        <v>63404</v>
      </c>
      <c r="M20" s="6">
        <f t="shared" si="21"/>
        <v>69981</v>
      </c>
      <c r="N20" s="6">
        <f t="shared" ref="N20" si="23">N18+N19</f>
        <v>87437</v>
      </c>
      <c r="O20" s="6">
        <f t="shared" ref="O20" si="24">O18+O19</f>
        <v>75452</v>
      </c>
      <c r="P20" s="6">
        <f t="shared" ref="P20" si="25">P18+P19</f>
        <v>88912</v>
      </c>
      <c r="Q20" s="6">
        <f t="shared" ref="Q20:V20" si="26">Q18+Q19</f>
        <v>96145</v>
      </c>
      <c r="R20" s="6">
        <f t="shared" si="26"/>
        <v>125555</v>
      </c>
      <c r="S20" s="6">
        <f t="shared" si="26"/>
        <v>108518</v>
      </c>
      <c r="T20" s="6">
        <f t="shared" si="26"/>
        <v>113080</v>
      </c>
      <c r="U20" s="6">
        <f t="shared" si="26"/>
        <v>110812</v>
      </c>
      <c r="V20" s="6">
        <f t="shared" si="26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145133.64000000001</v>
      </c>
      <c r="AG20" s="6">
        <f>+AG19+AG18</f>
        <v>0</v>
      </c>
      <c r="AH20" s="6">
        <f>+AH19+AH18</f>
        <v>0</v>
      </c>
      <c r="AJ20" s="5">
        <v>0.51100000000000001</v>
      </c>
      <c r="AK20" s="5">
        <v>15.746</v>
      </c>
      <c r="AL20" s="5">
        <v>147.78700000000001</v>
      </c>
      <c r="AM20" s="5">
        <v>609.81899999999996</v>
      </c>
      <c r="AN20" s="5">
        <v>1639.8389999999999</v>
      </c>
      <c r="AO20" s="5">
        <v>2761.9830000000002</v>
      </c>
      <c r="AP20" s="5">
        <v>3122.433</v>
      </c>
      <c r="AQ20" s="5">
        <v>3932.9360000000001</v>
      </c>
      <c r="AR20" s="5">
        <v>5263.6989999999996</v>
      </c>
      <c r="AS20" s="5">
        <v>6921</v>
      </c>
      <c r="AT20" s="5">
        <v>8490</v>
      </c>
      <c r="AU20" s="5">
        <v>10711</v>
      </c>
      <c r="AV20" s="5">
        <v>14835</v>
      </c>
      <c r="AW20" s="5">
        <v>19166</v>
      </c>
      <c r="AX20" s="5">
        <v>24509</v>
      </c>
      <c r="AY20" s="5">
        <v>34204</v>
      </c>
      <c r="AZ20" s="5">
        <v>48077</v>
      </c>
      <c r="BA20" s="5">
        <v>61093</v>
      </c>
      <c r="BB20" s="5">
        <v>74452</v>
      </c>
      <c r="BC20" s="5">
        <f>+BC3+BC6+BC9</f>
        <v>88988</v>
      </c>
      <c r="BD20" s="5">
        <f t="shared" ref="BD20:BE20" si="27">+BD3+BD6+BD9</f>
        <v>107006</v>
      </c>
      <c r="BE20" s="5">
        <f t="shared" si="27"/>
        <v>135987</v>
      </c>
      <c r="BF20" s="6">
        <f t="shared" ref="BF20" si="28">BF18+BF19</f>
        <v>177866</v>
      </c>
      <c r="BG20" s="6">
        <f t="shared" ref="BG20" si="29">BG18+BG19</f>
        <v>232887</v>
      </c>
      <c r="BH20" s="6">
        <f>BH18+BH19</f>
        <v>280522</v>
      </c>
      <c r="BI20" s="6">
        <f>BI18+BI19</f>
        <v>386064</v>
      </c>
      <c r="BJ20" s="6">
        <f>BJ18+BJ19</f>
        <v>469822</v>
      </c>
      <c r="BK20" s="5">
        <f>SUM(BK9:BK16)</f>
        <v>513983</v>
      </c>
      <c r="BL20" s="5">
        <f>SUM(BL9:BL16)</f>
        <v>574785</v>
      </c>
      <c r="BM20" s="5">
        <f t="shared" ref="BM20:BS20" si="30">SUM(BM9:BM16)</f>
        <v>630569.25</v>
      </c>
      <c r="BN20" s="5">
        <f t="shared" si="30"/>
        <v>696385.0625</v>
      </c>
      <c r="BO20" s="5">
        <f t="shared" si="30"/>
        <v>774819.60562500008</v>
      </c>
      <c r="BP20" s="5">
        <f t="shared" si="30"/>
        <v>869206.37140625017</v>
      </c>
      <c r="BQ20" s="5">
        <f t="shared" si="30"/>
        <v>951548.35013156268</v>
      </c>
      <c r="BR20" s="5">
        <f t="shared" si="30"/>
        <v>1045783.7598241409</v>
      </c>
      <c r="BS20" s="5">
        <f t="shared" si="30"/>
        <v>1154062.5384385479</v>
      </c>
    </row>
    <row r="21" spans="2:133" s="2" customFormat="1" x14ac:dyDescent="0.2">
      <c r="B21" s="2" t="s">
        <v>22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/>
      <c r="AG21" s="4"/>
      <c r="AP21" s="2">
        <v>2323.875</v>
      </c>
      <c r="AQ21" s="2">
        <v>2940.3180000000002</v>
      </c>
      <c r="AR21" s="2">
        <v>4006.5309999999999</v>
      </c>
      <c r="BC21" s="2">
        <v>62752</v>
      </c>
      <c r="BD21" s="2">
        <v>71651</v>
      </c>
      <c r="BE21" s="2">
        <v>88265</v>
      </c>
      <c r="BF21" s="2">
        <v>111934</v>
      </c>
      <c r="BG21" s="2">
        <v>139156</v>
      </c>
      <c r="BH21" s="2">
        <f t="shared" si="5"/>
        <v>165536</v>
      </c>
      <c r="BI21" s="2">
        <f t="shared" si="19"/>
        <v>233307</v>
      </c>
      <c r="BJ21" s="2">
        <f t="shared" si="18"/>
        <v>272344</v>
      </c>
      <c r="BK21" s="2">
        <f>SUM(W21:Z21)</f>
        <v>288831</v>
      </c>
      <c r="BL21" s="2">
        <f>SUM(AA21:AD21)</f>
        <v>304739</v>
      </c>
      <c r="BM21" s="4">
        <f t="shared" ref="BM21:BS21" si="31">SUM(BM11:BM13)*0.8+BM9*0.7</f>
        <v>411831.07</v>
      </c>
      <c r="BN21" s="4">
        <f t="shared" si="31"/>
        <v>453069.84100000007</v>
      </c>
      <c r="BO21" s="4">
        <f t="shared" si="31"/>
        <v>502564.71580000001</v>
      </c>
      <c r="BP21" s="4">
        <f t="shared" si="31"/>
        <v>562586.74916500016</v>
      </c>
      <c r="BQ21" s="4">
        <f t="shared" si="31"/>
        <v>617933.24873175006</v>
      </c>
      <c r="BR21" s="4">
        <f t="shared" si="31"/>
        <v>681490.50569853769</v>
      </c>
      <c r="BS21" s="4">
        <f t="shared" si="31"/>
        <v>754757.74441970466</v>
      </c>
    </row>
    <row r="22" spans="2:133" s="2" customFormat="1" x14ac:dyDescent="0.2">
      <c r="B22" s="2" t="s">
        <v>23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/>
      <c r="AG22" s="4"/>
      <c r="AP22" s="2">
        <v>798.55799999999999</v>
      </c>
      <c r="AQ22" s="2">
        <v>392.46699999999998</v>
      </c>
      <c r="AR22" s="2">
        <v>477.03199999999998</v>
      </c>
      <c r="BC22" s="2">
        <v>10766</v>
      </c>
      <c r="BD22" s="2">
        <v>13410</v>
      </c>
      <c r="BE22" s="2">
        <v>17619</v>
      </c>
      <c r="BF22" s="2">
        <v>25249</v>
      </c>
      <c r="BG22" s="2">
        <v>34027</v>
      </c>
      <c r="BH22" s="2">
        <f t="shared" si="5"/>
        <v>40231</v>
      </c>
      <c r="BI22" s="2">
        <f t="shared" si="19"/>
        <v>58516</v>
      </c>
      <c r="BJ22" s="2">
        <f t="shared" si="18"/>
        <v>75111</v>
      </c>
      <c r="BK22" s="2">
        <f>SUM(W22:Z22)</f>
        <v>84299</v>
      </c>
      <c r="BL22" s="2">
        <f>SUM(AA22:AD22)</f>
        <v>90619</v>
      </c>
      <c r="BM22" s="4">
        <f t="shared" ref="BM22:BS22" si="32">(BM13+BM11)*0.1</f>
        <v>39052.125</v>
      </c>
      <c r="BN22" s="4">
        <f t="shared" si="32"/>
        <v>41004.731250000004</v>
      </c>
      <c r="BO22" s="4">
        <f t="shared" si="32"/>
        <v>43054.967812500006</v>
      </c>
      <c r="BP22" s="4">
        <f t="shared" si="32"/>
        <v>45207.716203125012</v>
      </c>
      <c r="BQ22" s="4">
        <f t="shared" si="32"/>
        <v>47468.102013281255</v>
      </c>
      <c r="BR22" s="4">
        <f t="shared" si="32"/>
        <v>49841.507113945321</v>
      </c>
      <c r="BS22" s="4">
        <f t="shared" si="32"/>
        <v>52333.582469642599</v>
      </c>
    </row>
    <row r="23" spans="2:133" s="2" customFormat="1" x14ac:dyDescent="0.2">
      <c r="B23" s="2" t="s">
        <v>29</v>
      </c>
      <c r="C23" s="4"/>
      <c r="D23" s="4"/>
      <c r="E23" s="4"/>
      <c r="F23" s="4"/>
      <c r="G23" s="4"/>
      <c r="H23" s="4"/>
      <c r="I23" s="4"/>
      <c r="J23" s="4">
        <f t="shared" ref="J23" si="33">J20-J21-J22</f>
        <v>17569</v>
      </c>
      <c r="K23" s="4">
        <f>K20-K21-K22</f>
        <v>17179</v>
      </c>
      <c r="L23" s="4">
        <f t="shared" ref="L23" si="34">L20-L21-L22</f>
        <v>17796</v>
      </c>
      <c r="M23" s="4">
        <f>M20-M21-M22</f>
        <v>18512</v>
      </c>
      <c r="N23" s="4">
        <f t="shared" ref="N23" si="35">N20-N21-N22</f>
        <v>21268</v>
      </c>
      <c r="O23" s="4">
        <f t="shared" ref="O23" si="36">O20-O21-O22</f>
        <v>19664</v>
      </c>
      <c r="P23" s="4">
        <f t="shared" ref="P23" si="37">P20-P21-P22</f>
        <v>22446</v>
      </c>
      <c r="Q23" s="4">
        <f>Q20-Q21-Q22</f>
        <v>24334</v>
      </c>
      <c r="R23" s="4">
        <f t="shared" ref="R23" si="38">R20-R21-R22</f>
        <v>27797</v>
      </c>
      <c r="S23" s="4">
        <f>S20-S21-S22</f>
        <v>29585</v>
      </c>
      <c r="T23" s="4">
        <f t="shared" ref="T23:AE23" si="39">T20-T21-T22</f>
        <v>31266</v>
      </c>
      <c r="U23" s="4">
        <f t="shared" si="39"/>
        <v>29384</v>
      </c>
      <c r="V23" s="4">
        <f t="shared" si="39"/>
        <v>32132</v>
      </c>
      <c r="W23" s="4">
        <f t="shared" si="39"/>
        <v>29674</v>
      </c>
      <c r="X23" s="4">
        <f t="shared" si="39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39"/>
        <v>43705</v>
      </c>
      <c r="AC23" s="4">
        <f>AC20-AC21-AC22</f>
        <v>45747</v>
      </c>
      <c r="AD23" s="4">
        <f t="shared" si="39"/>
        <v>51313</v>
      </c>
      <c r="AE23" s="4">
        <f t="shared" si="39"/>
        <v>48363</v>
      </c>
      <c r="AF23" s="4">
        <f>+AF20*0.32</f>
        <v>46442.764800000004</v>
      </c>
      <c r="AG23" s="4"/>
      <c r="AP23" s="2">
        <f>AP20-AP21-AP22</f>
        <v>0</v>
      </c>
      <c r="AQ23" s="2">
        <f>AQ20-AQ21-AQ22</f>
        <v>600.15099999999995</v>
      </c>
      <c r="AR23" s="2">
        <f>AR20-AR21-AR22</f>
        <v>780.13599999999974</v>
      </c>
      <c r="BC23" s="4">
        <f t="shared" ref="BC23:BF23" si="40">BC20-BC21-BC22</f>
        <v>15470</v>
      </c>
      <c r="BD23" s="4">
        <f t="shared" si="40"/>
        <v>21945</v>
      </c>
      <c r="BE23" s="4">
        <f t="shared" si="40"/>
        <v>30103</v>
      </c>
      <c r="BF23" s="4">
        <f t="shared" si="40"/>
        <v>40683</v>
      </c>
      <c r="BG23" s="4">
        <f t="shared" ref="BG23:BH23" si="41">BG20-BG21-BG22</f>
        <v>59704</v>
      </c>
      <c r="BH23" s="4">
        <f t="shared" si="41"/>
        <v>74755</v>
      </c>
      <c r="BI23" s="4">
        <f t="shared" ref="BI23:BS23" si="42">BI20-BI21-BI22</f>
        <v>94241</v>
      </c>
      <c r="BJ23" s="4">
        <f t="shared" si="42"/>
        <v>122367</v>
      </c>
      <c r="BK23" s="4">
        <f t="shared" si="42"/>
        <v>140853</v>
      </c>
      <c r="BL23" s="4">
        <f t="shared" si="42"/>
        <v>179427</v>
      </c>
      <c r="BM23" s="4">
        <f t="shared" si="42"/>
        <v>179686.05499999999</v>
      </c>
      <c r="BN23" s="4">
        <f t="shared" si="42"/>
        <v>202310.49024999992</v>
      </c>
      <c r="BO23" s="4">
        <f t="shared" si="42"/>
        <v>229199.92201250006</v>
      </c>
      <c r="BP23" s="4">
        <f t="shared" si="42"/>
        <v>261411.90603812499</v>
      </c>
      <c r="BQ23" s="4">
        <f t="shared" si="42"/>
        <v>286146.99938653136</v>
      </c>
      <c r="BR23" s="4">
        <f t="shared" si="42"/>
        <v>314451.74701165792</v>
      </c>
      <c r="BS23" s="4">
        <f t="shared" si="42"/>
        <v>346971.21154920058</v>
      </c>
    </row>
    <row r="24" spans="2:133" s="2" customFormat="1" x14ac:dyDescent="0.2">
      <c r="B24" s="2" t="s">
        <v>24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f>+AB24</f>
        <v>21931</v>
      </c>
      <c r="AG24" s="4"/>
      <c r="AP24" s="2">
        <v>241.16499999999999</v>
      </c>
      <c r="AQ24" s="2">
        <v>215.61699999999999</v>
      </c>
      <c r="AR24" s="2">
        <v>207.809</v>
      </c>
      <c r="BC24" s="2">
        <v>9275</v>
      </c>
      <c r="BD24" s="2">
        <v>12540</v>
      </c>
      <c r="BE24" s="2">
        <v>16085</v>
      </c>
      <c r="BF24" s="2">
        <v>22620</v>
      </c>
      <c r="BG24" s="2">
        <v>28837</v>
      </c>
      <c r="BH24" s="2">
        <f t="shared" si="5"/>
        <v>35932</v>
      </c>
      <c r="BI24" s="2">
        <f t="shared" si="19"/>
        <v>42738</v>
      </c>
      <c r="BJ24" s="2">
        <f t="shared" si="18"/>
        <v>56052</v>
      </c>
      <c r="BK24" s="2">
        <f>SUM(W24:Z24)</f>
        <v>73213</v>
      </c>
      <c r="BL24" s="2">
        <f>SUM(AA24:AD24)</f>
        <v>85622</v>
      </c>
      <c r="BM24" s="2">
        <f>+BL24*1.03</f>
        <v>88190.66</v>
      </c>
      <c r="BN24" s="2">
        <f t="shared" ref="BN24:BS24" si="43">+BM24*1.03</f>
        <v>90836.37980000001</v>
      </c>
      <c r="BO24" s="2">
        <f t="shared" si="43"/>
        <v>93561.471194000012</v>
      </c>
      <c r="BP24" s="2">
        <f t="shared" si="43"/>
        <v>96368.31532982002</v>
      </c>
      <c r="BQ24" s="2">
        <f t="shared" si="43"/>
        <v>99259.364789714629</v>
      </c>
      <c r="BR24" s="2">
        <f t="shared" si="43"/>
        <v>102237.14573340607</v>
      </c>
      <c r="BS24" s="2">
        <f t="shared" si="43"/>
        <v>105304.26010540825</v>
      </c>
    </row>
    <row r="25" spans="2:133" s="2" customFormat="1" x14ac:dyDescent="0.2">
      <c r="B25" s="2" t="s">
        <v>25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f>+AB25</f>
        <v>10745</v>
      </c>
      <c r="AG25" s="4"/>
      <c r="AP25" s="2">
        <v>138.28299999999999</v>
      </c>
      <c r="AQ25" s="2">
        <v>125.383</v>
      </c>
      <c r="AR25" s="2">
        <v>122.78700000000001</v>
      </c>
      <c r="BC25" s="2">
        <v>4332</v>
      </c>
      <c r="BD25" s="2">
        <v>5254</v>
      </c>
      <c r="BE25" s="2">
        <v>7233</v>
      </c>
      <c r="BF25" s="2">
        <v>10069</v>
      </c>
      <c r="BG25" s="2">
        <v>13814</v>
      </c>
      <c r="BH25" s="2">
        <f t="shared" si="5"/>
        <v>18879</v>
      </c>
      <c r="BI25" s="2">
        <f t="shared" si="19"/>
        <v>22010</v>
      </c>
      <c r="BJ25" s="2">
        <f t="shared" si="18"/>
        <v>32551</v>
      </c>
      <c r="BK25" s="2">
        <f>SUM(W25:Z25)</f>
        <v>42238</v>
      </c>
      <c r="BL25" s="2">
        <f>SUM(AA25:AD25)</f>
        <v>44370</v>
      </c>
      <c r="BM25" s="2">
        <f t="shared" ref="BM25:BS25" si="44">+BL25*1.03</f>
        <v>45701.1</v>
      </c>
      <c r="BN25" s="2">
        <f t="shared" si="44"/>
        <v>47072.133000000002</v>
      </c>
      <c r="BO25" s="2">
        <f t="shared" si="44"/>
        <v>48484.296990000003</v>
      </c>
      <c r="BP25" s="2">
        <f t="shared" si="44"/>
        <v>49938.825899700001</v>
      </c>
      <c r="BQ25" s="2">
        <f t="shared" si="44"/>
        <v>51436.990676690999</v>
      </c>
      <c r="BR25" s="2">
        <f t="shared" si="44"/>
        <v>52980.100396991729</v>
      </c>
      <c r="BS25" s="2">
        <f t="shared" si="44"/>
        <v>54569.503408901481</v>
      </c>
    </row>
    <row r="26" spans="2:133" x14ac:dyDescent="0.2">
      <c r="B26" s="2" t="s">
        <v>26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+AB26</f>
        <v>3202</v>
      </c>
      <c r="AG26" s="4"/>
      <c r="AP26" s="2">
        <v>89.861999999999995</v>
      </c>
      <c r="AQ26" s="2">
        <v>79.049000000000007</v>
      </c>
      <c r="AR26" s="2">
        <v>88.302000000000007</v>
      </c>
      <c r="BC26" s="2">
        <v>1552</v>
      </c>
      <c r="BD26" s="2">
        <v>1747</v>
      </c>
      <c r="BE26" s="2">
        <v>2432</v>
      </c>
      <c r="BF26" s="2">
        <v>3674</v>
      </c>
      <c r="BG26" s="2">
        <v>4336</v>
      </c>
      <c r="BH26" s="2">
        <f t="shared" si="5"/>
        <v>5203</v>
      </c>
      <c r="BI26" s="2">
        <f t="shared" si="19"/>
        <v>6668</v>
      </c>
      <c r="BJ26" s="2">
        <f t="shared" si="18"/>
        <v>8823</v>
      </c>
      <c r="BK26" s="2">
        <f>SUM(W26:Z26)</f>
        <v>11891</v>
      </c>
      <c r="BL26" s="2">
        <f>SUM(AA26:AD26)</f>
        <v>11816</v>
      </c>
      <c r="BM26" s="2">
        <f t="shared" ref="BM26:BS26" si="45">+BL26*1.03</f>
        <v>12170.48</v>
      </c>
      <c r="BN26" s="2">
        <f t="shared" si="45"/>
        <v>12535.5944</v>
      </c>
      <c r="BO26" s="2">
        <f t="shared" si="45"/>
        <v>12911.662232000001</v>
      </c>
      <c r="BP26" s="2">
        <f t="shared" si="45"/>
        <v>13299.012098960002</v>
      </c>
      <c r="BQ26" s="2">
        <f t="shared" si="45"/>
        <v>13697.982461928803</v>
      </c>
      <c r="BR26" s="2">
        <f t="shared" si="45"/>
        <v>14108.921935786668</v>
      </c>
      <c r="BS26" s="2">
        <f t="shared" si="45"/>
        <v>14532.189593860268</v>
      </c>
    </row>
    <row r="27" spans="2:133" x14ac:dyDescent="0.2">
      <c r="B27" s="2" t="s">
        <v>27</v>
      </c>
      <c r="C27" s="4"/>
      <c r="D27" s="4"/>
      <c r="E27" s="4"/>
      <c r="F27" s="4"/>
      <c r="G27" s="4"/>
      <c r="H27" s="4"/>
      <c r="I27" s="4"/>
      <c r="J27" s="4">
        <f t="shared" ref="J27" si="46">SUM(J24:J26)</f>
        <v>13697</v>
      </c>
      <c r="K27" s="4">
        <f>SUM(K24:K26)</f>
        <v>12764</v>
      </c>
      <c r="L27" s="4">
        <f t="shared" ref="L27" si="47">SUM(L24:L26)</f>
        <v>14626</v>
      </c>
      <c r="M27" s="4">
        <f>SUM(M24:M26)</f>
        <v>15300</v>
      </c>
      <c r="N27" s="4">
        <f t="shared" ref="N27" si="48">SUM(N24:N26)</f>
        <v>17324</v>
      </c>
      <c r="O27" s="4">
        <f t="shared" ref="O27" si="49">SUM(O24:O26)</f>
        <v>15605</v>
      </c>
      <c r="P27" s="4">
        <f t="shared" ref="P27" si="50">SUM(P24:P26)</f>
        <v>16313</v>
      </c>
      <c r="Q27" s="4">
        <f>SUM(Q24:Q26)</f>
        <v>18078</v>
      </c>
      <c r="R27" s="4">
        <f t="shared" ref="R27" si="51">SUM(R24:R26)</f>
        <v>21420</v>
      </c>
      <c r="S27" s="4">
        <f>SUM(S24:S26)</f>
        <v>20682</v>
      </c>
      <c r="T27" s="4">
        <f t="shared" ref="T27:W27" si="52">SUM(T24:T26)</f>
        <v>23553</v>
      </c>
      <c r="U27" s="4">
        <f t="shared" si="52"/>
        <v>24543</v>
      </c>
      <c r="V27" s="4">
        <f t="shared" si="52"/>
        <v>28648</v>
      </c>
      <c r="W27" s="4">
        <f t="shared" si="52"/>
        <v>25756</v>
      </c>
      <c r="X27" s="4">
        <f t="shared" ref="X27:AF27" si="53">SUM(X24:X26)</f>
        <v>31061</v>
      </c>
      <c r="Y27" s="4">
        <f>SUM(Y24:Y26)</f>
        <v>33560</v>
      </c>
      <c r="Z27" s="4">
        <f t="shared" si="53"/>
        <v>36965</v>
      </c>
      <c r="AA27" s="4">
        <f t="shared" si="53"/>
        <v>33665</v>
      </c>
      <c r="AB27" s="4">
        <f t="shared" si="53"/>
        <v>35878</v>
      </c>
      <c r="AC27" s="4">
        <f t="shared" si="53"/>
        <v>34315</v>
      </c>
      <c r="AD27" s="4">
        <f t="shared" si="53"/>
        <v>37950</v>
      </c>
      <c r="AE27" s="4">
        <f t="shared" si="53"/>
        <v>32828</v>
      </c>
      <c r="AF27" s="4">
        <f t="shared" si="53"/>
        <v>35878</v>
      </c>
      <c r="AG27" s="4"/>
      <c r="AP27" s="2">
        <f>AP26+AP25+AP24</f>
        <v>469.30999999999995</v>
      </c>
      <c r="AQ27" s="2">
        <f>AQ26+AQ25+AQ24</f>
        <v>420.04899999999998</v>
      </c>
      <c r="AR27" s="2">
        <f>AR26+AR25+AR24</f>
        <v>418.89800000000002</v>
      </c>
      <c r="BC27" s="4">
        <f t="shared" ref="BC27:BE27" si="54">SUM(BC24:BC26)</f>
        <v>15159</v>
      </c>
      <c r="BD27" s="4">
        <f t="shared" si="54"/>
        <v>19541</v>
      </c>
      <c r="BE27" s="4">
        <f t="shared" si="54"/>
        <v>25750</v>
      </c>
      <c r="BF27" s="4">
        <f t="shared" ref="BF27" si="55">SUM(BF24:BF26)</f>
        <v>36363</v>
      </c>
      <c r="BG27" s="4">
        <f t="shared" ref="BG27:BH27" si="56">SUM(BG24:BG26)</f>
        <v>46987</v>
      </c>
      <c r="BH27" s="4">
        <f t="shared" si="56"/>
        <v>60014</v>
      </c>
      <c r="BI27" s="4">
        <f t="shared" ref="BI27:BJ27" si="57">SUM(BI24:BI26)</f>
        <v>71416</v>
      </c>
      <c r="BJ27" s="4">
        <f t="shared" si="57"/>
        <v>97426</v>
      </c>
      <c r="BK27" s="4">
        <f t="shared" ref="BK27:BL27" si="58">SUM(BK24:BK26)</f>
        <v>127342</v>
      </c>
      <c r="BL27" s="4">
        <f t="shared" si="58"/>
        <v>141808</v>
      </c>
      <c r="BM27" s="4">
        <f t="shared" ref="BM27:BS27" si="59">SUM(BM24:BM26)</f>
        <v>146062.24000000002</v>
      </c>
      <c r="BN27" s="4">
        <f t="shared" si="59"/>
        <v>150444.10720000003</v>
      </c>
      <c r="BO27" s="4">
        <f t="shared" si="59"/>
        <v>154957.43041600002</v>
      </c>
      <c r="BP27" s="4">
        <f t="shared" si="59"/>
        <v>159606.15332848002</v>
      </c>
      <c r="BQ27" s="4">
        <f t="shared" si="59"/>
        <v>164394.33792833443</v>
      </c>
      <c r="BR27" s="4">
        <f t="shared" si="59"/>
        <v>169326.16806618447</v>
      </c>
      <c r="BS27" s="4">
        <f t="shared" si="59"/>
        <v>174405.95310816998</v>
      </c>
    </row>
    <row r="28" spans="2:133" x14ac:dyDescent="0.2">
      <c r="B28" s="2" t="s">
        <v>28</v>
      </c>
      <c r="C28" s="4"/>
      <c r="D28" s="4"/>
      <c r="E28" s="4"/>
      <c r="F28" s="4"/>
      <c r="G28" s="4"/>
      <c r="H28" s="4"/>
      <c r="I28" s="4"/>
      <c r="J28" s="4">
        <f t="shared" ref="J28" si="60">J23-J27</f>
        <v>3872</v>
      </c>
      <c r="K28" s="4">
        <f>K23-K27</f>
        <v>4415</v>
      </c>
      <c r="L28" s="4">
        <f t="shared" ref="L28" si="61">L23-L27</f>
        <v>3170</v>
      </c>
      <c r="M28" s="4">
        <f>M23-M27</f>
        <v>3212</v>
      </c>
      <c r="N28" s="4">
        <f t="shared" ref="N28" si="62">N23-N27</f>
        <v>3944</v>
      </c>
      <c r="O28" s="4">
        <f t="shared" ref="O28" si="63">O23-O27</f>
        <v>4059</v>
      </c>
      <c r="P28" s="4">
        <f t="shared" ref="P28" si="64">P23-P27</f>
        <v>6133</v>
      </c>
      <c r="Q28" s="4">
        <f>Q23-Q27</f>
        <v>6256</v>
      </c>
      <c r="R28" s="4">
        <f t="shared" ref="R28" si="65">R23-R27</f>
        <v>6377</v>
      </c>
      <c r="S28" s="4">
        <f>S23-S27</f>
        <v>8903</v>
      </c>
      <c r="T28" s="4">
        <f t="shared" ref="T28:W28" si="66">T23-T27</f>
        <v>7713</v>
      </c>
      <c r="U28" s="4">
        <f t="shared" si="66"/>
        <v>4841</v>
      </c>
      <c r="V28" s="4">
        <f t="shared" si="66"/>
        <v>3484</v>
      </c>
      <c r="W28" s="4">
        <f t="shared" si="66"/>
        <v>3918</v>
      </c>
      <c r="X28" s="4">
        <f t="shared" ref="X28:AF28" si="67">X23-X27</f>
        <v>3407</v>
      </c>
      <c r="Y28" s="4">
        <f>Y23-Y27</f>
        <v>2690</v>
      </c>
      <c r="Z28" s="4">
        <f t="shared" si="67"/>
        <v>3496</v>
      </c>
      <c r="AA28" s="4">
        <f>AA23-AA27</f>
        <v>4997</v>
      </c>
      <c r="AB28" s="4">
        <f t="shared" si="67"/>
        <v>7827</v>
      </c>
      <c r="AC28" s="4">
        <f>AC23-AC27</f>
        <v>11432</v>
      </c>
      <c r="AD28" s="4">
        <f t="shared" si="67"/>
        <v>13363</v>
      </c>
      <c r="AE28" s="4">
        <f t="shared" si="67"/>
        <v>15535</v>
      </c>
      <c r="AF28" s="4">
        <f t="shared" si="67"/>
        <v>10564.764800000004</v>
      </c>
      <c r="AG28" s="4"/>
      <c r="AP28" s="2">
        <f>AP23-AP27</f>
        <v>-469.30999999999995</v>
      </c>
      <c r="AQ28" s="2">
        <f>AQ23-AQ27</f>
        <v>180.10199999999998</v>
      </c>
      <c r="AR28" s="2">
        <f>AR23-AR27</f>
        <v>361.23799999999972</v>
      </c>
      <c r="BC28" s="4">
        <f t="shared" ref="BC28:BE28" si="68">BC23-BC27</f>
        <v>311</v>
      </c>
      <c r="BD28" s="4">
        <f t="shared" si="68"/>
        <v>2404</v>
      </c>
      <c r="BE28" s="4">
        <f t="shared" si="68"/>
        <v>4353</v>
      </c>
      <c r="BF28" s="4">
        <f t="shared" ref="BF28" si="69">BF23-BF27</f>
        <v>4320</v>
      </c>
      <c r="BG28" s="4">
        <f t="shared" ref="BG28:BH28" si="70">BG23-BG27</f>
        <v>12717</v>
      </c>
      <c r="BH28" s="4">
        <f t="shared" si="70"/>
        <v>14741</v>
      </c>
      <c r="BI28" s="4">
        <f t="shared" ref="BI28:BJ28" si="71">BI23-BI27</f>
        <v>22825</v>
      </c>
      <c r="BJ28" s="4">
        <f t="shared" si="71"/>
        <v>24941</v>
      </c>
      <c r="BK28" s="4">
        <f t="shared" ref="BK28:BL28" si="72">BK23-BK27</f>
        <v>13511</v>
      </c>
      <c r="BL28" s="4">
        <f t="shared" si="72"/>
        <v>37619</v>
      </c>
      <c r="BM28" s="4">
        <f t="shared" ref="BM28:BS28" si="73">BM23-BM27</f>
        <v>33623.814999999973</v>
      </c>
      <c r="BN28" s="4">
        <f t="shared" si="73"/>
        <v>51866.383049999888</v>
      </c>
      <c r="BO28" s="4">
        <f t="shared" si="73"/>
        <v>74242.49159650004</v>
      </c>
      <c r="BP28" s="4">
        <f t="shared" si="73"/>
        <v>101805.75270964496</v>
      </c>
      <c r="BQ28" s="4">
        <f t="shared" si="73"/>
        <v>121752.66145819693</v>
      </c>
      <c r="BR28" s="4">
        <f t="shared" si="73"/>
        <v>145125.57894547345</v>
      </c>
      <c r="BS28" s="4">
        <f t="shared" si="73"/>
        <v>172565.2584410306</v>
      </c>
    </row>
    <row r="29" spans="2:133" s="2" customFormat="1" x14ac:dyDescent="0.2">
      <c r="B29" s="2" t="s">
        <v>31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AVERAGE(AB29:AE29)</f>
        <v>-434</v>
      </c>
      <c r="AP29" s="2">
        <f>29.103-139.232</f>
        <v>-110.12899999999999</v>
      </c>
      <c r="AQ29" s="2">
        <f>23.687-142.925</f>
        <v>-119.23800000000001</v>
      </c>
      <c r="AR29" s="2">
        <f>21.955-129.979</f>
        <v>-108.02400000000002</v>
      </c>
      <c r="BC29" s="2">
        <f>-133+39-210-118</f>
        <v>-422</v>
      </c>
      <c r="BD29" s="2">
        <f>-171+50-459-256</f>
        <v>-836</v>
      </c>
      <c r="BE29" s="2">
        <f>-167+100-484+90</f>
        <v>-461</v>
      </c>
      <c r="BF29" s="2">
        <f>-214+202-848+346</f>
        <v>-514</v>
      </c>
      <c r="BG29" s="2">
        <f>-296+440-1417-183</f>
        <v>-1456</v>
      </c>
      <c r="BH29" s="2">
        <f t="shared" ref="BH29" si="74">SUM(K29:N29)</f>
        <v>-766</v>
      </c>
      <c r="BI29" s="2">
        <f t="shared" ref="BI29" si="75">SUM(O29:R29)</f>
        <v>1353</v>
      </c>
      <c r="BJ29" s="2">
        <f t="shared" ref="BJ29" si="76">SUM(S29:V29)</f>
        <v>13210</v>
      </c>
      <c r="BK29" s="2">
        <f>SUM(W29:Z29)</f>
        <v>-9603</v>
      </c>
      <c r="BL29" s="2">
        <f>SUM(AA29:AD29)</f>
        <v>-62</v>
      </c>
      <c r="BM29" s="2">
        <f>+BL46*$BV$45</f>
        <v>284.66000000000003</v>
      </c>
      <c r="BN29" s="2">
        <f t="shared" ref="BN29:BS29" si="77">+BM46*$BV$45</f>
        <v>572.8820374999998</v>
      </c>
      <c r="BO29" s="2">
        <f t="shared" si="77"/>
        <v>1018.6157907437488</v>
      </c>
      <c r="BP29" s="2">
        <f t="shared" si="77"/>
        <v>1658.3352035353212</v>
      </c>
      <c r="BQ29" s="2">
        <f t="shared" si="77"/>
        <v>2537.7799507973536</v>
      </c>
      <c r="BR29" s="2">
        <f t="shared" si="77"/>
        <v>3594.2487027738052</v>
      </c>
      <c r="BS29" s="2">
        <f t="shared" si="77"/>
        <v>4858.3672377839066</v>
      </c>
    </row>
    <row r="30" spans="2:133" s="2" customFormat="1" x14ac:dyDescent="0.2">
      <c r="B30" s="2" t="s">
        <v>30</v>
      </c>
      <c r="C30" s="4"/>
      <c r="D30" s="4"/>
      <c r="E30" s="4"/>
      <c r="F30" s="4"/>
      <c r="G30" s="4"/>
      <c r="H30" s="4"/>
      <c r="I30" s="4"/>
      <c r="J30" s="4">
        <f t="shared" ref="J30" si="78">J28+J29</f>
        <v>3350</v>
      </c>
      <c r="K30" s="4">
        <f>K28+K29</f>
        <v>4401</v>
      </c>
      <c r="L30" s="4">
        <f t="shared" ref="L30" si="79">L28+L29</f>
        <v>2889</v>
      </c>
      <c r="M30" s="4">
        <f>M28+M29</f>
        <v>2632</v>
      </c>
      <c r="N30" s="4">
        <f t="shared" ref="N30" si="80">N28+N29</f>
        <v>4053</v>
      </c>
      <c r="O30" s="4">
        <f t="shared" ref="O30" si="81">O28+O29</f>
        <v>3383</v>
      </c>
      <c r="P30" s="4">
        <f t="shared" ref="P30" si="82">P28+P29</f>
        <v>6221</v>
      </c>
      <c r="Q30" s="4">
        <f>Q28+Q29</f>
        <v>6809</v>
      </c>
      <c r="R30" s="4">
        <f t="shared" ref="R30" si="83">R28+R29</f>
        <v>7765</v>
      </c>
      <c r="S30" s="4">
        <f>S28+S29</f>
        <v>10268</v>
      </c>
      <c r="T30" s="4">
        <f t="shared" ref="T30:AF30" si="84">T28+T29</f>
        <v>8634</v>
      </c>
      <c r="U30" s="4">
        <f t="shared" si="84"/>
        <v>4315</v>
      </c>
      <c r="V30" s="4">
        <f t="shared" si="84"/>
        <v>14934</v>
      </c>
      <c r="W30" s="4">
        <f t="shared" si="84"/>
        <v>-5265</v>
      </c>
      <c r="X30" s="4">
        <f t="shared" si="84"/>
        <v>2982</v>
      </c>
      <c r="Y30" s="4">
        <f t="shared" si="84"/>
        <v>2944</v>
      </c>
      <c r="Z30" s="4">
        <f t="shared" si="84"/>
        <v>3247</v>
      </c>
      <c r="AA30" s="4">
        <f t="shared" si="84"/>
        <v>4119</v>
      </c>
      <c r="AB30" s="4">
        <f t="shared" si="84"/>
        <v>7563</v>
      </c>
      <c r="AC30" s="4">
        <f>AC28+AC29</f>
        <v>12189</v>
      </c>
      <c r="AD30" s="4">
        <f t="shared" si="84"/>
        <v>13686</v>
      </c>
      <c r="AE30" s="4">
        <f t="shared" si="84"/>
        <v>12983</v>
      </c>
      <c r="AF30" s="4">
        <f t="shared" si="84"/>
        <v>10130.764800000004</v>
      </c>
      <c r="AG30" s="4"/>
      <c r="AP30" s="2">
        <f>AP28+AP29</f>
        <v>-579.43899999999996</v>
      </c>
      <c r="AQ30" s="2">
        <f>AQ28+AQ29</f>
        <v>60.863999999999962</v>
      </c>
      <c r="AR30" s="2">
        <f>AR28+AR29</f>
        <v>253.21399999999971</v>
      </c>
      <c r="BC30" s="4">
        <f t="shared" ref="BC30:BE30" si="85">BC28+BC29</f>
        <v>-111</v>
      </c>
      <c r="BD30" s="4">
        <f t="shared" si="85"/>
        <v>1568</v>
      </c>
      <c r="BE30" s="4">
        <f t="shared" si="85"/>
        <v>3892</v>
      </c>
      <c r="BF30" s="4">
        <f t="shared" ref="BF30" si="86">BF28+BF29</f>
        <v>3806</v>
      </c>
      <c r="BG30" s="4">
        <f t="shared" ref="BG30:BH30" si="87">BG28+BG29</f>
        <v>11261</v>
      </c>
      <c r="BH30" s="4">
        <f t="shared" si="87"/>
        <v>13975</v>
      </c>
      <c r="BI30" s="4">
        <f t="shared" ref="BI30:BS30" si="88">BI28+BI29</f>
        <v>24178</v>
      </c>
      <c r="BJ30" s="4">
        <f t="shared" si="88"/>
        <v>38151</v>
      </c>
      <c r="BK30" s="4">
        <f t="shared" si="88"/>
        <v>3908</v>
      </c>
      <c r="BL30" s="4">
        <f t="shared" si="88"/>
        <v>37557</v>
      </c>
      <c r="BM30" s="4">
        <f t="shared" si="88"/>
        <v>33908.474999999977</v>
      </c>
      <c r="BN30" s="4">
        <f t="shared" si="88"/>
        <v>52439.265087499887</v>
      </c>
      <c r="BO30" s="4">
        <f t="shared" si="88"/>
        <v>75261.107387243785</v>
      </c>
      <c r="BP30" s="4">
        <f t="shared" si="88"/>
        <v>103464.08791318028</v>
      </c>
      <c r="BQ30" s="4">
        <f t="shared" si="88"/>
        <v>124290.44140899429</v>
      </c>
      <c r="BR30" s="4">
        <f t="shared" si="88"/>
        <v>148719.82764824724</v>
      </c>
      <c r="BS30" s="4">
        <f t="shared" si="88"/>
        <v>177423.62567881451</v>
      </c>
    </row>
    <row r="31" spans="2:133" s="2" customFormat="1" x14ac:dyDescent="0.2">
      <c r="B31" s="2" t="s">
        <v>32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+AF30*0.2</f>
        <v>2026.152960000001</v>
      </c>
      <c r="AG31" s="4"/>
      <c r="AP31" s="2">
        <v>0</v>
      </c>
      <c r="AQ31" s="2">
        <v>0</v>
      </c>
      <c r="AR31" s="2">
        <v>0</v>
      </c>
      <c r="BC31" s="2">
        <f>167-37</f>
        <v>130</v>
      </c>
      <c r="BD31" s="2">
        <f>950+22</f>
        <v>972</v>
      </c>
      <c r="BE31" s="2">
        <f>1425+96</f>
        <v>1521</v>
      </c>
      <c r="BF31" s="2">
        <f>769+4</f>
        <v>773</v>
      </c>
      <c r="BG31" s="2">
        <f>1197-9</f>
        <v>1188</v>
      </c>
      <c r="BH31" s="2">
        <f t="shared" ref="BH31" si="89">SUM(K31:N31)</f>
        <v>2387</v>
      </c>
      <c r="BI31" s="2">
        <f t="shared" ref="BI31" si="90">SUM(O31:R31)</f>
        <v>2847</v>
      </c>
      <c r="BJ31" s="2">
        <f t="shared" ref="BJ31" si="91">SUM(S31:V31)</f>
        <v>4787</v>
      </c>
      <c r="BK31" s="2">
        <f>SUM(W31:Z31)</f>
        <v>-1349</v>
      </c>
      <c r="BL31" s="2">
        <f>SUM(AA31:AD31)</f>
        <v>7132</v>
      </c>
      <c r="BM31" s="2">
        <f>+BM30*0.15</f>
        <v>5086.2712499999961</v>
      </c>
      <c r="BN31" s="2">
        <f t="shared" ref="BN31:BS31" si="92">+BN30*0.15</f>
        <v>7865.8897631249829</v>
      </c>
      <c r="BO31" s="2">
        <f t="shared" si="92"/>
        <v>11289.166108086567</v>
      </c>
      <c r="BP31" s="2">
        <f t="shared" si="92"/>
        <v>15519.613186977042</v>
      </c>
      <c r="BQ31" s="2">
        <f t="shared" si="92"/>
        <v>18643.566211349142</v>
      </c>
      <c r="BR31" s="2">
        <f t="shared" si="92"/>
        <v>22307.974147237084</v>
      </c>
      <c r="BS31" s="2">
        <f t="shared" si="92"/>
        <v>26613.543851822174</v>
      </c>
    </row>
    <row r="32" spans="2:133" s="2" customFormat="1" x14ac:dyDescent="0.2">
      <c r="B32" s="2" t="s">
        <v>33</v>
      </c>
      <c r="C32" s="4"/>
      <c r="D32" s="4"/>
      <c r="E32" s="4"/>
      <c r="F32" s="4"/>
      <c r="G32" s="4"/>
      <c r="H32" s="4"/>
      <c r="I32" s="4"/>
      <c r="J32" s="4">
        <f t="shared" ref="J32" si="93">J30-J31</f>
        <v>3027</v>
      </c>
      <c r="K32" s="4">
        <f>K30-K31</f>
        <v>3561</v>
      </c>
      <c r="L32" s="4">
        <f t="shared" ref="L32" si="94">L30-L31</f>
        <v>2625</v>
      </c>
      <c r="M32" s="4">
        <f>M30-M31</f>
        <v>2134</v>
      </c>
      <c r="N32" s="4">
        <f t="shared" ref="N32" si="95">N30-N31</f>
        <v>3268</v>
      </c>
      <c r="O32" s="4">
        <f t="shared" ref="O32" si="96">O30-O31</f>
        <v>2535</v>
      </c>
      <c r="P32" s="4">
        <f t="shared" ref="P32" si="97">P30-P31</f>
        <v>5243</v>
      </c>
      <c r="Q32" s="4">
        <f>Q30-Q31</f>
        <v>6331</v>
      </c>
      <c r="R32" s="4">
        <f t="shared" ref="R32" si="98">R30-R31</f>
        <v>7222</v>
      </c>
      <c r="S32" s="4">
        <f>S30-S31</f>
        <v>8107</v>
      </c>
      <c r="T32" s="4">
        <f t="shared" ref="T32:AF32" si="99">T30-T31</f>
        <v>7778</v>
      </c>
      <c r="U32" s="4">
        <f t="shared" si="99"/>
        <v>3156</v>
      </c>
      <c r="V32" s="4">
        <f t="shared" si="99"/>
        <v>14323</v>
      </c>
      <c r="W32" s="4">
        <f t="shared" si="99"/>
        <v>-3844</v>
      </c>
      <c r="X32" s="4">
        <f t="shared" si="99"/>
        <v>2982</v>
      </c>
      <c r="Y32" s="4">
        <f t="shared" si="99"/>
        <v>2872</v>
      </c>
      <c r="Z32" s="4">
        <f t="shared" si="99"/>
        <v>3247</v>
      </c>
      <c r="AA32" s="4">
        <f t="shared" si="99"/>
        <v>3172</v>
      </c>
      <c r="AB32" s="4">
        <f t="shared" si="99"/>
        <v>6750</v>
      </c>
      <c r="AC32" s="4">
        <f t="shared" si="99"/>
        <v>9879</v>
      </c>
      <c r="AD32" s="4">
        <f t="shared" si="99"/>
        <v>10624</v>
      </c>
      <c r="AE32" s="4">
        <f t="shared" si="99"/>
        <v>10431</v>
      </c>
      <c r="AF32" s="4">
        <f t="shared" si="99"/>
        <v>8104.6118400000032</v>
      </c>
      <c r="AG32" s="4"/>
      <c r="AP32" s="2">
        <f>AP30-AP31</f>
        <v>-579.43899999999996</v>
      </c>
      <c r="AQ32" s="2">
        <f>AQ30-AQ31</f>
        <v>60.863999999999962</v>
      </c>
      <c r="AR32" s="2">
        <f>AR30-AR31</f>
        <v>253.21399999999971</v>
      </c>
      <c r="BC32" s="4">
        <f t="shared" ref="BC32:BE32" si="100">BC30-BC31</f>
        <v>-241</v>
      </c>
      <c r="BD32" s="4">
        <f t="shared" si="100"/>
        <v>596</v>
      </c>
      <c r="BE32" s="4">
        <f t="shared" si="100"/>
        <v>2371</v>
      </c>
      <c r="BF32" s="4">
        <f t="shared" ref="BF32" si="101">BF30-BF31</f>
        <v>3033</v>
      </c>
      <c r="BG32" s="4">
        <f t="shared" ref="BG32:BH32" si="102">BG30-BG31</f>
        <v>10073</v>
      </c>
      <c r="BH32" s="4">
        <f t="shared" si="102"/>
        <v>11588</v>
      </c>
      <c r="BI32" s="4">
        <f t="shared" ref="BI32:BL32" si="103">BI30-BI31</f>
        <v>21331</v>
      </c>
      <c r="BJ32" s="4">
        <f t="shared" si="103"/>
        <v>33364</v>
      </c>
      <c r="BK32" s="4">
        <f t="shared" si="103"/>
        <v>5257</v>
      </c>
      <c r="BL32" s="4">
        <f t="shared" si="103"/>
        <v>30425</v>
      </c>
      <c r="BM32" s="4">
        <f t="shared" ref="BM32:BS32" si="104">BM30-BM31</f>
        <v>28822.203749999979</v>
      </c>
      <c r="BN32" s="4">
        <f t="shared" si="104"/>
        <v>44573.375324374902</v>
      </c>
      <c r="BO32" s="4">
        <f t="shared" si="104"/>
        <v>63971.941279157218</v>
      </c>
      <c r="BP32" s="4">
        <f t="shared" si="104"/>
        <v>87944.474726203232</v>
      </c>
      <c r="BQ32" s="4">
        <f t="shared" si="104"/>
        <v>105646.87519764515</v>
      </c>
      <c r="BR32" s="4">
        <f t="shared" si="104"/>
        <v>126411.85350101016</v>
      </c>
      <c r="BS32" s="4">
        <f t="shared" si="104"/>
        <v>150810.08182699233</v>
      </c>
      <c r="BT32" s="2">
        <f>+BS32*(1+$BV$46)</f>
        <v>150810.08182699233</v>
      </c>
      <c r="BU32" s="2">
        <f t="shared" ref="BU32:EC32" si="105">+BT32*(1+$BV$46)</f>
        <v>150810.08182699233</v>
      </c>
      <c r="BV32" s="2">
        <f t="shared" si="105"/>
        <v>150810.08182699233</v>
      </c>
      <c r="BW32" s="2">
        <f t="shared" si="105"/>
        <v>150810.08182699233</v>
      </c>
      <c r="BX32" s="2">
        <f t="shared" si="105"/>
        <v>150810.08182699233</v>
      </c>
      <c r="BY32" s="2">
        <f t="shared" si="105"/>
        <v>150810.08182699233</v>
      </c>
      <c r="BZ32" s="2">
        <f t="shared" si="105"/>
        <v>150810.08182699233</v>
      </c>
      <c r="CA32" s="2">
        <f t="shared" si="105"/>
        <v>150810.08182699233</v>
      </c>
      <c r="CB32" s="2">
        <f t="shared" si="105"/>
        <v>150810.08182699233</v>
      </c>
      <c r="CC32" s="2">
        <f t="shared" si="105"/>
        <v>150810.08182699233</v>
      </c>
      <c r="CD32" s="2">
        <f t="shared" si="105"/>
        <v>150810.08182699233</v>
      </c>
      <c r="CE32" s="2">
        <f t="shared" si="105"/>
        <v>150810.08182699233</v>
      </c>
      <c r="CF32" s="2">
        <f t="shared" si="105"/>
        <v>150810.08182699233</v>
      </c>
      <c r="CG32" s="2">
        <f t="shared" si="105"/>
        <v>150810.08182699233</v>
      </c>
      <c r="CH32" s="2">
        <f t="shared" si="105"/>
        <v>150810.08182699233</v>
      </c>
      <c r="CI32" s="2">
        <f t="shared" si="105"/>
        <v>150810.08182699233</v>
      </c>
      <c r="CJ32" s="2">
        <f t="shared" si="105"/>
        <v>150810.08182699233</v>
      </c>
      <c r="CK32" s="2">
        <f t="shared" si="105"/>
        <v>150810.08182699233</v>
      </c>
      <c r="CL32" s="2">
        <f t="shared" si="105"/>
        <v>150810.08182699233</v>
      </c>
      <c r="CM32" s="2">
        <f t="shared" si="105"/>
        <v>150810.08182699233</v>
      </c>
      <c r="CN32" s="2">
        <f t="shared" si="105"/>
        <v>150810.08182699233</v>
      </c>
      <c r="CO32" s="2">
        <f t="shared" si="105"/>
        <v>150810.08182699233</v>
      </c>
      <c r="CP32" s="2">
        <f t="shared" si="105"/>
        <v>150810.08182699233</v>
      </c>
      <c r="CQ32" s="2">
        <f t="shared" si="105"/>
        <v>150810.08182699233</v>
      </c>
      <c r="CR32" s="2">
        <f t="shared" si="105"/>
        <v>150810.08182699233</v>
      </c>
      <c r="CS32" s="2">
        <f t="shared" si="105"/>
        <v>150810.08182699233</v>
      </c>
      <c r="CT32" s="2">
        <f t="shared" si="105"/>
        <v>150810.08182699233</v>
      </c>
      <c r="CU32" s="2">
        <f t="shared" si="105"/>
        <v>150810.08182699233</v>
      </c>
      <c r="CV32" s="2">
        <f t="shared" si="105"/>
        <v>150810.08182699233</v>
      </c>
      <c r="CW32" s="2">
        <f t="shared" si="105"/>
        <v>150810.08182699233</v>
      </c>
      <c r="CX32" s="2">
        <f t="shared" si="105"/>
        <v>150810.08182699233</v>
      </c>
      <c r="CY32" s="2">
        <f t="shared" si="105"/>
        <v>150810.08182699233</v>
      </c>
      <c r="CZ32" s="2">
        <f t="shared" si="105"/>
        <v>150810.08182699233</v>
      </c>
      <c r="DA32" s="2">
        <f t="shared" si="105"/>
        <v>150810.08182699233</v>
      </c>
      <c r="DB32" s="2">
        <f t="shared" si="105"/>
        <v>150810.08182699233</v>
      </c>
      <c r="DC32" s="2">
        <f t="shared" si="105"/>
        <v>150810.08182699233</v>
      </c>
      <c r="DD32" s="2">
        <f t="shared" si="105"/>
        <v>150810.08182699233</v>
      </c>
      <c r="DE32" s="2">
        <f t="shared" si="105"/>
        <v>150810.08182699233</v>
      </c>
      <c r="DF32" s="2">
        <f t="shared" si="105"/>
        <v>150810.08182699233</v>
      </c>
      <c r="DG32" s="2">
        <f t="shared" si="105"/>
        <v>150810.08182699233</v>
      </c>
      <c r="DH32" s="2">
        <f t="shared" si="105"/>
        <v>150810.08182699233</v>
      </c>
      <c r="DI32" s="2">
        <f t="shared" si="105"/>
        <v>150810.08182699233</v>
      </c>
      <c r="DJ32" s="2">
        <f t="shared" si="105"/>
        <v>150810.08182699233</v>
      </c>
      <c r="DK32" s="2">
        <f t="shared" si="105"/>
        <v>150810.08182699233</v>
      </c>
      <c r="DL32" s="2">
        <f t="shared" si="105"/>
        <v>150810.08182699233</v>
      </c>
      <c r="DM32" s="2">
        <f t="shared" si="105"/>
        <v>150810.08182699233</v>
      </c>
      <c r="DN32" s="2">
        <f t="shared" si="105"/>
        <v>150810.08182699233</v>
      </c>
      <c r="DO32" s="2">
        <f t="shared" si="105"/>
        <v>150810.08182699233</v>
      </c>
      <c r="DP32" s="2">
        <f t="shared" si="105"/>
        <v>150810.08182699233</v>
      </c>
      <c r="DQ32" s="2">
        <f t="shared" si="105"/>
        <v>150810.08182699233</v>
      </c>
      <c r="DR32" s="2">
        <f t="shared" si="105"/>
        <v>150810.08182699233</v>
      </c>
      <c r="DS32" s="2">
        <f t="shared" si="105"/>
        <v>150810.08182699233</v>
      </c>
      <c r="DT32" s="2">
        <f t="shared" si="105"/>
        <v>150810.08182699233</v>
      </c>
      <c r="DU32" s="2">
        <f t="shared" si="105"/>
        <v>150810.08182699233</v>
      </c>
      <c r="DV32" s="2">
        <f t="shared" si="105"/>
        <v>150810.08182699233</v>
      </c>
      <c r="DW32" s="2">
        <f t="shared" si="105"/>
        <v>150810.08182699233</v>
      </c>
      <c r="DX32" s="2">
        <f t="shared" si="105"/>
        <v>150810.08182699233</v>
      </c>
      <c r="DY32" s="2">
        <f t="shared" si="105"/>
        <v>150810.08182699233</v>
      </c>
      <c r="DZ32" s="2">
        <f t="shared" si="105"/>
        <v>150810.08182699233</v>
      </c>
      <c r="EA32" s="2">
        <f t="shared" si="105"/>
        <v>150810.08182699233</v>
      </c>
      <c r="EB32" s="2">
        <f t="shared" si="105"/>
        <v>150810.08182699233</v>
      </c>
      <c r="EC32" s="2">
        <f t="shared" si="105"/>
        <v>150810.08182699233</v>
      </c>
    </row>
    <row r="33" spans="2:74" x14ac:dyDescent="0.2">
      <c r="B33" s="2" t="s">
        <v>34</v>
      </c>
      <c r="C33" s="7"/>
      <c r="D33" s="7"/>
      <c r="E33" s="7"/>
      <c r="F33" s="7"/>
      <c r="G33" s="7"/>
      <c r="H33" s="7"/>
      <c r="I33" s="7"/>
      <c r="J33" s="7">
        <f t="shared" ref="J33" si="106">J32/J34</f>
        <v>6.0419161676646711</v>
      </c>
      <c r="K33" s="7">
        <f>K32/K34</f>
        <v>7.0936254980079685</v>
      </c>
      <c r="L33" s="7">
        <f t="shared" ref="L33" si="107">L32/L34</f>
        <v>5.2186878727634198</v>
      </c>
      <c r="M33" s="7">
        <f>M32/M34</f>
        <v>4.2341269841269842</v>
      </c>
      <c r="N33" s="7">
        <f t="shared" ref="N33" si="108">N32/N34</f>
        <v>6.4712871287128717</v>
      </c>
      <c r="O33" s="7">
        <f t="shared" ref="O33" si="109">O32/O34</f>
        <v>5.0098814229249014</v>
      </c>
      <c r="P33" s="7">
        <f t="shared" ref="P33" si="110">P32/P34</f>
        <v>10.300589390962672</v>
      </c>
      <c r="Q33" s="7">
        <f>Q32/Q34</f>
        <v>12.365234375</v>
      </c>
      <c r="R33" s="7">
        <f t="shared" ref="R33" si="111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F33" si="112">X32/X34</f>
        <v>0.29307125307125309</v>
      </c>
      <c r="Y33" s="7">
        <f t="shared" si="112"/>
        <v>0.27799825767108705</v>
      </c>
      <c r="Z33" s="7">
        <f t="shared" si="112"/>
        <v>0.31499805975941014</v>
      </c>
      <c r="AA33" s="7">
        <f t="shared" si="112"/>
        <v>0.3065622885860636</v>
      </c>
      <c r="AB33" s="7">
        <f t="shared" si="112"/>
        <v>0.64599483204134367</v>
      </c>
      <c r="AC33" s="7">
        <f t="shared" si="112"/>
        <v>0.93568857738207989</v>
      </c>
      <c r="AD33" s="7">
        <f t="shared" si="112"/>
        <v>1.0013195098963241</v>
      </c>
      <c r="AE33" s="7">
        <f t="shared" si="112"/>
        <v>0.97760074976569822</v>
      </c>
      <c r="AF33" s="7">
        <f t="shared" si="112"/>
        <v>0.75956999437675754</v>
      </c>
      <c r="AG33" s="7"/>
      <c r="AP33" s="1">
        <f>AP32/AP34</f>
        <v>-1.5909431620681416</v>
      </c>
      <c r="AQ33" s="1">
        <f>AQ32/AQ34</f>
        <v>0.16086139500955421</v>
      </c>
      <c r="AR33" s="1">
        <f>AR32/AR34</f>
        <v>0.60382208741105259</v>
      </c>
      <c r="BC33" s="7">
        <f t="shared" ref="BC33" si="113">BC32/BC34</f>
        <v>-0.52164502164502169</v>
      </c>
      <c r="BD33" s="7">
        <f t="shared" ref="BD33" si="114">BD32/BD34</f>
        <v>1.249475890985325</v>
      </c>
      <c r="BE33" s="7">
        <f t="shared" ref="BE33" si="115">BE32/BE34</f>
        <v>4.8987603305785123</v>
      </c>
      <c r="BF33" s="7">
        <f t="shared" ref="BF33" si="116">BF32/BF34</f>
        <v>6.1521298174442194</v>
      </c>
      <c r="BG33" s="7">
        <f t="shared" ref="BG33:BH33" si="117">BG32/BG34</f>
        <v>20.146000000000001</v>
      </c>
      <c r="BH33" s="7">
        <f t="shared" si="117"/>
        <v>23.014895729890764</v>
      </c>
      <c r="BI33" s="7">
        <f>BI32/BI34</f>
        <v>41.825490196078434</v>
      </c>
      <c r="BJ33" s="7">
        <f>BJ32/BJ34</f>
        <v>6.1676679914964412</v>
      </c>
      <c r="BK33" s="7">
        <f t="shared" ref="BK33:BL33" si="118">BK32/BK34</f>
        <v>0.51665847665847664</v>
      </c>
      <c r="BL33" s="7">
        <f t="shared" si="118"/>
        <v>2.9001048517777144</v>
      </c>
      <c r="BM33" s="7">
        <f t="shared" ref="BM33" si="119">BM32/BM34</f>
        <v>2.7473266371175273</v>
      </c>
      <c r="BN33" s="7">
        <f t="shared" ref="BN33" si="120">BN32/BN34</f>
        <v>4.2487251286221426</v>
      </c>
      <c r="BO33" s="7">
        <f t="shared" ref="BO33" si="121">BO32/BO34</f>
        <v>6.0977925154091333</v>
      </c>
      <c r="BP33" s="7">
        <f t="shared" ref="BP33" si="122">BP32/BP34</f>
        <v>8.3828495592606274</v>
      </c>
      <c r="BQ33" s="7">
        <f t="shared" ref="BQ33" si="123">BQ32/BQ34</f>
        <v>10.070238794933291</v>
      </c>
      <c r="BR33" s="7">
        <f t="shared" ref="BR33" si="124">BR32/BR34</f>
        <v>12.049552330665348</v>
      </c>
      <c r="BS33" s="7">
        <f t="shared" ref="BS33" si="125">BS32/BS34</f>
        <v>14.375186524353477</v>
      </c>
    </row>
    <row r="34" spans="2:74" x14ac:dyDescent="0.2">
      <c r="B34" s="2" t="s">
        <v>2</v>
      </c>
      <c r="J34" s="3">
        <v>501</v>
      </c>
      <c r="K34" s="3">
        <v>502</v>
      </c>
      <c r="L34" s="3">
        <v>503</v>
      </c>
      <c r="M34" s="3">
        <v>504</v>
      </c>
      <c r="N34" s="3">
        <v>505</v>
      </c>
      <c r="O34" s="3">
        <v>506</v>
      </c>
      <c r="P34" s="3">
        <v>509</v>
      </c>
      <c r="Q34" s="3">
        <v>512</v>
      </c>
      <c r="R34" s="3">
        <v>513</v>
      </c>
      <c r="S34" s="3">
        <v>513</v>
      </c>
      <c r="T34" s="4">
        <v>10286</v>
      </c>
      <c r="U34" s="3">
        <v>515</v>
      </c>
      <c r="V34" s="3">
        <v>10324</v>
      </c>
      <c r="W34" s="3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f>+AE34</f>
        <v>10670</v>
      </c>
      <c r="AG34" s="4"/>
      <c r="AN34" s="2">
        <v>161.096869</v>
      </c>
      <c r="AP34" s="2">
        <v>364.21100000000001</v>
      </c>
      <c r="AQ34" s="2">
        <v>378.363</v>
      </c>
      <c r="AR34" s="2">
        <v>419.35199999999998</v>
      </c>
      <c r="BC34" s="2">
        <v>462</v>
      </c>
      <c r="BD34" s="2">
        <v>477</v>
      </c>
      <c r="BE34" s="2">
        <v>484</v>
      </c>
      <c r="BF34" s="4">
        <v>493</v>
      </c>
      <c r="BG34" s="4">
        <v>500</v>
      </c>
      <c r="BH34" s="4">
        <f>AVERAGE(K34:N34)</f>
        <v>503.5</v>
      </c>
      <c r="BI34" s="4">
        <f>AVERAGE(O34:R34)</f>
        <v>510</v>
      </c>
      <c r="BJ34" s="4">
        <f>AVERAGE(S34:V34)</f>
        <v>5409.5</v>
      </c>
      <c r="BK34" s="2">
        <f>X34</f>
        <v>10175</v>
      </c>
      <c r="BL34" s="2">
        <f>AVERAGE(AA34:AD34)</f>
        <v>10491</v>
      </c>
      <c r="BM34" s="2">
        <f>+BL34</f>
        <v>10491</v>
      </c>
      <c r="BN34" s="2">
        <f t="shared" ref="BN34:BS34" si="126">+BM34</f>
        <v>10491</v>
      </c>
      <c r="BO34" s="2">
        <f t="shared" si="126"/>
        <v>10491</v>
      </c>
      <c r="BP34" s="2">
        <f t="shared" si="126"/>
        <v>10491</v>
      </c>
      <c r="BQ34" s="2">
        <f t="shared" si="126"/>
        <v>10491</v>
      </c>
      <c r="BR34" s="2">
        <f t="shared" si="126"/>
        <v>10491</v>
      </c>
      <c r="BS34" s="2">
        <f t="shared" si="126"/>
        <v>10491</v>
      </c>
    </row>
    <row r="36" spans="2:74" s="11" customFormat="1" x14ac:dyDescent="0.2">
      <c r="B36" s="5" t="s">
        <v>38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R36" si="127">P20/L20-1</f>
        <v>0.40230900258658764</v>
      </c>
      <c r="Q36" s="10">
        <f t="shared" si="127"/>
        <v>0.37387290836084075</v>
      </c>
      <c r="R36" s="10">
        <f t="shared" si="127"/>
        <v>0.43594816839553041</v>
      </c>
      <c r="S36" s="10">
        <f t="shared" ref="S36" si="128">S20/O20-1</f>
        <v>0.43823888034777081</v>
      </c>
      <c r="T36" s="10">
        <f t="shared" ref="T36" si="129">T20/P20-1</f>
        <v>0.27181932697498645</v>
      </c>
      <c r="U36" s="10">
        <f t="shared" ref="U36" si="130">U20/Q20-1</f>
        <v>0.15255083467679031</v>
      </c>
      <c r="V36" s="10">
        <f t="shared" ref="V36" si="131">V20/R20-1</f>
        <v>9.4436701047349692E-2</v>
      </c>
      <c r="W36" s="10">
        <f>W20/S20-1</f>
        <v>7.3038574245747334E-2</v>
      </c>
      <c r="X36" s="10">
        <f t="shared" ref="X36:AF36" si="132">X20/T20-1</f>
        <v>7.2108241952600016E-2</v>
      </c>
      <c r="Y36" s="10">
        <f>Y20/U20-1</f>
        <v>0.14699671515720314</v>
      </c>
      <c r="Z36" s="10">
        <f t="shared" si="132"/>
        <v>8.5814921549791867E-2</v>
      </c>
      <c r="AA36" s="10">
        <f>AA20/W20-1</f>
        <v>9.3727456975026602E-2</v>
      </c>
      <c r="AB36" s="10">
        <f t="shared" si="132"/>
        <v>0.10845967302901816</v>
      </c>
      <c r="AC36" s="10">
        <f t="shared" si="132"/>
        <v>0.125742519728405</v>
      </c>
      <c r="AD36" s="10">
        <f t="shared" si="132"/>
        <v>0.13911825420230017</v>
      </c>
      <c r="AE36" s="10">
        <f t="shared" si="132"/>
        <v>0.12527677884388888</v>
      </c>
      <c r="AF36" s="10">
        <f>AF20/AB20-1</f>
        <v>8.0000000000000071E-2</v>
      </c>
      <c r="AG36" s="10"/>
      <c r="AM36" s="15">
        <f t="shared" ref="AM36:AN36" si="133">AM20/AL20-1</f>
        <v>3.1263372285789677</v>
      </c>
      <c r="AN36" s="15">
        <f t="shared" si="133"/>
        <v>1.6890585567192891</v>
      </c>
      <c r="AO36" s="15">
        <f t="shared" ref="AO36" si="134">AO20/AN20-1</f>
        <v>0.68430132470321792</v>
      </c>
      <c r="AP36" s="15">
        <f t="shared" ref="AP36" si="135">AP20/AO20-1</f>
        <v>0.1305040617556299</v>
      </c>
      <c r="AQ36" s="15">
        <f t="shared" ref="AQ36" si="136">AQ20/AP20-1</f>
        <v>0.25957418461821291</v>
      </c>
      <c r="AR36" s="15">
        <f t="shared" ref="AR36" si="137">AR20/AQ20-1</f>
        <v>0.3383637567455966</v>
      </c>
      <c r="AS36" s="15">
        <f t="shared" ref="AS36" si="138">AS20/AR20-1</f>
        <v>0.31485481977597884</v>
      </c>
      <c r="AT36" s="15">
        <f t="shared" ref="AT36" si="139">AT20/AS20-1</f>
        <v>0.22670134373645423</v>
      </c>
      <c r="AU36" s="15">
        <f t="shared" ref="AU36" si="140">AU20/AT20-1</f>
        <v>0.26160188457008249</v>
      </c>
      <c r="AV36" s="15">
        <f t="shared" ref="AV36" si="141">AV20/AU20-1</f>
        <v>0.38502474092054895</v>
      </c>
      <c r="AW36" s="15">
        <f t="shared" ref="AW36" si="142">AW20/AV20-1</f>
        <v>0.29194472531176263</v>
      </c>
      <c r="AX36" s="15">
        <f t="shared" ref="AX36" si="143">AX20/AW20-1</f>
        <v>0.27877491391004905</v>
      </c>
      <c r="AY36" s="15">
        <f t="shared" ref="AY36" si="144">AY20/AX20-1</f>
        <v>0.39556897466236896</v>
      </c>
      <c r="AZ36" s="15">
        <f t="shared" ref="AZ36" si="145">AZ20/AY20-1</f>
        <v>0.40559583674424049</v>
      </c>
      <c r="BA36" s="15">
        <f t="shared" ref="BA36" si="146">BA20/AZ20-1</f>
        <v>0.27073236682821311</v>
      </c>
      <c r="BB36" s="15">
        <f t="shared" ref="BB36:BF36" si="147">BB20/BA20-1</f>
        <v>0.21866662301736706</v>
      </c>
      <c r="BC36" s="15">
        <f t="shared" si="147"/>
        <v>0.1952398861011122</v>
      </c>
      <c r="BD36" s="15">
        <f t="shared" si="147"/>
        <v>0.20247673843664304</v>
      </c>
      <c r="BE36" s="15">
        <f t="shared" si="147"/>
        <v>0.27083528026465808</v>
      </c>
      <c r="BF36" s="15">
        <f t="shared" si="147"/>
        <v>0.30796326119408479</v>
      </c>
      <c r="BG36" s="15">
        <f t="shared" ref="BG36" si="148">BG20/BF20-1</f>
        <v>0.3093396152159491</v>
      </c>
      <c r="BH36" s="15">
        <f t="shared" ref="BH36" si="149">BH20/BG20-1</f>
        <v>0.20454125820676983</v>
      </c>
      <c r="BI36" s="15">
        <f t="shared" ref="BI36" si="150">BI20/BH20-1</f>
        <v>0.37623430604373276</v>
      </c>
      <c r="BJ36" s="15">
        <f>BJ20/BI20-1</f>
        <v>0.21695366571345676</v>
      </c>
      <c r="BK36" s="15">
        <f t="shared" ref="BK36:BS36" si="151">BK20/BJ20-1</f>
        <v>9.399517263985091E-2</v>
      </c>
      <c r="BL36" s="15">
        <f>BL20/BK20-1</f>
        <v>0.1182957412988368</v>
      </c>
      <c r="BM36" s="15">
        <f t="shared" si="151"/>
        <v>9.7052376105848381E-2</v>
      </c>
      <c r="BN36" s="15">
        <f t="shared" si="151"/>
        <v>0.10437523317224873</v>
      </c>
      <c r="BO36" s="15">
        <f t="shared" si="151"/>
        <v>0.11263099590824455</v>
      </c>
      <c r="BP36" s="15">
        <f t="shared" si="151"/>
        <v>0.12181773034139209</v>
      </c>
      <c r="BQ36" s="15">
        <f t="shared" si="151"/>
        <v>9.4732369013925899E-2</v>
      </c>
      <c r="BR36" s="15">
        <f t="shared" si="151"/>
        <v>9.9033758693974017E-2</v>
      </c>
      <c r="BS36" s="15">
        <f t="shared" si="151"/>
        <v>0.10353840131598058</v>
      </c>
    </row>
    <row r="37" spans="2:74" x14ac:dyDescent="0.2">
      <c r="B37" s="2" t="s">
        <v>100</v>
      </c>
      <c r="I37" s="8"/>
      <c r="K37" s="8"/>
      <c r="L37" s="8"/>
      <c r="M37" s="8"/>
      <c r="N37" s="8"/>
      <c r="O37" s="8">
        <f t="shared" ref="O37:O38" si="152">+O18/K18-1</f>
        <v>0.22045911968030807</v>
      </c>
      <c r="P37" s="8">
        <f t="shared" ref="P37:P38" si="153">+P18/L18-1</f>
        <v>0.40127175368139234</v>
      </c>
      <c r="Q37" s="8">
        <f t="shared" ref="Q37:Q38" si="154">+Q18/M18-1</f>
        <v>0.32844988168957356</v>
      </c>
      <c r="R37" s="8">
        <f t="shared" ref="R37:R38" si="155">+R18/N18-1</f>
        <v>0.40588025800324479</v>
      </c>
      <c r="S37" s="8">
        <f t="shared" ref="S37:W37" si="156">+S18/O18-1</f>
        <v>0.37403503740350375</v>
      </c>
      <c r="T37" s="8">
        <f t="shared" si="156"/>
        <v>0.15444630204601539</v>
      </c>
      <c r="U37" s="8">
        <f t="shared" si="156"/>
        <v>3.9830219426232549E-2</v>
      </c>
      <c r="V37" s="8">
        <f t="shared" si="156"/>
        <v>5.0664264805224679E-3</v>
      </c>
      <c r="W37" s="8">
        <f t="shared" si="156"/>
        <v>-1.8020211859247515E-2</v>
      </c>
      <c r="X37" s="8">
        <f>+X18/T18-1</f>
        <v>-2.4636231984001111E-2</v>
      </c>
      <c r="Y37" s="8">
        <f>+Y18/U18-1</f>
        <v>8.1347036956046281E-2</v>
      </c>
      <c r="Z37" s="8">
        <f>+Z18/V18-1</f>
        <v>-1.2392181023860194E-2</v>
      </c>
      <c r="AA37" s="8">
        <f>+AA18/W18-1</f>
        <v>9.317155256398868E-3</v>
      </c>
      <c r="AB37" s="8">
        <f t="shared" ref="AB37:AF38" si="157">+AB18/X18-1</f>
        <v>4.342907644719407E-2</v>
      </c>
      <c r="AC37" s="8">
        <f t="shared" si="157"/>
        <v>6.4560161779575242E-2</v>
      </c>
      <c r="AD37" s="8">
        <f t="shared" si="157"/>
        <v>8.7507620762501626E-2</v>
      </c>
      <c r="AE37" s="8">
        <f t="shared" si="157"/>
        <v>6.9040557378775347E-2</v>
      </c>
      <c r="AF37" s="8">
        <f>+AF18/AB18-1</f>
        <v>8.0000000000000071E-2</v>
      </c>
      <c r="AG37" s="8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</row>
    <row r="38" spans="2:74" x14ac:dyDescent="0.2">
      <c r="B38" s="2" t="s">
        <v>101</v>
      </c>
      <c r="I38" s="8"/>
      <c r="K38" s="8"/>
      <c r="L38" s="8"/>
      <c r="M38" s="8"/>
      <c r="N38" s="8"/>
      <c r="O38" s="8">
        <f t="shared" si="152"/>
        <v>0.32238265727662596</v>
      </c>
      <c r="P38" s="8">
        <f t="shared" si="153"/>
        <v>0.40365906780891536</v>
      </c>
      <c r="Q38" s="8">
        <f t="shared" si="154"/>
        <v>0.43351512146752613</v>
      </c>
      <c r="R38" s="8">
        <f t="shared" si="155"/>
        <v>0.47713782355332701</v>
      </c>
      <c r="S38" s="8">
        <f t="shared" ref="S38" si="158">+S19/O19-1</f>
        <v>0.5181636964089138</v>
      </c>
      <c r="T38" s="8">
        <f t="shared" ref="T38" si="159">+T19/P19-1</f>
        <v>0.42433019551049966</v>
      </c>
      <c r="U38" s="8">
        <f t="shared" ref="U38" si="160">+U19/Q19-1</f>
        <v>0.28970971386410271</v>
      </c>
      <c r="V38" s="8">
        <f t="shared" ref="V38" si="161">+V19/R19-1</f>
        <v>0.21095799922934355</v>
      </c>
      <c r="W38" s="8">
        <f t="shared" ref="W38:AA38" si="162">+W19/S19-1</f>
        <v>0.17563250827993016</v>
      </c>
      <c r="X38" s="8">
        <f t="shared" si="162"/>
        <v>0.17399593289273008</v>
      </c>
      <c r="Y38" s="8">
        <f t="shared" si="162"/>
        <v>0.21140231693363853</v>
      </c>
      <c r="Z38" s="8">
        <f t="shared" si="162"/>
        <v>0.19208739923631746</v>
      </c>
      <c r="AA38" s="8">
        <f t="shared" si="162"/>
        <v>0.17316508026471511</v>
      </c>
      <c r="AB38" s="8">
        <f t="shared" si="157"/>
        <v>0.16535981069920669</v>
      </c>
      <c r="AC38" s="8">
        <f t="shared" si="157"/>
        <v>0.179321438585617</v>
      </c>
      <c r="AD38" s="8">
        <f t="shared" si="157"/>
        <v>0.1853876170986235</v>
      </c>
      <c r="AE38" s="8">
        <f t="shared" si="157"/>
        <v>0.17080864486977276</v>
      </c>
      <c r="AF38" s="8">
        <f>+AF19/AB19-1</f>
        <v>8.0000000000000071E-2</v>
      </c>
      <c r="AG38" s="8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</row>
    <row r="39" spans="2:74" x14ac:dyDescent="0.2">
      <c r="B39" s="2" t="s">
        <v>56</v>
      </c>
      <c r="N39" s="8">
        <f t="shared" ref="N39" si="163">+N11/J11-1</f>
        <v>0.14652704535181549</v>
      </c>
      <c r="O39" s="8">
        <f t="shared" ref="O39" si="164">+O11/K11-1</f>
        <v>0.24252491694352152</v>
      </c>
      <c r="P39" s="8">
        <f t="shared" ref="P39" si="165">+P11/L11-1</f>
        <v>0.47798924419540789</v>
      </c>
      <c r="Q39" s="8">
        <f t="shared" ref="Q39" si="166">+Q11/M11-1</f>
        <v>0.37989097862381915</v>
      </c>
      <c r="R39" s="8">
        <f t="shared" ref="R39:V39" si="167">+R11/N11-1</f>
        <v>0.45543947258908823</v>
      </c>
      <c r="S39" s="8">
        <f t="shared" si="167"/>
        <v>0.44333187820582776</v>
      </c>
      <c r="T39" s="8">
        <f t="shared" si="167"/>
        <v>0.15820550810528156</v>
      </c>
      <c r="U39" s="8">
        <f t="shared" si="167"/>
        <v>3.2926577042399208E-2</v>
      </c>
      <c r="V39" s="8">
        <f t="shared" si="167"/>
        <v>-5.6583046154309313E-3</v>
      </c>
      <c r="W39" s="8">
        <f>+W11/S11-1</f>
        <v>-3.3496531256497986E-2</v>
      </c>
      <c r="X39" s="8">
        <f t="shared" ref="X39:AF39" si="168">+X11/T11-1</f>
        <v>-4.3305679402524611E-2</v>
      </c>
      <c r="Y39" s="8">
        <f t="shared" si="168"/>
        <v>7.102238596772259E-2</v>
      </c>
      <c r="Z39" s="8">
        <f t="shared" si="168"/>
        <v>-2.3367385546727237E-2</v>
      </c>
      <c r="AA39" s="8">
        <f t="shared" si="168"/>
        <v>-6.4542627471686487E-4</v>
      </c>
      <c r="AB39" s="8">
        <f t="shared" si="168"/>
        <v>4.1510175990561393E-2</v>
      </c>
      <c r="AC39" s="8">
        <f t="shared" si="168"/>
        <v>7.0631344762474457E-2</v>
      </c>
      <c r="AD39" s="8">
        <f t="shared" si="168"/>
        <v>9.3164525576854507E-2</v>
      </c>
      <c r="AE39" s="8">
        <f>+AE11/AA11-1</f>
        <v>6.9946766870205179E-2</v>
      </c>
      <c r="AF39" s="8">
        <f>+AF11/AB11-1</f>
        <v>-1</v>
      </c>
      <c r="AG39" s="8"/>
      <c r="BG39" s="13"/>
      <c r="BH39" s="13">
        <f t="shared" ref="BH39" si="169">BH11/BG11-1</f>
        <v>0.14847097660728359</v>
      </c>
      <c r="BI39" s="13">
        <f t="shared" ref="BI39" si="170">BI11/BH11-1</f>
        <v>0.39719073679440986</v>
      </c>
      <c r="BJ39" s="13">
        <f>BJ11/BI11-1</f>
        <v>0.12529072860769497</v>
      </c>
      <c r="BK39" s="13">
        <f t="shared" ref="BK39:BS39" si="171">BK11/BJ11-1</f>
        <v>-9.3256782618484912E-3</v>
      </c>
      <c r="BL39" s="13">
        <f t="shared" si="171"/>
        <v>5.3944473736841081E-2</v>
      </c>
      <c r="BM39" s="13">
        <f t="shared" si="171"/>
        <v>5.0000000000000044E-2</v>
      </c>
      <c r="BN39" s="13">
        <f t="shared" si="171"/>
        <v>5.0000000000000044E-2</v>
      </c>
      <c r="BO39" s="13">
        <f t="shared" si="171"/>
        <v>5.0000000000000044E-2</v>
      </c>
      <c r="BP39" s="13">
        <f t="shared" si="171"/>
        <v>5.0000000000000044E-2</v>
      </c>
      <c r="BQ39" s="13">
        <f t="shared" si="171"/>
        <v>5.0000000000000044E-2</v>
      </c>
      <c r="BR39" s="13">
        <f t="shared" si="171"/>
        <v>5.0000000000000044E-2</v>
      </c>
      <c r="BS39" s="13">
        <f t="shared" si="171"/>
        <v>5.0000000000000044E-2</v>
      </c>
    </row>
    <row r="40" spans="2:74" x14ac:dyDescent="0.2">
      <c r="B40" s="2" t="s">
        <v>57</v>
      </c>
      <c r="N40" s="8">
        <f t="shared" ref="N40:V40" si="172">+N13/J13-1</f>
        <v>0.30359411193304942</v>
      </c>
      <c r="O40" s="8">
        <f t="shared" si="172"/>
        <v>0.29961403823714217</v>
      </c>
      <c r="P40" s="8">
        <f t="shared" si="172"/>
        <v>0.52106671125229886</v>
      </c>
      <c r="Q40" s="8">
        <f t="shared" si="172"/>
        <v>0.54677565849227983</v>
      </c>
      <c r="R40" s="8">
        <f t="shared" si="172"/>
        <v>0.56637624670411557</v>
      </c>
      <c r="S40" s="8">
        <f t="shared" si="172"/>
        <v>0.63747496374058987</v>
      </c>
      <c r="T40" s="8">
        <f t="shared" si="172"/>
        <v>0.37867546029128873</v>
      </c>
      <c r="U40" s="8">
        <f t="shared" si="172"/>
        <v>0.18672930123311793</v>
      </c>
      <c r="V40" s="8">
        <f t="shared" si="172"/>
        <v>0.10952537783144867</v>
      </c>
      <c r="W40" s="8">
        <f>+W13/S13-1</f>
        <v>6.8581551309629285E-2</v>
      </c>
      <c r="X40" s="8">
        <f t="shared" ref="X40:AF40" si="173">+X13/T13-1</f>
        <v>9.1329479768786026E-2</v>
      </c>
      <c r="Y40" s="8">
        <f t="shared" si="173"/>
        <v>0.18200560778492503</v>
      </c>
      <c r="Z40" s="8">
        <f t="shared" si="173"/>
        <v>0.19851583113456472</v>
      </c>
      <c r="AA40" s="8">
        <f t="shared" si="173"/>
        <v>0.177027827116637</v>
      </c>
      <c r="AB40" s="8">
        <f t="shared" si="173"/>
        <v>0.18103448275862077</v>
      </c>
      <c r="AC40" s="8">
        <f t="shared" si="173"/>
        <v>0.19800460475825021</v>
      </c>
      <c r="AD40" s="8">
        <f t="shared" si="173"/>
        <v>0.19868460882247718</v>
      </c>
      <c r="AE40" s="8">
        <f>+AE13/AA13-1</f>
        <v>0.16016096579476868</v>
      </c>
      <c r="AF40" s="8">
        <f>+AF13/AB13-1</f>
        <v>-1</v>
      </c>
      <c r="AG40" s="8"/>
      <c r="BG40" s="13"/>
      <c r="BH40" s="13">
        <f t="shared" ref="BH40" si="174">BH13/BG13-1</f>
        <v>0.25771435255585451</v>
      </c>
      <c r="BI40" s="13">
        <f t="shared" ref="BI40" si="175">BI13/BH13-1</f>
        <v>0.4961961273041795</v>
      </c>
      <c r="BJ40" s="13">
        <f>BJ13/BI13-1</f>
        <v>0.28505538495965776</v>
      </c>
      <c r="BK40" s="13">
        <f t="shared" ref="BK40:BS40" si="176">BK13/BJ13-1</f>
        <v>0.13882708047133496</v>
      </c>
      <c r="BL40" s="13">
        <f t="shared" si="176"/>
        <v>0.18975330456352579</v>
      </c>
      <c r="BM40" s="13">
        <f t="shared" si="176"/>
        <v>5.0000000000000044E-2</v>
      </c>
      <c r="BN40" s="13">
        <f t="shared" si="176"/>
        <v>5.0000000000000044E-2</v>
      </c>
      <c r="BO40" s="13">
        <f t="shared" si="176"/>
        <v>5.0000000000000044E-2</v>
      </c>
      <c r="BP40" s="13">
        <f t="shared" si="176"/>
        <v>5.0000000000000044E-2</v>
      </c>
      <c r="BQ40" s="13">
        <f t="shared" si="176"/>
        <v>5.0000000000000044E-2</v>
      </c>
      <c r="BR40" s="13">
        <f t="shared" si="176"/>
        <v>5.0000000000000044E-2</v>
      </c>
      <c r="BS40" s="13">
        <f t="shared" si="176"/>
        <v>5.0000000000000044E-2</v>
      </c>
    </row>
    <row r="41" spans="2:74" x14ac:dyDescent="0.2">
      <c r="B41" s="2" t="s">
        <v>58</v>
      </c>
      <c r="N41" s="8">
        <f t="shared" ref="N41:V42" si="177">+N14/J14-1</f>
        <v>0.3223036120232381</v>
      </c>
      <c r="O41" s="8">
        <f t="shared" si="177"/>
        <v>0.27959465684016571</v>
      </c>
      <c r="P41" s="8">
        <f t="shared" si="177"/>
        <v>0.28699743370402042</v>
      </c>
      <c r="Q41" s="8">
        <f t="shared" si="177"/>
        <v>0.32580189630825096</v>
      </c>
      <c r="R41" s="8">
        <f t="shared" si="177"/>
        <v>0.34880611270296091</v>
      </c>
      <c r="S41" s="8">
        <f t="shared" si="177"/>
        <v>0.36429085673146155</v>
      </c>
      <c r="T41" s="8">
        <f t="shared" si="177"/>
        <v>0.31555333998005985</v>
      </c>
      <c r="U41" s="8">
        <f t="shared" si="177"/>
        <v>0.23980523432744971</v>
      </c>
      <c r="V41" s="8">
        <f t="shared" si="177"/>
        <v>0.15040362554878905</v>
      </c>
      <c r="W41" s="8">
        <f>+W14/S14-1</f>
        <v>0.10949868073878632</v>
      </c>
      <c r="X41" s="8">
        <f t="shared" ref="X41:AF42" si="178">+X14/T14-1</f>
        <v>0.10092206643930779</v>
      </c>
      <c r="Y41" s="8">
        <f t="shared" si="178"/>
        <v>9.2660775650466265E-2</v>
      </c>
      <c r="Z41" s="8">
        <f t="shared" si="178"/>
        <v>0.13123230333620572</v>
      </c>
      <c r="AA41" s="8">
        <f t="shared" si="178"/>
        <v>0.14827586206896548</v>
      </c>
      <c r="AB41" s="8">
        <f t="shared" si="178"/>
        <v>0.13515374024782001</v>
      </c>
      <c r="AC41" s="8">
        <f t="shared" si="178"/>
        <v>0.14231158036616876</v>
      </c>
      <c r="AD41" s="8">
        <f t="shared" si="178"/>
        <v>0.14136467515507678</v>
      </c>
      <c r="AE41" s="8">
        <f>+AE14/AA14-1</f>
        <v>0.22439681060370709</v>
      </c>
      <c r="AF41" s="8">
        <f>+AF14/AB14-1</f>
        <v>-1</v>
      </c>
      <c r="AG41" s="8"/>
      <c r="BG41" s="13"/>
      <c r="BH41" s="13">
        <f t="shared" ref="BH41" si="179">BH14/BG14-1</f>
        <v>0.35596809486835612</v>
      </c>
      <c r="BI41" s="13">
        <f t="shared" ref="BI41" si="180">BI14/BH14-1</f>
        <v>0.31218115564810001</v>
      </c>
      <c r="BJ41" s="13">
        <f>BJ14/BI14-1</f>
        <v>0.26028484151227826</v>
      </c>
      <c r="BK41" s="13">
        <f t="shared" ref="BK41:BS41" si="181">BK14/BJ14-1</f>
        <v>0.10859984890455809</v>
      </c>
      <c r="BL41" s="13">
        <f t="shared" si="181"/>
        <v>0.14171730365154178</v>
      </c>
      <c r="BM41" s="13">
        <f t="shared" si="181"/>
        <v>0.10000000000000009</v>
      </c>
      <c r="BN41" s="13">
        <f t="shared" si="181"/>
        <v>0.10000000000000009</v>
      </c>
      <c r="BO41" s="13">
        <f t="shared" si="181"/>
        <v>0.10000000000000009</v>
      </c>
      <c r="BP41" s="13">
        <f t="shared" si="181"/>
        <v>0.10000000000000009</v>
      </c>
      <c r="BQ41" s="13">
        <f t="shared" si="181"/>
        <v>5.0000000000000044E-2</v>
      </c>
      <c r="BR41" s="13">
        <f t="shared" si="181"/>
        <v>5.0000000000000044E-2</v>
      </c>
      <c r="BS41" s="13">
        <f t="shared" si="181"/>
        <v>5.0000000000000044E-2</v>
      </c>
    </row>
    <row r="42" spans="2:74" x14ac:dyDescent="0.2">
      <c r="B42" s="2" t="s">
        <v>59</v>
      </c>
      <c r="N42" s="8">
        <f t="shared" si="177"/>
        <v>0.41145218417945695</v>
      </c>
      <c r="O42" s="8">
        <f t="shared" si="177"/>
        <v>0.43814432989690721</v>
      </c>
      <c r="P42" s="8">
        <f t="shared" si="177"/>
        <v>0.40606262491672229</v>
      </c>
      <c r="Q42" s="8">
        <f t="shared" si="177"/>
        <v>0.50529838259899607</v>
      </c>
      <c r="R42" s="8">
        <f t="shared" si="177"/>
        <v>0.53701380175658731</v>
      </c>
      <c r="S42" s="8">
        <f t="shared" si="177"/>
        <v>0.63364055299539168</v>
      </c>
      <c r="T42" s="8">
        <f t="shared" si="177"/>
        <v>0.76522151149016815</v>
      </c>
      <c r="U42" s="8">
        <f t="shared" si="177"/>
        <v>0.41015190811411628</v>
      </c>
      <c r="V42" s="8">
        <f t="shared" si="177"/>
        <v>0.32190476190476192</v>
      </c>
      <c r="W42" s="8">
        <f t="shared" ref="W42" si="182">+W15/S15-1</f>
        <v>0.23444601159692846</v>
      </c>
      <c r="X42" s="8">
        <f t="shared" si="178"/>
        <v>0.17527848610924712</v>
      </c>
      <c r="Y42" s="8">
        <f t="shared" si="178"/>
        <v>0.25433526011560703</v>
      </c>
      <c r="Z42" s="8">
        <f t="shared" si="178"/>
        <v>0.18948126801152743</v>
      </c>
      <c r="AA42" s="8">
        <f t="shared" si="178"/>
        <v>0.20718547670432907</v>
      </c>
      <c r="AB42" s="8">
        <f t="shared" si="178"/>
        <v>0.21993833504624871</v>
      </c>
      <c r="AC42" s="8">
        <f t="shared" si="178"/>
        <v>0.26309174696271476</v>
      </c>
      <c r="AD42" s="8">
        <f t="shared" si="178"/>
        <v>0.26797611836981905</v>
      </c>
      <c r="AE42" s="8">
        <f>+AE15/AA15-1</f>
        <v>0.12756336102639598</v>
      </c>
      <c r="AF42" s="8">
        <f>+AF15/AB15-1</f>
        <v>-1</v>
      </c>
      <c r="AG42" s="8"/>
      <c r="BG42" s="13"/>
      <c r="BH42" s="13">
        <f t="shared" ref="BH42" si="183">BH15/BG15-1</f>
        <v>0.39354966363276622</v>
      </c>
      <c r="BI42" s="13">
        <f t="shared" ref="BI42:BJ42" si="184">BI15/BH15-1</f>
        <v>0.4819679114013915</v>
      </c>
      <c r="BJ42" s="13">
        <f t="shared" si="184"/>
        <v>0.49269461077844312</v>
      </c>
      <c r="BK42" s="13">
        <f t="shared" ref="BK42:BS42" si="185">BK15/BJ15-1</f>
        <v>0.21113607188703476</v>
      </c>
      <c r="BL42" s="13">
        <f t="shared" si="185"/>
        <v>0.24290521741434601</v>
      </c>
      <c r="BM42" s="13">
        <f t="shared" si="185"/>
        <v>0.10000000000000009</v>
      </c>
      <c r="BN42" s="13">
        <f t="shared" si="185"/>
        <v>0.10000000000000009</v>
      </c>
      <c r="BO42" s="13">
        <f t="shared" si="185"/>
        <v>0.10000000000000009</v>
      </c>
      <c r="BP42" s="13">
        <f t="shared" si="185"/>
        <v>0.10000000000000009</v>
      </c>
      <c r="BQ42" s="13">
        <f t="shared" si="185"/>
        <v>5.0000000000000044E-2</v>
      </c>
      <c r="BR42" s="13">
        <f t="shared" si="185"/>
        <v>5.0000000000000044E-2</v>
      </c>
      <c r="BS42" s="13">
        <f t="shared" si="185"/>
        <v>5.0000000000000044E-2</v>
      </c>
    </row>
    <row r="43" spans="2:74" x14ac:dyDescent="0.2">
      <c r="B43" s="2" t="s">
        <v>39</v>
      </c>
      <c r="N43" s="8">
        <f t="shared" ref="N43:O43" si="186">N9/J9-1</f>
        <v>0.33970390309555865</v>
      </c>
      <c r="O43" s="8">
        <f t="shared" si="186"/>
        <v>0.32783264033264037</v>
      </c>
      <c r="P43" s="8">
        <f t="shared" ref="P43" si="187">P9/L9-1</f>
        <v>0.28958358191146649</v>
      </c>
      <c r="Q43" s="8">
        <f t="shared" ref="Q43" si="188">Q9/M9-1</f>
        <v>0.28971650917176217</v>
      </c>
      <c r="R43" s="8">
        <f t="shared" ref="R43" si="189">R9/N9-1</f>
        <v>0.28008840667068524</v>
      </c>
      <c r="S43" s="8">
        <f t="shared" ref="S43" si="190">S9/O9-1</f>
        <v>0.32136216850963883</v>
      </c>
      <c r="T43" s="8">
        <f t="shared" ref="T43" si="191">T9/P9-1</f>
        <v>0.37018874907475952</v>
      </c>
      <c r="U43" s="8">
        <f t="shared" ref="U43" si="192">U9/Q9-1</f>
        <v>0.3886733902249806</v>
      </c>
      <c r="V43" s="8">
        <f t="shared" ref="V43:AA43" si="193">V9/R9-1</f>
        <v>0.39538533982106427</v>
      </c>
      <c r="W43" s="8">
        <f t="shared" si="193"/>
        <v>0.36569651188624741</v>
      </c>
      <c r="X43" s="8">
        <f t="shared" si="193"/>
        <v>0.33290566547369838</v>
      </c>
      <c r="Y43" s="8">
        <f t="shared" si="193"/>
        <v>0.27486033519553077</v>
      </c>
      <c r="Z43" s="8">
        <f t="shared" si="193"/>
        <v>0.20236220472440936</v>
      </c>
      <c r="AA43" s="8">
        <f t="shared" si="193"/>
        <v>0.157963234097934</v>
      </c>
      <c r="AB43" s="8">
        <f t="shared" ref="AB43:AF43" si="194">AB9/X9-1</f>
        <v>0.12163736764780375</v>
      </c>
      <c r="AC43" s="8">
        <f t="shared" si="194"/>
        <v>0.1227480767358069</v>
      </c>
      <c r="AD43" s="8">
        <f t="shared" si="194"/>
        <v>0.13219197305641317</v>
      </c>
      <c r="AE43" s="8">
        <f>AE9/AA9-1</f>
        <v>0.17247354125690739</v>
      </c>
      <c r="AF43" s="8">
        <f>AF9/AB9-1</f>
        <v>-1</v>
      </c>
      <c r="AG43" s="8"/>
      <c r="BD43" s="13">
        <f t="shared" ref="BD43:BF43" si="195">BD9/BC9-1</f>
        <v>0.69681309216192933</v>
      </c>
      <c r="BE43" s="13">
        <f t="shared" si="195"/>
        <v>0.55063451776649752</v>
      </c>
      <c r="BF43" s="13">
        <f t="shared" si="195"/>
        <v>0.42884033063262139</v>
      </c>
      <c r="BG43" s="13">
        <f t="shared" ref="BG43" si="196">BG9/BF9-1</f>
        <v>0.46944269431238905</v>
      </c>
      <c r="BH43" s="13">
        <f t="shared" ref="BH43" si="197">BH9/BG9-1</f>
        <v>0.36526992788930035</v>
      </c>
      <c r="BI43" s="13">
        <f t="shared" ref="BI43" si="198">BI9/BH9-1</f>
        <v>0.29532347399074976</v>
      </c>
      <c r="BJ43" s="13">
        <f>BJ9/BI9-1</f>
        <v>0.37099404893101173</v>
      </c>
      <c r="BK43" s="13">
        <f t="shared" ref="BK43:BS43" si="199">BK9/BJ9-1</f>
        <v>0.28767563743931057</v>
      </c>
      <c r="BL43" s="13">
        <f t="shared" si="199"/>
        <v>0.13310277666799841</v>
      </c>
      <c r="BM43" s="13">
        <f t="shared" si="199"/>
        <v>0.30000000000000004</v>
      </c>
      <c r="BN43" s="13">
        <f t="shared" si="199"/>
        <v>0.30000000000000004</v>
      </c>
      <c r="BO43" s="13">
        <f t="shared" si="199"/>
        <v>0.30000000000000004</v>
      </c>
      <c r="BP43" s="13">
        <f t="shared" si="199"/>
        <v>0.30000000000000004</v>
      </c>
      <c r="BQ43" s="13">
        <f t="shared" si="199"/>
        <v>0.19999999999999996</v>
      </c>
      <c r="BR43" s="13">
        <f t="shared" si="199"/>
        <v>0.19999999999999996</v>
      </c>
      <c r="BS43" s="13">
        <f t="shared" si="199"/>
        <v>0.19999999999999996</v>
      </c>
    </row>
    <row r="44" spans="2:74" x14ac:dyDescent="0.2">
      <c r="B44" s="2" t="s">
        <v>29</v>
      </c>
      <c r="C44" s="16"/>
      <c r="D44" s="16"/>
      <c r="E44" s="16"/>
      <c r="F44" s="16"/>
      <c r="G44" s="16"/>
      <c r="H44" s="16"/>
      <c r="I44" s="16"/>
      <c r="J44" s="16">
        <f t="shared" ref="J44:O44" si="200">J23/J20</f>
        <v>0.24272273876462705</v>
      </c>
      <c r="K44" s="16">
        <f t="shared" si="200"/>
        <v>0.28775544388609714</v>
      </c>
      <c r="L44" s="16">
        <f t="shared" si="200"/>
        <v>0.28067629802536115</v>
      </c>
      <c r="M44" s="16">
        <f t="shared" si="200"/>
        <v>0.26452894357039769</v>
      </c>
      <c r="N44" s="16">
        <f t="shared" si="200"/>
        <v>0.24323798849457323</v>
      </c>
      <c r="O44" s="16">
        <f t="shared" si="200"/>
        <v>0.26061602078142393</v>
      </c>
      <c r="P44" s="16">
        <f>P23/P20</f>
        <v>0.25245186251574592</v>
      </c>
      <c r="Q44" s="16">
        <f>Q23/Q20</f>
        <v>0.25309688491341203</v>
      </c>
      <c r="R44" s="16">
        <f>R23/R20</f>
        <v>0.22139301501334077</v>
      </c>
      <c r="S44" s="16">
        <f>S23/S20</f>
        <v>0.2726275825208721</v>
      </c>
      <c r="T44" s="16">
        <f t="shared" ref="T44:W44" si="201">T23/T20</f>
        <v>0.27649451715599577</v>
      </c>
      <c r="U44" s="16">
        <f t="shared" si="201"/>
        <v>0.26516983720174708</v>
      </c>
      <c r="V44" s="16">
        <f>V23/V20</f>
        <v>0.23383692836142403</v>
      </c>
      <c r="W44" s="16">
        <f t="shared" si="201"/>
        <v>0.25483494211809971</v>
      </c>
      <c r="X44" s="16">
        <f t="shared" ref="X44:AD44" si="202">X23/X20</f>
        <v>0.2843096821023805</v>
      </c>
      <c r="Y44" s="16">
        <f>Y23/Y20</f>
        <v>0.28520625329462396</v>
      </c>
      <c r="Z44" s="16">
        <f>Z23/Z20</f>
        <v>0.27117905686174631</v>
      </c>
      <c r="AA44" s="16">
        <f>AA23/AA20</f>
        <v>0.30356946560090453</v>
      </c>
      <c r="AB44" s="16">
        <f t="shared" si="202"/>
        <v>0.32522714926739243</v>
      </c>
      <c r="AC44" s="16">
        <f t="shared" si="202"/>
        <v>0.3197235171194342</v>
      </c>
      <c r="AD44" s="16">
        <f t="shared" si="202"/>
        <v>0.30191043827701647</v>
      </c>
      <c r="AE44" s="17">
        <f>AE23/AE20</f>
        <v>0.33746415189131479</v>
      </c>
      <c r="AF44" s="16">
        <f>AF23/AF20</f>
        <v>0.32</v>
      </c>
      <c r="AG44" s="16"/>
      <c r="BC44" s="14">
        <f t="shared" ref="BC44:BE44" si="203">BC23/BC20</f>
        <v>0.17384366431428958</v>
      </c>
      <c r="BD44" s="14">
        <f t="shared" si="203"/>
        <v>0.20508195802104554</v>
      </c>
      <c r="BE44" s="14">
        <f t="shared" si="203"/>
        <v>0.22136674829211617</v>
      </c>
      <c r="BF44" s="14">
        <f t="shared" ref="BF44" si="204">BF23/BF20</f>
        <v>0.22872836854710848</v>
      </c>
      <c r="BG44" s="14">
        <f t="shared" ref="BG44:BH44" si="205">BG23/BG20</f>
        <v>0.25636467471348767</v>
      </c>
      <c r="BH44" s="14">
        <f t="shared" si="205"/>
        <v>0.26648533804835273</v>
      </c>
      <c r="BI44" s="14">
        <f t="shared" ref="BI44" si="206">BI23/BI20</f>
        <v>0.24410719466202496</v>
      </c>
      <c r="BJ44" s="14">
        <f>BJ23/BJ20</f>
        <v>0.26045395915900066</v>
      </c>
      <c r="BK44" s="14">
        <f t="shared" ref="BK44:BS44" si="207">BK23/BK20</f>
        <v>0.27404213758042584</v>
      </c>
      <c r="BL44" s="14">
        <f t="shared" si="207"/>
        <v>0.31216367859286515</v>
      </c>
      <c r="BM44" s="14">
        <f t="shared" si="207"/>
        <v>0.28495847997662427</v>
      </c>
      <c r="BN44" s="14">
        <f t="shared" si="207"/>
        <v>0.29051526396001626</v>
      </c>
      <c r="BO44" s="14">
        <f t="shared" si="207"/>
        <v>0.29581068980258746</v>
      </c>
      <c r="BP44" s="14">
        <f t="shared" si="207"/>
        <v>0.30074780240646226</v>
      </c>
      <c r="BQ44" s="14">
        <f t="shared" si="207"/>
        <v>0.30071724610417139</v>
      </c>
      <c r="BR44" s="14">
        <f t="shared" si="207"/>
        <v>0.30068524592936513</v>
      </c>
      <c r="BS44" s="14">
        <f t="shared" si="207"/>
        <v>0.30065200107669582</v>
      </c>
      <c r="BU44" t="s">
        <v>77</v>
      </c>
      <c r="BV44" s="13">
        <v>0.08</v>
      </c>
    </row>
    <row r="45" spans="2:74" x14ac:dyDescent="0.2">
      <c r="BU45" t="s">
        <v>76</v>
      </c>
      <c r="BV45" s="13">
        <v>0.01</v>
      </c>
    </row>
    <row r="46" spans="2:74" x14ac:dyDescent="0.2">
      <c r="B46" s="2" t="s">
        <v>75</v>
      </c>
      <c r="O46" s="4">
        <f t="shared" ref="O46:P46" si="208">+O47-O60</f>
        <v>25855</v>
      </c>
      <c r="P46" s="4">
        <f t="shared" si="208"/>
        <v>38263</v>
      </c>
      <c r="Q46" s="4">
        <f t="shared" ref="Q46" si="209">+Q47-Q60</f>
        <v>35473</v>
      </c>
      <c r="R46" s="4">
        <f t="shared" ref="R46:AB46" si="210">+R47-R60</f>
        <v>52580</v>
      </c>
      <c r="S46" s="4">
        <f t="shared" si="210"/>
        <v>41402</v>
      </c>
      <c r="T46" s="4">
        <f t="shared" si="210"/>
        <v>39615</v>
      </c>
      <c r="U46" s="4">
        <f t="shared" si="210"/>
        <v>28933</v>
      </c>
      <c r="V46" s="4">
        <f t="shared" si="210"/>
        <v>47305</v>
      </c>
      <c r="W46" s="4">
        <f t="shared" si="210"/>
        <v>18829</v>
      </c>
      <c r="X46" s="4">
        <f t="shared" si="210"/>
        <v>2657</v>
      </c>
      <c r="Y46" s="4">
        <f t="shared" si="210"/>
        <v>-257</v>
      </c>
      <c r="Z46" s="4">
        <f t="shared" si="210"/>
        <v>2876</v>
      </c>
      <c r="AA46" s="4">
        <f t="shared" si="210"/>
        <v>-2679</v>
      </c>
      <c r="AB46" s="4">
        <f t="shared" si="210"/>
        <v>878</v>
      </c>
      <c r="AC46" s="4">
        <f t="shared" ref="AC46:AD46" si="211">+AC47-AC60</f>
        <v>3071</v>
      </c>
      <c r="AD46" s="4">
        <f t="shared" si="211"/>
        <v>28466</v>
      </c>
      <c r="AE46" s="4">
        <f t="shared" ref="AE46" si="212">+AE47-AE60</f>
        <v>27440</v>
      </c>
      <c r="AF46" s="4"/>
      <c r="AG46" s="4"/>
      <c r="AH46" s="4"/>
      <c r="AI46" s="4"/>
      <c r="AJ46" s="4"/>
      <c r="AK46" s="4"/>
      <c r="AL46" s="4"/>
      <c r="BK46" s="2">
        <f>+Z46</f>
        <v>2876</v>
      </c>
      <c r="BL46" s="2">
        <f>+AD46</f>
        <v>28466</v>
      </c>
      <c r="BM46" s="2">
        <f>+BL46+BM32</f>
        <v>57288.203749999979</v>
      </c>
      <c r="BN46" s="2">
        <f t="shared" ref="BN46:BS46" si="213">+BM46+BN32</f>
        <v>101861.57907437488</v>
      </c>
      <c r="BO46" s="2">
        <f t="shared" si="213"/>
        <v>165833.52035353211</v>
      </c>
      <c r="BP46" s="2">
        <f t="shared" si="213"/>
        <v>253777.99507973535</v>
      </c>
      <c r="BQ46" s="2">
        <f t="shared" si="213"/>
        <v>359424.87027738051</v>
      </c>
      <c r="BR46" s="2">
        <f t="shared" si="213"/>
        <v>485836.72377839067</v>
      </c>
      <c r="BS46" s="2">
        <f t="shared" si="213"/>
        <v>636646.80560538301</v>
      </c>
      <c r="BU46" t="s">
        <v>78</v>
      </c>
      <c r="BV46" s="13">
        <v>0</v>
      </c>
    </row>
    <row r="47" spans="2:74" s="2" customFormat="1" x14ac:dyDescent="0.2">
      <c r="B47" s="2" t="s">
        <v>4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>
        <f>27201+22091</f>
        <v>49292</v>
      </c>
      <c r="P47" s="4">
        <f>37466+33925</f>
        <v>71391</v>
      </c>
      <c r="Q47" s="4">
        <f>29930+38472</f>
        <v>68402</v>
      </c>
      <c r="R47" s="4">
        <f>42122+42274</f>
        <v>84396</v>
      </c>
      <c r="S47" s="4">
        <f>33834+39436</f>
        <v>73270</v>
      </c>
      <c r="T47" s="4">
        <f>40380+49514</f>
        <v>89894</v>
      </c>
      <c r="U47" s="4">
        <f>29944+49044</f>
        <v>78988</v>
      </c>
      <c r="V47" s="4">
        <f>36220+59829</f>
        <v>96049</v>
      </c>
      <c r="W47" s="4">
        <f>36393+29992</f>
        <v>66385</v>
      </c>
      <c r="X47" s="4">
        <f>37478+23232</f>
        <v>60710</v>
      </c>
      <c r="Y47" s="4">
        <f>34947+23715</f>
        <v>58662</v>
      </c>
      <c r="Z47" s="4">
        <f>53888+16138</f>
        <v>70026</v>
      </c>
      <c r="AA47" s="2">
        <f>49343+15062</f>
        <v>64405</v>
      </c>
      <c r="AB47" s="2">
        <f>49529+14441</f>
        <v>63970</v>
      </c>
      <c r="AC47" s="2">
        <f>49605+14564</f>
        <v>64169</v>
      </c>
      <c r="AD47" s="2">
        <f>73387+13393</f>
        <v>86780</v>
      </c>
      <c r="AE47" s="2">
        <f>72852+12222</f>
        <v>85074</v>
      </c>
      <c r="BU47" s="2" t="s">
        <v>79</v>
      </c>
      <c r="BV47" s="2">
        <f>NPV(BV44,BL32:EC32)+Main!K5-Main!K6</f>
        <v>1454245.3940996223</v>
      </c>
    </row>
    <row r="48" spans="2:74" s="2" customFormat="1" x14ac:dyDescent="0.2">
      <c r="B48" s="2" t="s">
        <v>63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v>18857</v>
      </c>
      <c r="P48" s="4">
        <v>19599</v>
      </c>
      <c r="Q48" s="4">
        <v>23735</v>
      </c>
      <c r="R48" s="4">
        <v>23795</v>
      </c>
      <c r="S48" s="4">
        <v>23849</v>
      </c>
      <c r="T48" s="4">
        <v>24119</v>
      </c>
      <c r="U48" s="4">
        <v>30933</v>
      </c>
      <c r="V48" s="4">
        <v>32640</v>
      </c>
      <c r="W48" s="4">
        <v>34987</v>
      </c>
      <c r="X48" s="4">
        <v>38153</v>
      </c>
      <c r="Y48" s="4">
        <v>36647</v>
      </c>
      <c r="Z48" s="4">
        <v>34405</v>
      </c>
      <c r="AA48" s="2">
        <v>34170</v>
      </c>
      <c r="AB48" s="2">
        <v>36587</v>
      </c>
      <c r="AC48" s="2">
        <v>35406</v>
      </c>
      <c r="AD48" s="2">
        <v>33318</v>
      </c>
      <c r="AE48" s="2">
        <v>31147</v>
      </c>
      <c r="BV48" s="1">
        <f>+BV47/Main!K3</f>
        <v>139.74223695214539</v>
      </c>
    </row>
    <row r="49" spans="2:31" s="2" customFormat="1" x14ac:dyDescent="0.2">
      <c r="B49" s="2" t="s">
        <v>64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17836</v>
      </c>
      <c r="P49" s="4">
        <v>19918</v>
      </c>
      <c r="Q49" s="4">
        <v>20832</v>
      </c>
      <c r="R49" s="4">
        <v>24542</v>
      </c>
      <c r="S49" s="4">
        <v>24289</v>
      </c>
      <c r="T49" s="4">
        <v>26835</v>
      </c>
      <c r="U49" s="4">
        <v>28610</v>
      </c>
      <c r="V49" s="4">
        <v>32891</v>
      </c>
      <c r="W49" s="4">
        <v>32504</v>
      </c>
      <c r="X49" s="4">
        <v>34804</v>
      </c>
      <c r="Y49" s="4">
        <v>36154</v>
      </c>
      <c r="Z49" s="4">
        <v>42360</v>
      </c>
      <c r="AA49" s="2">
        <v>37646</v>
      </c>
      <c r="AB49" s="2">
        <v>39925</v>
      </c>
      <c r="AC49" s="2">
        <v>43420</v>
      </c>
      <c r="AD49" s="2">
        <v>52253</v>
      </c>
      <c r="AE49" s="2">
        <v>47768</v>
      </c>
    </row>
    <row r="50" spans="2:31" s="2" customFormat="1" x14ac:dyDescent="0.2">
      <c r="B50" s="2" t="s">
        <v>65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77779</v>
      </c>
      <c r="P50" s="4">
        <v>86517</v>
      </c>
      <c r="Q50" s="4">
        <v>99981</v>
      </c>
      <c r="R50" s="4">
        <v>113114</v>
      </c>
      <c r="S50" s="4">
        <v>121461</v>
      </c>
      <c r="T50" s="4">
        <v>133502</v>
      </c>
      <c r="U50" s="4">
        <v>147152</v>
      </c>
      <c r="V50" s="4">
        <v>160281</v>
      </c>
      <c r="W50" s="4">
        <v>168468</v>
      </c>
      <c r="X50" s="4">
        <v>173706</v>
      </c>
      <c r="Y50" s="4">
        <v>177195</v>
      </c>
      <c r="Z50" s="4">
        <v>186715</v>
      </c>
      <c r="AA50" s="2">
        <v>190754</v>
      </c>
      <c r="AB50" s="2">
        <v>193784</v>
      </c>
      <c r="AC50" s="2">
        <v>196468</v>
      </c>
      <c r="AD50" s="2">
        <v>204177</v>
      </c>
      <c r="AE50" s="2">
        <v>209950</v>
      </c>
    </row>
    <row r="51" spans="2:31" s="2" customFormat="1" x14ac:dyDescent="0.2">
      <c r="B51" s="2" t="s">
        <v>66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26279</v>
      </c>
      <c r="P51" s="4">
        <v>28537</v>
      </c>
      <c r="Q51" s="4">
        <v>34119</v>
      </c>
      <c r="R51" s="4">
        <v>37553</v>
      </c>
      <c r="S51" s="4">
        <v>39328</v>
      </c>
      <c r="T51" s="4">
        <v>43346</v>
      </c>
      <c r="U51" s="4">
        <v>52151</v>
      </c>
      <c r="V51" s="4">
        <v>56082</v>
      </c>
      <c r="W51" s="4">
        <v>56161</v>
      </c>
      <c r="X51" s="4">
        <v>58430</v>
      </c>
      <c r="Y51" s="4">
        <v>62033</v>
      </c>
      <c r="Z51" s="4">
        <v>66123</v>
      </c>
      <c r="AA51" s="2">
        <v>68262</v>
      </c>
      <c r="AB51" s="2">
        <v>70332</v>
      </c>
      <c r="AC51" s="2">
        <v>70758</v>
      </c>
      <c r="AD51" s="2">
        <v>72513</v>
      </c>
      <c r="AE51" s="2">
        <v>73313</v>
      </c>
    </row>
    <row r="52" spans="2:31" s="2" customFormat="1" x14ac:dyDescent="0.2">
      <c r="B52" s="2" t="s">
        <v>67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14739</v>
      </c>
      <c r="P52" s="4">
        <v>14751</v>
      </c>
      <c r="Q52" s="4">
        <v>14960</v>
      </c>
      <c r="R52" s="4">
        <v>15017</v>
      </c>
      <c r="S52" s="4">
        <v>15220</v>
      </c>
      <c r="T52" s="4">
        <v>15350</v>
      </c>
      <c r="U52" s="4">
        <v>15345</v>
      </c>
      <c r="V52" s="4">
        <v>15371</v>
      </c>
      <c r="W52" s="4">
        <v>20229</v>
      </c>
      <c r="X52" s="4">
        <v>20195</v>
      </c>
      <c r="Y52" s="4">
        <v>20168</v>
      </c>
      <c r="Z52" s="4">
        <v>20288</v>
      </c>
      <c r="AA52" s="2">
        <f>22749</f>
        <v>22749</v>
      </c>
      <c r="AB52" s="2">
        <v>22785</v>
      </c>
      <c r="AC52" s="2">
        <v>22749</v>
      </c>
      <c r="AD52" s="2">
        <v>22789</v>
      </c>
      <c r="AE52" s="2">
        <v>22770</v>
      </c>
    </row>
    <row r="53" spans="2:31" s="2" customFormat="1" x14ac:dyDescent="0.2">
      <c r="B53" s="2" t="s">
        <v>68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16456</v>
      </c>
      <c r="P53" s="4">
        <v>17601</v>
      </c>
      <c r="Q53" s="4">
        <v>20150</v>
      </c>
      <c r="R53" s="4">
        <v>22778</v>
      </c>
      <c r="S53" s="4">
        <v>25660</v>
      </c>
      <c r="T53" s="4">
        <v>27273</v>
      </c>
      <c r="U53" s="4">
        <v>29227</v>
      </c>
      <c r="V53" s="4">
        <v>27235</v>
      </c>
      <c r="W53" s="4">
        <v>32033</v>
      </c>
      <c r="X53" s="4">
        <v>33730</v>
      </c>
      <c r="Y53" s="4">
        <v>37503</v>
      </c>
      <c r="Z53" s="4">
        <v>42758</v>
      </c>
      <c r="AA53" s="2">
        <v>46392</v>
      </c>
      <c r="AB53" s="2">
        <v>50224</v>
      </c>
      <c r="AC53" s="2">
        <v>53913</v>
      </c>
      <c r="AD53" s="2">
        <v>56024</v>
      </c>
      <c r="AE53" s="2">
        <v>60947</v>
      </c>
    </row>
    <row r="54" spans="2:31" s="2" customFormat="1" x14ac:dyDescent="0.2">
      <c r="B54" s="2" t="s">
        <v>62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f t="shared" ref="O54:P54" si="214">SUM(O47:O53)</f>
        <v>221238</v>
      </c>
      <c r="P54" s="4">
        <f t="shared" si="214"/>
        <v>258314</v>
      </c>
      <c r="Q54" s="4">
        <f t="shared" ref="Q54" si="215">SUM(Q47:Q53)</f>
        <v>282179</v>
      </c>
      <c r="R54" s="4">
        <f t="shared" ref="R54:AB54" si="216">SUM(R47:R53)</f>
        <v>321195</v>
      </c>
      <c r="S54" s="4">
        <f t="shared" si="216"/>
        <v>323077</v>
      </c>
      <c r="T54" s="4">
        <f t="shared" si="216"/>
        <v>360319</v>
      </c>
      <c r="U54" s="4">
        <f t="shared" si="216"/>
        <v>382406</v>
      </c>
      <c r="V54" s="4">
        <f t="shared" si="216"/>
        <v>420549</v>
      </c>
      <c r="W54" s="4">
        <f t="shared" si="216"/>
        <v>410767</v>
      </c>
      <c r="X54" s="4">
        <f t="shared" si="216"/>
        <v>419728</v>
      </c>
      <c r="Y54" s="4">
        <f t="shared" si="216"/>
        <v>428362</v>
      </c>
      <c r="Z54" s="4">
        <f t="shared" si="216"/>
        <v>462675</v>
      </c>
      <c r="AA54" s="4">
        <f t="shared" si="216"/>
        <v>464378</v>
      </c>
      <c r="AB54" s="4">
        <f t="shared" si="216"/>
        <v>477607</v>
      </c>
      <c r="AC54" s="4">
        <f t="shared" ref="AC54:AD54" si="217">SUM(AC47:AC53)</f>
        <v>486883</v>
      </c>
      <c r="AD54" s="4">
        <f t="shared" si="217"/>
        <v>527854</v>
      </c>
      <c r="AE54" s="4">
        <f t="shared" ref="AE54" si="218">SUM(AE47:AE53)</f>
        <v>530969</v>
      </c>
    </row>
    <row r="56" spans="2:31" s="2" customFormat="1" x14ac:dyDescent="0.2">
      <c r="B56" s="2" t="s">
        <v>71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v>40056</v>
      </c>
      <c r="P56" s="4">
        <v>51036</v>
      </c>
      <c r="Q56" s="4">
        <v>58334</v>
      </c>
      <c r="R56" s="4">
        <v>72539</v>
      </c>
      <c r="S56" s="4">
        <v>63926</v>
      </c>
      <c r="T56" s="4">
        <v>66090</v>
      </c>
      <c r="U56" s="4">
        <v>71474</v>
      </c>
      <c r="V56" s="4">
        <v>78664</v>
      </c>
      <c r="W56" s="4">
        <v>68547</v>
      </c>
      <c r="X56" s="4">
        <v>71219</v>
      </c>
      <c r="Y56" s="4">
        <v>67760</v>
      </c>
      <c r="Z56" s="4">
        <v>79600</v>
      </c>
      <c r="AA56" s="2">
        <v>66907</v>
      </c>
      <c r="AB56" s="2">
        <v>69481</v>
      </c>
      <c r="AC56" s="2">
        <v>72004</v>
      </c>
      <c r="AD56" s="2">
        <v>84981</v>
      </c>
      <c r="AE56" s="2">
        <v>73068</v>
      </c>
    </row>
    <row r="57" spans="2:31" s="2" customFormat="1" x14ac:dyDescent="0.2">
      <c r="B57" s="2" t="s">
        <v>72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30791</v>
      </c>
      <c r="P57" s="4">
        <v>33863</v>
      </c>
      <c r="Q57" s="4">
        <v>34327</v>
      </c>
      <c r="R57" s="4">
        <v>44138</v>
      </c>
      <c r="S57" s="4">
        <v>40939</v>
      </c>
      <c r="T57" s="4">
        <v>41007</v>
      </c>
      <c r="U57" s="4">
        <v>41546</v>
      </c>
      <c r="V57" s="4">
        <v>51775</v>
      </c>
      <c r="W57" s="4">
        <v>58141</v>
      </c>
      <c r="X57" s="4">
        <v>56254</v>
      </c>
      <c r="Y57" s="4">
        <v>59974</v>
      </c>
      <c r="Z57" s="4">
        <v>62566</v>
      </c>
      <c r="AA57" s="2">
        <v>66382</v>
      </c>
      <c r="AB57" s="2">
        <v>64235</v>
      </c>
      <c r="AC57" s="2">
        <v>58812</v>
      </c>
      <c r="AD57" s="2">
        <v>64709</v>
      </c>
      <c r="AE57" s="2">
        <v>63970</v>
      </c>
    </row>
    <row r="58" spans="2:31" s="2" customFormat="1" x14ac:dyDescent="0.2">
      <c r="B58" s="2" t="s">
        <v>73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8864</v>
      </c>
      <c r="P58" s="4">
        <v>8997</v>
      </c>
      <c r="Q58" s="4">
        <v>9251</v>
      </c>
      <c r="R58" s="4">
        <v>9708</v>
      </c>
      <c r="S58" s="4">
        <v>10539</v>
      </c>
      <c r="T58" s="4">
        <v>10695</v>
      </c>
      <c r="U58" s="4">
        <v>10974</v>
      </c>
      <c r="V58" s="4">
        <v>11827</v>
      </c>
      <c r="W58" s="4">
        <v>12820</v>
      </c>
      <c r="X58" s="4">
        <v>12818</v>
      </c>
      <c r="Y58" s="4">
        <v>12629</v>
      </c>
      <c r="Z58" s="4">
        <v>13227</v>
      </c>
      <c r="AA58" s="2">
        <v>14281</v>
      </c>
      <c r="AB58" s="2">
        <v>14522</v>
      </c>
      <c r="AC58" s="2">
        <v>14398</v>
      </c>
      <c r="AD58" s="2">
        <v>15227</v>
      </c>
      <c r="AE58" s="2">
        <v>15927</v>
      </c>
    </row>
    <row r="59" spans="2:31" s="2" customFormat="1" x14ac:dyDescent="0.2">
      <c r="B59" s="2" t="s">
        <v>66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40300</v>
      </c>
      <c r="P59" s="4">
        <v>42798</v>
      </c>
      <c r="Q59" s="4">
        <v>48589</v>
      </c>
      <c r="R59" s="4">
        <v>52573</v>
      </c>
      <c r="S59" s="4">
        <v>53067</v>
      </c>
      <c r="T59" s="4">
        <v>56297</v>
      </c>
      <c r="U59" s="4">
        <v>63848</v>
      </c>
      <c r="V59" s="4">
        <v>67651</v>
      </c>
      <c r="W59" s="4">
        <v>65731</v>
      </c>
      <c r="X59" s="4">
        <v>66524</v>
      </c>
      <c r="Y59" s="4">
        <v>69332</v>
      </c>
      <c r="Z59" s="4">
        <v>72968</v>
      </c>
      <c r="AA59" s="2">
        <v>74267</v>
      </c>
      <c r="AB59" s="2">
        <v>75822</v>
      </c>
      <c r="AC59" s="2">
        <v>75891</v>
      </c>
      <c r="AD59" s="2">
        <v>77297</v>
      </c>
      <c r="AE59" s="2">
        <v>77052</v>
      </c>
    </row>
    <row r="60" spans="2:31" s="2" customFormat="1" x14ac:dyDescent="0.2">
      <c r="B60" s="2" t="s">
        <v>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23437</v>
      </c>
      <c r="P60" s="4">
        <v>33128</v>
      </c>
      <c r="Q60" s="4">
        <v>32929</v>
      </c>
      <c r="R60" s="4">
        <v>31816</v>
      </c>
      <c r="S60" s="4">
        <v>31868</v>
      </c>
      <c r="T60" s="4">
        <v>50279</v>
      </c>
      <c r="U60" s="4">
        <v>50055</v>
      </c>
      <c r="V60" s="4">
        <v>48744</v>
      </c>
      <c r="W60" s="4">
        <v>47556</v>
      </c>
      <c r="X60" s="4">
        <v>58053</v>
      </c>
      <c r="Y60" s="4">
        <v>58919</v>
      </c>
      <c r="Z60" s="4">
        <v>67150</v>
      </c>
      <c r="AA60" s="2">
        <v>67084</v>
      </c>
      <c r="AB60" s="2">
        <v>63092</v>
      </c>
      <c r="AC60" s="2">
        <v>61098</v>
      </c>
      <c r="AD60" s="2">
        <v>58314</v>
      </c>
      <c r="AE60" s="2">
        <v>57634</v>
      </c>
    </row>
    <row r="61" spans="2:31" s="2" customFormat="1" x14ac:dyDescent="0.2">
      <c r="B61" s="2" t="s">
        <v>74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12518</v>
      </c>
      <c r="P61" s="4">
        <v>14764</v>
      </c>
      <c r="Q61" s="4">
        <v>15974</v>
      </c>
      <c r="R61" s="4">
        <v>17017</v>
      </c>
      <c r="S61" s="4">
        <v>19418</v>
      </c>
      <c r="T61" s="4">
        <v>21148</v>
      </c>
      <c r="U61" s="4">
        <v>23945</v>
      </c>
      <c r="V61" s="4">
        <v>23643</v>
      </c>
      <c r="W61" s="4">
        <v>23971</v>
      </c>
      <c r="X61" s="4">
        <v>23458</v>
      </c>
      <c r="Y61" s="4">
        <v>22259</v>
      </c>
      <c r="Z61" s="4">
        <v>21121</v>
      </c>
      <c r="AA61" s="2">
        <v>20931</v>
      </c>
      <c r="AB61" s="2">
        <v>21853</v>
      </c>
      <c r="AC61" s="2">
        <v>21707</v>
      </c>
      <c r="AD61" s="2">
        <v>25451</v>
      </c>
      <c r="AE61" s="2">
        <v>26657</v>
      </c>
    </row>
    <row r="62" spans="2:31" s="2" customFormat="1" x14ac:dyDescent="0.2">
      <c r="B62" s="2" t="s">
        <v>70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65272</v>
      </c>
      <c r="P62" s="4">
        <v>73728</v>
      </c>
      <c r="Q62" s="4">
        <v>82775</v>
      </c>
      <c r="R62" s="4">
        <v>93404</v>
      </c>
      <c r="S62" s="4">
        <v>103320</v>
      </c>
      <c r="T62" s="4">
        <v>114803</v>
      </c>
      <c r="U62" s="4">
        <v>120564</v>
      </c>
      <c r="V62" s="4">
        <v>138245</v>
      </c>
      <c r="W62" s="4">
        <v>134001</v>
      </c>
      <c r="X62" s="4">
        <v>131402</v>
      </c>
      <c r="Y62" s="4">
        <v>137489</v>
      </c>
      <c r="Z62" s="4">
        <v>146043</v>
      </c>
      <c r="AA62" s="2">
        <v>154526</v>
      </c>
      <c r="AB62" s="2">
        <v>168602</v>
      </c>
      <c r="AC62" s="2">
        <v>182973</v>
      </c>
      <c r="AD62" s="2">
        <v>201875</v>
      </c>
      <c r="AE62" s="2">
        <v>216661</v>
      </c>
    </row>
    <row r="63" spans="2:31" s="2" customFormat="1" x14ac:dyDescent="0.2">
      <c r="B63" s="2" t="s">
        <v>69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f t="shared" ref="O63:P63" si="219">SUM(O56:O62)</f>
        <v>221238</v>
      </c>
      <c r="P63" s="4">
        <f t="shared" si="219"/>
        <v>258314</v>
      </c>
      <c r="Q63" s="4">
        <f t="shared" ref="Q63" si="220">SUM(Q56:Q62)</f>
        <v>282179</v>
      </c>
      <c r="R63" s="4">
        <f t="shared" ref="R63:AB63" si="221">SUM(R56:R62)</f>
        <v>321195</v>
      </c>
      <c r="S63" s="4">
        <f t="shared" si="221"/>
        <v>323077</v>
      </c>
      <c r="T63" s="4">
        <f t="shared" si="221"/>
        <v>360319</v>
      </c>
      <c r="U63" s="4">
        <f t="shared" si="221"/>
        <v>382406</v>
      </c>
      <c r="V63" s="4">
        <f t="shared" si="221"/>
        <v>420549</v>
      </c>
      <c r="W63" s="4">
        <f t="shared" si="221"/>
        <v>410767</v>
      </c>
      <c r="X63" s="4">
        <f t="shared" si="221"/>
        <v>419728</v>
      </c>
      <c r="Y63" s="4">
        <f t="shared" si="221"/>
        <v>428362</v>
      </c>
      <c r="Z63" s="4">
        <f t="shared" si="221"/>
        <v>462675</v>
      </c>
      <c r="AA63" s="4">
        <f t="shared" si="221"/>
        <v>464378</v>
      </c>
      <c r="AB63" s="4">
        <f t="shared" si="221"/>
        <v>477607</v>
      </c>
      <c r="AC63" s="4">
        <f t="shared" ref="AC63:AD63" si="222">SUM(AC56:AC62)</f>
        <v>486883</v>
      </c>
      <c r="AD63" s="4">
        <f t="shared" si="222"/>
        <v>527854</v>
      </c>
      <c r="AE63" s="4">
        <f t="shared" ref="AE63" si="223">SUM(AE56:AE62)</f>
        <v>530969</v>
      </c>
    </row>
    <row r="65" spans="2:44" s="2" customFormat="1" x14ac:dyDescent="0.2">
      <c r="B65" s="2" t="s">
        <v>84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>
        <f t="shared" ref="O65:Q65" si="224">+O32</f>
        <v>2535</v>
      </c>
      <c r="P65" s="4">
        <f t="shared" si="224"/>
        <v>5243</v>
      </c>
      <c r="Q65" s="4">
        <f t="shared" si="224"/>
        <v>6331</v>
      </c>
      <c r="R65" s="4">
        <f t="shared" ref="R65:V65" si="225">+R32</f>
        <v>7222</v>
      </c>
      <c r="S65" s="4">
        <f t="shared" si="225"/>
        <v>8107</v>
      </c>
      <c r="T65" s="4">
        <f t="shared" si="225"/>
        <v>7778</v>
      </c>
      <c r="U65" s="4">
        <f t="shared" si="225"/>
        <v>3156</v>
      </c>
      <c r="V65" s="4">
        <f t="shared" si="225"/>
        <v>14323</v>
      </c>
      <c r="W65" s="4">
        <f t="shared" ref="W65:AE65" si="226">+W32</f>
        <v>-3844</v>
      </c>
      <c r="X65" s="4">
        <f t="shared" si="226"/>
        <v>2982</v>
      </c>
      <c r="Y65" s="4">
        <f t="shared" si="226"/>
        <v>2872</v>
      </c>
      <c r="Z65" s="4">
        <f t="shared" si="226"/>
        <v>3247</v>
      </c>
      <c r="AA65" s="4">
        <f t="shared" si="226"/>
        <v>3172</v>
      </c>
      <c r="AB65" s="4">
        <f t="shared" si="226"/>
        <v>6750</v>
      </c>
      <c r="AC65" s="4">
        <f t="shared" si="226"/>
        <v>9879</v>
      </c>
      <c r="AD65" s="4">
        <f t="shared" si="226"/>
        <v>10624</v>
      </c>
      <c r="AE65" s="4">
        <f t="shared" si="226"/>
        <v>10431</v>
      </c>
    </row>
    <row r="66" spans="2:44" s="2" customFormat="1" x14ac:dyDescent="0.2">
      <c r="B66" s="2" t="s">
        <v>85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2535</v>
      </c>
      <c r="P66" s="4">
        <v>5243</v>
      </c>
      <c r="Q66" s="4">
        <v>6331</v>
      </c>
      <c r="R66" s="4">
        <v>7222</v>
      </c>
      <c r="S66" s="4">
        <v>8107</v>
      </c>
      <c r="T66" s="4">
        <v>7778</v>
      </c>
      <c r="U66" s="4">
        <v>3156</v>
      </c>
      <c r="V66" s="4">
        <v>14323</v>
      </c>
      <c r="W66" s="4">
        <v>-3844</v>
      </c>
      <c r="X66" s="4">
        <v>-2028</v>
      </c>
      <c r="Y66" s="4">
        <v>2872</v>
      </c>
      <c r="Z66" s="4">
        <v>278</v>
      </c>
      <c r="AA66" s="4">
        <v>3172</v>
      </c>
      <c r="AB66" s="2">
        <v>6750</v>
      </c>
      <c r="AC66" s="2">
        <v>9879</v>
      </c>
      <c r="AD66" s="2">
        <v>10624</v>
      </c>
      <c r="AE66" s="2">
        <v>10431</v>
      </c>
    </row>
    <row r="67" spans="2:44" s="2" customFormat="1" x14ac:dyDescent="0.2">
      <c r="B67" s="2" t="s">
        <v>88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5362</v>
      </c>
      <c r="P67" s="4">
        <v>5748</v>
      </c>
      <c r="Q67" s="4">
        <v>6523</v>
      </c>
      <c r="R67" s="4">
        <v>7618</v>
      </c>
      <c r="S67" s="4">
        <v>7508</v>
      </c>
      <c r="T67" s="4">
        <v>8038</v>
      </c>
      <c r="U67" s="4">
        <v>8948</v>
      </c>
      <c r="V67" s="4">
        <v>9802</v>
      </c>
      <c r="W67" s="4">
        <v>8978</v>
      </c>
      <c r="X67" s="4">
        <v>9594</v>
      </c>
      <c r="Y67" s="4">
        <v>10204</v>
      </c>
      <c r="Z67" s="4">
        <v>12685</v>
      </c>
      <c r="AA67" s="2">
        <v>11123</v>
      </c>
      <c r="AB67" s="2">
        <v>11589</v>
      </c>
      <c r="AC67" s="2">
        <v>12131</v>
      </c>
      <c r="AD67" s="2">
        <v>13820</v>
      </c>
      <c r="AE67" s="2">
        <v>11684</v>
      </c>
    </row>
    <row r="68" spans="2:44" s="2" customFormat="1" x14ac:dyDescent="0.2">
      <c r="B68" s="2" t="s">
        <v>89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1757</v>
      </c>
      <c r="P68" s="4">
        <v>2601</v>
      </c>
      <c r="Q68" s="4">
        <v>2288</v>
      </c>
      <c r="R68" s="4">
        <v>2562</v>
      </c>
      <c r="S68" s="4">
        <v>2306</v>
      </c>
      <c r="T68" s="4">
        <v>3591</v>
      </c>
      <c r="U68" s="4">
        <v>3180</v>
      </c>
      <c r="V68" s="4">
        <v>3680</v>
      </c>
      <c r="W68" s="4">
        <v>3250</v>
      </c>
      <c r="X68" s="4">
        <v>5209</v>
      </c>
      <c r="Y68" s="4">
        <v>5556</v>
      </c>
      <c r="Z68" s="4">
        <v>5606</v>
      </c>
      <c r="AA68" s="2">
        <v>4748</v>
      </c>
      <c r="AB68" s="2">
        <v>7127</v>
      </c>
      <c r="AC68" s="2">
        <v>5829</v>
      </c>
      <c r="AD68" s="2">
        <v>6319</v>
      </c>
      <c r="AE68" s="2">
        <v>4961</v>
      </c>
    </row>
    <row r="69" spans="2:44" s="2" customFormat="1" x14ac:dyDescent="0.2">
      <c r="B69" s="2" t="s">
        <v>45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67</v>
      </c>
      <c r="P69" s="4">
        <v>282</v>
      </c>
      <c r="Q69" s="4">
        <v>67</v>
      </c>
      <c r="R69" s="4">
        <v>-487</v>
      </c>
      <c r="S69" s="4">
        <v>30</v>
      </c>
      <c r="T69" s="4">
        <v>18</v>
      </c>
      <c r="U69" s="4">
        <v>24</v>
      </c>
      <c r="V69" s="4">
        <v>65</v>
      </c>
      <c r="W69" s="4">
        <v>215</v>
      </c>
      <c r="X69" s="4">
        <v>122</v>
      </c>
      <c r="Y69" s="4">
        <v>123</v>
      </c>
      <c r="Z69" s="4">
        <v>3445</v>
      </c>
      <c r="AA69" s="2">
        <v>534</v>
      </c>
      <c r="AB69" s="2">
        <v>47</v>
      </c>
      <c r="AC69" s="2">
        <v>-990</v>
      </c>
      <c r="AD69" s="2">
        <v>-339</v>
      </c>
      <c r="AE69" s="2">
        <v>2734</v>
      </c>
    </row>
    <row r="70" spans="2:44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565</v>
      </c>
      <c r="P70" s="4">
        <v>-769</v>
      </c>
      <c r="Q70" s="4">
        <v>-1051</v>
      </c>
      <c r="R70" s="4">
        <v>-1327</v>
      </c>
      <c r="S70" s="4">
        <v>-1456</v>
      </c>
      <c r="T70" s="4">
        <v>-1258</v>
      </c>
      <c r="U70" s="4">
        <v>340</v>
      </c>
      <c r="V70" s="4">
        <v>-11932</v>
      </c>
      <c r="W70" s="4">
        <v>8689</v>
      </c>
      <c r="X70" s="4">
        <v>6104</v>
      </c>
      <c r="Y70" s="4">
        <v>-1272</v>
      </c>
      <c r="Z70" s="4">
        <v>0</v>
      </c>
      <c r="AA70" s="2">
        <v>0</v>
      </c>
      <c r="AB70" s="2">
        <v>0</v>
      </c>
      <c r="AC70" s="2">
        <v>0</v>
      </c>
      <c r="AD70" s="2">
        <v>0</v>
      </c>
    </row>
    <row r="71" spans="2:44" s="2" customFormat="1" x14ac:dyDescent="0.2">
      <c r="B71" s="2" t="s">
        <v>90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322</v>
      </c>
      <c r="P71" s="4">
        <v>465</v>
      </c>
      <c r="Q71" s="4">
        <v>295</v>
      </c>
      <c r="R71" s="4">
        <v>-1636</v>
      </c>
      <c r="S71" s="4">
        <v>1703</v>
      </c>
      <c r="T71" s="4">
        <v>701</v>
      </c>
      <c r="U71" s="4">
        <v>909</v>
      </c>
      <c r="V71" s="4">
        <v>-3623</v>
      </c>
      <c r="W71" s="4">
        <v>-2001</v>
      </c>
      <c r="X71" s="4">
        <v>-1955</v>
      </c>
      <c r="Y71" s="4">
        <v>-825</v>
      </c>
      <c r="Z71" s="4">
        <v>-3367</v>
      </c>
      <c r="AA71" s="2">
        <v>-472</v>
      </c>
      <c r="AB71" s="2">
        <v>-2744</v>
      </c>
      <c r="AC71" s="2">
        <v>-1196</v>
      </c>
      <c r="AD71" s="2">
        <v>-1464</v>
      </c>
      <c r="AE71" s="2">
        <v>-938</v>
      </c>
    </row>
    <row r="72" spans="2:44" s="2" customFormat="1" x14ac:dyDescent="0.2">
      <c r="B72" s="2" t="s">
        <v>87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f>1392+1262-8044-2761+607</f>
        <v>-7544</v>
      </c>
      <c r="P72" s="4">
        <f>-672-2854+8616+1699+247</f>
        <v>7036</v>
      </c>
      <c r="Q72" s="4">
        <f>-3899-2016+3658-310+78</f>
        <v>-2489</v>
      </c>
      <c r="R72" s="4">
        <f>329-4560+13249+7127+333</f>
        <v>16478</v>
      </c>
      <c r="S72" s="4">
        <f>-304-2255-8266-4060+900</f>
        <v>-13985</v>
      </c>
      <c r="T72" s="4">
        <f>-209-4462+47-1685+156</f>
        <v>-6153</v>
      </c>
      <c r="U72" s="4">
        <f>-7059-4890+3832-1465+338</f>
        <v>-9244</v>
      </c>
      <c r="V72" s="4">
        <f>-1915-6556+7989+9333+920</f>
        <v>9771</v>
      </c>
      <c r="W72" s="4">
        <f>-2614-1516-9380-5903+1336</f>
        <v>-18077</v>
      </c>
      <c r="X72" s="4">
        <f>-3890-6799+3699-1412+321</f>
        <v>-8081</v>
      </c>
      <c r="Y72" s="4">
        <f>732-4794-1226-20+54</f>
        <v>-5254</v>
      </c>
      <c r="Z72" s="4">
        <f>3180-8788+9852+5777+505</f>
        <v>10526</v>
      </c>
      <c r="AA72" s="2">
        <f>371+1521-11264-5763+818</f>
        <v>-14317</v>
      </c>
      <c r="AB72" s="2">
        <f>-2373-5167+3029-1938+156</f>
        <v>-6293</v>
      </c>
      <c r="AC72" s="2">
        <f>808-6718+2820-1321-25</f>
        <v>-4436</v>
      </c>
      <c r="AD72" s="2">
        <f>2643-7447-2802+10888+6594+3629</f>
        <v>13505</v>
      </c>
      <c r="AE72" s="2">
        <f>1776+3684-2701-11282-2928+1568</f>
        <v>-9883</v>
      </c>
    </row>
    <row r="73" spans="2:44" s="2" customFormat="1" x14ac:dyDescent="0.2">
      <c r="B73" s="2" t="s">
        <v>86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 t="shared" ref="O73:Q73" si="227">SUM(O66:O72)</f>
        <v>3064</v>
      </c>
      <c r="P73" s="4">
        <f t="shared" si="227"/>
        <v>20606</v>
      </c>
      <c r="Q73" s="4">
        <f t="shared" si="227"/>
        <v>11964</v>
      </c>
      <c r="R73" s="4">
        <f t="shared" ref="R73:AE73" si="228">SUM(R66:R72)</f>
        <v>30430</v>
      </c>
      <c r="S73" s="4">
        <f t="shared" si="228"/>
        <v>4213</v>
      </c>
      <c r="T73" s="4">
        <f t="shared" si="228"/>
        <v>12715</v>
      </c>
      <c r="U73" s="4">
        <f t="shared" si="228"/>
        <v>7313</v>
      </c>
      <c r="V73" s="4">
        <f t="shared" si="228"/>
        <v>22086</v>
      </c>
      <c r="W73" s="4">
        <f t="shared" si="228"/>
        <v>-2790</v>
      </c>
      <c r="X73" s="4">
        <f t="shared" si="228"/>
        <v>8965</v>
      </c>
      <c r="Y73" s="4">
        <f t="shared" si="228"/>
        <v>11404</v>
      </c>
      <c r="Z73" s="4">
        <f t="shared" si="228"/>
        <v>29173</v>
      </c>
      <c r="AA73" s="4">
        <f t="shared" si="228"/>
        <v>4788</v>
      </c>
      <c r="AB73" s="4">
        <f t="shared" si="228"/>
        <v>16476</v>
      </c>
      <c r="AC73" s="4">
        <f t="shared" si="228"/>
        <v>21217</v>
      </c>
      <c r="AD73" s="4">
        <f t="shared" si="228"/>
        <v>42465</v>
      </c>
      <c r="AE73" s="4">
        <f t="shared" si="228"/>
        <v>18989</v>
      </c>
      <c r="AP73" s="2">
        <v>-119.782</v>
      </c>
      <c r="AQ73" s="2">
        <v>174.291</v>
      </c>
      <c r="AR73" s="2">
        <v>392.02199999999999</v>
      </c>
    </row>
    <row r="74" spans="2:44" s="2" customFormat="1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2:44" s="2" customFormat="1" x14ac:dyDescent="0.2">
      <c r="B75" s="2" t="s">
        <v>91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>
        <v>-6795</v>
      </c>
      <c r="P75" s="4">
        <v>-7459</v>
      </c>
      <c r="Q75" s="4">
        <v>-11063</v>
      </c>
      <c r="R75" s="4">
        <v>-14824</v>
      </c>
      <c r="S75" s="4">
        <v>-12082</v>
      </c>
      <c r="T75" s="4">
        <v>-14288</v>
      </c>
      <c r="U75" s="4">
        <v>-15748</v>
      </c>
      <c r="V75" s="4">
        <v>-18935</v>
      </c>
      <c r="W75" s="4">
        <v>-14951</v>
      </c>
      <c r="X75" s="4">
        <v>-15724</v>
      </c>
      <c r="Y75" s="4">
        <v>-16378</v>
      </c>
      <c r="Z75" s="4">
        <v>-16592</v>
      </c>
      <c r="AA75" s="2">
        <v>-14207</v>
      </c>
      <c r="AB75" s="2">
        <v>-11455</v>
      </c>
      <c r="AC75" s="2">
        <v>-12479</v>
      </c>
      <c r="AD75" s="2">
        <v>-14588</v>
      </c>
      <c r="AE75" s="2">
        <v>-14925</v>
      </c>
    </row>
    <row r="76" spans="2:44" s="2" customFormat="1" x14ac:dyDescent="0.2">
      <c r="B76" s="2" t="s">
        <v>93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1367</v>
      </c>
      <c r="P76" s="4">
        <v>844</v>
      </c>
      <c r="Q76" s="4">
        <v>1255</v>
      </c>
      <c r="R76" s="4">
        <v>1629</v>
      </c>
      <c r="S76" s="4">
        <v>895</v>
      </c>
      <c r="T76" s="4">
        <v>1300</v>
      </c>
      <c r="U76" s="4">
        <v>997</v>
      </c>
      <c r="V76" s="4">
        <v>2465</v>
      </c>
      <c r="W76" s="4">
        <v>1209</v>
      </c>
      <c r="X76" s="4">
        <v>1626</v>
      </c>
      <c r="Y76" s="4">
        <v>1337</v>
      </c>
      <c r="Z76" s="4">
        <v>1152</v>
      </c>
      <c r="AA76" s="2">
        <v>1137</v>
      </c>
      <c r="AB76" s="2">
        <v>1043</v>
      </c>
      <c r="AC76" s="2">
        <v>1181</v>
      </c>
      <c r="AD76" s="2">
        <v>1235</v>
      </c>
      <c r="AE76" s="2">
        <v>990</v>
      </c>
    </row>
    <row r="77" spans="2:44" s="2" customFormat="1" x14ac:dyDescent="0.2">
      <c r="B77" s="2" t="s">
        <v>94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-91</v>
      </c>
      <c r="P77" s="4">
        <v>-118</v>
      </c>
      <c r="Q77" s="4">
        <v>-1735</v>
      </c>
      <c r="R77" s="4">
        <v>-380</v>
      </c>
      <c r="S77" s="4">
        <v>-630</v>
      </c>
      <c r="T77" s="4">
        <v>-320</v>
      </c>
      <c r="U77" s="4">
        <v>-654</v>
      </c>
      <c r="V77" s="4">
        <v>-381</v>
      </c>
      <c r="W77" s="4">
        <v>-6341</v>
      </c>
      <c r="X77" s="4">
        <v>-259</v>
      </c>
      <c r="Y77" s="4">
        <v>-885</v>
      </c>
      <c r="Z77" s="4">
        <v>-831</v>
      </c>
      <c r="AA77" s="2">
        <v>-3513</v>
      </c>
      <c r="AB77" s="2">
        <v>-316</v>
      </c>
      <c r="AC77" s="2">
        <v>-1629</v>
      </c>
      <c r="AD77" s="2">
        <v>-381</v>
      </c>
      <c r="AE77" s="2">
        <v>-3354</v>
      </c>
    </row>
    <row r="78" spans="2:44" s="2" customFormat="1" x14ac:dyDescent="0.2">
      <c r="B78" s="2" t="s">
        <v>95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f>11626-15001</f>
        <v>-3375</v>
      </c>
      <c r="P78" s="4">
        <f>8138-19209</f>
        <v>-11071</v>
      </c>
      <c r="Q78" s="4">
        <f>13135-17468</f>
        <v>-4333</v>
      </c>
      <c r="R78" s="4">
        <f>17338-20801</f>
        <v>-3463</v>
      </c>
      <c r="S78" s="4">
        <f>17826-14675</f>
        <v>3151</v>
      </c>
      <c r="T78" s="4">
        <f>13213-21985</f>
        <v>-8772</v>
      </c>
      <c r="U78" s="4">
        <f>15808-15231</f>
        <v>577</v>
      </c>
      <c r="V78" s="4">
        <f>12537-8266</f>
        <v>4271</v>
      </c>
      <c r="W78" s="4">
        <f>22753-1764</f>
        <v>20989</v>
      </c>
      <c r="X78" s="4">
        <f>2608-329</f>
        <v>2279</v>
      </c>
      <c r="Y78" s="4">
        <f>557-239</f>
        <v>318</v>
      </c>
      <c r="Z78" s="4">
        <f>5683-233</f>
        <v>5450</v>
      </c>
      <c r="AA78" s="2">
        <f>1115-338</f>
        <v>777</v>
      </c>
      <c r="AB78" s="2">
        <f>1551-496</f>
        <v>1055</v>
      </c>
      <c r="AC78" s="2">
        <f>1393-219</f>
        <v>1174</v>
      </c>
      <c r="AD78" s="2">
        <f>1568-435</f>
        <v>1133</v>
      </c>
      <c r="AE78" s="2">
        <f>1392-1965</f>
        <v>-573</v>
      </c>
    </row>
    <row r="79" spans="2:44" s="2" customFormat="1" x14ac:dyDescent="0.2">
      <c r="B79" s="2" t="s">
        <v>92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 t="shared" ref="O79:Q79" si="229">SUM(O75:O78)</f>
        <v>-8894</v>
      </c>
      <c r="P79" s="4">
        <f t="shared" si="229"/>
        <v>-17804</v>
      </c>
      <c r="Q79" s="4">
        <f t="shared" si="229"/>
        <v>-15876</v>
      </c>
      <c r="R79" s="4">
        <f t="shared" ref="R79:AE79" si="230">SUM(R75:R78)</f>
        <v>-17038</v>
      </c>
      <c r="S79" s="4">
        <f t="shared" si="230"/>
        <v>-8666</v>
      </c>
      <c r="T79" s="4">
        <f t="shared" si="230"/>
        <v>-22080</v>
      </c>
      <c r="U79" s="4">
        <f t="shared" si="230"/>
        <v>-14828</v>
      </c>
      <c r="V79" s="4">
        <f t="shared" si="230"/>
        <v>-12580</v>
      </c>
      <c r="W79" s="4">
        <f t="shared" si="230"/>
        <v>906</v>
      </c>
      <c r="X79" s="4">
        <f t="shared" si="230"/>
        <v>-12078</v>
      </c>
      <c r="Y79" s="4">
        <f t="shared" si="230"/>
        <v>-15608</v>
      </c>
      <c r="Z79" s="4">
        <f t="shared" si="230"/>
        <v>-10821</v>
      </c>
      <c r="AA79" s="4">
        <f t="shared" si="230"/>
        <v>-15806</v>
      </c>
      <c r="AB79" s="4">
        <f t="shared" si="230"/>
        <v>-9673</v>
      </c>
      <c r="AC79" s="4">
        <f t="shared" si="230"/>
        <v>-11753</v>
      </c>
      <c r="AD79" s="4">
        <f t="shared" si="230"/>
        <v>-12601</v>
      </c>
      <c r="AE79" s="4">
        <f t="shared" si="230"/>
        <v>-17862</v>
      </c>
    </row>
    <row r="80" spans="2:44" s="2" customFormat="1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39" s="2" customFormat="1" x14ac:dyDescent="0.2">
      <c r="B81" s="2" t="s">
        <v>97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-2666</v>
      </c>
      <c r="X81" s="4">
        <v>-3334</v>
      </c>
      <c r="Y81" s="4">
        <v>0</v>
      </c>
      <c r="Z81" s="4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2:39" s="2" customFormat="1" x14ac:dyDescent="0.2">
      <c r="B82" s="2" t="s">
        <v>5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f>693-667-2600-17</f>
        <v>-2591</v>
      </c>
      <c r="P82" s="4">
        <f>2433-1906+9918-205-2817-15</f>
        <v>7408</v>
      </c>
      <c r="Q82" s="4">
        <f>1311-1349-1198-2857-12</f>
        <v>-4105</v>
      </c>
      <c r="R82" s="4">
        <f>2434-2291+531-113-2368-9</f>
        <v>-1816</v>
      </c>
      <c r="S82" s="4">
        <f>1926-2001+111-39-3406-67</f>
        <v>-3476</v>
      </c>
      <c r="T82" s="4">
        <f>18516-41-2804-28</f>
        <v>15643</v>
      </c>
      <c r="U82" s="4">
        <f>2187-1917+176-509-2693-20</f>
        <v>-2776</v>
      </c>
      <c r="V82" s="4">
        <f>2667-2659+200-1001-2260-47</f>
        <v>-3100</v>
      </c>
      <c r="W82" s="4">
        <f>13743-6231-2777-79</f>
        <v>4656</v>
      </c>
      <c r="X82" s="4">
        <f>4865-7610+12824-1-2059-59</f>
        <v>7960</v>
      </c>
      <c r="Y82" s="4">
        <f>12338-7916+107-1465-48</f>
        <v>3016</v>
      </c>
      <c r="Z82" s="4">
        <f>10607-15797+8235-1257-1640-62</f>
        <v>86</v>
      </c>
      <c r="AA82" s="2">
        <f>12780-3603-1386-1380-57</f>
        <v>6354</v>
      </c>
      <c r="AB82" s="2">
        <f>4399-7641-2000-1220-77</f>
        <v>-6539</v>
      </c>
      <c r="AC82" s="2">
        <f>216-8095-1005-64</f>
        <v>-8948</v>
      </c>
      <c r="AD82" s="2">
        <f>734-6338-290-779-73</f>
        <v>-6746</v>
      </c>
      <c r="AE82" s="2">
        <f>338-404-330-770-90</f>
        <v>-1256</v>
      </c>
    </row>
    <row r="83" spans="2:39" s="2" customFormat="1" x14ac:dyDescent="0.2">
      <c r="B83" s="2" t="s">
        <v>96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 t="shared" ref="O83:Q83" si="231">SUM(O81:O82)</f>
        <v>-2591</v>
      </c>
      <c r="P83" s="4">
        <f t="shared" si="231"/>
        <v>7408</v>
      </c>
      <c r="Q83" s="4">
        <f t="shared" si="231"/>
        <v>-4105</v>
      </c>
      <c r="R83" s="4">
        <f t="shared" ref="R83:AE83" si="232">SUM(R81:R82)</f>
        <v>-1816</v>
      </c>
      <c r="S83" s="4">
        <f t="shared" si="232"/>
        <v>-3476</v>
      </c>
      <c r="T83" s="4">
        <f t="shared" si="232"/>
        <v>15643</v>
      </c>
      <c r="U83" s="4">
        <f t="shared" si="232"/>
        <v>-2776</v>
      </c>
      <c r="V83" s="4">
        <f t="shared" si="232"/>
        <v>-3100</v>
      </c>
      <c r="W83" s="4">
        <f t="shared" si="232"/>
        <v>1990</v>
      </c>
      <c r="X83" s="4">
        <f t="shared" si="232"/>
        <v>4626</v>
      </c>
      <c r="Y83" s="4">
        <f t="shared" si="232"/>
        <v>3016</v>
      </c>
      <c r="Z83" s="4">
        <f t="shared" si="232"/>
        <v>86</v>
      </c>
      <c r="AA83" s="4">
        <f t="shared" si="232"/>
        <v>6354</v>
      </c>
      <c r="AB83" s="4">
        <f t="shared" si="232"/>
        <v>-6539</v>
      </c>
      <c r="AC83" s="4">
        <f t="shared" si="232"/>
        <v>-8948</v>
      </c>
      <c r="AD83" s="4">
        <f t="shared" si="232"/>
        <v>-6746</v>
      </c>
      <c r="AE83" s="4">
        <f t="shared" si="232"/>
        <v>-1256</v>
      </c>
    </row>
    <row r="84" spans="2:39" s="2" customFormat="1" x14ac:dyDescent="0.2">
      <c r="B84" s="2" t="s">
        <v>98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v>-484</v>
      </c>
      <c r="P84" s="4">
        <v>127</v>
      </c>
      <c r="Q84" s="4">
        <v>377</v>
      </c>
      <c r="R84" s="4">
        <v>599</v>
      </c>
      <c r="S84" s="4">
        <v>-293</v>
      </c>
      <c r="T84" s="4">
        <v>234</v>
      </c>
      <c r="U84" s="4">
        <v>-199</v>
      </c>
      <c r="V84" s="4">
        <v>-106</v>
      </c>
      <c r="W84" s="4">
        <v>16</v>
      </c>
      <c r="X84" s="4">
        <v>-412</v>
      </c>
      <c r="Y84" s="4">
        <v>-1334</v>
      </c>
      <c r="Z84" s="4">
        <v>637</v>
      </c>
      <c r="AA84" s="2">
        <v>145</v>
      </c>
      <c r="AB84" s="2">
        <v>69</v>
      </c>
      <c r="AC84" s="2">
        <v>-502</v>
      </c>
      <c r="AD84" s="2">
        <v>691</v>
      </c>
      <c r="AE84" s="2">
        <v>-429</v>
      </c>
    </row>
    <row r="85" spans="2:39" s="2" customFormat="1" x14ac:dyDescent="0.2">
      <c r="B85" s="2" t="s">
        <v>99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f t="shared" ref="O85" si="233">+O84+O83+O79+O73</f>
        <v>-8905</v>
      </c>
      <c r="P85" s="4">
        <f>+P84+P83+P79+P73</f>
        <v>10337</v>
      </c>
      <c r="Q85" s="4">
        <f>+Q84+Q83+Q79+Q73</f>
        <v>-7640</v>
      </c>
      <c r="R85" s="4">
        <f t="shared" ref="R85:AE85" si="234">+R84+R83+R79+R73</f>
        <v>12175</v>
      </c>
      <c r="S85" s="4">
        <f t="shared" si="234"/>
        <v>-8222</v>
      </c>
      <c r="T85" s="4">
        <f t="shared" si="234"/>
        <v>6512</v>
      </c>
      <c r="U85" s="4">
        <f t="shared" si="234"/>
        <v>-10490</v>
      </c>
      <c r="V85" s="4">
        <f t="shared" si="234"/>
        <v>6300</v>
      </c>
      <c r="W85" s="4">
        <f t="shared" si="234"/>
        <v>122</v>
      </c>
      <c r="X85" s="4">
        <f t="shared" si="234"/>
        <v>1101</v>
      </c>
      <c r="Y85" s="4">
        <f t="shared" si="234"/>
        <v>-2522</v>
      </c>
      <c r="Z85" s="4">
        <f t="shared" si="234"/>
        <v>19075</v>
      </c>
      <c r="AA85" s="4">
        <f t="shared" si="234"/>
        <v>-4519</v>
      </c>
      <c r="AB85" s="4">
        <f t="shared" si="234"/>
        <v>333</v>
      </c>
      <c r="AC85" s="4">
        <f t="shared" si="234"/>
        <v>14</v>
      </c>
      <c r="AD85" s="4">
        <f t="shared" si="234"/>
        <v>23809</v>
      </c>
      <c r="AE85" s="4">
        <f t="shared" si="234"/>
        <v>-558</v>
      </c>
    </row>
    <row r="87" spans="2:39" s="2" customFormat="1" x14ac:dyDescent="0.2">
      <c r="B87" s="2" t="s">
        <v>46</v>
      </c>
      <c r="C87" s="4"/>
      <c r="D87" s="4"/>
      <c r="E87" s="4"/>
      <c r="F87" s="4"/>
      <c r="G87" s="4"/>
      <c r="H87" s="4"/>
      <c r="I87" s="4"/>
      <c r="J87" s="4">
        <v>647.5</v>
      </c>
      <c r="K87" s="4">
        <v>630.6</v>
      </c>
      <c r="L87" s="4">
        <v>653.29999999999995</v>
      </c>
      <c r="M87" s="4">
        <v>750</v>
      </c>
      <c r="N87" s="4">
        <v>798</v>
      </c>
      <c r="O87" s="4">
        <v>840.4</v>
      </c>
      <c r="P87" s="4">
        <v>876.8</v>
      </c>
      <c r="Q87" s="4">
        <v>1125.3</v>
      </c>
      <c r="R87" s="4">
        <v>1298</v>
      </c>
      <c r="S87" s="4">
        <v>1271</v>
      </c>
      <c r="T87" s="4">
        <v>1335</v>
      </c>
      <c r="U87" s="4">
        <v>1468</v>
      </c>
      <c r="V87" s="4">
        <v>1608</v>
      </c>
      <c r="W87" s="4">
        <v>1622</v>
      </c>
      <c r="X87" s="4">
        <v>1523</v>
      </c>
      <c r="Y87" s="4">
        <v>1544</v>
      </c>
      <c r="Z87" s="4">
        <v>1541</v>
      </c>
      <c r="AA87" s="2">
        <v>1465</v>
      </c>
      <c r="AB87" s="2">
        <v>1461</v>
      </c>
      <c r="AC87" s="2">
        <v>1500</v>
      </c>
      <c r="AD87" s="2">
        <v>1525</v>
      </c>
      <c r="AE87" s="2">
        <v>1521</v>
      </c>
      <c r="AM87" s="2">
        <v>2.1</v>
      </c>
    </row>
    <row r="89" spans="2:39" s="2" customFormat="1" x14ac:dyDescent="0.2">
      <c r="B89" s="2" t="s">
        <v>81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>
        <v>1900</v>
      </c>
      <c r="O89" s="4">
        <v>1312</v>
      </c>
      <c r="P89" s="4">
        <v>2141</v>
      </c>
      <c r="Q89" s="4">
        <v>2252</v>
      </c>
      <c r="R89" s="4">
        <v>2946</v>
      </c>
      <c r="S89" s="4">
        <v>3450</v>
      </c>
      <c r="T89" s="4">
        <v>3147</v>
      </c>
      <c r="U89" s="4">
        <v>880</v>
      </c>
      <c r="V89" s="4">
        <v>-206</v>
      </c>
      <c r="W89" s="4">
        <v>-1568</v>
      </c>
      <c r="X89" s="4">
        <v>-627</v>
      </c>
      <c r="Y89" s="4">
        <v>-412</v>
      </c>
      <c r="Z89" s="4">
        <v>-240</v>
      </c>
      <c r="AA89" s="2">
        <v>898</v>
      </c>
      <c r="AB89" s="2">
        <v>3211</v>
      </c>
      <c r="AC89" s="2">
        <v>4307</v>
      </c>
      <c r="AD89" s="2">
        <v>6461</v>
      </c>
      <c r="AE89" s="2">
        <v>898</v>
      </c>
    </row>
    <row r="90" spans="2:39" s="2" customFormat="1" x14ac:dyDescent="0.2">
      <c r="B90" s="2" t="s">
        <v>82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-617</v>
      </c>
      <c r="O90" s="4">
        <v>-398</v>
      </c>
      <c r="P90" s="4">
        <v>345</v>
      </c>
      <c r="Q90" s="4">
        <v>407</v>
      </c>
      <c r="R90" s="4">
        <v>363</v>
      </c>
      <c r="S90" s="4">
        <v>1252</v>
      </c>
      <c r="T90" s="4">
        <v>362</v>
      </c>
      <c r="U90" s="4">
        <v>-911</v>
      </c>
      <c r="V90" s="4">
        <v>-1627</v>
      </c>
      <c r="W90" s="4">
        <v>-1281</v>
      </c>
      <c r="X90" s="4">
        <v>-1771</v>
      </c>
      <c r="Y90" s="4">
        <v>-2466</v>
      </c>
      <c r="Z90" s="4">
        <v>-2228</v>
      </c>
      <c r="AA90" s="2">
        <v>-1247</v>
      </c>
      <c r="AB90" s="2">
        <v>-895</v>
      </c>
      <c r="AC90" s="2">
        <v>-95</v>
      </c>
      <c r="AD90" s="2">
        <v>-419</v>
      </c>
      <c r="AE90" s="2">
        <v>-1247</v>
      </c>
    </row>
    <row r="91" spans="2:39" s="2" customFormat="1" x14ac:dyDescent="0.2">
      <c r="B91" s="2" t="s">
        <v>83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2596</v>
      </c>
      <c r="O91" s="4">
        <v>3075</v>
      </c>
      <c r="P91" s="4">
        <v>3357</v>
      </c>
      <c r="Q91" s="4">
        <v>3535</v>
      </c>
      <c r="R91" s="4">
        <v>3564</v>
      </c>
      <c r="S91" s="4">
        <v>4163</v>
      </c>
      <c r="T91" s="4">
        <v>4193</v>
      </c>
      <c r="U91" s="4">
        <v>4883</v>
      </c>
      <c r="V91" s="4">
        <v>5293</v>
      </c>
      <c r="W91" s="4">
        <v>6518</v>
      </c>
      <c r="X91" s="4">
        <v>5715</v>
      </c>
      <c r="Y91" s="4">
        <v>5403</v>
      </c>
      <c r="Z91" s="4">
        <v>5205</v>
      </c>
      <c r="AA91" s="2">
        <v>5123</v>
      </c>
      <c r="AB91" s="2">
        <v>5365</v>
      </c>
      <c r="AC91" s="2">
        <v>6976</v>
      </c>
      <c r="AD91" s="2">
        <v>7167</v>
      </c>
      <c r="AE91" s="2">
        <v>5123</v>
      </c>
    </row>
    <row r="93" spans="2:39" x14ac:dyDescent="0.2">
      <c r="B93" s="2" t="s">
        <v>102</v>
      </c>
      <c r="O93" s="4">
        <f>+O73+O75+O76</f>
        <v>-2364</v>
      </c>
      <c r="P93" s="4">
        <f>+P73+P75+P76</f>
        <v>13991</v>
      </c>
      <c r="Q93" s="4">
        <f>+Q73+Q75+Q76</f>
        <v>2156</v>
      </c>
      <c r="R93" s="4">
        <f>+R73+R75+R76</f>
        <v>17235</v>
      </c>
      <c r="S93" s="4">
        <f>+S73+S75+S76</f>
        <v>-6974</v>
      </c>
      <c r="T93" s="4">
        <f>+T73+T75+T76</f>
        <v>-273</v>
      </c>
      <c r="U93" s="4">
        <f>+U73+U75+U76</f>
        <v>-7438</v>
      </c>
      <c r="V93" s="4">
        <f>+V73+V75+V76</f>
        <v>5616</v>
      </c>
      <c r="W93" s="4">
        <f>+W73+W75+W76</f>
        <v>-16532</v>
      </c>
      <c r="X93" s="4">
        <f t="shared" ref="X93:Z93" si="235">+X73+X75+X76</f>
        <v>-5133</v>
      </c>
      <c r="Y93" s="4">
        <f t="shared" si="235"/>
        <v>-3637</v>
      </c>
      <c r="Z93" s="4">
        <f t="shared" si="235"/>
        <v>13733</v>
      </c>
      <c r="AA93" s="4">
        <f>+AA73+AA75+AA76</f>
        <v>-8282</v>
      </c>
      <c r="AB93" s="4">
        <f t="shared" ref="AB93:AE93" si="236">+AB73+AB75+AB76</f>
        <v>6064</v>
      </c>
      <c r="AC93" s="4">
        <f t="shared" si="236"/>
        <v>9919</v>
      </c>
      <c r="AD93" s="4">
        <f t="shared" si="236"/>
        <v>29112</v>
      </c>
      <c r="AE93" s="4">
        <f t="shared" si="236"/>
        <v>5054</v>
      </c>
    </row>
    <row r="94" spans="2:39" x14ac:dyDescent="0.2">
      <c r="B94" s="2" t="s">
        <v>107</v>
      </c>
      <c r="R94" s="2">
        <f t="shared" ref="R94:T94" si="237">SUM(O93:R93)</f>
        <v>31018</v>
      </c>
      <c r="S94" s="2">
        <f t="shared" si="237"/>
        <v>26408</v>
      </c>
      <c r="T94" s="2">
        <f t="shared" si="237"/>
        <v>12144</v>
      </c>
      <c r="U94" s="2">
        <f>SUM(R93:U93)</f>
        <v>2550</v>
      </c>
      <c r="V94" s="2">
        <f>SUM(S93:V93)</f>
        <v>-9069</v>
      </c>
      <c r="W94" s="2">
        <f>SUM(T93:W93)</f>
        <v>-18627</v>
      </c>
      <c r="X94" s="2">
        <f>SUM(U93:X93)</f>
        <v>-23487</v>
      </c>
      <c r="Y94" s="2">
        <f t="shared" ref="Y94" si="238">SUM(V93:Y93)</f>
        <v>-19686</v>
      </c>
      <c r="Z94" s="2">
        <f>SUM(W93:Z93)</f>
        <v>-11569</v>
      </c>
      <c r="AA94" s="2">
        <f>SUM(X93:AA93)</f>
        <v>-3319</v>
      </c>
      <c r="AB94" s="2">
        <f t="shared" ref="AB94:AE94" si="239">SUM(Y93:AB93)</f>
        <v>7878</v>
      </c>
      <c r="AC94" s="2">
        <f t="shared" si="239"/>
        <v>21434</v>
      </c>
      <c r="AD94" s="2">
        <f t="shared" si="239"/>
        <v>36813</v>
      </c>
      <c r="AE94" s="2">
        <f t="shared" si="239"/>
        <v>50149</v>
      </c>
    </row>
    <row r="100" spans="2:40" x14ac:dyDescent="0.2">
      <c r="B100" t="s">
        <v>105</v>
      </c>
      <c r="AL100">
        <v>7.25</v>
      </c>
      <c r="AM100">
        <v>28.73</v>
      </c>
      <c r="AN100" s="1">
        <f>11495/AN34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2022-07-14T21:56:19Z</dcterms:created>
  <dcterms:modified xsi:type="dcterms:W3CDTF">2024-06-23T23:27:55Z</dcterms:modified>
</cp:coreProperties>
</file>