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AF6EA2A4-4AF5-4CB8-9C17-F3FC30D17748}" xr6:coauthVersionLast="47" xr6:coauthVersionMax="47" xr10:uidLastSave="{00000000-0000-0000-0000-000000000000}"/>
  <bookViews>
    <workbookView xWindow="23250" yWindow="45" windowWidth="28395" windowHeight="20910" activeTab="1" xr2:uid="{605BC9F4-5436-4082-9BF9-F0067EF1EC53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L11" i="2" l="1"/>
  <c r="AM11" i="2"/>
  <c r="AN11" i="2"/>
  <c r="AO11" i="2"/>
  <c r="AP11" i="2"/>
  <c r="AQ11" i="2"/>
  <c r="AR11" i="2"/>
  <c r="AM14" i="2"/>
  <c r="AL14" i="2"/>
  <c r="AK14" i="2"/>
  <c r="AJ33" i="2"/>
  <c r="AJ34" i="2"/>
  <c r="L8" i="1"/>
  <c r="L3" i="1"/>
  <c r="AG18" i="2"/>
  <c r="AF18" i="2"/>
  <c r="AE18" i="2"/>
  <c r="AD18" i="2"/>
  <c r="AD19" i="2" s="1"/>
  <c r="AD21" i="2" s="1"/>
  <c r="AD14" i="2"/>
  <c r="AD33" i="2" s="1"/>
  <c r="AC18" i="2"/>
  <c r="AC14" i="2"/>
  <c r="AC33" i="2" s="1"/>
  <c r="AB18" i="2"/>
  <c r="AB14" i="2"/>
  <c r="AB33" i="2" s="1"/>
  <c r="AD27" i="2"/>
  <c r="AC27" i="2"/>
  <c r="AB27" i="2"/>
  <c r="AA27" i="2"/>
  <c r="R81" i="2"/>
  <c r="R83" i="2" s="1"/>
  <c r="R74" i="2"/>
  <c r="R77" i="2" s="1"/>
  <c r="R70" i="2"/>
  <c r="R71" i="2" s="1"/>
  <c r="R87" i="2" s="1"/>
  <c r="R32" i="2"/>
  <c r="R30" i="2"/>
  <c r="R29" i="2"/>
  <c r="R18" i="2"/>
  <c r="AN14" i="2" l="1"/>
  <c r="AD34" i="2"/>
  <c r="AD23" i="2"/>
  <c r="AB19" i="2"/>
  <c r="AB21" i="2" s="1"/>
  <c r="AC19" i="2"/>
  <c r="AC21" i="2" s="1"/>
  <c r="R85" i="2"/>
  <c r="AO14" i="2" l="1"/>
  <c r="AB23" i="2"/>
  <c r="AB34" i="2"/>
  <c r="AC34" i="2"/>
  <c r="AC23" i="2"/>
  <c r="AP14" i="2" l="1"/>
  <c r="AR14" i="2" l="1"/>
  <c r="AQ14" i="2"/>
  <c r="R55" i="2" l="1"/>
  <c r="R54" i="2"/>
  <c r="R46" i="2"/>
  <c r="R38" i="2"/>
  <c r="R48" i="2" s="1"/>
  <c r="R37" i="2"/>
  <c r="K92" i="2"/>
  <c r="R91" i="2"/>
  <c r="Q29" i="2"/>
  <c r="P29" i="2"/>
  <c r="O29" i="2"/>
  <c r="Q91" i="2"/>
  <c r="P91" i="2"/>
  <c r="O91" i="2"/>
  <c r="O81" i="2"/>
  <c r="O83" i="2" s="1"/>
  <c r="O74" i="2"/>
  <c r="O77" i="2" s="1"/>
  <c r="O70" i="2"/>
  <c r="K70" i="2"/>
  <c r="K71" i="2" s="1"/>
  <c r="K87" i="2" s="1"/>
  <c r="O71" i="2"/>
  <c r="O87" i="2" s="1"/>
  <c r="N71" i="2"/>
  <c r="N87" i="2" s="1"/>
  <c r="O55" i="2"/>
  <c r="O54" i="2"/>
  <c r="O60" i="2" s="1"/>
  <c r="O46" i="2"/>
  <c r="O38" i="2"/>
  <c r="O37" i="2" s="1"/>
  <c r="N55" i="2"/>
  <c r="N54" i="2"/>
  <c r="N46" i="2"/>
  <c r="N38" i="2"/>
  <c r="N37" i="2" s="1"/>
  <c r="V4" i="2"/>
  <c r="U4" i="2"/>
  <c r="T4" i="2"/>
  <c r="S4" i="2"/>
  <c r="V5" i="2"/>
  <c r="U5" i="2"/>
  <c r="T5" i="2"/>
  <c r="S5" i="2"/>
  <c r="V6" i="2"/>
  <c r="U6" i="2"/>
  <c r="T6" i="2"/>
  <c r="S6" i="2"/>
  <c r="V7" i="2"/>
  <c r="U7" i="2"/>
  <c r="T7" i="2"/>
  <c r="S7" i="2"/>
  <c r="V8" i="2"/>
  <c r="U8" i="2"/>
  <c r="T8" i="2"/>
  <c r="S8" i="2"/>
  <c r="V9" i="2"/>
  <c r="U9" i="2"/>
  <c r="T9" i="2"/>
  <c r="S9" i="2"/>
  <c r="R10" i="2"/>
  <c r="Q70" i="2"/>
  <c r="Q71" i="2" s="1"/>
  <c r="Q87" i="2" s="1"/>
  <c r="M87" i="2"/>
  <c r="Q55" i="2"/>
  <c r="Q54" i="2"/>
  <c r="Q60" i="2" s="1"/>
  <c r="Q46" i="2"/>
  <c r="Q38" i="2"/>
  <c r="Q37" i="2" s="1"/>
  <c r="G55" i="2"/>
  <c r="G54" i="2"/>
  <c r="G38" i="2"/>
  <c r="G37" i="2" s="1"/>
  <c r="G46" i="2"/>
  <c r="C81" i="2"/>
  <c r="C83" i="2" s="1"/>
  <c r="C74" i="2"/>
  <c r="C77" i="2" s="1"/>
  <c r="C70" i="2"/>
  <c r="C71" i="2" s="1"/>
  <c r="G81" i="2"/>
  <c r="G83" i="2" s="1"/>
  <c r="G74" i="2"/>
  <c r="G77" i="2" s="1"/>
  <c r="G70" i="2"/>
  <c r="G71" i="2" s="1"/>
  <c r="C18" i="2"/>
  <c r="K32" i="2"/>
  <c r="K30" i="2"/>
  <c r="K29" i="2"/>
  <c r="AG32" i="2"/>
  <c r="AF32" i="2"/>
  <c r="AG29" i="2"/>
  <c r="AF29" i="2"/>
  <c r="AG10" i="2"/>
  <c r="AG11" i="2" s="1"/>
  <c r="AF10" i="2"/>
  <c r="AF11" i="2" s="1"/>
  <c r="AE10" i="2"/>
  <c r="AE11" i="2" s="1"/>
  <c r="AH9" i="2"/>
  <c r="AH29" i="2" s="1"/>
  <c r="AH8" i="2"/>
  <c r="AH30" i="2" s="1"/>
  <c r="AH7" i="2"/>
  <c r="AH6" i="2"/>
  <c r="AH5" i="2"/>
  <c r="AH32" i="2" s="1"/>
  <c r="AH4" i="2"/>
  <c r="AH3" i="2"/>
  <c r="G10" i="2"/>
  <c r="G11" i="2" s="1"/>
  <c r="G35" i="2" s="1"/>
  <c r="F10" i="2"/>
  <c r="F11" i="2" s="1"/>
  <c r="E10" i="2"/>
  <c r="E11" i="2" s="1"/>
  <c r="D10" i="2"/>
  <c r="D11" i="2" s="1"/>
  <c r="C10" i="2"/>
  <c r="C11" i="2" s="1"/>
  <c r="C14" i="2" s="1"/>
  <c r="AJ3" i="2"/>
  <c r="AI3" i="2"/>
  <c r="AI9" i="2"/>
  <c r="AI6" i="2"/>
  <c r="AI5" i="2"/>
  <c r="AI4" i="2"/>
  <c r="AI7" i="2"/>
  <c r="AG30" i="2"/>
  <c r="AF30" i="2"/>
  <c r="AI8" i="2"/>
  <c r="AJ20" i="2"/>
  <c r="AJ25" i="2"/>
  <c r="AK25" i="2" s="1"/>
  <c r="AL25" i="2" s="1"/>
  <c r="AM25" i="2" s="1"/>
  <c r="AN25" i="2" s="1"/>
  <c r="AO25" i="2" s="1"/>
  <c r="AP25" i="2" s="1"/>
  <c r="AQ25" i="2" s="1"/>
  <c r="AR25" i="2" s="1"/>
  <c r="Q30" i="2"/>
  <c r="P55" i="2"/>
  <c r="P54" i="2"/>
  <c r="P46" i="2"/>
  <c r="P38" i="2"/>
  <c r="P10" i="2"/>
  <c r="P11" i="2" s="1"/>
  <c r="P92" i="2" s="1"/>
  <c r="P30" i="2"/>
  <c r="O30" i="2"/>
  <c r="N30" i="2"/>
  <c r="M30" i="2"/>
  <c r="L30" i="2"/>
  <c r="N29" i="2"/>
  <c r="M29" i="2"/>
  <c r="L29" i="2"/>
  <c r="O10" i="2"/>
  <c r="O11" i="2" s="1"/>
  <c r="O92" i="2" s="1"/>
  <c r="N10" i="2"/>
  <c r="P32" i="2"/>
  <c r="P18" i="2"/>
  <c r="L32" i="2"/>
  <c r="H10" i="2"/>
  <c r="H11" i="2" s="1"/>
  <c r="H14" i="2" s="1"/>
  <c r="H33" i="2" s="1"/>
  <c r="L10" i="2"/>
  <c r="L11" i="2" s="1"/>
  <c r="L92" i="2" s="1"/>
  <c r="M32" i="2"/>
  <c r="I18" i="2"/>
  <c r="H18" i="2"/>
  <c r="G18" i="2"/>
  <c r="I10" i="2"/>
  <c r="I11" i="2" s="1"/>
  <c r="I35" i="2" s="1"/>
  <c r="M10" i="2"/>
  <c r="M11" i="2" s="1"/>
  <c r="M92" i="2" s="1"/>
  <c r="AI18" i="2"/>
  <c r="AH18" i="2"/>
  <c r="AJ2" i="2"/>
  <c r="AK2" i="2" s="1"/>
  <c r="AL2" i="2" s="1"/>
  <c r="AM2" i="2" s="1"/>
  <c r="AN2" i="2" s="1"/>
  <c r="AO2" i="2" s="1"/>
  <c r="AP2" i="2" s="1"/>
  <c r="AQ2" i="2" s="1"/>
  <c r="AR2" i="2" s="1"/>
  <c r="K35" i="2"/>
  <c r="J87" i="2"/>
  <c r="N32" i="2"/>
  <c r="J18" i="2"/>
  <c r="K14" i="2"/>
  <c r="J10" i="2"/>
  <c r="J11" i="2" s="1"/>
  <c r="O32" i="2"/>
  <c r="O18" i="2"/>
  <c r="N18" i="2"/>
  <c r="M18" i="2"/>
  <c r="L18" i="2"/>
  <c r="K18" i="2"/>
  <c r="AF27" i="2" l="1"/>
  <c r="AF14" i="2"/>
  <c r="AE27" i="2"/>
  <c r="AE14" i="2"/>
  <c r="AG14" i="2"/>
  <c r="AG27" i="2"/>
  <c r="T10" i="2"/>
  <c r="T11" i="2" s="1"/>
  <c r="T27" i="2" s="1"/>
  <c r="O48" i="2"/>
  <c r="N60" i="2"/>
  <c r="Q48" i="2"/>
  <c r="G92" i="2"/>
  <c r="S10" i="2"/>
  <c r="S11" i="2" s="1"/>
  <c r="S27" i="2" s="1"/>
  <c r="U10" i="2"/>
  <c r="U11" i="2" s="1"/>
  <c r="O85" i="2"/>
  <c r="R11" i="2"/>
  <c r="R31" i="2"/>
  <c r="G60" i="2"/>
  <c r="N48" i="2"/>
  <c r="R60" i="2"/>
  <c r="V10" i="2"/>
  <c r="V11" i="2"/>
  <c r="V27" i="2" s="1"/>
  <c r="G48" i="2"/>
  <c r="G85" i="2"/>
  <c r="C85" i="2"/>
  <c r="AH10" i="2"/>
  <c r="AH11" i="2" s="1"/>
  <c r="AH27" i="2" s="1"/>
  <c r="AI32" i="2"/>
  <c r="AJ6" i="2"/>
  <c r="AK6" i="2" s="1"/>
  <c r="AL6" i="2" s="1"/>
  <c r="G14" i="2"/>
  <c r="G33" i="2" s="1"/>
  <c r="K27" i="2"/>
  <c r="AJ7" i="2"/>
  <c r="AK7" i="2" s="1"/>
  <c r="AL7" i="2" s="1"/>
  <c r="AM7" i="2" s="1"/>
  <c r="AN7" i="2" s="1"/>
  <c r="AO7" i="2" s="1"/>
  <c r="AP7" i="2" s="1"/>
  <c r="AQ7" i="2" s="1"/>
  <c r="AR7" i="2" s="1"/>
  <c r="AI30" i="2"/>
  <c r="AI29" i="2"/>
  <c r="K31" i="2"/>
  <c r="AF31" i="2"/>
  <c r="AG31" i="2"/>
  <c r="AI10" i="2"/>
  <c r="AI11" i="2" s="1"/>
  <c r="AI27" i="2" s="1"/>
  <c r="C19" i="2"/>
  <c r="C21" i="2" s="1"/>
  <c r="C23" i="2" s="1"/>
  <c r="AJ9" i="2"/>
  <c r="AJ29" i="2" s="1"/>
  <c r="P48" i="2"/>
  <c r="AJ17" i="2"/>
  <c r="AK17" i="2" s="1"/>
  <c r="AL17" i="2" s="1"/>
  <c r="AM17" i="2" s="1"/>
  <c r="AN17" i="2" s="1"/>
  <c r="AO17" i="2" s="1"/>
  <c r="AP17" i="2" s="1"/>
  <c r="AQ17" i="2" s="1"/>
  <c r="AR17" i="2" s="1"/>
  <c r="Q18" i="2"/>
  <c r="AJ16" i="2"/>
  <c r="AK16" i="2" s="1"/>
  <c r="AL16" i="2" s="1"/>
  <c r="AM16" i="2" s="1"/>
  <c r="AN16" i="2" s="1"/>
  <c r="AO16" i="2" s="1"/>
  <c r="AP16" i="2" s="1"/>
  <c r="AQ16" i="2" s="1"/>
  <c r="AR16" i="2" s="1"/>
  <c r="AJ4" i="2"/>
  <c r="AK4" i="2" s="1"/>
  <c r="AL4" i="2" s="1"/>
  <c r="AM4" i="2" s="1"/>
  <c r="AN4" i="2" s="1"/>
  <c r="AO4" i="2" s="1"/>
  <c r="AP4" i="2" s="1"/>
  <c r="AQ4" i="2" s="1"/>
  <c r="AR4" i="2" s="1"/>
  <c r="P37" i="2"/>
  <c r="AJ5" i="2"/>
  <c r="AJ15" i="2"/>
  <c r="Q10" i="2"/>
  <c r="Q31" i="2" s="1"/>
  <c r="Q32" i="2"/>
  <c r="AJ8" i="2"/>
  <c r="P60" i="2"/>
  <c r="M27" i="2"/>
  <c r="O31" i="2"/>
  <c r="O27" i="2"/>
  <c r="O35" i="2"/>
  <c r="P35" i="2"/>
  <c r="P14" i="2"/>
  <c r="P19" i="2" s="1"/>
  <c r="P21" i="2" s="1"/>
  <c r="P27" i="2"/>
  <c r="L27" i="2"/>
  <c r="M31" i="2"/>
  <c r="N31" i="2"/>
  <c r="N11" i="2"/>
  <c r="J14" i="2"/>
  <c r="J33" i="2" s="1"/>
  <c r="J35" i="2"/>
  <c r="P31" i="2"/>
  <c r="L31" i="2"/>
  <c r="H35" i="2"/>
  <c r="I14" i="2"/>
  <c r="I33" i="2" s="1"/>
  <c r="H19" i="2"/>
  <c r="H21" i="2" s="1"/>
  <c r="L35" i="2"/>
  <c r="L14" i="2"/>
  <c r="L33" i="2" s="1"/>
  <c r="M14" i="2"/>
  <c r="M33" i="2" s="1"/>
  <c r="M35" i="2"/>
  <c r="O14" i="2"/>
  <c r="L4" i="1"/>
  <c r="L7" i="1" s="1"/>
  <c r="AG33" i="2" l="1"/>
  <c r="AG19" i="2"/>
  <c r="AG21" i="2" s="1"/>
  <c r="AE33" i="2"/>
  <c r="AE19" i="2"/>
  <c r="AE21" i="2" s="1"/>
  <c r="AF33" i="2"/>
  <c r="AF19" i="2"/>
  <c r="AF21" i="2" s="1"/>
  <c r="N35" i="2"/>
  <c r="N92" i="2"/>
  <c r="R35" i="2"/>
  <c r="R27" i="2"/>
  <c r="R14" i="2"/>
  <c r="R33" i="2" s="1"/>
  <c r="R92" i="2"/>
  <c r="C24" i="2"/>
  <c r="C62" i="2"/>
  <c r="AH35" i="2"/>
  <c r="AH14" i="2"/>
  <c r="AH33" i="2" s="1"/>
  <c r="AI31" i="2"/>
  <c r="AH31" i="2"/>
  <c r="Q11" i="2"/>
  <c r="G19" i="2"/>
  <c r="G21" i="2" s="1"/>
  <c r="AI14" i="2"/>
  <c r="AI33" i="2" s="1"/>
  <c r="AI35" i="2"/>
  <c r="G23" i="2"/>
  <c r="G34" i="2"/>
  <c r="AJ30" i="2"/>
  <c r="AJ10" i="2"/>
  <c r="AJ31" i="2" s="1"/>
  <c r="AK5" i="2"/>
  <c r="AK32" i="2" s="1"/>
  <c r="AJ32" i="2"/>
  <c r="AK8" i="2"/>
  <c r="AK30" i="2" s="1"/>
  <c r="AJ18" i="2"/>
  <c r="AK15" i="2"/>
  <c r="AL8" i="2"/>
  <c r="AM6" i="2"/>
  <c r="P23" i="2"/>
  <c r="P34" i="2"/>
  <c r="H23" i="2"/>
  <c r="H34" i="2"/>
  <c r="AK9" i="2"/>
  <c r="AL9" i="2" s="1"/>
  <c r="N14" i="2"/>
  <c r="N33" i="2" s="1"/>
  <c r="N27" i="2"/>
  <c r="M19" i="2"/>
  <c r="M21" i="2" s="1"/>
  <c r="I19" i="2"/>
  <c r="I21" i="2" s="1"/>
  <c r="P33" i="2"/>
  <c r="J19" i="2"/>
  <c r="J21" i="2" s="1"/>
  <c r="L19" i="2"/>
  <c r="L21" i="2" s="1"/>
  <c r="K33" i="2"/>
  <c r="K19" i="2"/>
  <c r="K21" i="2" s="1"/>
  <c r="O33" i="2"/>
  <c r="O19" i="2"/>
  <c r="O21" i="2" s="1"/>
  <c r="AG23" i="2" l="1"/>
  <c r="AG34" i="2"/>
  <c r="AF23" i="2"/>
  <c r="AF34" i="2"/>
  <c r="AE23" i="2"/>
  <c r="AE34" i="2"/>
  <c r="Q27" i="2"/>
  <c r="Q92" i="2"/>
  <c r="Q14" i="2"/>
  <c r="U27" i="2"/>
  <c r="H24" i="2"/>
  <c r="H62" i="2"/>
  <c r="P24" i="2"/>
  <c r="P62" i="2"/>
  <c r="Q35" i="2"/>
  <c r="AJ11" i="2"/>
  <c r="AJ27" i="2" s="1"/>
  <c r="AJ12" i="2"/>
  <c r="AJ14" i="2" s="1"/>
  <c r="AI19" i="2"/>
  <c r="AI21" i="2" s="1"/>
  <c r="AI23" i="2" s="1"/>
  <c r="AI24" i="2" s="1"/>
  <c r="AL5" i="2"/>
  <c r="AM5" i="2" s="1"/>
  <c r="AH19" i="2"/>
  <c r="AH21" i="2" s="1"/>
  <c r="AH34" i="2" s="1"/>
  <c r="G24" i="2"/>
  <c r="G62" i="2"/>
  <c r="AL10" i="2"/>
  <c r="AN6" i="2"/>
  <c r="AM8" i="2"/>
  <c r="AL30" i="2"/>
  <c r="AK18" i="2"/>
  <c r="AL15" i="2"/>
  <c r="AM9" i="2"/>
  <c r="AL29" i="2"/>
  <c r="M23" i="2"/>
  <c r="M34" i="2"/>
  <c r="O23" i="2"/>
  <c r="O34" i="2"/>
  <c r="K23" i="2"/>
  <c r="K34" i="2"/>
  <c r="L23" i="2"/>
  <c r="L34" i="2"/>
  <c r="J23" i="2"/>
  <c r="J34" i="2"/>
  <c r="I23" i="2"/>
  <c r="I34" i="2"/>
  <c r="AK29" i="2"/>
  <c r="AJ35" i="2"/>
  <c r="AK10" i="2"/>
  <c r="N19" i="2"/>
  <c r="N21" i="2" s="1"/>
  <c r="Q33" i="2"/>
  <c r="Q19" i="2"/>
  <c r="Q21" i="2" s="1"/>
  <c r="R19" i="2"/>
  <c r="R21" i="2" s="1"/>
  <c r="R34" i="2" s="1"/>
  <c r="AI34" i="2" l="1"/>
  <c r="J24" i="2"/>
  <c r="J62" i="2"/>
  <c r="L24" i="2"/>
  <c r="L62" i="2"/>
  <c r="M24" i="2"/>
  <c r="M62" i="2"/>
  <c r="I24" i="2"/>
  <c r="I62" i="2"/>
  <c r="K24" i="2"/>
  <c r="K62" i="2"/>
  <c r="O24" i="2"/>
  <c r="O62" i="2"/>
  <c r="AL32" i="2"/>
  <c r="AL33" i="2"/>
  <c r="AL31" i="2"/>
  <c r="AH23" i="2"/>
  <c r="AH24" i="2" s="1"/>
  <c r="AM10" i="2"/>
  <c r="AM31" i="2" s="1"/>
  <c r="AL35" i="2"/>
  <c r="AN9" i="2"/>
  <c r="AM29" i="2"/>
  <c r="AM15" i="2"/>
  <c r="AL18" i="2"/>
  <c r="AN8" i="2"/>
  <c r="AM30" i="2"/>
  <c r="AN5" i="2"/>
  <c r="AM32" i="2"/>
  <c r="AO6" i="2"/>
  <c r="AK11" i="2"/>
  <c r="AK31" i="2"/>
  <c r="N23" i="2"/>
  <c r="N34" i="2"/>
  <c r="AJ19" i="2"/>
  <c r="AJ21" i="2" s="1"/>
  <c r="Q23" i="2"/>
  <c r="Q62" i="2" s="1"/>
  <c r="AL27" i="2" l="1"/>
  <c r="N24" i="2"/>
  <c r="N62" i="2"/>
  <c r="AM35" i="2"/>
  <c r="AN10" i="2"/>
  <c r="AN35" i="2" s="1"/>
  <c r="AL19" i="2"/>
  <c r="AL12" i="2"/>
  <c r="AP6" i="2"/>
  <c r="AN29" i="2"/>
  <c r="AO9" i="2"/>
  <c r="AO5" i="2"/>
  <c r="AN32" i="2"/>
  <c r="AN30" i="2"/>
  <c r="AO8" i="2"/>
  <c r="Q24" i="2"/>
  <c r="AN15" i="2"/>
  <c r="AM18" i="2"/>
  <c r="AJ22" i="2"/>
  <c r="Q34" i="2"/>
  <c r="AK27" i="2"/>
  <c r="AK12" i="2"/>
  <c r="AK35" i="2"/>
  <c r="R23" i="2"/>
  <c r="R24" i="2" l="1"/>
  <c r="R62" i="2"/>
  <c r="AN31" i="2"/>
  <c r="AM33" i="2"/>
  <c r="AM27" i="2"/>
  <c r="AJ37" i="2"/>
  <c r="AK20" i="2" s="1"/>
  <c r="AO15" i="2"/>
  <c r="AN18" i="2"/>
  <c r="AJ23" i="2"/>
  <c r="AJ24" i="2" s="1"/>
  <c r="AO30" i="2"/>
  <c r="AP8" i="2"/>
  <c r="AP9" i="2"/>
  <c r="AO29" i="2"/>
  <c r="AO10" i="2"/>
  <c r="AP5" i="2"/>
  <c r="AO32" i="2"/>
  <c r="AQ6" i="2"/>
  <c r="AP10" i="2"/>
  <c r="AN33" i="2"/>
  <c r="AN27" i="2"/>
  <c r="AK19" i="2"/>
  <c r="AK33" i="2"/>
  <c r="AM19" i="2" l="1"/>
  <c r="AM12" i="2"/>
  <c r="AK21" i="2"/>
  <c r="AK22" i="2" s="1"/>
  <c r="AK34" i="2" s="1"/>
  <c r="AN12" i="2"/>
  <c r="AQ5" i="2"/>
  <c r="AP32" i="2"/>
  <c r="AP31" i="2"/>
  <c r="AR6" i="2"/>
  <c r="AO31" i="2"/>
  <c r="AQ8" i="2"/>
  <c r="AP30" i="2"/>
  <c r="AP15" i="2"/>
  <c r="AO18" i="2"/>
  <c r="AP29" i="2"/>
  <c r="AQ9" i="2"/>
  <c r="AN19" i="2"/>
  <c r="AQ29" i="2" l="1"/>
  <c r="AR9" i="2"/>
  <c r="AR29" i="2" s="1"/>
  <c r="AO33" i="2"/>
  <c r="AO27" i="2"/>
  <c r="AO35" i="2"/>
  <c r="AO19" i="2"/>
  <c r="AQ15" i="2"/>
  <c r="AP18" i="2"/>
  <c r="AR8" i="2"/>
  <c r="AR30" i="2" s="1"/>
  <c r="AQ30" i="2"/>
  <c r="AQ10" i="2"/>
  <c r="AP33" i="2"/>
  <c r="AP27" i="2"/>
  <c r="AP35" i="2"/>
  <c r="AR5" i="2"/>
  <c r="AR32" i="2" s="1"/>
  <c r="AQ32" i="2"/>
  <c r="AK23" i="2"/>
  <c r="AO12" i="2" l="1"/>
  <c r="AP12" i="2"/>
  <c r="AR10" i="2"/>
  <c r="AQ31" i="2"/>
  <c r="AR15" i="2"/>
  <c r="AR18" i="2" s="1"/>
  <c r="AQ18" i="2"/>
  <c r="AR31" i="2"/>
  <c r="AP19" i="2"/>
  <c r="AK24" i="2"/>
  <c r="AK37" i="2"/>
  <c r="AR33" i="2" l="1"/>
  <c r="AR35" i="2"/>
  <c r="AR27" i="2"/>
  <c r="AQ33" i="2"/>
  <c r="AQ35" i="2"/>
  <c r="AQ27" i="2"/>
  <c r="AL20" i="2"/>
  <c r="AL21" i="2" s="1"/>
  <c r="AR19" i="2" l="1"/>
  <c r="AQ19" i="2"/>
  <c r="AQ12" i="2"/>
  <c r="AR12" i="2"/>
  <c r="AL22" i="2"/>
  <c r="AL34" i="2" s="1"/>
  <c r="AL23" i="2" l="1"/>
  <c r="AL24" i="2" s="1"/>
  <c r="AL37" i="2" l="1"/>
  <c r="AM20" i="2"/>
  <c r="AM21" i="2" s="1"/>
  <c r="AM22" i="2" l="1"/>
  <c r="AM34" i="2" s="1"/>
  <c r="AM23" i="2" l="1"/>
  <c r="AM24" i="2" s="1"/>
  <c r="AM37" i="2" l="1"/>
  <c r="AN20" i="2" s="1"/>
  <c r="AN21" i="2" s="1"/>
  <c r="AN22" i="2" l="1"/>
  <c r="AN34" i="2" s="1"/>
  <c r="AN23" i="2" l="1"/>
  <c r="AN37" i="2" s="1"/>
  <c r="AN24" i="2" l="1"/>
  <c r="AO20" i="2"/>
  <c r="AO21" i="2" s="1"/>
  <c r="AO22" i="2" l="1"/>
  <c r="AO34" i="2" s="1"/>
  <c r="AO23" i="2" l="1"/>
  <c r="AO24" i="2" s="1"/>
  <c r="AO37" i="2" l="1"/>
  <c r="AP20" i="2" s="1"/>
  <c r="AP21" i="2" s="1"/>
  <c r="AP22" i="2" l="1"/>
  <c r="AP34" i="2" s="1"/>
  <c r="AP23" i="2" l="1"/>
  <c r="AP24" i="2" s="1"/>
  <c r="AP37" i="2" l="1"/>
  <c r="AQ20" i="2" s="1"/>
  <c r="AQ21" i="2" s="1"/>
  <c r="AQ22" i="2" l="1"/>
  <c r="AQ34" i="2" s="1"/>
  <c r="AQ23" i="2" l="1"/>
  <c r="AQ24" i="2" s="1"/>
  <c r="AQ37" i="2" l="1"/>
  <c r="AR20" i="2" s="1"/>
  <c r="AR21" i="2" s="1"/>
  <c r="AR22" i="2" l="1"/>
  <c r="AR34" i="2" s="1"/>
  <c r="AR23" i="2" l="1"/>
  <c r="AS23" i="2" s="1"/>
  <c r="AT23" i="2" s="1"/>
  <c r="AU23" i="2" s="1"/>
  <c r="AV23" i="2" s="1"/>
  <c r="AW23" i="2" s="1"/>
  <c r="AX23" i="2" s="1"/>
  <c r="AY23" i="2" s="1"/>
  <c r="AZ23" i="2" s="1"/>
  <c r="BA23" i="2" s="1"/>
  <c r="BB23" i="2" s="1"/>
  <c r="BC23" i="2" s="1"/>
  <c r="BD23" i="2" s="1"/>
  <c r="BE23" i="2" s="1"/>
  <c r="BF23" i="2" s="1"/>
  <c r="BG23" i="2" s="1"/>
  <c r="BH23" i="2" s="1"/>
  <c r="BI23" i="2" s="1"/>
  <c r="BJ23" i="2" s="1"/>
  <c r="BK23" i="2" s="1"/>
  <c r="BL23" i="2" s="1"/>
  <c r="BM23" i="2" s="1"/>
  <c r="BN23" i="2" s="1"/>
  <c r="BO23" i="2" s="1"/>
  <c r="BP23" i="2" s="1"/>
  <c r="BQ23" i="2" s="1"/>
  <c r="BR23" i="2" s="1"/>
  <c r="BS23" i="2" s="1"/>
  <c r="BT23" i="2" s="1"/>
  <c r="BU23" i="2" s="1"/>
  <c r="BV23" i="2" s="1"/>
  <c r="BW23" i="2" s="1"/>
  <c r="BX23" i="2" s="1"/>
  <c r="BY23" i="2" s="1"/>
  <c r="BZ23" i="2" s="1"/>
  <c r="CA23" i="2" s="1"/>
  <c r="CB23" i="2" s="1"/>
  <c r="CC23" i="2" s="1"/>
  <c r="CD23" i="2" s="1"/>
  <c r="CE23" i="2" s="1"/>
  <c r="CF23" i="2" s="1"/>
  <c r="CG23" i="2" s="1"/>
  <c r="CH23" i="2" s="1"/>
  <c r="CI23" i="2" s="1"/>
  <c r="CJ23" i="2" s="1"/>
  <c r="CK23" i="2" s="1"/>
  <c r="CL23" i="2" s="1"/>
  <c r="CM23" i="2" s="1"/>
  <c r="CN23" i="2" s="1"/>
  <c r="CO23" i="2" s="1"/>
  <c r="CP23" i="2" s="1"/>
  <c r="CQ23" i="2" s="1"/>
  <c r="CR23" i="2" s="1"/>
  <c r="CS23" i="2" s="1"/>
  <c r="CT23" i="2" s="1"/>
  <c r="CU23" i="2" s="1"/>
  <c r="CV23" i="2" s="1"/>
  <c r="CW23" i="2" s="1"/>
  <c r="AU30" i="2" s="1"/>
  <c r="AU31" i="2" s="1"/>
  <c r="AR37" i="2" l="1"/>
  <c r="AR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tc={7CA9CE49-89FA-4E15-98D4-CE6DD96F43DD}</author>
    <author>tc={BB174E77-B992-4434-B813-37050944779B}</author>
  </authors>
  <commentList>
    <comment ref="R6" authorId="0" shapeId="0" xr:uid="{7CA9CE49-89FA-4E15-98D4-CE6DD96F43DD}">
      <text>
        <t>[Threaded comment]
Your version of Excel allows you to read this threaded comment; however, any edits to it will get removed if the file is opened in a newer version of Excel. Learn more: https://go.microsoft.com/fwlink/?linkid=870924
Comment:
    YouTube subscription</t>
      </text>
    </comment>
    <comment ref="R9" authorId="1" shapeId="0" xr:uid="{BB174E77-B992-4434-B813-37050944779B}">
      <text>
        <t>[Threaded comment]
Your version of Excel allows you to read this threaded comment; however, any edits to it will get removed if the file is opened in a newer version of Excel. Learn more: https://go.microsoft.com/fwlink/?linkid=870924
Comment:
    Grew ex-FX, finance decline, travel growth</t>
      </text>
    </comment>
  </commentList>
</comments>
</file>

<file path=xl/sharedStrings.xml><?xml version="1.0" encoding="utf-8"?>
<sst xmlns="http://schemas.openxmlformats.org/spreadsheetml/2006/main" count="117" uniqueCount="101">
  <si>
    <t>Price</t>
  </si>
  <si>
    <t>Shares</t>
  </si>
  <si>
    <t>MC</t>
  </si>
  <si>
    <t>Cash</t>
  </si>
  <si>
    <t>Debt</t>
  </si>
  <si>
    <t>EV</t>
  </si>
  <si>
    <t>Q122</t>
  </si>
  <si>
    <t>Main</t>
  </si>
  <si>
    <t>Revenue</t>
  </si>
  <si>
    <t>Q120</t>
  </si>
  <si>
    <t>Q220</t>
  </si>
  <si>
    <t>Q320</t>
  </si>
  <si>
    <t>Q420</t>
  </si>
  <si>
    <t>Q121</t>
  </si>
  <si>
    <t>Q221</t>
  </si>
  <si>
    <t>Q321</t>
  </si>
  <si>
    <t>Q421</t>
  </si>
  <si>
    <t>Q222</t>
  </si>
  <si>
    <t>Q322</t>
  </si>
  <si>
    <t>Q422</t>
  </si>
  <si>
    <t>COGS</t>
  </si>
  <si>
    <t>Gross Profit</t>
  </si>
  <si>
    <t>R&amp;D</t>
  </si>
  <si>
    <t>S&amp;M</t>
  </si>
  <si>
    <t>G&amp;A</t>
  </si>
  <si>
    <t>Founded</t>
  </si>
  <si>
    <t>OpEx</t>
  </si>
  <si>
    <t>OpInc</t>
  </si>
  <si>
    <t>Other</t>
  </si>
  <si>
    <t>Pretax</t>
  </si>
  <si>
    <t>Taxes</t>
  </si>
  <si>
    <t>Net Income</t>
  </si>
  <si>
    <t>EPS</t>
  </si>
  <si>
    <t>Gross Margin</t>
  </si>
  <si>
    <t>Revenue Growth</t>
  </si>
  <si>
    <t>CFFO</t>
  </si>
  <si>
    <t>CapEx</t>
  </si>
  <si>
    <t>FCF</t>
  </si>
  <si>
    <t>Services</t>
  </si>
  <si>
    <t>Cloud</t>
  </si>
  <si>
    <t>Other Bets</t>
  </si>
  <si>
    <t>FX</t>
  </si>
  <si>
    <t>Services Growth</t>
  </si>
  <si>
    <t>Cloud Growth</t>
  </si>
  <si>
    <t>YouTube</t>
  </si>
  <si>
    <t>Network</t>
  </si>
  <si>
    <t>Google Search</t>
  </si>
  <si>
    <t>Search % of Rev</t>
  </si>
  <si>
    <t>Revenue CC%</t>
  </si>
  <si>
    <t>Search Growth</t>
  </si>
  <si>
    <t>YouTube Growth</t>
  </si>
  <si>
    <t>TAC</t>
  </si>
  <si>
    <t>Employees</t>
  </si>
  <si>
    <t>AR</t>
  </si>
  <si>
    <t>Inventory</t>
  </si>
  <si>
    <t>OCA</t>
  </si>
  <si>
    <t>DT</t>
  </si>
  <si>
    <t>PP&amp;E</t>
  </si>
  <si>
    <t>Lease</t>
  </si>
  <si>
    <t>Assets</t>
  </si>
  <si>
    <t>ONCA</t>
  </si>
  <si>
    <t>Goodwill</t>
  </si>
  <si>
    <t>AP</t>
  </si>
  <si>
    <t>Compensation</t>
  </si>
  <si>
    <t>AE</t>
  </si>
  <si>
    <t>RevShare</t>
  </si>
  <si>
    <t>DR</t>
  </si>
  <si>
    <t>L+SE</t>
  </si>
  <si>
    <t>SE</t>
  </si>
  <si>
    <t>OLTL</t>
  </si>
  <si>
    <t>Tax Rate</t>
  </si>
  <si>
    <t>Net Cash</t>
  </si>
  <si>
    <t>Terminal</t>
  </si>
  <si>
    <t>Discount</t>
  </si>
  <si>
    <t>ROIC</t>
  </si>
  <si>
    <t>NPV</t>
  </si>
  <si>
    <t>Share</t>
  </si>
  <si>
    <t>Q119</t>
  </si>
  <si>
    <t>Q219</t>
  </si>
  <si>
    <t>Q319</t>
  </si>
  <si>
    <t>Q419</t>
  </si>
  <si>
    <t xml:space="preserve">  y/y</t>
  </si>
  <si>
    <t>Model NI</t>
  </si>
  <si>
    <t>Reported NI</t>
  </si>
  <si>
    <t>Depreciation</t>
  </si>
  <si>
    <t>Amortization</t>
  </si>
  <si>
    <t>SBC</t>
  </si>
  <si>
    <t>Gain on equities</t>
  </si>
  <si>
    <t>WC</t>
  </si>
  <si>
    <t>Investments</t>
  </si>
  <si>
    <t>CFFF</t>
  </si>
  <si>
    <t>Acquisitions</t>
  </si>
  <si>
    <t>CFFI</t>
  </si>
  <si>
    <t>Buybacks</t>
  </si>
  <si>
    <t>Sale of Entities</t>
  </si>
  <si>
    <t>CIC</t>
  </si>
  <si>
    <t>Q123</t>
  </si>
  <si>
    <t>Q223</t>
  </si>
  <si>
    <t>Q323</t>
  </si>
  <si>
    <t>Q423</t>
  </si>
  <si>
    <t xml:space="preserve">  Rev/HC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</si>
</sst>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0000%"/>
  </numFmts>
  <fonts count="5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4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/>
    <xf numFmtId="3" fontId="0" fillId="0" borderId="0" xfId="0" applyNumberFormat="1" applyAlignment="1">
      <alignment horizontal="center"/>
    </xf>
    <xf numFmtId="9" fontId="0" fillId="0" borderId="0" xfId="0" applyNumberFormat="1"/>
    <xf numFmtId="164" fontId="0" fillId="0" borderId="0" xfId="0" applyNumberFormat="1"/>
    <xf numFmtId="0" fontId="1" fillId="0" borderId="0" xfId="0" applyFont="1"/>
    <xf numFmtId="0" fontId="3" fillId="0" borderId="0" xfId="0" applyFont="1"/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3" fontId="0" fillId="0" borderId="0" xfId="0" applyNumberFormat="1" applyAlignment="1">
      <alignment horizontal="right"/>
    </xf>
    <xf numFmtId="0" fontId="2" fillId="0" borderId="0" xfId="1"/>
    <xf numFmtId="1" fontId="0" fillId="0" borderId="0" xfId="0" applyNumberFormat="1"/>
    <xf numFmtId="4" fontId="1" fillId="0" borderId="0" xfId="0" applyNumberFormat="1" applyFont="1" applyAlignment="1">
      <alignment horizontal="right"/>
    </xf>
    <xf numFmtId="9" fontId="0" fillId="0" borderId="0" xfId="0" applyNumberFormat="1" applyAlignment="1">
      <alignment horizontal="right"/>
    </xf>
    <xf numFmtId="9" fontId="1" fillId="0" borderId="0" xfId="0" applyNumberFormat="1" applyFont="1" applyAlignment="1">
      <alignment horizontal="right"/>
    </xf>
    <xf numFmtId="4" fontId="1" fillId="0" borderId="0" xfId="0" applyNumberFormat="1" applyFont="1"/>
    <xf numFmtId="9" fontId="1" fillId="0" borderId="0" xfId="0" applyNumberFormat="1" applyFont="1"/>
    <xf numFmtId="9" fontId="0" fillId="0" borderId="0" xfId="0" applyNumberFormat="1" applyFon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38609E48-62E1-469E-8269-EB68F26868ED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24962</xdr:colOff>
      <xdr:row>0</xdr:row>
      <xdr:rowOff>0</xdr:rowOff>
    </xdr:from>
    <xdr:to>
      <xdr:col>18</xdr:col>
      <xdr:colOff>24962</xdr:colOff>
      <xdr:row>108</xdr:row>
      <xdr:rowOff>76200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9537187D-5F37-6A4E-EA1E-BFC001588B0B}"/>
            </a:ext>
          </a:extLst>
        </xdr:cNvPr>
        <xdr:cNvCxnSpPr/>
      </xdr:nvCxnSpPr>
      <xdr:spPr>
        <a:xfrm>
          <a:off x="11211910" y="0"/>
          <a:ext cx="0" cy="1797663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87039</xdr:colOff>
      <xdr:row>0</xdr:row>
      <xdr:rowOff>0</xdr:rowOff>
    </xdr:from>
    <xdr:to>
      <xdr:col>36</xdr:col>
      <xdr:colOff>87039</xdr:colOff>
      <xdr:row>108</xdr:row>
      <xdr:rowOff>76200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88ED61BD-17E4-41BC-8AC6-8053BF8C4ECA}"/>
            </a:ext>
          </a:extLst>
        </xdr:cNvPr>
        <xdr:cNvCxnSpPr/>
      </xdr:nvCxnSpPr>
      <xdr:spPr>
        <a:xfrm>
          <a:off x="19826780" y="0"/>
          <a:ext cx="0" cy="1797663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93A3133D-971F-4E59-B338-0D905228406B}" userId="9ffda80931a57275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R6" dT="2023-02-06T14:18:22.15" personId="{93A3133D-971F-4E59-B338-0D905228406B}" id="{7CA9CE49-89FA-4E15-98D4-CE6DD96F43DD}">
    <text>YouTube subscription</text>
  </threadedComment>
  <threadedComment ref="R9" dT="2023-02-06T14:18:41.55" personId="{93A3133D-971F-4E59-B338-0D905228406B}" id="{BB174E77-B992-4434-B813-37050944779B}">
    <text>Grew ex-FX, finance decline, travel growth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51E30-7A56-49BA-9DA6-0CC9ECCB38E3}">
  <dimension ref="H1:M14"/>
  <sheetViews>
    <sheetView zoomScale="175" zoomScaleNormal="175" workbookViewId="0"/>
  </sheetViews>
  <sheetFormatPr defaultRowHeight="12.75" x14ac:dyDescent="0.2"/>
  <cols>
    <col min="7" max="7" width="12.5703125" customWidth="1"/>
    <col min="8" max="8" width="12.42578125" bestFit="1" customWidth="1"/>
    <col min="9" max="9" width="13.85546875" customWidth="1"/>
    <col min="11" max="11" width="10.140625" bestFit="1" customWidth="1"/>
    <col min="12" max="12" width="9.5703125" customWidth="1"/>
  </cols>
  <sheetData>
    <row r="1" spans="8:13" x14ac:dyDescent="0.2">
      <c r="K1" s="7"/>
    </row>
    <row r="2" spans="8:13" x14ac:dyDescent="0.2">
      <c r="K2" t="s">
        <v>0</v>
      </c>
      <c r="L2" s="1">
        <v>91.92</v>
      </c>
    </row>
    <row r="3" spans="8:13" x14ac:dyDescent="0.2">
      <c r="H3" s="4"/>
      <c r="I3" s="3"/>
      <c r="K3" t="s">
        <v>1</v>
      </c>
      <c r="L3" s="3">
        <f>5956+883+5968</f>
        <v>12807</v>
      </c>
      <c r="M3" s="2" t="s">
        <v>19</v>
      </c>
    </row>
    <row r="4" spans="8:13" x14ac:dyDescent="0.2">
      <c r="H4" s="4"/>
      <c r="K4" t="s">
        <v>2</v>
      </c>
      <c r="L4" s="3">
        <f>L2*L3</f>
        <v>1177219.44</v>
      </c>
    </row>
    <row r="5" spans="8:13" x14ac:dyDescent="0.2">
      <c r="H5" s="6"/>
      <c r="K5" t="s">
        <v>3</v>
      </c>
      <c r="L5" s="3">
        <v>146678</v>
      </c>
      <c r="M5" s="2" t="s">
        <v>18</v>
      </c>
    </row>
    <row r="6" spans="8:13" x14ac:dyDescent="0.2">
      <c r="K6" t="s">
        <v>4</v>
      </c>
      <c r="L6" s="3">
        <v>14653</v>
      </c>
      <c r="M6" s="2" t="s">
        <v>18</v>
      </c>
    </row>
    <row r="7" spans="8:13" x14ac:dyDescent="0.2">
      <c r="K7" t="s">
        <v>5</v>
      </c>
      <c r="L7" s="3">
        <f>L4-L5+L6</f>
        <v>1045194.44</v>
      </c>
    </row>
    <row r="8" spans="8:13" x14ac:dyDescent="0.2">
      <c r="K8" s="7"/>
      <c r="L8">
        <f>91000+9000-24000</f>
        <v>76000</v>
      </c>
    </row>
    <row r="9" spans="8:13" x14ac:dyDescent="0.2">
      <c r="K9" s="7" t="s">
        <v>25</v>
      </c>
      <c r="L9" s="13">
        <v>1998</v>
      </c>
    </row>
    <row r="10" spans="8:13" x14ac:dyDescent="0.2">
      <c r="L10" s="3"/>
    </row>
    <row r="11" spans="8:13" x14ac:dyDescent="0.2">
      <c r="K11" s="8"/>
    </row>
    <row r="14" spans="8:13" x14ac:dyDescent="0.2">
      <c r="K14" s="3"/>
      <c r="L14" s="3"/>
      <c r="M14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0B16D-98AC-4F00-80A4-522691D39E31}">
  <dimension ref="A1:CW92"/>
  <sheetViews>
    <sheetView tabSelected="1" zoomScale="145" zoomScaleNormal="145" workbookViewId="0">
      <pane xSplit="2" ySplit="2" topLeftCell="AE3" activePane="bottomRight" state="frozen"/>
      <selection pane="topRight" activeCell="C1" sqref="C1"/>
      <selection pane="bottomLeft" activeCell="A4" sqref="A4"/>
      <selection pane="bottomRight" activeCell="AL11" sqref="AL11"/>
    </sheetView>
  </sheetViews>
  <sheetFormatPr defaultRowHeight="12.75" x14ac:dyDescent="0.2"/>
  <cols>
    <col min="1" max="1" width="5" bestFit="1" customWidth="1"/>
    <col min="2" max="2" width="16.140625" customWidth="1"/>
    <col min="3" max="22" width="9.140625" style="2"/>
    <col min="43" max="44" width="9.28515625" customWidth="1"/>
    <col min="47" max="47" width="9.5703125" customWidth="1"/>
  </cols>
  <sheetData>
    <row r="1" spans="1:44" x14ac:dyDescent="0.2">
      <c r="A1" s="12" t="s">
        <v>7</v>
      </c>
    </row>
    <row r="2" spans="1:44" x14ac:dyDescent="0.2">
      <c r="C2" s="2" t="s">
        <v>77</v>
      </c>
      <c r="D2" s="2" t="s">
        <v>78</v>
      </c>
      <c r="E2" s="2" t="s">
        <v>79</v>
      </c>
      <c r="F2" s="2" t="s">
        <v>80</v>
      </c>
      <c r="G2" s="2" t="s">
        <v>9</v>
      </c>
      <c r="H2" s="2" t="s">
        <v>10</v>
      </c>
      <c r="I2" s="2" t="s">
        <v>11</v>
      </c>
      <c r="J2" s="2" t="s">
        <v>12</v>
      </c>
      <c r="K2" s="2" t="s">
        <v>13</v>
      </c>
      <c r="L2" s="2" t="s">
        <v>14</v>
      </c>
      <c r="M2" s="2" t="s">
        <v>15</v>
      </c>
      <c r="N2" s="2" t="s">
        <v>16</v>
      </c>
      <c r="O2" s="2" t="s">
        <v>6</v>
      </c>
      <c r="P2" s="2" t="s">
        <v>17</v>
      </c>
      <c r="Q2" s="2" t="s">
        <v>18</v>
      </c>
      <c r="R2" s="2" t="s">
        <v>19</v>
      </c>
      <c r="S2" s="2" t="s">
        <v>96</v>
      </c>
      <c r="T2" s="2" t="s">
        <v>97</v>
      </c>
      <c r="U2" s="2" t="s">
        <v>98</v>
      </c>
      <c r="V2" s="2" t="s">
        <v>99</v>
      </c>
      <c r="X2">
        <v>2010</v>
      </c>
      <c r="Y2">
        <v>2011</v>
      </c>
      <c r="Z2">
        <v>2012</v>
      </c>
      <c r="AA2">
        <v>2013</v>
      </c>
      <c r="AB2">
        <v>2014</v>
      </c>
      <c r="AC2">
        <v>2015</v>
      </c>
      <c r="AD2">
        <v>2016</v>
      </c>
      <c r="AE2">
        <v>2017</v>
      </c>
      <c r="AF2">
        <v>2018</v>
      </c>
      <c r="AG2">
        <v>2019</v>
      </c>
      <c r="AH2">
        <v>2020</v>
      </c>
      <c r="AI2">
        <v>2021</v>
      </c>
      <c r="AJ2">
        <f>AI2+1</f>
        <v>2022</v>
      </c>
      <c r="AK2">
        <f t="shared" ref="AK2:AR2" si="0">AJ2+1</f>
        <v>2023</v>
      </c>
      <c r="AL2">
        <f t="shared" si="0"/>
        <v>2024</v>
      </c>
      <c r="AM2">
        <f t="shared" si="0"/>
        <v>2025</v>
      </c>
      <c r="AN2">
        <f t="shared" si="0"/>
        <v>2026</v>
      </c>
      <c r="AO2">
        <f t="shared" si="0"/>
        <v>2027</v>
      </c>
      <c r="AP2">
        <f t="shared" si="0"/>
        <v>2028</v>
      </c>
      <c r="AQ2">
        <f t="shared" si="0"/>
        <v>2029</v>
      </c>
      <c r="AR2">
        <f t="shared" si="0"/>
        <v>2030</v>
      </c>
    </row>
    <row r="3" spans="1:44" s="3" customFormat="1" x14ac:dyDescent="0.2">
      <c r="B3" s="3" t="s">
        <v>41</v>
      </c>
      <c r="C3" s="11">
        <v>137</v>
      </c>
      <c r="D3" s="11"/>
      <c r="E3" s="11"/>
      <c r="F3" s="11"/>
      <c r="G3" s="11">
        <v>49</v>
      </c>
      <c r="H3" s="11">
        <v>151</v>
      </c>
      <c r="I3" s="11">
        <v>-22</v>
      </c>
      <c r="J3" s="11">
        <v>-2</v>
      </c>
      <c r="K3" s="11">
        <v>-109</v>
      </c>
      <c r="L3" s="11">
        <v>-7</v>
      </c>
      <c r="M3" s="11">
        <v>62</v>
      </c>
      <c r="N3" s="11">
        <v>203</v>
      </c>
      <c r="O3" s="11">
        <v>278</v>
      </c>
      <c r="P3" s="11">
        <v>375</v>
      </c>
      <c r="Q3" s="11">
        <v>638</v>
      </c>
      <c r="R3" s="11">
        <v>669</v>
      </c>
      <c r="S3" s="11"/>
      <c r="T3" s="11"/>
      <c r="U3" s="11"/>
      <c r="V3" s="11"/>
      <c r="AE3" s="3">
        <v>-169</v>
      </c>
      <c r="AF3" s="3">
        <v>-138</v>
      </c>
      <c r="AG3" s="3">
        <v>455</v>
      </c>
      <c r="AH3" s="3">
        <f t="shared" ref="AH3:AH9" si="1">SUM(G3:J3)</f>
        <v>176</v>
      </c>
      <c r="AI3" s="3">
        <f t="shared" ref="AI3:AI6" si="2">SUM(K3:N3)</f>
        <v>149</v>
      </c>
      <c r="AJ3" s="3">
        <f t="shared" ref="AJ3:AJ9" si="3">SUM(O3:R3)</f>
        <v>1960</v>
      </c>
    </row>
    <row r="4" spans="1:44" s="3" customFormat="1" x14ac:dyDescent="0.2">
      <c r="B4" s="3" t="s">
        <v>40</v>
      </c>
      <c r="C4" s="11">
        <v>170</v>
      </c>
      <c r="D4" s="11"/>
      <c r="E4" s="11"/>
      <c r="F4" s="11"/>
      <c r="G4" s="11">
        <v>135</v>
      </c>
      <c r="H4" s="11">
        <v>148</v>
      </c>
      <c r="I4" s="11">
        <v>178</v>
      </c>
      <c r="J4" s="11">
        <v>196</v>
      </c>
      <c r="K4" s="11">
        <v>198</v>
      </c>
      <c r="L4" s="11">
        <v>192</v>
      </c>
      <c r="M4" s="11">
        <v>182</v>
      </c>
      <c r="N4" s="11">
        <v>181</v>
      </c>
      <c r="O4" s="11">
        <v>440</v>
      </c>
      <c r="P4" s="11">
        <v>193</v>
      </c>
      <c r="Q4" s="11">
        <v>209</v>
      </c>
      <c r="R4" s="11">
        <v>226</v>
      </c>
      <c r="S4" s="11">
        <f t="shared" ref="S4:V4" si="4">+O4</f>
        <v>440</v>
      </c>
      <c r="T4" s="11">
        <f t="shared" si="4"/>
        <v>193</v>
      </c>
      <c r="U4" s="11">
        <f t="shared" si="4"/>
        <v>209</v>
      </c>
      <c r="V4" s="11">
        <f t="shared" si="4"/>
        <v>226</v>
      </c>
      <c r="AE4" s="3">
        <v>477</v>
      </c>
      <c r="AF4" s="3">
        <v>595</v>
      </c>
      <c r="AG4" s="3">
        <v>659</v>
      </c>
      <c r="AH4" s="3">
        <f t="shared" si="1"/>
        <v>657</v>
      </c>
      <c r="AI4" s="3">
        <f t="shared" si="2"/>
        <v>753</v>
      </c>
      <c r="AJ4" s="3">
        <f t="shared" si="3"/>
        <v>1068</v>
      </c>
      <c r="AK4" s="3">
        <f>+AJ4*1.01</f>
        <v>1078.68</v>
      </c>
      <c r="AL4" s="3">
        <f t="shared" ref="AL4:AR4" si="5">+AK4*1.01</f>
        <v>1089.4668000000001</v>
      </c>
      <c r="AM4" s="3">
        <f t="shared" si="5"/>
        <v>1100.3614680000001</v>
      </c>
      <c r="AN4" s="3">
        <f t="shared" si="5"/>
        <v>1111.3650826800001</v>
      </c>
      <c r="AO4" s="3">
        <f t="shared" si="5"/>
        <v>1122.4787335068002</v>
      </c>
      <c r="AP4" s="3">
        <f t="shared" si="5"/>
        <v>1133.7035208418681</v>
      </c>
      <c r="AQ4" s="3">
        <f t="shared" si="5"/>
        <v>1145.0405560502868</v>
      </c>
      <c r="AR4" s="3">
        <f t="shared" si="5"/>
        <v>1156.4909616107898</v>
      </c>
    </row>
    <row r="5" spans="1:44" s="3" customFormat="1" x14ac:dyDescent="0.2">
      <c r="B5" s="3" t="s">
        <v>39</v>
      </c>
      <c r="C5" s="11">
        <v>1825</v>
      </c>
      <c r="D5" s="11"/>
      <c r="E5" s="11"/>
      <c r="F5" s="11"/>
      <c r="G5" s="11">
        <v>2777</v>
      </c>
      <c r="H5" s="11">
        <v>3007</v>
      </c>
      <c r="I5" s="11">
        <v>3444</v>
      </c>
      <c r="J5" s="11">
        <v>3831</v>
      </c>
      <c r="K5" s="11">
        <v>4047</v>
      </c>
      <c r="L5" s="11">
        <v>4628</v>
      </c>
      <c r="M5" s="11">
        <v>4990</v>
      </c>
      <c r="N5" s="11">
        <v>5541</v>
      </c>
      <c r="O5" s="11">
        <v>5821</v>
      </c>
      <c r="P5" s="11">
        <v>6276</v>
      </c>
      <c r="Q5" s="11">
        <v>6868</v>
      </c>
      <c r="R5" s="11">
        <v>7315</v>
      </c>
      <c r="S5" s="11">
        <f t="shared" ref="S5:V5" si="6">+O5*1.4</f>
        <v>8149.4</v>
      </c>
      <c r="T5" s="11">
        <f t="shared" si="6"/>
        <v>8786.4</v>
      </c>
      <c r="U5" s="11">
        <f t="shared" si="6"/>
        <v>9615.1999999999989</v>
      </c>
      <c r="V5" s="11">
        <f t="shared" si="6"/>
        <v>10241</v>
      </c>
      <c r="AE5" s="3">
        <v>4056</v>
      </c>
      <c r="AF5" s="3">
        <v>5838</v>
      </c>
      <c r="AG5" s="3">
        <v>8918</v>
      </c>
      <c r="AH5" s="3">
        <f t="shared" si="1"/>
        <v>13059</v>
      </c>
      <c r="AI5" s="3">
        <f t="shared" si="2"/>
        <v>19206</v>
      </c>
      <c r="AJ5" s="3">
        <f t="shared" si="3"/>
        <v>26280</v>
      </c>
      <c r="AK5" s="3">
        <f>+AJ5*1.4</f>
        <v>36792</v>
      </c>
      <c r="AL5" s="3">
        <f t="shared" ref="AL5" si="7">+AK5*1.4</f>
        <v>51508.799999999996</v>
      </c>
      <c r="AM5" s="3">
        <f>+AL5*1.3</f>
        <v>66961.440000000002</v>
      </c>
      <c r="AN5" s="3">
        <f>+AM5*1.3</f>
        <v>87049.872000000003</v>
      </c>
      <c r="AO5" s="3">
        <f>+AN5*1.3</f>
        <v>113164.83360000001</v>
      </c>
      <c r="AP5" s="3">
        <f>+AO5*1.2</f>
        <v>135797.80032000001</v>
      </c>
      <c r="AQ5" s="3">
        <f>+AP5*1.2</f>
        <v>162957.360384</v>
      </c>
      <c r="AR5" s="3">
        <f>+AQ5*1.2</f>
        <v>195548.83246079998</v>
      </c>
    </row>
    <row r="6" spans="1:44" s="3" customFormat="1" x14ac:dyDescent="0.2">
      <c r="B6" s="3" t="s">
        <v>28</v>
      </c>
      <c r="C6" s="11">
        <v>3620</v>
      </c>
      <c r="D6" s="11"/>
      <c r="E6" s="11"/>
      <c r="F6" s="11"/>
      <c r="G6" s="11">
        <v>4435</v>
      </c>
      <c r="H6" s="11">
        <v>5124</v>
      </c>
      <c r="I6" s="11">
        <v>5478</v>
      </c>
      <c r="J6" s="11">
        <v>6674</v>
      </c>
      <c r="K6" s="11">
        <v>6494</v>
      </c>
      <c r="L6" s="11">
        <v>6623</v>
      </c>
      <c r="M6" s="11">
        <v>6754</v>
      </c>
      <c r="N6" s="11">
        <v>8161</v>
      </c>
      <c r="O6" s="11">
        <v>6811</v>
      </c>
      <c r="P6" s="11">
        <v>6553</v>
      </c>
      <c r="Q6" s="11">
        <v>6895</v>
      </c>
      <c r="R6" s="11">
        <v>8796</v>
      </c>
      <c r="S6" s="11">
        <f>+O6*1.03</f>
        <v>7015.33</v>
      </c>
      <c r="T6" s="11">
        <f>+P6*1.03</f>
        <v>6749.59</v>
      </c>
      <c r="U6" s="11">
        <f>+Q6*1.03</f>
        <v>7101.85</v>
      </c>
      <c r="V6" s="11">
        <f>+R6*1.03</f>
        <v>9059.880000000001</v>
      </c>
      <c r="AE6" s="3">
        <v>10914</v>
      </c>
      <c r="AF6" s="3">
        <v>14063</v>
      </c>
      <c r="AG6" s="3">
        <v>17014</v>
      </c>
      <c r="AH6" s="3">
        <f t="shared" si="1"/>
        <v>21711</v>
      </c>
      <c r="AI6" s="3">
        <f t="shared" si="2"/>
        <v>28032</v>
      </c>
      <c r="AJ6" s="3">
        <f t="shared" si="3"/>
        <v>29055</v>
      </c>
      <c r="AK6" s="3">
        <f>+AJ6*1.03</f>
        <v>29926.65</v>
      </c>
      <c r="AL6" s="3">
        <f t="shared" ref="AL6:AR6" si="8">+AK6*1.03</f>
        <v>30824.449500000002</v>
      </c>
      <c r="AM6" s="3">
        <f t="shared" si="8"/>
        <v>31749.182985000003</v>
      </c>
      <c r="AN6" s="3">
        <f t="shared" si="8"/>
        <v>32701.658474550004</v>
      </c>
      <c r="AO6" s="3">
        <f t="shared" si="8"/>
        <v>33682.708228786505</v>
      </c>
      <c r="AP6" s="3">
        <f t="shared" si="8"/>
        <v>34693.189475650099</v>
      </c>
      <c r="AQ6" s="3">
        <f t="shared" si="8"/>
        <v>35733.985159919604</v>
      </c>
      <c r="AR6" s="3">
        <f t="shared" si="8"/>
        <v>36806.004714717194</v>
      </c>
    </row>
    <row r="7" spans="1:44" s="3" customFormat="1" x14ac:dyDescent="0.2">
      <c r="B7" s="3" t="s">
        <v>45</v>
      </c>
      <c r="C7" s="11">
        <v>5015</v>
      </c>
      <c r="D7" s="11"/>
      <c r="E7" s="11"/>
      <c r="F7" s="11"/>
      <c r="G7" s="11">
        <v>5223</v>
      </c>
      <c r="H7" s="11">
        <v>4736</v>
      </c>
      <c r="I7" s="11">
        <v>5720</v>
      </c>
      <c r="J7" s="11">
        <v>7411</v>
      </c>
      <c r="K7" s="11">
        <v>6800</v>
      </c>
      <c r="L7" s="11">
        <v>7597</v>
      </c>
      <c r="M7" s="11">
        <v>7999</v>
      </c>
      <c r="N7" s="11">
        <v>9305</v>
      </c>
      <c r="O7" s="11">
        <v>8174</v>
      </c>
      <c r="P7" s="11">
        <v>8259</v>
      </c>
      <c r="Q7" s="11">
        <v>7872</v>
      </c>
      <c r="R7" s="11">
        <v>8475</v>
      </c>
      <c r="S7" s="11">
        <f>+O7*1.1</f>
        <v>8991.4000000000015</v>
      </c>
      <c r="T7" s="11">
        <f>+P7*1.1</f>
        <v>9084.9000000000015</v>
      </c>
      <c r="U7" s="11">
        <f>+Q7*1.1</f>
        <v>8659.2000000000007</v>
      </c>
      <c r="V7" s="11">
        <f>+R7*1.1</f>
        <v>9322.5</v>
      </c>
      <c r="AE7" s="3">
        <v>17616</v>
      </c>
      <c r="AF7" s="3">
        <v>20010</v>
      </c>
      <c r="AG7" s="3">
        <v>21547</v>
      </c>
      <c r="AH7" s="3">
        <f t="shared" si="1"/>
        <v>23090</v>
      </c>
      <c r="AI7" s="3">
        <f>SUM(K7:N7)</f>
        <v>31701</v>
      </c>
      <c r="AJ7" s="3">
        <f t="shared" si="3"/>
        <v>32780</v>
      </c>
      <c r="AK7" s="3">
        <f>+AJ7*1.03</f>
        <v>33763.4</v>
      </c>
      <c r="AL7" s="3">
        <f t="shared" ref="AL7:AR7" si="9">+AK7*1.03</f>
        <v>34776.302000000003</v>
      </c>
      <c r="AM7" s="3">
        <f t="shared" si="9"/>
        <v>35819.591060000006</v>
      </c>
      <c r="AN7" s="3">
        <f t="shared" si="9"/>
        <v>36894.178791800005</v>
      </c>
      <c r="AO7" s="3">
        <f t="shared" si="9"/>
        <v>38001.004155554008</v>
      </c>
      <c r="AP7" s="3">
        <f t="shared" si="9"/>
        <v>39141.034280220629</v>
      </c>
      <c r="AQ7" s="3">
        <f t="shared" si="9"/>
        <v>40315.265308627248</v>
      </c>
      <c r="AR7" s="3">
        <f t="shared" si="9"/>
        <v>41524.723267886067</v>
      </c>
    </row>
    <row r="8" spans="1:44" s="3" customFormat="1" x14ac:dyDescent="0.2">
      <c r="B8" s="3" t="s">
        <v>44</v>
      </c>
      <c r="C8" s="11">
        <v>3025</v>
      </c>
      <c r="D8" s="11"/>
      <c r="E8" s="11"/>
      <c r="F8" s="11"/>
      <c r="G8" s="11">
        <v>4038</v>
      </c>
      <c r="H8" s="11">
        <v>3812</v>
      </c>
      <c r="I8" s="11">
        <v>5037</v>
      </c>
      <c r="J8" s="11">
        <v>6885</v>
      </c>
      <c r="K8" s="11">
        <v>6005</v>
      </c>
      <c r="L8" s="11">
        <v>7002</v>
      </c>
      <c r="M8" s="11">
        <v>7205</v>
      </c>
      <c r="N8" s="11">
        <v>8633</v>
      </c>
      <c r="O8" s="11">
        <v>6869</v>
      </c>
      <c r="P8" s="11">
        <v>7340</v>
      </c>
      <c r="Q8" s="11">
        <v>7071</v>
      </c>
      <c r="R8" s="11">
        <v>7963</v>
      </c>
      <c r="S8" s="11">
        <f>+O8*1.06</f>
        <v>7281.14</v>
      </c>
      <c r="T8" s="11">
        <f>+P8*1.06</f>
        <v>7780.4000000000005</v>
      </c>
      <c r="U8" s="11">
        <f>+Q8*1.06</f>
        <v>7495.26</v>
      </c>
      <c r="V8" s="11">
        <f>+R8*1.06</f>
        <v>8440.7800000000007</v>
      </c>
      <c r="AE8" s="3">
        <v>8150</v>
      </c>
      <c r="AF8" s="3">
        <v>11155</v>
      </c>
      <c r="AG8" s="3">
        <v>15149</v>
      </c>
      <c r="AH8" s="3">
        <f t="shared" si="1"/>
        <v>19772</v>
      </c>
      <c r="AI8" s="3">
        <f>SUM(K8:N8)</f>
        <v>28845</v>
      </c>
      <c r="AJ8" s="3">
        <f t="shared" si="3"/>
        <v>29243</v>
      </c>
      <c r="AK8" s="3">
        <f>+AJ8*1.05</f>
        <v>30705.15</v>
      </c>
      <c r="AL8" s="3">
        <f t="shared" ref="AL8:AR8" si="10">+AK8*1.05</f>
        <v>32240.407500000001</v>
      </c>
      <c r="AM8" s="3">
        <f t="shared" si="10"/>
        <v>33852.427875000001</v>
      </c>
      <c r="AN8" s="3">
        <f t="shared" si="10"/>
        <v>35545.049268750001</v>
      </c>
      <c r="AO8" s="3">
        <f t="shared" si="10"/>
        <v>37322.301732187501</v>
      </c>
      <c r="AP8" s="3">
        <f t="shared" si="10"/>
        <v>39188.416818796875</v>
      </c>
      <c r="AQ8" s="3">
        <f t="shared" si="10"/>
        <v>41147.837659736724</v>
      </c>
      <c r="AR8" s="3">
        <f t="shared" si="10"/>
        <v>43205.229542723566</v>
      </c>
    </row>
    <row r="9" spans="1:44" s="3" customFormat="1" x14ac:dyDescent="0.2">
      <c r="B9" s="3" t="s">
        <v>46</v>
      </c>
      <c r="C9" s="11">
        <v>22547</v>
      </c>
      <c r="D9" s="11"/>
      <c r="E9" s="11"/>
      <c r="F9" s="11"/>
      <c r="G9" s="11">
        <v>24502</v>
      </c>
      <c r="H9" s="11">
        <v>21319</v>
      </c>
      <c r="I9" s="11">
        <v>26338</v>
      </c>
      <c r="J9" s="11">
        <v>31903</v>
      </c>
      <c r="K9" s="11">
        <v>31879</v>
      </c>
      <c r="L9" s="11">
        <v>35845</v>
      </c>
      <c r="M9" s="11">
        <v>37926</v>
      </c>
      <c r="N9" s="11">
        <v>43301</v>
      </c>
      <c r="O9" s="11">
        <v>39618</v>
      </c>
      <c r="P9" s="11">
        <v>40689</v>
      </c>
      <c r="Q9" s="11">
        <v>39539</v>
      </c>
      <c r="R9" s="11">
        <v>42604</v>
      </c>
      <c r="S9" s="11">
        <f>+O9*1.1</f>
        <v>43579.8</v>
      </c>
      <c r="T9" s="11">
        <f>+P9*1.1</f>
        <v>44757.9</v>
      </c>
      <c r="U9" s="11">
        <f>+Q9*1.1</f>
        <v>43492.9</v>
      </c>
      <c r="V9" s="11">
        <f>+R9*1.1</f>
        <v>46864.4</v>
      </c>
      <c r="AE9" s="3">
        <v>69811</v>
      </c>
      <c r="AF9" s="3">
        <v>85296</v>
      </c>
      <c r="AG9" s="3">
        <v>98115</v>
      </c>
      <c r="AH9" s="3">
        <f t="shared" si="1"/>
        <v>104062</v>
      </c>
      <c r="AI9" s="3">
        <f>SUM(K9:N9)</f>
        <v>148951</v>
      </c>
      <c r="AJ9" s="3">
        <f t="shared" si="3"/>
        <v>162450</v>
      </c>
      <c r="AK9" s="3">
        <f>+AJ9*1.1</f>
        <v>178695</v>
      </c>
      <c r="AL9" s="3">
        <f t="shared" ref="AL9:AR9" si="11">+AK9*1.1</f>
        <v>196564.50000000003</v>
      </c>
      <c r="AM9" s="3">
        <f t="shared" si="11"/>
        <v>216220.95000000004</v>
      </c>
      <c r="AN9" s="3">
        <f t="shared" si="11"/>
        <v>237843.04500000007</v>
      </c>
      <c r="AO9" s="3">
        <f t="shared" si="11"/>
        <v>261627.3495000001</v>
      </c>
      <c r="AP9" s="3">
        <f t="shared" si="11"/>
        <v>287790.08445000014</v>
      </c>
      <c r="AQ9" s="3">
        <f t="shared" si="11"/>
        <v>316569.09289500018</v>
      </c>
      <c r="AR9" s="3">
        <f t="shared" si="11"/>
        <v>348226.00218450022</v>
      </c>
    </row>
    <row r="10" spans="1:44" s="3" customFormat="1" x14ac:dyDescent="0.2">
      <c r="B10" s="3" t="s">
        <v>38</v>
      </c>
      <c r="C10" s="11">
        <f t="shared" ref="C10:G10" si="12">SUM(C6:C9)</f>
        <v>34207</v>
      </c>
      <c r="D10" s="11">
        <f t="shared" si="12"/>
        <v>0</v>
      </c>
      <c r="E10" s="11">
        <f t="shared" si="12"/>
        <v>0</v>
      </c>
      <c r="F10" s="11">
        <f t="shared" si="12"/>
        <v>0</v>
      </c>
      <c r="G10" s="11">
        <f t="shared" si="12"/>
        <v>38198</v>
      </c>
      <c r="H10" s="11">
        <f t="shared" ref="H10" si="13">SUM(H6:H9)</f>
        <v>34991</v>
      </c>
      <c r="I10" s="11">
        <f>SUM(I6:I9)</f>
        <v>42573</v>
      </c>
      <c r="J10" s="11">
        <f>SUM(J6:J9)</f>
        <v>52873</v>
      </c>
      <c r="K10" s="11">
        <v>51178</v>
      </c>
      <c r="L10" s="11">
        <f t="shared" ref="L10" si="14">SUM(L6:L9)</f>
        <v>57067</v>
      </c>
      <c r="M10" s="11">
        <f t="shared" ref="M10:Q10" si="15">SUM(M6:M9)</f>
        <v>59884</v>
      </c>
      <c r="N10" s="11">
        <f t="shared" si="15"/>
        <v>69400</v>
      </c>
      <c r="O10" s="11">
        <f t="shared" si="15"/>
        <v>61472</v>
      </c>
      <c r="P10" s="11">
        <f t="shared" si="15"/>
        <v>62841</v>
      </c>
      <c r="Q10" s="11">
        <f t="shared" si="15"/>
        <v>61377</v>
      </c>
      <c r="R10" s="11">
        <f>SUM(R6:R9)</f>
        <v>67838</v>
      </c>
      <c r="S10" s="11">
        <f>SUM(S6:S9)</f>
        <v>66867.670000000013</v>
      </c>
      <c r="T10" s="11">
        <f>SUM(T6:T9)</f>
        <v>68372.790000000008</v>
      </c>
      <c r="U10" s="11">
        <f>SUM(U6:U9)</f>
        <v>66749.210000000006</v>
      </c>
      <c r="V10" s="11">
        <f>SUM(V6:V9)</f>
        <v>73687.56</v>
      </c>
      <c r="AE10" s="11">
        <f t="shared" ref="AE10:AH10" si="16">SUM(AE6:AE9)</f>
        <v>106491</v>
      </c>
      <c r="AF10" s="11">
        <f t="shared" si="16"/>
        <v>130524</v>
      </c>
      <c r="AG10" s="11">
        <f t="shared" si="16"/>
        <v>151825</v>
      </c>
      <c r="AH10" s="11">
        <f t="shared" si="16"/>
        <v>168635</v>
      </c>
      <c r="AI10" s="11">
        <f>SUM(AI6:AI9)</f>
        <v>237529</v>
      </c>
      <c r="AJ10" s="11">
        <f>SUM(AJ6:AJ9)</f>
        <v>253528</v>
      </c>
      <c r="AK10" s="11">
        <f>SUM(AK6:AK9)</f>
        <v>273090.2</v>
      </c>
      <c r="AL10" s="11">
        <f t="shared" ref="AL10:AR10" si="17">SUM(AL6:AL9)</f>
        <v>294405.65900000004</v>
      </c>
      <c r="AM10" s="11">
        <f t="shared" si="17"/>
        <v>317642.15192000009</v>
      </c>
      <c r="AN10" s="11">
        <f t="shared" si="17"/>
        <v>342983.9315351001</v>
      </c>
      <c r="AO10" s="11">
        <f t="shared" si="17"/>
        <v>370633.36361652811</v>
      </c>
      <c r="AP10" s="11">
        <f t="shared" si="17"/>
        <v>400812.72502466774</v>
      </c>
      <c r="AQ10" s="11">
        <f t="shared" si="17"/>
        <v>433766.18102328375</v>
      </c>
      <c r="AR10" s="11">
        <f t="shared" si="17"/>
        <v>469761.95970982703</v>
      </c>
    </row>
    <row r="11" spans="1:44" s="9" customFormat="1" x14ac:dyDescent="0.2">
      <c r="B11" s="9" t="s">
        <v>8</v>
      </c>
      <c r="C11" s="10">
        <f t="shared" ref="C11:G11" si="18">C10+C5+C4+C3</f>
        <v>36339</v>
      </c>
      <c r="D11" s="10">
        <f t="shared" si="18"/>
        <v>0</v>
      </c>
      <c r="E11" s="10">
        <f t="shared" si="18"/>
        <v>0</v>
      </c>
      <c r="F11" s="10">
        <f t="shared" si="18"/>
        <v>0</v>
      </c>
      <c r="G11" s="10">
        <f t="shared" si="18"/>
        <v>41159</v>
      </c>
      <c r="H11" s="10">
        <f t="shared" ref="H11" si="19">H10+H5+H4+H3</f>
        <v>38297</v>
      </c>
      <c r="I11" s="10">
        <f>I10+I5+I4+I3</f>
        <v>46173</v>
      </c>
      <c r="J11" s="10">
        <f>J10+J5+J4+J3</f>
        <v>56898</v>
      </c>
      <c r="K11" s="10">
        <v>55314</v>
      </c>
      <c r="L11" s="10">
        <f t="shared" ref="L11" si="20">L10+L5+L4+L3</f>
        <v>61880</v>
      </c>
      <c r="M11" s="10">
        <f>M10+M5+M4+M3</f>
        <v>65118</v>
      </c>
      <c r="N11" s="10">
        <f>N10+N5+N4+N3</f>
        <v>75325</v>
      </c>
      <c r="O11" s="10">
        <f>O10+O5+O4+O3</f>
        <v>68011</v>
      </c>
      <c r="P11" s="10">
        <f>P10+P5+P4+P3</f>
        <v>69685</v>
      </c>
      <c r="Q11" s="10">
        <f t="shared" ref="Q11:V11" si="21">Q10+Q5+Q4+Q3</f>
        <v>69092</v>
      </c>
      <c r="R11" s="10">
        <f>R10+R5+R4+R3</f>
        <v>76048</v>
      </c>
      <c r="S11" s="10">
        <f t="shared" si="21"/>
        <v>75457.070000000007</v>
      </c>
      <c r="T11" s="10">
        <f t="shared" si="21"/>
        <v>77352.19</v>
      </c>
      <c r="U11" s="10">
        <f t="shared" si="21"/>
        <v>76573.41</v>
      </c>
      <c r="V11" s="10">
        <f t="shared" si="21"/>
        <v>84154.559999999998</v>
      </c>
      <c r="W11" s="10"/>
      <c r="X11" s="10"/>
      <c r="Y11" s="10"/>
      <c r="Z11" s="10">
        <v>46039</v>
      </c>
      <c r="AA11" s="10">
        <v>55519</v>
      </c>
      <c r="AB11" s="10">
        <v>66001</v>
      </c>
      <c r="AC11" s="10">
        <v>74989</v>
      </c>
      <c r="AD11" s="10">
        <v>90272</v>
      </c>
      <c r="AE11" s="10">
        <f t="shared" ref="AE11:AH11" si="22">AE10+AE5+AE4+AE3</f>
        <v>110855</v>
      </c>
      <c r="AF11" s="10">
        <f t="shared" si="22"/>
        <v>136819</v>
      </c>
      <c r="AG11" s="10">
        <f t="shared" si="22"/>
        <v>161857</v>
      </c>
      <c r="AH11" s="10">
        <f t="shared" si="22"/>
        <v>182527</v>
      </c>
      <c r="AI11" s="10">
        <f>AI10+AI5+AI4+AI3</f>
        <v>257637</v>
      </c>
      <c r="AJ11" s="10">
        <f>AJ10+AJ5+AJ4+AJ3</f>
        <v>282836</v>
      </c>
      <c r="AK11" s="10">
        <f t="shared" ref="AK11" si="23">AK10+AK5+AK4+AK3</f>
        <v>310960.88</v>
      </c>
      <c r="AL11" s="10">
        <f t="shared" ref="AL11" si="24">AL10+AL5+AL4+AL3</f>
        <v>347003.92580000003</v>
      </c>
      <c r="AM11" s="10">
        <f t="shared" ref="AM11" si="25">AM10+AM5+AM4+AM3</f>
        <v>385703.95338800008</v>
      </c>
      <c r="AN11" s="10">
        <f t="shared" ref="AN11" si="26">AN10+AN5+AN4+AN3</f>
        <v>431145.16861778009</v>
      </c>
      <c r="AO11" s="10">
        <f t="shared" ref="AO11" si="27">AO10+AO5+AO4+AO3</f>
        <v>484920.67595003493</v>
      </c>
      <c r="AP11" s="10">
        <f t="shared" ref="AP11" si="28">AP10+AP5+AP4+AP3</f>
        <v>537744.22886550962</v>
      </c>
      <c r="AQ11" s="10">
        <f t="shared" ref="AQ11" si="29">AQ10+AQ5+AQ4+AQ3</f>
        <v>597868.581963334</v>
      </c>
      <c r="AR11" s="10">
        <f t="shared" ref="AR11" si="30">AR10+AR5+AR4+AR3</f>
        <v>666467.28313223785</v>
      </c>
    </row>
    <row r="12" spans="1:44" s="3" customFormat="1" x14ac:dyDescent="0.2">
      <c r="B12" s="3" t="s">
        <v>20</v>
      </c>
      <c r="C12" s="11">
        <v>16012</v>
      </c>
      <c r="D12" s="11"/>
      <c r="E12" s="11"/>
      <c r="F12" s="11"/>
      <c r="G12" s="11">
        <v>18982</v>
      </c>
      <c r="H12" s="11">
        <v>18553</v>
      </c>
      <c r="I12" s="11">
        <v>21117</v>
      </c>
      <c r="J12" s="11">
        <v>26080</v>
      </c>
      <c r="K12" s="11">
        <v>24103</v>
      </c>
      <c r="L12" s="11">
        <v>26227</v>
      </c>
      <c r="M12" s="11">
        <v>27621</v>
      </c>
      <c r="N12" s="11">
        <v>32988</v>
      </c>
      <c r="O12" s="11">
        <v>29599</v>
      </c>
      <c r="P12" s="11">
        <v>30104</v>
      </c>
      <c r="Q12" s="11">
        <v>31158</v>
      </c>
      <c r="R12" s="11">
        <v>35342</v>
      </c>
      <c r="S12" s="11"/>
      <c r="T12" s="11"/>
      <c r="U12" s="11"/>
      <c r="V12" s="11"/>
      <c r="AB12" s="3">
        <v>25691</v>
      </c>
      <c r="AC12" s="3">
        <v>28164</v>
      </c>
      <c r="AD12" s="3">
        <v>35138</v>
      </c>
      <c r="AE12" s="3">
        <v>45583</v>
      </c>
      <c r="AF12" s="3">
        <v>59549</v>
      </c>
      <c r="AG12" s="3">
        <v>71896</v>
      </c>
      <c r="AH12" s="3">
        <v>84732</v>
      </c>
      <c r="AI12" s="3">
        <v>110939</v>
      </c>
      <c r="AJ12" s="3">
        <f>SUM(O12:R12)</f>
        <v>126203</v>
      </c>
      <c r="AK12" s="3">
        <f>+AK11-AK14</f>
        <v>136822.78719999999</v>
      </c>
      <c r="AL12" s="3">
        <f t="shared" ref="AL12:AR12" si="31">+AL11-AL14</f>
        <v>152681.72735199999</v>
      </c>
      <c r="AM12" s="3">
        <f t="shared" si="31"/>
        <v>169709.73949072001</v>
      </c>
      <c r="AN12" s="3">
        <f t="shared" si="31"/>
        <v>189703.87419182321</v>
      </c>
      <c r="AO12" s="3">
        <f t="shared" si="31"/>
        <v>213365.09741801536</v>
      </c>
      <c r="AP12" s="3">
        <f t="shared" si="31"/>
        <v>236607.46070082422</v>
      </c>
      <c r="AQ12" s="3">
        <f t="shared" si="31"/>
        <v>263062.17606386694</v>
      </c>
      <c r="AR12" s="3">
        <f t="shared" si="31"/>
        <v>293245.6045781846</v>
      </c>
    </row>
    <row r="13" spans="1:44" s="3" customFormat="1" x14ac:dyDescent="0.2">
      <c r="B13" s="3" t="s">
        <v>51</v>
      </c>
      <c r="C13" s="11">
        <v>6860</v>
      </c>
      <c r="D13" s="11"/>
      <c r="E13" s="11"/>
      <c r="F13" s="11"/>
      <c r="G13" s="11">
        <v>7452</v>
      </c>
      <c r="H13" s="11"/>
      <c r="I13" s="11"/>
      <c r="J13" s="11"/>
      <c r="K13" s="11"/>
      <c r="L13" s="11">
        <v>10929</v>
      </c>
      <c r="M13" s="11"/>
      <c r="N13" s="11"/>
      <c r="O13" s="11"/>
      <c r="P13" s="11">
        <v>12214</v>
      </c>
      <c r="Q13" s="11">
        <v>11826</v>
      </c>
      <c r="R13" s="11"/>
      <c r="S13" s="11"/>
      <c r="T13" s="11"/>
      <c r="U13" s="11"/>
      <c r="V13" s="11"/>
    </row>
    <row r="14" spans="1:44" s="3" customFormat="1" x14ac:dyDescent="0.2">
      <c r="B14" s="3" t="s">
        <v>21</v>
      </c>
      <c r="C14" s="11">
        <f>C11-C12</f>
        <v>20327</v>
      </c>
      <c r="D14" s="11"/>
      <c r="E14" s="11"/>
      <c r="F14" s="11"/>
      <c r="G14" s="11">
        <f>G11-G12</f>
        <v>22177</v>
      </c>
      <c r="H14" s="11">
        <f t="shared" ref="H14" si="32">H11-H12</f>
        <v>19744</v>
      </c>
      <c r="I14" s="11">
        <f t="shared" ref="I14" si="33">I11-I12</f>
        <v>25056</v>
      </c>
      <c r="J14" s="11">
        <f t="shared" ref="J14:N14" si="34">J11-J12</f>
        <v>30818</v>
      </c>
      <c r="K14" s="11">
        <f t="shared" si="34"/>
        <v>31211</v>
      </c>
      <c r="L14" s="11">
        <f t="shared" si="34"/>
        <v>35653</v>
      </c>
      <c r="M14" s="11">
        <f t="shared" si="34"/>
        <v>37497</v>
      </c>
      <c r="N14" s="11">
        <f t="shared" si="34"/>
        <v>42337</v>
      </c>
      <c r="O14" s="11">
        <f>O11-O12</f>
        <v>38412</v>
      </c>
      <c r="P14" s="11">
        <f t="shared" ref="P14:Q14" si="35">P11-P12</f>
        <v>39581</v>
      </c>
      <c r="Q14" s="11">
        <f t="shared" si="35"/>
        <v>37934</v>
      </c>
      <c r="R14" s="11">
        <f>+R11-R12</f>
        <v>40706</v>
      </c>
      <c r="S14" s="11"/>
      <c r="T14" s="11"/>
      <c r="U14" s="11"/>
      <c r="V14" s="11"/>
      <c r="AB14" s="3">
        <f>+AB11-AB12</f>
        <v>40310</v>
      </c>
      <c r="AC14" s="3">
        <f>+AC11-AC12</f>
        <v>46825</v>
      </c>
      <c r="AD14" s="3">
        <f>+AD11-AD12</f>
        <v>55134</v>
      </c>
      <c r="AE14" s="3">
        <f>+AE11-AE12</f>
        <v>65272</v>
      </c>
      <c r="AF14" s="3">
        <f>+AF11-AF12</f>
        <v>77270</v>
      </c>
      <c r="AG14" s="3">
        <f>+AG11-AG12</f>
        <v>89961</v>
      </c>
      <c r="AH14" s="3">
        <f>AH11-AH12</f>
        <v>97795</v>
      </c>
      <c r="AI14" s="3">
        <f t="shared" ref="AI14" si="36">AI11-AI12</f>
        <v>146698</v>
      </c>
      <c r="AJ14" s="3">
        <f>+AJ11-AJ12</f>
        <v>156633</v>
      </c>
      <c r="AK14" s="3">
        <f>+AK11*0.56</f>
        <v>174138.09280000001</v>
      </c>
      <c r="AL14" s="3">
        <f t="shared" ref="AL14:AR14" si="37">+AL11*0.56</f>
        <v>194322.19844800004</v>
      </c>
      <c r="AM14" s="3">
        <f t="shared" si="37"/>
        <v>215994.21389728007</v>
      </c>
      <c r="AN14" s="3">
        <f t="shared" si="37"/>
        <v>241441.29442595688</v>
      </c>
      <c r="AO14" s="3">
        <f t="shared" si="37"/>
        <v>271555.57853201957</v>
      </c>
      <c r="AP14" s="3">
        <f t="shared" si="37"/>
        <v>301136.7681646854</v>
      </c>
      <c r="AQ14" s="3">
        <f t="shared" si="37"/>
        <v>334806.40589946706</v>
      </c>
      <c r="AR14" s="3">
        <f t="shared" si="37"/>
        <v>373221.67855405324</v>
      </c>
    </row>
    <row r="15" spans="1:44" s="3" customFormat="1" x14ac:dyDescent="0.2">
      <c r="B15" s="3" t="s">
        <v>22</v>
      </c>
      <c r="C15" s="11">
        <v>6029</v>
      </c>
      <c r="D15" s="11"/>
      <c r="E15" s="11"/>
      <c r="F15" s="11"/>
      <c r="G15" s="11">
        <v>6820</v>
      </c>
      <c r="H15" s="11">
        <v>6875</v>
      </c>
      <c r="I15" s="11">
        <v>6856</v>
      </c>
      <c r="J15" s="11">
        <v>7022</v>
      </c>
      <c r="K15" s="11">
        <v>7485</v>
      </c>
      <c r="L15" s="11">
        <v>7675</v>
      </c>
      <c r="M15" s="11">
        <v>7694</v>
      </c>
      <c r="N15" s="11">
        <v>8708</v>
      </c>
      <c r="O15" s="11">
        <v>9119</v>
      </c>
      <c r="P15" s="11">
        <v>9841</v>
      </c>
      <c r="Q15" s="11">
        <v>10273</v>
      </c>
      <c r="R15" s="11">
        <v>10267</v>
      </c>
      <c r="S15" s="11"/>
      <c r="T15" s="11"/>
      <c r="U15" s="11"/>
      <c r="V15" s="11"/>
      <c r="AB15" s="3">
        <v>9832</v>
      </c>
      <c r="AC15" s="3">
        <v>12282</v>
      </c>
      <c r="AD15" s="3">
        <v>13948</v>
      </c>
      <c r="AE15" s="3">
        <v>16625</v>
      </c>
      <c r="AF15" s="3">
        <v>21419</v>
      </c>
      <c r="AG15" s="3">
        <v>26018</v>
      </c>
      <c r="AH15" s="3">
        <v>27573</v>
      </c>
      <c r="AI15" s="3">
        <v>31562</v>
      </c>
      <c r="AJ15" s="3">
        <f t="shared" ref="AJ15:AJ17" si="38">SUM(O15:R15)</f>
        <v>39500</v>
      </c>
      <c r="AK15" s="3">
        <f>+AJ15*1.05</f>
        <v>41475</v>
      </c>
      <c r="AL15" s="3">
        <f t="shared" ref="AL15:AR15" si="39">+AK15*1.05</f>
        <v>43548.75</v>
      </c>
      <c r="AM15" s="3">
        <f t="shared" si="39"/>
        <v>45726.1875</v>
      </c>
      <c r="AN15" s="3">
        <f t="shared" si="39"/>
        <v>48012.496875000004</v>
      </c>
      <c r="AO15" s="3">
        <f t="shared" si="39"/>
        <v>50413.121718750008</v>
      </c>
      <c r="AP15" s="3">
        <f t="shared" si="39"/>
        <v>52933.77780468751</v>
      </c>
      <c r="AQ15" s="3">
        <f t="shared" si="39"/>
        <v>55580.466694921888</v>
      </c>
      <c r="AR15" s="3">
        <f t="shared" si="39"/>
        <v>58359.490029667984</v>
      </c>
    </row>
    <row r="16" spans="1:44" s="3" customFormat="1" x14ac:dyDescent="0.2">
      <c r="B16" s="3" t="s">
        <v>23</v>
      </c>
      <c r="C16" s="11">
        <v>3905</v>
      </c>
      <c r="D16" s="11"/>
      <c r="E16" s="11"/>
      <c r="F16" s="11"/>
      <c r="G16" s="11">
        <v>4500</v>
      </c>
      <c r="H16" s="11">
        <v>3901</v>
      </c>
      <c r="I16" s="11">
        <v>4231</v>
      </c>
      <c r="J16" s="11">
        <v>5314</v>
      </c>
      <c r="K16" s="11">
        <v>4516</v>
      </c>
      <c r="L16" s="11">
        <v>5276</v>
      </c>
      <c r="M16" s="11">
        <v>5516</v>
      </c>
      <c r="N16" s="11">
        <v>7604</v>
      </c>
      <c r="O16" s="11">
        <v>5825</v>
      </c>
      <c r="P16" s="11">
        <v>6630</v>
      </c>
      <c r="Q16" s="11">
        <v>6929</v>
      </c>
      <c r="R16" s="11">
        <v>7183</v>
      </c>
      <c r="S16" s="11"/>
      <c r="T16" s="11"/>
      <c r="U16" s="11"/>
      <c r="V16" s="11"/>
      <c r="AB16" s="3">
        <v>8131</v>
      </c>
      <c r="AC16" s="3">
        <v>9047</v>
      </c>
      <c r="AD16" s="3">
        <v>10485</v>
      </c>
      <c r="AE16" s="3">
        <v>12893</v>
      </c>
      <c r="AF16" s="3">
        <v>16333</v>
      </c>
      <c r="AG16" s="3">
        <v>18464</v>
      </c>
      <c r="AH16" s="3">
        <v>17946</v>
      </c>
      <c r="AI16" s="3">
        <v>22912</v>
      </c>
      <c r="AJ16" s="3">
        <f t="shared" si="38"/>
        <v>26567</v>
      </c>
      <c r="AK16" s="3">
        <f>+AJ16*1.05</f>
        <v>27895.350000000002</v>
      </c>
      <c r="AL16" s="3">
        <f t="shared" ref="AL16:AR16" si="40">+AK16*1.05</f>
        <v>29290.117500000004</v>
      </c>
      <c r="AM16" s="3">
        <f t="shared" si="40"/>
        <v>30754.623375000006</v>
      </c>
      <c r="AN16" s="3">
        <f t="shared" si="40"/>
        <v>32292.354543750007</v>
      </c>
      <c r="AO16" s="3">
        <f t="shared" si="40"/>
        <v>33906.972270937506</v>
      </c>
      <c r="AP16" s="3">
        <f t="shared" si="40"/>
        <v>35602.320884484383</v>
      </c>
      <c r="AQ16" s="3">
        <f t="shared" si="40"/>
        <v>37382.436928708601</v>
      </c>
      <c r="AR16" s="3">
        <f t="shared" si="40"/>
        <v>39251.558775144033</v>
      </c>
    </row>
    <row r="17" spans="2:101" s="3" customFormat="1" x14ac:dyDescent="0.2">
      <c r="B17" s="3" t="s">
        <v>24</v>
      </c>
      <c r="C17" s="11">
        <v>2088</v>
      </c>
      <c r="D17" s="11"/>
      <c r="E17" s="11"/>
      <c r="F17" s="11"/>
      <c r="G17" s="11">
        <v>2880</v>
      </c>
      <c r="H17" s="11">
        <v>2585</v>
      </c>
      <c r="I17" s="11">
        <v>2756</v>
      </c>
      <c r="J17" s="11">
        <v>2831</v>
      </c>
      <c r="K17" s="11">
        <v>2773</v>
      </c>
      <c r="L17" s="11">
        <v>3341</v>
      </c>
      <c r="M17" s="11">
        <v>3256</v>
      </c>
      <c r="N17" s="11">
        <v>4140</v>
      </c>
      <c r="O17" s="11">
        <v>3374</v>
      </c>
      <c r="P17" s="11">
        <v>3657</v>
      </c>
      <c r="Q17" s="11">
        <v>3597</v>
      </c>
      <c r="R17" s="11">
        <v>5096</v>
      </c>
      <c r="S17" s="11"/>
      <c r="T17" s="11"/>
      <c r="U17" s="11"/>
      <c r="V17" s="11"/>
      <c r="AB17" s="3">
        <v>5851</v>
      </c>
      <c r="AC17" s="3">
        <v>6136</v>
      </c>
      <c r="AD17" s="3">
        <v>6985</v>
      </c>
      <c r="AE17" s="3">
        <v>6872</v>
      </c>
      <c r="AF17" s="3">
        <v>8126</v>
      </c>
      <c r="AG17" s="3">
        <v>9551</v>
      </c>
      <c r="AH17" s="3">
        <v>11052</v>
      </c>
      <c r="AI17" s="3">
        <v>13510</v>
      </c>
      <c r="AJ17" s="3">
        <f t="shared" si="38"/>
        <v>15724</v>
      </c>
      <c r="AK17" s="3">
        <f>+AJ17*1.05</f>
        <v>16510.2</v>
      </c>
      <c r="AL17" s="3">
        <f t="shared" ref="AL17:AR17" si="41">+AK17*1.05</f>
        <v>17335.710000000003</v>
      </c>
      <c r="AM17" s="3">
        <f t="shared" si="41"/>
        <v>18202.495500000005</v>
      </c>
      <c r="AN17" s="3">
        <f t="shared" si="41"/>
        <v>19112.620275000005</v>
      </c>
      <c r="AO17" s="3">
        <f t="shared" si="41"/>
        <v>20068.251288750005</v>
      </c>
      <c r="AP17" s="3">
        <f t="shared" si="41"/>
        <v>21071.663853187507</v>
      </c>
      <c r="AQ17" s="3">
        <f t="shared" si="41"/>
        <v>22125.247045846882</v>
      </c>
      <c r="AR17" s="3">
        <f t="shared" si="41"/>
        <v>23231.509398139227</v>
      </c>
    </row>
    <row r="18" spans="2:101" s="3" customFormat="1" x14ac:dyDescent="0.2">
      <c r="B18" s="3" t="s">
        <v>26</v>
      </c>
      <c r="C18" s="11">
        <f t="shared" ref="C18" si="42">SUM(C15:C17)</f>
        <v>12022</v>
      </c>
      <c r="D18" s="11"/>
      <c r="E18" s="11"/>
      <c r="F18" s="11"/>
      <c r="G18" s="11">
        <f t="shared" ref="G18" si="43">SUM(G15:G17)</f>
        <v>14200</v>
      </c>
      <c r="H18" s="11">
        <f t="shared" ref="H18" si="44">SUM(H15:H17)</f>
        <v>13361</v>
      </c>
      <c r="I18" s="11">
        <f t="shared" ref="I18" si="45">SUM(I15:I17)</f>
        <v>13843</v>
      </c>
      <c r="J18" s="11">
        <f t="shared" ref="J18" si="46">SUM(J15:J17)</f>
        <v>15167</v>
      </c>
      <c r="K18" s="11">
        <f>SUM(K15:K17)</f>
        <v>14774</v>
      </c>
      <c r="L18" s="11">
        <f t="shared" ref="L18:O18" si="47">SUM(L15:L17)</f>
        <v>16292</v>
      </c>
      <c r="M18" s="11">
        <f t="shared" si="47"/>
        <v>16466</v>
      </c>
      <c r="N18" s="11">
        <f t="shared" si="47"/>
        <v>20452</v>
      </c>
      <c r="O18" s="11">
        <f t="shared" si="47"/>
        <v>18318</v>
      </c>
      <c r="P18" s="11">
        <f t="shared" ref="P18:Q18" si="48">SUM(P15:P17)</f>
        <v>20128</v>
      </c>
      <c r="Q18" s="11">
        <f t="shared" si="48"/>
        <v>20799</v>
      </c>
      <c r="R18" s="11">
        <f>SUM(R15:R17)</f>
        <v>22546</v>
      </c>
      <c r="S18" s="11"/>
      <c r="T18" s="11"/>
      <c r="U18" s="11"/>
      <c r="V18" s="11"/>
      <c r="AB18" s="3">
        <f>SUM(AB15:AB17)</f>
        <v>23814</v>
      </c>
      <c r="AC18" s="3">
        <f t="shared" ref="AC18:AG18" si="49">SUM(AC15:AC17)</f>
        <v>27465</v>
      </c>
      <c r="AD18" s="3">
        <f t="shared" si="49"/>
        <v>31418</v>
      </c>
      <c r="AE18" s="3">
        <f t="shared" si="49"/>
        <v>36390</v>
      </c>
      <c r="AF18" s="3">
        <f t="shared" si="49"/>
        <v>45878</v>
      </c>
      <c r="AG18" s="3">
        <f t="shared" si="49"/>
        <v>54033</v>
      </c>
      <c r="AH18" s="3">
        <f>SUM(AH15:AH17)</f>
        <v>56571</v>
      </c>
      <c r="AI18" s="3">
        <f t="shared" ref="AI18:AK18" si="50">SUM(AI15:AI17)</f>
        <v>67984</v>
      </c>
      <c r="AJ18" s="3">
        <f t="shared" si="50"/>
        <v>81791</v>
      </c>
      <c r="AK18" s="3">
        <f t="shared" si="50"/>
        <v>85880.55</v>
      </c>
      <c r="AL18" s="3">
        <f t="shared" ref="AL18:AR18" si="51">SUM(AL15:AL17)</f>
        <v>90174.577500000014</v>
      </c>
      <c r="AM18" s="3">
        <f t="shared" si="51"/>
        <v>94683.306375000015</v>
      </c>
      <c r="AN18" s="3">
        <f t="shared" si="51"/>
        <v>99417.47169375002</v>
      </c>
      <c r="AO18" s="3">
        <f t="shared" si="51"/>
        <v>104388.34527843751</v>
      </c>
      <c r="AP18" s="3">
        <f t="shared" si="51"/>
        <v>109607.7625423594</v>
      </c>
      <c r="AQ18" s="3">
        <f t="shared" si="51"/>
        <v>115088.15066947739</v>
      </c>
      <c r="AR18" s="3">
        <f t="shared" si="51"/>
        <v>120842.55820295124</v>
      </c>
    </row>
    <row r="19" spans="2:101" s="3" customFormat="1" x14ac:dyDescent="0.2">
      <c r="B19" s="3" t="s">
        <v>27</v>
      </c>
      <c r="C19" s="11">
        <f t="shared" ref="C19" si="52">C14-C18</f>
        <v>8305</v>
      </c>
      <c r="D19" s="11"/>
      <c r="E19" s="11"/>
      <c r="F19" s="11"/>
      <c r="G19" s="11">
        <f t="shared" ref="G19" si="53">G14-G18</f>
        <v>7977</v>
      </c>
      <c r="H19" s="11">
        <f t="shared" ref="H19" si="54">H14-H18</f>
        <v>6383</v>
      </c>
      <c r="I19" s="11">
        <f t="shared" ref="I19" si="55">I14-I18</f>
        <v>11213</v>
      </c>
      <c r="J19" s="11">
        <f t="shared" ref="J19" si="56">J14-J18</f>
        <v>15651</v>
      </c>
      <c r="K19" s="11">
        <f t="shared" ref="K19:N19" si="57">K14-K18</f>
        <v>16437</v>
      </c>
      <c r="L19" s="11">
        <f t="shared" si="57"/>
        <v>19361</v>
      </c>
      <c r="M19" s="11">
        <f t="shared" si="57"/>
        <v>21031</v>
      </c>
      <c r="N19" s="11">
        <f t="shared" si="57"/>
        <v>21885</v>
      </c>
      <c r="O19" s="11">
        <f>O14-O18</f>
        <v>20094</v>
      </c>
      <c r="P19" s="11">
        <f t="shared" ref="P19:R19" si="58">P14-P18</f>
        <v>19453</v>
      </c>
      <c r="Q19" s="11">
        <f t="shared" si="58"/>
        <v>17135</v>
      </c>
      <c r="R19" s="11">
        <f t="shared" si="58"/>
        <v>18160</v>
      </c>
      <c r="S19" s="11"/>
      <c r="T19" s="11"/>
      <c r="U19" s="11"/>
      <c r="V19" s="11"/>
      <c r="AB19" s="3">
        <f>AB14-AB18</f>
        <v>16496</v>
      </c>
      <c r="AC19" s="3">
        <f t="shared" ref="AC19:AG19" si="59">AC14-AC18</f>
        <v>19360</v>
      </c>
      <c r="AD19" s="3">
        <f t="shared" si="59"/>
        <v>23716</v>
      </c>
      <c r="AE19" s="3">
        <f t="shared" si="59"/>
        <v>28882</v>
      </c>
      <c r="AF19" s="3">
        <f t="shared" si="59"/>
        <v>31392</v>
      </c>
      <c r="AG19" s="3">
        <f t="shared" si="59"/>
        <v>35928</v>
      </c>
      <c r="AH19" s="3">
        <f>AH14-AH18</f>
        <v>41224</v>
      </c>
      <c r="AI19" s="3">
        <f t="shared" ref="AI19:AK19" si="60">AI14-AI18</f>
        <v>78714</v>
      </c>
      <c r="AJ19" s="3">
        <f t="shared" si="60"/>
        <v>74842</v>
      </c>
      <c r="AK19" s="3">
        <f t="shared" si="60"/>
        <v>88257.54280000001</v>
      </c>
      <c r="AL19" s="3">
        <f t="shared" ref="AL19:AR19" si="61">AL14-AL18</f>
        <v>104147.62094800003</v>
      </c>
      <c r="AM19" s="3">
        <f t="shared" si="61"/>
        <v>121310.90752228006</v>
      </c>
      <c r="AN19" s="3">
        <f t="shared" si="61"/>
        <v>142023.82273220684</v>
      </c>
      <c r="AO19" s="3">
        <f t="shared" si="61"/>
        <v>167167.23325358206</v>
      </c>
      <c r="AP19" s="3">
        <f t="shared" si="61"/>
        <v>191529.00562232599</v>
      </c>
      <c r="AQ19" s="3">
        <f t="shared" si="61"/>
        <v>219718.25522998968</v>
      </c>
      <c r="AR19" s="3">
        <f t="shared" si="61"/>
        <v>252379.120351102</v>
      </c>
    </row>
    <row r="20" spans="2:101" s="3" customFormat="1" x14ac:dyDescent="0.2">
      <c r="B20" s="3" t="s">
        <v>28</v>
      </c>
      <c r="C20" s="11">
        <v>1538</v>
      </c>
      <c r="D20" s="11"/>
      <c r="E20" s="11"/>
      <c r="F20" s="11"/>
      <c r="G20" s="11">
        <v>-220</v>
      </c>
      <c r="H20" s="11">
        <v>1894</v>
      </c>
      <c r="I20" s="11">
        <v>2146</v>
      </c>
      <c r="J20" s="11">
        <v>3038</v>
      </c>
      <c r="K20" s="11">
        <v>4846</v>
      </c>
      <c r="L20" s="11">
        <v>2264</v>
      </c>
      <c r="M20" s="11">
        <v>2033</v>
      </c>
      <c r="N20" s="11">
        <v>2517</v>
      </c>
      <c r="O20" s="11">
        <v>-1160</v>
      </c>
      <c r="P20" s="11">
        <v>-439</v>
      </c>
      <c r="Q20" s="11">
        <v>-902</v>
      </c>
      <c r="R20" s="11">
        <v>-1013</v>
      </c>
      <c r="S20" s="11"/>
      <c r="T20" s="11"/>
      <c r="U20" s="11"/>
      <c r="V20" s="11"/>
      <c r="AB20" s="3">
        <v>763</v>
      </c>
      <c r="AC20" s="3">
        <v>291</v>
      </c>
      <c r="AD20" s="3">
        <v>434</v>
      </c>
      <c r="AE20" s="3">
        <v>1047</v>
      </c>
      <c r="AF20" s="3">
        <v>8592</v>
      </c>
      <c r="AG20" s="3">
        <v>5394</v>
      </c>
      <c r="AH20" s="3">
        <v>6858</v>
      </c>
      <c r="AI20" s="3">
        <v>12020</v>
      </c>
      <c r="AJ20" s="3">
        <f t="shared" ref="AJ20:AJ22" si="62">SUM(O20:R20)</f>
        <v>-3514</v>
      </c>
      <c r="AK20" s="3">
        <f>+AJ37*$AU$29</f>
        <v>1295.53</v>
      </c>
      <c r="AL20" s="3">
        <f t="shared" ref="AL20:AR20" si="63">+AK37*$AU$29</f>
        <v>2029.86519696</v>
      </c>
      <c r="AM20" s="3">
        <f t="shared" si="63"/>
        <v>2900.5205833486725</v>
      </c>
      <c r="AN20" s="3">
        <f t="shared" si="63"/>
        <v>3919.0542938148278</v>
      </c>
      <c r="AO20" s="3">
        <f t="shared" si="63"/>
        <v>5115.7858854282058</v>
      </c>
      <c r="AP20" s="3">
        <f t="shared" si="63"/>
        <v>6528.5066423680892</v>
      </c>
      <c r="AQ20" s="3">
        <f t="shared" si="63"/>
        <v>8152.5782429385808</v>
      </c>
      <c r="AR20" s="3">
        <f t="shared" si="63"/>
        <v>10021.119077416592</v>
      </c>
    </row>
    <row r="21" spans="2:101" s="3" customFormat="1" x14ac:dyDescent="0.2">
      <c r="B21" s="3" t="s">
        <v>29</v>
      </c>
      <c r="C21" s="11">
        <f t="shared" ref="C21" si="64">C19+C20</f>
        <v>9843</v>
      </c>
      <c r="D21" s="11"/>
      <c r="E21" s="11"/>
      <c r="F21" s="11"/>
      <c r="G21" s="11">
        <f t="shared" ref="G21" si="65">G19+G20</f>
        <v>7757</v>
      </c>
      <c r="H21" s="11">
        <f t="shared" ref="H21" si="66">H19+H20</f>
        <v>8277</v>
      </c>
      <c r="I21" s="11">
        <f t="shared" ref="I21" si="67">I19+I20</f>
        <v>13359</v>
      </c>
      <c r="J21" s="11">
        <f t="shared" ref="J21" si="68">J19+J20</f>
        <v>18689</v>
      </c>
      <c r="K21" s="11">
        <f>K19+K20</f>
        <v>21283</v>
      </c>
      <c r="L21" s="11">
        <f t="shared" ref="L21:O21" si="69">L19+L20</f>
        <v>21625</v>
      </c>
      <c r="M21" s="11">
        <f t="shared" si="69"/>
        <v>23064</v>
      </c>
      <c r="N21" s="11">
        <f t="shared" si="69"/>
        <v>24402</v>
      </c>
      <c r="O21" s="11">
        <f t="shared" si="69"/>
        <v>18934</v>
      </c>
      <c r="P21" s="11">
        <f t="shared" ref="P21:R21" si="70">P19+P20</f>
        <v>19014</v>
      </c>
      <c r="Q21" s="11">
        <f t="shared" si="70"/>
        <v>16233</v>
      </c>
      <c r="R21" s="11">
        <f t="shared" si="70"/>
        <v>17147</v>
      </c>
      <c r="S21" s="11"/>
      <c r="T21" s="11"/>
      <c r="U21" s="11"/>
      <c r="V21" s="11"/>
      <c r="AB21" s="3">
        <f>+AB19+AB20</f>
        <v>17259</v>
      </c>
      <c r="AC21" s="3">
        <f>+AC19+AC20</f>
        <v>19651</v>
      </c>
      <c r="AD21" s="3">
        <f>+AD19+AD20</f>
        <v>24150</v>
      </c>
      <c r="AE21" s="3">
        <f>+AE19+AE20</f>
        <v>29929</v>
      </c>
      <c r="AF21" s="3">
        <f>+AF19+AF20</f>
        <v>39984</v>
      </c>
      <c r="AG21" s="3">
        <f>+AG19+AG20</f>
        <v>41322</v>
      </c>
      <c r="AH21" s="3">
        <f>AH19+AH20</f>
        <v>48082</v>
      </c>
      <c r="AI21" s="3">
        <f t="shared" ref="AI21:AK21" si="71">AI19+AI20</f>
        <v>90734</v>
      </c>
      <c r="AJ21" s="3">
        <f t="shared" si="71"/>
        <v>71328</v>
      </c>
      <c r="AK21" s="3">
        <f t="shared" si="71"/>
        <v>89553.072800000009</v>
      </c>
      <c r="AL21" s="3">
        <f t="shared" ref="AL21:AR21" si="72">AL19+AL20</f>
        <v>106177.48614496003</v>
      </c>
      <c r="AM21" s="3">
        <f t="shared" si="72"/>
        <v>124211.42810562873</v>
      </c>
      <c r="AN21" s="3">
        <f t="shared" si="72"/>
        <v>145942.87702602166</v>
      </c>
      <c r="AO21" s="3">
        <f t="shared" si="72"/>
        <v>172283.01913901026</v>
      </c>
      <c r="AP21" s="3">
        <f t="shared" si="72"/>
        <v>198057.51226469409</v>
      </c>
      <c r="AQ21" s="3">
        <f t="shared" si="72"/>
        <v>227870.83347292827</v>
      </c>
      <c r="AR21" s="3">
        <f t="shared" si="72"/>
        <v>262400.23942851857</v>
      </c>
    </row>
    <row r="22" spans="2:101" s="3" customFormat="1" x14ac:dyDescent="0.2">
      <c r="B22" s="3" t="s">
        <v>30</v>
      </c>
      <c r="C22" s="11">
        <v>1489</v>
      </c>
      <c r="D22" s="11"/>
      <c r="E22" s="11"/>
      <c r="F22" s="11"/>
      <c r="G22" s="11">
        <v>921</v>
      </c>
      <c r="H22" s="11">
        <v>1318</v>
      </c>
      <c r="I22" s="11">
        <v>2112</v>
      </c>
      <c r="J22" s="11">
        <v>3462</v>
      </c>
      <c r="K22" s="11">
        <v>3353</v>
      </c>
      <c r="L22" s="11">
        <v>3460</v>
      </c>
      <c r="M22" s="11">
        <v>4128</v>
      </c>
      <c r="N22" s="11">
        <v>3760</v>
      </c>
      <c r="O22" s="11">
        <v>2498</v>
      </c>
      <c r="P22" s="11">
        <v>3012</v>
      </c>
      <c r="Q22" s="11">
        <v>2323</v>
      </c>
      <c r="R22" s="11">
        <v>3523</v>
      </c>
      <c r="S22" s="11"/>
      <c r="T22" s="11"/>
      <c r="U22" s="11"/>
      <c r="V22" s="11"/>
      <c r="AB22" s="3">
        <v>3639</v>
      </c>
      <c r="AC22" s="3">
        <v>3303</v>
      </c>
      <c r="AD22" s="3">
        <v>4672</v>
      </c>
      <c r="AE22" s="3">
        <v>14531</v>
      </c>
      <c r="AF22" s="3">
        <v>4177</v>
      </c>
      <c r="AG22" s="3">
        <v>5282</v>
      </c>
      <c r="AH22" s="3">
        <v>7813</v>
      </c>
      <c r="AI22" s="3">
        <v>14701</v>
      </c>
      <c r="AJ22" s="3">
        <f t="shared" si="62"/>
        <v>11356</v>
      </c>
      <c r="AK22" s="3">
        <f>+AK21*0.18</f>
        <v>16119.553104000001</v>
      </c>
      <c r="AL22" s="3">
        <f t="shared" ref="AL22:AR22" si="73">+AL21*0.18</f>
        <v>19111.947506092805</v>
      </c>
      <c r="AM22" s="3">
        <f t="shared" si="73"/>
        <v>22358.057059013172</v>
      </c>
      <c r="AN22" s="3">
        <f t="shared" si="73"/>
        <v>26269.717864683898</v>
      </c>
      <c r="AO22" s="3">
        <f t="shared" si="73"/>
        <v>31010.943445021843</v>
      </c>
      <c r="AP22" s="3">
        <f t="shared" si="73"/>
        <v>35650.352207644937</v>
      </c>
      <c r="AQ22" s="3">
        <f t="shared" si="73"/>
        <v>41016.750025127083</v>
      </c>
      <c r="AR22" s="3">
        <f t="shared" si="73"/>
        <v>47232.043097133341</v>
      </c>
    </row>
    <row r="23" spans="2:101" s="3" customFormat="1" x14ac:dyDescent="0.2">
      <c r="B23" s="3" t="s">
        <v>31</v>
      </c>
      <c r="C23" s="11">
        <f t="shared" ref="C23" si="74">C21-C22</f>
        <v>8354</v>
      </c>
      <c r="D23" s="11"/>
      <c r="E23" s="11"/>
      <c r="F23" s="11"/>
      <c r="G23" s="11">
        <f t="shared" ref="G23" si="75">G21-G22</f>
        <v>6836</v>
      </c>
      <c r="H23" s="11">
        <f t="shared" ref="H23" si="76">H21-H22</f>
        <v>6959</v>
      </c>
      <c r="I23" s="11">
        <f t="shared" ref="I23" si="77">I21-I22</f>
        <v>11247</v>
      </c>
      <c r="J23" s="11">
        <f t="shared" ref="J23" si="78">J21-J22</f>
        <v>15227</v>
      </c>
      <c r="K23" s="11">
        <f>K21-K22</f>
        <v>17930</v>
      </c>
      <c r="L23" s="11">
        <f t="shared" ref="L23:O23" si="79">L21-L22</f>
        <v>18165</v>
      </c>
      <c r="M23" s="11">
        <f t="shared" si="79"/>
        <v>18936</v>
      </c>
      <c r="N23" s="11">
        <f t="shared" si="79"/>
        <v>20642</v>
      </c>
      <c r="O23" s="11">
        <f t="shared" si="79"/>
        <v>16436</v>
      </c>
      <c r="P23" s="11">
        <f t="shared" ref="P23:R23" si="80">P21-P22</f>
        <v>16002</v>
      </c>
      <c r="Q23" s="11">
        <f t="shared" si="80"/>
        <v>13910</v>
      </c>
      <c r="R23" s="11">
        <f t="shared" si="80"/>
        <v>13624</v>
      </c>
      <c r="S23" s="11"/>
      <c r="T23" s="11"/>
      <c r="U23" s="11"/>
      <c r="V23" s="11"/>
      <c r="AB23" s="3">
        <f>+AB21-AB22</f>
        <v>13620</v>
      </c>
      <c r="AC23" s="3">
        <f>+AC21-AC22</f>
        <v>16348</v>
      </c>
      <c r="AD23" s="3">
        <f>+AD21-AD22</f>
        <v>19478</v>
      </c>
      <c r="AE23" s="3">
        <f>+AE21-AE22</f>
        <v>15398</v>
      </c>
      <c r="AF23" s="3">
        <f>+AF21-AF22</f>
        <v>35807</v>
      </c>
      <c r="AG23" s="3">
        <f>+AG21-AG22</f>
        <v>36040</v>
      </c>
      <c r="AH23" s="3">
        <f>AH21-AH22</f>
        <v>40269</v>
      </c>
      <c r="AI23" s="3">
        <f t="shared" ref="AI23:AK23" si="81">AI21-AI22</f>
        <v>76033</v>
      </c>
      <c r="AJ23" s="3">
        <f t="shared" si="81"/>
        <v>59972</v>
      </c>
      <c r="AK23" s="3">
        <f t="shared" si="81"/>
        <v>73433.519696000003</v>
      </c>
      <c r="AL23" s="3">
        <f t="shared" ref="AL23:AR23" si="82">AL21-AL22</f>
        <v>87065.53863886722</v>
      </c>
      <c r="AM23" s="3">
        <f t="shared" si="82"/>
        <v>101853.37104661556</v>
      </c>
      <c r="AN23" s="3">
        <f t="shared" si="82"/>
        <v>119673.15916133775</v>
      </c>
      <c r="AO23" s="3">
        <f t="shared" si="82"/>
        <v>141272.07569398842</v>
      </c>
      <c r="AP23" s="3">
        <f t="shared" si="82"/>
        <v>162407.16005704916</v>
      </c>
      <c r="AQ23" s="3">
        <f t="shared" si="82"/>
        <v>186854.08344780118</v>
      </c>
      <c r="AR23" s="3">
        <f t="shared" si="82"/>
        <v>215168.19633138523</v>
      </c>
      <c r="AS23" s="3">
        <f>+AR23*(1+$AU$27)</f>
        <v>213016.51436807137</v>
      </c>
      <c r="AT23" s="3">
        <f t="shared" ref="AT23:CW23" si="83">+AS23*(1+$AU$27)</f>
        <v>210886.34922439064</v>
      </c>
      <c r="AU23" s="3">
        <f t="shared" si="83"/>
        <v>208777.48573214674</v>
      </c>
      <c r="AV23" s="3">
        <f t="shared" si="83"/>
        <v>206689.71087482528</v>
      </c>
      <c r="AW23" s="3">
        <f t="shared" si="83"/>
        <v>204622.81376607702</v>
      </c>
      <c r="AX23" s="3">
        <f t="shared" si="83"/>
        <v>202576.58562841624</v>
      </c>
      <c r="AY23" s="3">
        <f t="shared" si="83"/>
        <v>200550.81977213209</v>
      </c>
      <c r="AZ23" s="3">
        <f t="shared" si="83"/>
        <v>198545.31157441076</v>
      </c>
      <c r="BA23" s="3">
        <f t="shared" si="83"/>
        <v>196559.85845866665</v>
      </c>
      <c r="BB23" s="3">
        <f t="shared" si="83"/>
        <v>194594.25987407999</v>
      </c>
      <c r="BC23" s="3">
        <f t="shared" si="83"/>
        <v>192648.31727533918</v>
      </c>
      <c r="BD23" s="3">
        <f t="shared" si="83"/>
        <v>190721.8341025858</v>
      </c>
      <c r="BE23" s="3">
        <f t="shared" si="83"/>
        <v>188814.61576155992</v>
      </c>
      <c r="BF23" s="3">
        <f t="shared" si="83"/>
        <v>186926.46960394431</v>
      </c>
      <c r="BG23" s="3">
        <f t="shared" si="83"/>
        <v>185057.20490790487</v>
      </c>
      <c r="BH23" s="3">
        <f t="shared" si="83"/>
        <v>183206.63285882582</v>
      </c>
      <c r="BI23" s="3">
        <f t="shared" si="83"/>
        <v>181374.56653023756</v>
      </c>
      <c r="BJ23" s="3">
        <f t="shared" si="83"/>
        <v>179560.82086493517</v>
      </c>
      <c r="BK23" s="3">
        <f t="shared" si="83"/>
        <v>177765.21265628582</v>
      </c>
      <c r="BL23" s="3">
        <f t="shared" si="83"/>
        <v>175987.56052972295</v>
      </c>
      <c r="BM23" s="3">
        <f t="shared" si="83"/>
        <v>174227.68492442573</v>
      </c>
      <c r="BN23" s="3">
        <f t="shared" si="83"/>
        <v>172485.40807518148</v>
      </c>
      <c r="BO23" s="3">
        <f t="shared" si="83"/>
        <v>170760.55399442965</v>
      </c>
      <c r="BP23" s="3">
        <f t="shared" si="83"/>
        <v>169052.94845448536</v>
      </c>
      <c r="BQ23" s="3">
        <f t="shared" si="83"/>
        <v>167362.41896994051</v>
      </c>
      <c r="BR23" s="3">
        <f t="shared" si="83"/>
        <v>165688.79478024109</v>
      </c>
      <c r="BS23" s="3">
        <f t="shared" si="83"/>
        <v>164031.90683243869</v>
      </c>
      <c r="BT23" s="3">
        <f t="shared" si="83"/>
        <v>162391.58776411432</v>
      </c>
      <c r="BU23" s="3">
        <f t="shared" si="83"/>
        <v>160767.67188647317</v>
      </c>
      <c r="BV23" s="3">
        <f t="shared" si="83"/>
        <v>159159.99516760843</v>
      </c>
      <c r="BW23" s="3">
        <f t="shared" si="83"/>
        <v>157568.39521593234</v>
      </c>
      <c r="BX23" s="3">
        <f t="shared" si="83"/>
        <v>155992.711263773</v>
      </c>
      <c r="BY23" s="3">
        <f t="shared" si="83"/>
        <v>154432.78415113527</v>
      </c>
      <c r="BZ23" s="3">
        <f t="shared" si="83"/>
        <v>152888.45630962393</v>
      </c>
      <c r="CA23" s="3">
        <f t="shared" si="83"/>
        <v>151359.57174652768</v>
      </c>
      <c r="CB23" s="3">
        <f t="shared" si="83"/>
        <v>149845.97602906241</v>
      </c>
      <c r="CC23" s="3">
        <f t="shared" si="83"/>
        <v>148347.51626877178</v>
      </c>
      <c r="CD23" s="3">
        <f t="shared" si="83"/>
        <v>146864.04110608407</v>
      </c>
      <c r="CE23" s="3">
        <f t="shared" si="83"/>
        <v>145395.40069502321</v>
      </c>
      <c r="CF23" s="3">
        <f t="shared" si="83"/>
        <v>143941.44668807299</v>
      </c>
      <c r="CG23" s="3">
        <f t="shared" si="83"/>
        <v>142502.03222119226</v>
      </c>
      <c r="CH23" s="3">
        <f t="shared" si="83"/>
        <v>141077.01189898033</v>
      </c>
      <c r="CI23" s="3">
        <f t="shared" si="83"/>
        <v>139666.24177999052</v>
      </c>
      <c r="CJ23" s="3">
        <f t="shared" si="83"/>
        <v>138269.57936219062</v>
      </c>
      <c r="CK23" s="3">
        <f t="shared" si="83"/>
        <v>136886.88356856871</v>
      </c>
      <c r="CL23" s="3">
        <f t="shared" si="83"/>
        <v>135518.01473288302</v>
      </c>
      <c r="CM23" s="3">
        <f t="shared" si="83"/>
        <v>134162.8345855542</v>
      </c>
      <c r="CN23" s="3">
        <f t="shared" si="83"/>
        <v>132821.20623969866</v>
      </c>
      <c r="CO23" s="3">
        <f t="shared" si="83"/>
        <v>131492.99417730168</v>
      </c>
      <c r="CP23" s="3">
        <f t="shared" si="83"/>
        <v>130178.06423552865</v>
      </c>
      <c r="CQ23" s="3">
        <f t="shared" si="83"/>
        <v>128876.28359317337</v>
      </c>
      <c r="CR23" s="3">
        <f t="shared" si="83"/>
        <v>127587.52075724164</v>
      </c>
      <c r="CS23" s="3">
        <f t="shared" si="83"/>
        <v>126311.64554966922</v>
      </c>
      <c r="CT23" s="3">
        <f t="shared" si="83"/>
        <v>125048.52909417253</v>
      </c>
      <c r="CU23" s="3">
        <f t="shared" si="83"/>
        <v>123798.0438032308</v>
      </c>
      <c r="CV23" s="3">
        <f t="shared" si="83"/>
        <v>122560.0633651985</v>
      </c>
      <c r="CW23" s="3">
        <f t="shared" si="83"/>
        <v>121334.4627315465</v>
      </c>
    </row>
    <row r="24" spans="2:101" s="7" customFormat="1" x14ac:dyDescent="0.2">
      <c r="B24" s="9" t="s">
        <v>32</v>
      </c>
      <c r="C24" s="14">
        <f t="shared" ref="C24" si="84">C23/C25</f>
        <v>11.919318455824756</v>
      </c>
      <c r="D24" s="14"/>
      <c r="E24" s="14"/>
      <c r="F24" s="14"/>
      <c r="G24" s="14">
        <f t="shared" ref="G24" si="85">G23/G25</f>
        <v>9.8748026411774639</v>
      </c>
      <c r="H24" s="14">
        <f t="shared" ref="H24" si="86">H23/H25</f>
        <v>10.129194904399265</v>
      </c>
      <c r="I24" s="14">
        <f t="shared" ref="I24" si="87">I23/I25</f>
        <v>16.398605528022852</v>
      </c>
      <c r="J24" s="14">
        <f t="shared" ref="J24" si="88">J23/J25</f>
        <v>22.295301836540162</v>
      </c>
      <c r="K24" s="14">
        <f t="shared" ref="K24:N24" si="89">K23/K25</f>
        <v>26.287585896482916</v>
      </c>
      <c r="L24" s="14">
        <f t="shared" si="89"/>
        <v>1.3364479105356091</v>
      </c>
      <c r="M24" s="14">
        <f t="shared" si="89"/>
        <v>27.990344690984287</v>
      </c>
      <c r="N24" s="14">
        <f t="shared" si="89"/>
        <v>30.69474329100823</v>
      </c>
      <c r="O24" s="14">
        <f>O23/O25</f>
        <v>24.621339792764896</v>
      </c>
      <c r="P24" s="14">
        <f t="shared" ref="P24:R24" si="90">P23/P25</f>
        <v>1.2087015635622025</v>
      </c>
      <c r="Q24" s="14">
        <f t="shared" si="90"/>
        <v>1.0620752844162786</v>
      </c>
      <c r="R24" s="14">
        <f t="shared" si="90"/>
        <v>1.0522901058160192</v>
      </c>
      <c r="S24" s="14"/>
      <c r="T24" s="14"/>
      <c r="U24" s="14"/>
      <c r="V24" s="14"/>
      <c r="AH24" s="17">
        <f>AH23/AH25</f>
        <v>58.613331625494155</v>
      </c>
      <c r="AI24" s="17">
        <f>AI23/AI25</f>
        <v>112.19701508394893</v>
      </c>
      <c r="AJ24" s="17">
        <f>AJ23/AJ25</f>
        <v>4.5799964361174039</v>
      </c>
      <c r="AK24" s="17">
        <f>AK23/AK25</f>
        <v>5.6080380594150139</v>
      </c>
      <c r="AL24" s="17">
        <f t="shared" ref="AL24:AR24" si="91">AL23/AL25</f>
        <v>6.6491005248224839</v>
      </c>
      <c r="AM24" s="17">
        <f t="shared" si="91"/>
        <v>7.778431207897734</v>
      </c>
      <c r="AN24" s="17">
        <f t="shared" si="91"/>
        <v>9.1393090518548288</v>
      </c>
      <c r="AO24" s="17">
        <f t="shared" si="91"/>
        <v>10.788794824274246</v>
      </c>
      <c r="AP24" s="17">
        <f t="shared" si="91"/>
        <v>12.402858238198393</v>
      </c>
      <c r="AQ24" s="17">
        <f t="shared" si="91"/>
        <v>14.269843197907582</v>
      </c>
      <c r="AR24" s="17">
        <f t="shared" si="91"/>
        <v>16.432161214626063</v>
      </c>
    </row>
    <row r="25" spans="2:101" s="3" customFormat="1" x14ac:dyDescent="0.2">
      <c r="B25" s="3" t="s">
        <v>1</v>
      </c>
      <c r="C25" s="11">
        <v>700.87900000000002</v>
      </c>
      <c r="D25" s="11"/>
      <c r="E25" s="11"/>
      <c r="F25" s="11"/>
      <c r="G25" s="11">
        <v>692.26700000000005</v>
      </c>
      <c r="H25" s="11">
        <v>687.024</v>
      </c>
      <c r="I25" s="11">
        <v>685.851</v>
      </c>
      <c r="J25" s="11">
        <v>682.96900000000005</v>
      </c>
      <c r="K25" s="11">
        <v>682.07100000000003</v>
      </c>
      <c r="L25" s="11">
        <v>13592</v>
      </c>
      <c r="M25" s="11">
        <v>676.51900000000001</v>
      </c>
      <c r="N25" s="11">
        <v>672.49300000000005</v>
      </c>
      <c r="O25" s="11">
        <v>667.55100000000004</v>
      </c>
      <c r="P25" s="11">
        <v>13239</v>
      </c>
      <c r="Q25" s="11">
        <v>13097</v>
      </c>
      <c r="R25" s="11">
        <v>12947</v>
      </c>
      <c r="S25" s="11"/>
      <c r="T25" s="11"/>
      <c r="U25" s="11"/>
      <c r="V25" s="11"/>
      <c r="AC25" s="3">
        <v>687.34799999999996</v>
      </c>
      <c r="AD25" s="3">
        <v>691.29300000000001</v>
      </c>
      <c r="AH25" s="3">
        <v>687.02800000000002</v>
      </c>
      <c r="AI25" s="3">
        <v>677.67399999999998</v>
      </c>
      <c r="AJ25" s="3">
        <f>AVERAGE(P25:R25)</f>
        <v>13094.333333333334</v>
      </c>
      <c r="AK25" s="3">
        <f>+AJ25</f>
        <v>13094.333333333334</v>
      </c>
      <c r="AL25" s="3">
        <f t="shared" ref="AL25:AR25" si="92">+AK25</f>
        <v>13094.333333333334</v>
      </c>
      <c r="AM25" s="3">
        <f t="shared" si="92"/>
        <v>13094.333333333334</v>
      </c>
      <c r="AN25" s="3">
        <f t="shared" si="92"/>
        <v>13094.333333333334</v>
      </c>
      <c r="AO25" s="3">
        <f t="shared" si="92"/>
        <v>13094.333333333334</v>
      </c>
      <c r="AP25" s="3">
        <f t="shared" si="92"/>
        <v>13094.333333333334</v>
      </c>
      <c r="AQ25" s="3">
        <f t="shared" si="92"/>
        <v>13094.333333333334</v>
      </c>
      <c r="AR25" s="3">
        <f t="shared" si="92"/>
        <v>13094.333333333334</v>
      </c>
    </row>
    <row r="27" spans="2:101" s="18" customFormat="1" x14ac:dyDescent="0.2">
      <c r="B27" s="18" t="s">
        <v>34</v>
      </c>
      <c r="C27" s="16"/>
      <c r="D27" s="16"/>
      <c r="E27" s="16"/>
      <c r="F27" s="16"/>
      <c r="G27" s="16"/>
      <c r="H27" s="16"/>
      <c r="I27" s="16"/>
      <c r="J27" s="16"/>
      <c r="K27" s="16">
        <f t="shared" ref="K27:L27" si="93">K11/G11-1</f>
        <v>0.34391020189994892</v>
      </c>
      <c r="L27" s="16">
        <f t="shared" si="93"/>
        <v>0.61579235971486024</v>
      </c>
      <c r="M27" s="16">
        <f t="shared" ref="M27" si="94">M11/I11-1</f>
        <v>0.41030472353973102</v>
      </c>
      <c r="N27" s="16">
        <f t="shared" ref="N27" si="95">N11/J11-1</f>
        <v>0.32386024113325607</v>
      </c>
      <c r="O27" s="16">
        <f>O11/K11-1</f>
        <v>0.22954405756228069</v>
      </c>
      <c r="P27" s="16">
        <f t="shared" ref="P27:U27" si="96">P11/L11-1</f>
        <v>0.12613122171945701</v>
      </c>
      <c r="Q27" s="16">
        <f t="shared" si="96"/>
        <v>6.1027672840074931E-2</v>
      </c>
      <c r="R27" s="16">
        <f>R11/N11-1</f>
        <v>9.5984069034185104E-3</v>
      </c>
      <c r="S27" s="16">
        <f t="shared" si="96"/>
        <v>0.10948331887488805</v>
      </c>
      <c r="T27" s="16">
        <f t="shared" si="96"/>
        <v>0.11002640453469192</v>
      </c>
      <c r="U27" s="16">
        <f t="shared" si="96"/>
        <v>0.10828185607595664</v>
      </c>
      <c r="V27" s="16">
        <f>V11/R11-1</f>
        <v>0.10659793814432983</v>
      </c>
      <c r="AA27" s="18">
        <f>AA11/Z11-1</f>
        <v>0.2059123786355046</v>
      </c>
      <c r="AB27" s="18">
        <f>AB11/AA11-1</f>
        <v>0.18880023055170292</v>
      </c>
      <c r="AC27" s="18">
        <f>AC11/AB11-1</f>
        <v>0.13617975485219924</v>
      </c>
      <c r="AD27" s="18">
        <f>AD11/AC11-1</f>
        <v>0.20380322447292265</v>
      </c>
      <c r="AE27" s="18">
        <f>AE11/AD11-1</f>
        <v>0.22801090038993266</v>
      </c>
      <c r="AF27" s="18">
        <f>AF11/AE11-1</f>
        <v>0.23421586757475987</v>
      </c>
      <c r="AG27" s="18">
        <f>AG11/AF11-1</f>
        <v>0.18300089899794614</v>
      </c>
      <c r="AH27" s="18">
        <f>AH11/AG11-1</f>
        <v>0.12770532012826141</v>
      </c>
      <c r="AI27" s="18">
        <f>AI11/AH11-1</f>
        <v>0.41150076427049154</v>
      </c>
      <c r="AJ27" s="18">
        <f>AJ11/AI11-1</f>
        <v>9.7808156437157789E-2</v>
      </c>
      <c r="AK27" s="18">
        <f t="shared" ref="AK27:AR27" si="97">AK11/AJ11-1</f>
        <v>9.9438826740584574E-2</v>
      </c>
      <c r="AL27" s="18">
        <f t="shared" si="97"/>
        <v>0.11590861782999839</v>
      </c>
      <c r="AM27" s="18">
        <f t="shared" si="97"/>
        <v>0.11152619526934493</v>
      </c>
      <c r="AN27" s="18">
        <f t="shared" si="97"/>
        <v>0.11781371393947904</v>
      </c>
      <c r="AO27" s="18">
        <f t="shared" si="97"/>
        <v>0.12472714817761998</v>
      </c>
      <c r="AP27" s="18">
        <f t="shared" si="97"/>
        <v>0.10893235849757321</v>
      </c>
      <c r="AQ27" s="18">
        <f t="shared" si="97"/>
        <v>0.11180845813012263</v>
      </c>
      <c r="AR27" s="18">
        <f t="shared" si="97"/>
        <v>0.11473876239429304</v>
      </c>
      <c r="AT27" s="18" t="s">
        <v>72</v>
      </c>
      <c r="AU27" s="18">
        <v>-0.01</v>
      </c>
    </row>
    <row r="28" spans="2:101" s="18" customFormat="1" x14ac:dyDescent="0.2">
      <c r="B28" s="18" t="s">
        <v>48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>
        <v>0.16</v>
      </c>
      <c r="Q28" s="16"/>
      <c r="R28" s="16">
        <v>7.0000000000000007E-2</v>
      </c>
      <c r="S28" s="16"/>
      <c r="T28" s="16"/>
      <c r="U28" s="16"/>
      <c r="V28" s="16"/>
      <c r="AT28" s="18" t="s">
        <v>73</v>
      </c>
      <c r="AU28" s="18">
        <v>0.08</v>
      </c>
    </row>
    <row r="29" spans="2:101" s="5" customFormat="1" x14ac:dyDescent="0.2">
      <c r="B29" s="5" t="s">
        <v>49</v>
      </c>
      <c r="C29" s="15"/>
      <c r="D29" s="15"/>
      <c r="E29" s="15"/>
      <c r="F29" s="15"/>
      <c r="G29" s="15"/>
      <c r="H29" s="15"/>
      <c r="I29" s="15"/>
      <c r="J29" s="15"/>
      <c r="K29" s="15">
        <f t="shared" ref="K29" si="98">+K9/G9-1</f>
        <v>0.30107746306423966</v>
      </c>
      <c r="L29" s="15">
        <f t="shared" ref="L29:N29" si="99">+L9/H9-1</f>
        <v>0.68136404146535945</v>
      </c>
      <c r="M29" s="15">
        <f t="shared" si="99"/>
        <v>0.43997266307236682</v>
      </c>
      <c r="N29" s="15">
        <f t="shared" si="99"/>
        <v>0.35727047613077145</v>
      </c>
      <c r="O29" s="15">
        <f>+O9/K9-1</f>
        <v>0.24276169265033398</v>
      </c>
      <c r="P29" s="15">
        <f>+P9/L9-1</f>
        <v>0.13513739712651684</v>
      </c>
      <c r="Q29" s="15">
        <f>+Q9/M9-1</f>
        <v>4.2530190370722032E-2</v>
      </c>
      <c r="R29" s="15">
        <f>+R9/N9-1</f>
        <v>-1.6096625943973542E-2</v>
      </c>
      <c r="S29" s="15"/>
      <c r="T29" s="15"/>
      <c r="U29" s="15"/>
      <c r="V29" s="15"/>
      <c r="AF29" s="5">
        <f t="shared" ref="AF29:AJ29" si="100">+AF9/AE9-1</f>
        <v>0.22181318130380601</v>
      </c>
      <c r="AG29" s="5">
        <f t="shared" si="100"/>
        <v>0.15028840742824978</v>
      </c>
      <c r="AH29" s="5">
        <f t="shared" si="100"/>
        <v>6.0612546501554343E-2</v>
      </c>
      <c r="AI29" s="5">
        <f t="shared" si="100"/>
        <v>0.43136783840402826</v>
      </c>
      <c r="AJ29" s="5">
        <f t="shared" si="100"/>
        <v>9.0627118985438182E-2</v>
      </c>
      <c r="AK29" s="5">
        <f>+AK9/AJ9-1</f>
        <v>0.10000000000000009</v>
      </c>
      <c r="AL29" s="15">
        <f t="shared" ref="AL29:AR29" si="101">+AL9/AK9-1</f>
        <v>0.10000000000000009</v>
      </c>
      <c r="AM29" s="15">
        <f t="shared" si="101"/>
        <v>0.10000000000000009</v>
      </c>
      <c r="AN29" s="15">
        <f t="shared" si="101"/>
        <v>0.10000000000000009</v>
      </c>
      <c r="AO29" s="15">
        <f t="shared" si="101"/>
        <v>0.10000000000000009</v>
      </c>
      <c r="AP29" s="15">
        <f t="shared" si="101"/>
        <v>0.10000000000000009</v>
      </c>
      <c r="AQ29" s="15">
        <f t="shared" si="101"/>
        <v>0.10000000000000009</v>
      </c>
      <c r="AR29" s="15">
        <f t="shared" si="101"/>
        <v>0.10000000000000009</v>
      </c>
      <c r="AT29" s="5" t="s">
        <v>74</v>
      </c>
      <c r="AU29" s="5">
        <v>0.01</v>
      </c>
    </row>
    <row r="30" spans="2:101" s="5" customFormat="1" x14ac:dyDescent="0.2">
      <c r="B30" s="5" t="s">
        <v>50</v>
      </c>
      <c r="C30" s="15"/>
      <c r="D30" s="15"/>
      <c r="E30" s="15"/>
      <c r="F30" s="15"/>
      <c r="G30" s="15"/>
      <c r="H30" s="15"/>
      <c r="I30" s="15"/>
      <c r="J30" s="15"/>
      <c r="K30" s="15">
        <f t="shared" ref="K30" si="102">+K8/G8-1</f>
        <v>0.48712233779098568</v>
      </c>
      <c r="L30" s="15">
        <f t="shared" ref="L30:Q30" si="103">+L8/H8-1</f>
        <v>0.83683105981112282</v>
      </c>
      <c r="M30" s="15">
        <f t="shared" si="103"/>
        <v>0.4304149295215407</v>
      </c>
      <c r="N30" s="15">
        <f t="shared" si="103"/>
        <v>0.25388525780682647</v>
      </c>
      <c r="O30" s="15">
        <f t="shared" si="103"/>
        <v>0.143880099916736</v>
      </c>
      <c r="P30" s="15">
        <f t="shared" si="103"/>
        <v>4.8271922307911996E-2</v>
      </c>
      <c r="Q30" s="15">
        <f t="shared" si="103"/>
        <v>-1.8598195697432374E-2</v>
      </c>
      <c r="R30" s="15">
        <f>+R8/N8-1</f>
        <v>-7.7609174099386058E-2</v>
      </c>
      <c r="S30" s="15"/>
      <c r="T30" s="15"/>
      <c r="U30" s="15"/>
      <c r="V30" s="15"/>
      <c r="AF30" s="5">
        <f t="shared" ref="AF30:AI30" si="104">+AF8/AE8-1</f>
        <v>0.36871165644171788</v>
      </c>
      <c r="AG30" s="5">
        <f t="shared" si="104"/>
        <v>0.35804571940833707</v>
      </c>
      <c r="AH30" s="5">
        <f t="shared" si="104"/>
        <v>0.30516865799722748</v>
      </c>
      <c r="AI30" s="5">
        <f t="shared" si="104"/>
        <v>0.45888124620675708</v>
      </c>
      <c r="AJ30" s="5">
        <f>+AJ8/AI8-1</f>
        <v>1.3797885248743258E-2</v>
      </c>
      <c r="AK30" s="5">
        <f>+AK8/AJ8-1</f>
        <v>5.0000000000000044E-2</v>
      </c>
      <c r="AL30" s="15">
        <f t="shared" ref="AL30:AR30" si="105">+AL8/AK8-1</f>
        <v>5.0000000000000044E-2</v>
      </c>
      <c r="AM30" s="15">
        <f t="shared" si="105"/>
        <v>5.0000000000000044E-2</v>
      </c>
      <c r="AN30" s="15">
        <f t="shared" si="105"/>
        <v>5.0000000000000044E-2</v>
      </c>
      <c r="AO30" s="15">
        <f t="shared" si="105"/>
        <v>5.0000000000000044E-2</v>
      </c>
      <c r="AP30" s="15">
        <f t="shared" si="105"/>
        <v>5.0000000000000044E-2</v>
      </c>
      <c r="AQ30" s="15">
        <f t="shared" si="105"/>
        <v>5.0000000000000044E-2</v>
      </c>
      <c r="AR30" s="15">
        <f t="shared" si="105"/>
        <v>5.0000000000000044E-2</v>
      </c>
      <c r="AT30" s="5" t="s">
        <v>75</v>
      </c>
      <c r="AU30" s="3">
        <f>NPV(AU28,AK23:CW23)+Main!L5-Main!L6</f>
        <v>2137013.8680530442</v>
      </c>
    </row>
    <row r="31" spans="2:101" s="5" customFormat="1" x14ac:dyDescent="0.2">
      <c r="B31" s="5" t="s">
        <v>42</v>
      </c>
      <c r="C31" s="15"/>
      <c r="D31" s="15"/>
      <c r="E31" s="15"/>
      <c r="F31" s="15"/>
      <c r="G31" s="15"/>
      <c r="H31" s="15"/>
      <c r="I31" s="15"/>
      <c r="J31" s="15"/>
      <c r="K31" s="15">
        <f t="shared" ref="K31" si="106">K10/G10-1</f>
        <v>0.33980836693020566</v>
      </c>
      <c r="L31" s="15">
        <f t="shared" ref="L31" si="107">L10/H10-1</f>
        <v>0.63090508988025484</v>
      </c>
      <c r="M31" s="15">
        <f t="shared" ref="M31" si="108">M10/I10-1</f>
        <v>0.40661921875367013</v>
      </c>
      <c r="N31" s="15">
        <f t="shared" ref="N31" si="109">N10/J10-1</f>
        <v>0.31257919921320898</v>
      </c>
      <c r="O31" s="15">
        <f>O10/K10-1</f>
        <v>0.20114111532299028</v>
      </c>
      <c r="P31" s="15">
        <f t="shared" ref="P31:Q31" si="110">P10/L10-1</f>
        <v>0.10117931554138115</v>
      </c>
      <c r="Q31" s="15">
        <f t="shared" si="110"/>
        <v>2.4931534299645897E-2</v>
      </c>
      <c r="R31" s="15">
        <f>R10/N10-1</f>
        <v>-2.2507204610951015E-2</v>
      </c>
      <c r="S31" s="15"/>
      <c r="T31" s="15"/>
      <c r="U31" s="15"/>
      <c r="V31" s="15"/>
      <c r="AF31" s="5">
        <f t="shared" ref="AF31:AJ31" si="111">+AF10/AE10-1</f>
        <v>0.22568104346846218</v>
      </c>
      <c r="AG31" s="5">
        <f t="shared" si="111"/>
        <v>0.16319604057491333</v>
      </c>
      <c r="AH31" s="5">
        <f t="shared" si="111"/>
        <v>0.11071957846204517</v>
      </c>
      <c r="AI31" s="5">
        <f t="shared" si="111"/>
        <v>0.40853915260770313</v>
      </c>
      <c r="AJ31" s="5">
        <f t="shared" si="111"/>
        <v>6.7355986005919188E-2</v>
      </c>
      <c r="AK31" s="5">
        <f>+AK10/AJ10-1</f>
        <v>7.7159919219967898E-2</v>
      </c>
      <c r="AL31" s="15">
        <f t="shared" ref="AL31:AR31" si="112">+AL10/AK10-1</f>
        <v>7.8052815516631568E-2</v>
      </c>
      <c r="AM31" s="15">
        <f t="shared" si="112"/>
        <v>7.8926787613141869E-2</v>
      </c>
      <c r="AN31" s="15">
        <f t="shared" si="112"/>
        <v>7.9780908994353084E-2</v>
      </c>
      <c r="AO31" s="15">
        <f t="shared" si="112"/>
        <v>8.0614365686686451E-2</v>
      </c>
      <c r="AP31" s="15">
        <f t="shared" si="112"/>
        <v>8.1426456360157662E-2</v>
      </c>
      <c r="AQ31" s="15">
        <f t="shared" si="112"/>
        <v>8.2216591293572172E-2</v>
      </c>
      <c r="AR31" s="15">
        <f t="shared" si="112"/>
        <v>8.2984290295815111E-2</v>
      </c>
      <c r="AT31" s="5" t="s">
        <v>76</v>
      </c>
      <c r="AU31" s="1">
        <f>+AU30/Main!L3</f>
        <v>166.86295526298463</v>
      </c>
    </row>
    <row r="32" spans="2:101" s="5" customFormat="1" x14ac:dyDescent="0.2">
      <c r="B32" s="5" t="s">
        <v>43</v>
      </c>
      <c r="C32" s="15"/>
      <c r="D32" s="15"/>
      <c r="E32" s="15"/>
      <c r="F32" s="15"/>
      <c r="G32" s="15"/>
      <c r="H32" s="15"/>
      <c r="I32" s="15"/>
      <c r="J32" s="15"/>
      <c r="K32" s="15">
        <f t="shared" ref="K32" si="113">K5/G5-1</f>
        <v>0.4573280518545193</v>
      </c>
      <c r="L32" s="15">
        <f t="shared" ref="L32" si="114">L5/H5-1</f>
        <v>0.53907549052211512</v>
      </c>
      <c r="M32" s="15">
        <f t="shared" ref="M32" si="115">M5/I5-1</f>
        <v>0.44889663182346107</v>
      </c>
      <c r="N32" s="15">
        <f t="shared" ref="N32" si="116">N5/J5-1</f>
        <v>0.44635865309318712</v>
      </c>
      <c r="O32" s="15">
        <f>O5/K5-1</f>
        <v>0.4383493946132937</v>
      </c>
      <c r="P32" s="15">
        <f t="shared" ref="P32:Q32" si="117">P5/L5-1</f>
        <v>0.35609334485738975</v>
      </c>
      <c r="Q32" s="15">
        <f t="shared" si="117"/>
        <v>0.37635270541082155</v>
      </c>
      <c r="R32" s="15">
        <f>R5/N5-1</f>
        <v>0.3201588160981772</v>
      </c>
      <c r="S32" s="15"/>
      <c r="T32" s="15"/>
      <c r="U32" s="15"/>
      <c r="V32" s="15"/>
      <c r="AF32" s="5">
        <f t="shared" ref="AF32:AJ32" si="118">+AF5/AE5-1</f>
        <v>0.43934911242603558</v>
      </c>
      <c r="AG32" s="5">
        <f t="shared" si="118"/>
        <v>0.52757793764988015</v>
      </c>
      <c r="AH32" s="5">
        <f t="shared" si="118"/>
        <v>0.46434178066831122</v>
      </c>
      <c r="AI32" s="5">
        <f t="shared" si="118"/>
        <v>0.47070985527222597</v>
      </c>
      <c r="AJ32" s="5">
        <f t="shared" si="118"/>
        <v>0.36832239925023424</v>
      </c>
      <c r="AK32" s="5">
        <f>+AK5/AJ5-1</f>
        <v>0.39999999999999991</v>
      </c>
      <c r="AL32" s="15">
        <f t="shared" ref="AL32:AR32" si="119">+AL5/AK5-1</f>
        <v>0.39999999999999991</v>
      </c>
      <c r="AM32" s="15">
        <f t="shared" si="119"/>
        <v>0.30000000000000027</v>
      </c>
      <c r="AN32" s="15">
        <f t="shared" si="119"/>
        <v>0.30000000000000004</v>
      </c>
      <c r="AO32" s="15">
        <f t="shared" si="119"/>
        <v>0.30000000000000004</v>
      </c>
      <c r="AP32" s="15">
        <f t="shared" si="119"/>
        <v>0.19999999999999996</v>
      </c>
      <c r="AQ32" s="15">
        <f t="shared" si="119"/>
        <v>0.19999999999999996</v>
      </c>
      <c r="AR32" s="15">
        <f t="shared" si="119"/>
        <v>0.19999999999999996</v>
      </c>
    </row>
    <row r="33" spans="2:44" s="5" customFormat="1" x14ac:dyDescent="0.2">
      <c r="B33" s="5" t="s">
        <v>33</v>
      </c>
      <c r="C33" s="15"/>
      <c r="D33" s="15"/>
      <c r="E33" s="15"/>
      <c r="F33" s="15"/>
      <c r="G33" s="15">
        <f t="shared" ref="G33:H33" si="120">G14/G11</f>
        <v>0.53881289632887097</v>
      </c>
      <c r="H33" s="15">
        <f t="shared" si="120"/>
        <v>0.51554952085019712</v>
      </c>
      <c r="I33" s="15">
        <f t="shared" ref="I33" si="121">I14/I11</f>
        <v>0.54265479825872265</v>
      </c>
      <c r="J33" s="15">
        <f t="shared" ref="J33" si="122">J14/J11</f>
        <v>0.54163590987380927</v>
      </c>
      <c r="K33" s="15">
        <f>K14/K11</f>
        <v>0.56425136493473627</v>
      </c>
      <c r="L33" s="15">
        <f t="shared" ref="L33:O33" si="123">L14/L11</f>
        <v>0.57616354234001288</v>
      </c>
      <c r="M33" s="15">
        <f t="shared" si="123"/>
        <v>0.57583156730857832</v>
      </c>
      <c r="N33" s="15">
        <f t="shared" si="123"/>
        <v>0.56205774975107869</v>
      </c>
      <c r="O33" s="15">
        <f t="shared" si="123"/>
        <v>0.5647909896928438</v>
      </c>
      <c r="P33" s="15">
        <f t="shared" ref="P33:Q33" si="124">P14/P11</f>
        <v>0.56799885197675248</v>
      </c>
      <c r="Q33" s="15">
        <f t="shared" si="124"/>
        <v>0.54903606785156023</v>
      </c>
      <c r="R33" s="19">
        <f>R14/R11</f>
        <v>0.53526719966337055</v>
      </c>
      <c r="S33" s="15"/>
      <c r="T33" s="15"/>
      <c r="U33" s="15"/>
      <c r="V33" s="15"/>
      <c r="AB33" s="5">
        <f t="shared" ref="AB33" si="125">AB14/AB11</f>
        <v>0.6107483219951213</v>
      </c>
      <c r="AC33" s="5">
        <f t="shared" ref="AC33" si="126">AC14/AC11</f>
        <v>0.62442491565429592</v>
      </c>
      <c r="AD33" s="5">
        <f t="shared" ref="AD33:AE33" si="127">AD14/AD11</f>
        <v>0.61075416518964909</v>
      </c>
      <c r="AE33" s="5">
        <f t="shared" si="127"/>
        <v>0.58880519597672631</v>
      </c>
      <c r="AF33" s="5">
        <f t="shared" ref="AF33:AH33" si="128">AF14/AF11</f>
        <v>0.5647607422945643</v>
      </c>
      <c r="AG33" s="5">
        <f t="shared" si="128"/>
        <v>0.5558054331910266</v>
      </c>
      <c r="AH33" s="5">
        <f t="shared" si="128"/>
        <v>0.53578374706207854</v>
      </c>
      <c r="AI33" s="5">
        <f>AI14/AI11</f>
        <v>0.5693980290098084</v>
      </c>
      <c r="AJ33" s="5">
        <f>AJ14/AJ11</f>
        <v>0.55379442503783116</v>
      </c>
      <c r="AK33" s="5">
        <f t="shared" ref="AJ33:AK33" si="129">AK14/AK11</f>
        <v>0.56000000000000005</v>
      </c>
      <c r="AL33" s="15">
        <f t="shared" ref="AL33:AR33" si="130">AL14/AL11</f>
        <v>0.56000000000000005</v>
      </c>
      <c r="AM33" s="15">
        <f t="shared" si="130"/>
        <v>0.56000000000000005</v>
      </c>
      <c r="AN33" s="15">
        <f t="shared" si="130"/>
        <v>0.56000000000000005</v>
      </c>
      <c r="AO33" s="15">
        <f t="shared" si="130"/>
        <v>0.56000000000000005</v>
      </c>
      <c r="AP33" s="15">
        <f t="shared" si="130"/>
        <v>0.56000000000000005</v>
      </c>
      <c r="AQ33" s="15">
        <f t="shared" si="130"/>
        <v>0.56000000000000005</v>
      </c>
      <c r="AR33" s="15">
        <f t="shared" si="130"/>
        <v>0.56000000000000005</v>
      </c>
    </row>
    <row r="34" spans="2:44" s="5" customFormat="1" x14ac:dyDescent="0.2">
      <c r="B34" s="5" t="s">
        <v>70</v>
      </c>
      <c r="C34" s="15"/>
      <c r="D34" s="15"/>
      <c r="E34" s="15"/>
      <c r="F34" s="15"/>
      <c r="G34" s="15">
        <f t="shared" ref="G34" si="131">+G22/G21</f>
        <v>0.11873146835116669</v>
      </c>
      <c r="H34" s="15">
        <f>+H22/H21</f>
        <v>0.15923643832306392</v>
      </c>
      <c r="I34" s="15">
        <f t="shared" ref="I34:Q34" si="132">+I22/I21</f>
        <v>0.15809566584325174</v>
      </c>
      <c r="J34" s="15">
        <f t="shared" si="132"/>
        <v>0.18524265610787094</v>
      </c>
      <c r="K34" s="15">
        <f t="shared" si="132"/>
        <v>0.15754357938260583</v>
      </c>
      <c r="L34" s="15">
        <f t="shared" si="132"/>
        <v>0.16</v>
      </c>
      <c r="M34" s="15">
        <f t="shared" si="132"/>
        <v>0.17898022892819979</v>
      </c>
      <c r="N34" s="15">
        <f t="shared" si="132"/>
        <v>0.15408573067781328</v>
      </c>
      <c r="O34" s="15">
        <f t="shared" si="132"/>
        <v>0.13193197422625963</v>
      </c>
      <c r="P34" s="15">
        <f t="shared" si="132"/>
        <v>0.15840959293152415</v>
      </c>
      <c r="Q34" s="15">
        <f t="shared" si="132"/>
        <v>0.14310355448777182</v>
      </c>
      <c r="R34" s="15">
        <f>+R22/R21</f>
        <v>0.20545868081880211</v>
      </c>
      <c r="S34" s="15"/>
      <c r="T34" s="15"/>
      <c r="U34" s="15"/>
      <c r="V34" s="15"/>
      <c r="AB34" s="15">
        <f t="shared" ref="AB34" si="133">+AB22/AB21</f>
        <v>0.21084651486181122</v>
      </c>
      <c r="AC34" s="15">
        <f t="shared" ref="AC34" si="134">+AC22/AC21</f>
        <v>0.16808304920869166</v>
      </c>
      <c r="AD34" s="15">
        <f t="shared" ref="AD34:AE34" si="135">+AD22/AD21</f>
        <v>0.19345755693581781</v>
      </c>
      <c r="AE34" s="15">
        <f t="shared" si="135"/>
        <v>0.48551572053860803</v>
      </c>
      <c r="AF34" s="15">
        <f t="shared" ref="AF34:AH34" si="136">+AF22/AF21</f>
        <v>0.10446678671468587</v>
      </c>
      <c r="AG34" s="15">
        <f t="shared" si="136"/>
        <v>0.12782537147282319</v>
      </c>
      <c r="AH34" s="15">
        <f t="shared" si="136"/>
        <v>0.16249324071378063</v>
      </c>
      <c r="AI34" s="15">
        <f t="shared" ref="AI34:AK34" si="137">+AI22/AI21</f>
        <v>0.16202305640663919</v>
      </c>
      <c r="AJ34" s="15">
        <f>+AJ22/AJ21</f>
        <v>0.1592081650964558</v>
      </c>
      <c r="AK34" s="15">
        <f t="shared" si="137"/>
        <v>0.18</v>
      </c>
      <c r="AL34" s="15">
        <f t="shared" ref="AL34:AR34" si="138">+AL22/AL21</f>
        <v>0.18</v>
      </c>
      <c r="AM34" s="15">
        <f t="shared" si="138"/>
        <v>0.18</v>
      </c>
      <c r="AN34" s="15">
        <f t="shared" si="138"/>
        <v>0.18</v>
      </c>
      <c r="AO34" s="15">
        <f t="shared" si="138"/>
        <v>0.18</v>
      </c>
      <c r="AP34" s="15">
        <f t="shared" si="138"/>
        <v>0.18000000000000002</v>
      </c>
      <c r="AQ34" s="15">
        <f t="shared" si="138"/>
        <v>0.18</v>
      </c>
      <c r="AR34" s="15">
        <f t="shared" si="138"/>
        <v>0.18</v>
      </c>
    </row>
    <row r="35" spans="2:44" s="5" customFormat="1" x14ac:dyDescent="0.2">
      <c r="B35" s="5" t="s">
        <v>47</v>
      </c>
      <c r="C35" s="15"/>
      <c r="D35" s="15"/>
      <c r="E35" s="15"/>
      <c r="F35" s="15"/>
      <c r="G35" s="15">
        <f t="shared" ref="G35:H35" si="139">G9/G11</f>
        <v>0.5953011492018756</v>
      </c>
      <c r="H35" s="15">
        <f t="shared" si="139"/>
        <v>0.55667545760764547</v>
      </c>
      <c r="I35" s="15">
        <f t="shared" ref="I35" si="140">I9/I11</f>
        <v>0.57041994239057459</v>
      </c>
      <c r="J35" s="15">
        <f>J9/J11</f>
        <v>0.56070512144539353</v>
      </c>
      <c r="K35" s="15">
        <f t="shared" ref="K35:O35" si="141">K9/K11</f>
        <v>0.57632787359438842</v>
      </c>
      <c r="L35" s="15">
        <f t="shared" si="141"/>
        <v>0.57926632191338079</v>
      </c>
      <c r="M35" s="15">
        <f t="shared" si="141"/>
        <v>0.58241960748180222</v>
      </c>
      <c r="N35" s="15">
        <f t="shared" si="141"/>
        <v>0.5748556256223033</v>
      </c>
      <c r="O35" s="15">
        <f t="shared" si="141"/>
        <v>0.58252341532987306</v>
      </c>
      <c r="P35" s="15">
        <f t="shared" ref="P35:Q35" si="142">P9/P11</f>
        <v>0.58389897395422252</v>
      </c>
      <c r="Q35" s="15">
        <f t="shared" si="142"/>
        <v>0.57226596422161757</v>
      </c>
      <c r="R35" s="15">
        <f>R9/R11</f>
        <v>0.56022512097622557</v>
      </c>
      <c r="S35" s="15"/>
      <c r="T35" s="15"/>
      <c r="U35" s="15"/>
      <c r="V35" s="15"/>
      <c r="AH35" s="15">
        <f t="shared" ref="AH35:AK35" si="143">AH9/AH11</f>
        <v>0.57011839344316184</v>
      </c>
      <c r="AI35" s="15">
        <f t="shared" si="143"/>
        <v>0.57814289096674776</v>
      </c>
      <c r="AJ35" s="15">
        <f t="shared" si="143"/>
        <v>0.57436111386103605</v>
      </c>
      <c r="AK35" s="15">
        <f t="shared" si="143"/>
        <v>0.57465427805581204</v>
      </c>
      <c r="AL35" s="15">
        <f t="shared" ref="AL35:AR35" si="144">AL9/AL11</f>
        <v>0.56646189101990851</v>
      </c>
      <c r="AM35" s="15">
        <f t="shared" si="144"/>
        <v>0.56058785008742684</v>
      </c>
      <c r="AN35" s="15">
        <f t="shared" si="144"/>
        <v>0.55165420445857594</v>
      </c>
      <c r="AO35" s="15">
        <f t="shared" si="144"/>
        <v>0.53952607606889824</v>
      </c>
      <c r="AP35" s="15">
        <f t="shared" si="144"/>
        <v>0.53518023811646842</v>
      </c>
      <c r="AQ35" s="15">
        <f t="shared" si="144"/>
        <v>0.52949611745013003</v>
      </c>
      <c r="AR35" s="15">
        <f t="shared" si="144"/>
        <v>0.52249526870684604</v>
      </c>
    </row>
    <row r="37" spans="2:44" x14ac:dyDescent="0.2">
      <c r="B37" s="3" t="s">
        <v>71</v>
      </c>
      <c r="G37" s="11">
        <f>+G38-G56</f>
        <v>124580</v>
      </c>
      <c r="N37" s="11">
        <f t="shared" ref="N37:O37" si="145">+N38-N56</f>
        <v>154381</v>
      </c>
      <c r="O37" s="11">
        <f t="shared" si="145"/>
        <v>149723</v>
      </c>
      <c r="P37" s="11">
        <f>+P38-P56</f>
        <v>140928</v>
      </c>
      <c r="Q37" s="11">
        <f>+Q38-Q56</f>
        <v>132025</v>
      </c>
      <c r="R37" s="11">
        <f>+R38-R56</f>
        <v>129553</v>
      </c>
      <c r="S37" s="11"/>
      <c r="T37" s="11"/>
      <c r="U37" s="11"/>
      <c r="V37" s="11"/>
      <c r="AD37" s="3">
        <v>72053</v>
      </c>
      <c r="AJ37" s="3">
        <f>+R37</f>
        <v>129553</v>
      </c>
      <c r="AK37" s="3">
        <f>+AJ37+AK23</f>
        <v>202986.519696</v>
      </c>
      <c r="AL37" s="3">
        <f t="shared" ref="AL37:AR37" si="146">+AK37+AL23</f>
        <v>290052.05833486724</v>
      </c>
      <c r="AM37" s="3">
        <f t="shared" si="146"/>
        <v>391905.42938148277</v>
      </c>
      <c r="AN37" s="3">
        <f t="shared" si="146"/>
        <v>511578.58854282054</v>
      </c>
      <c r="AO37" s="3">
        <f t="shared" si="146"/>
        <v>652850.66423680889</v>
      </c>
      <c r="AP37" s="3">
        <f t="shared" si="146"/>
        <v>815257.82429385802</v>
      </c>
      <c r="AQ37" s="3">
        <f t="shared" si="146"/>
        <v>1002111.9077416592</v>
      </c>
      <c r="AR37" s="3">
        <f t="shared" si="146"/>
        <v>1217280.1040730444</v>
      </c>
    </row>
    <row r="38" spans="2:44" s="3" customFormat="1" x14ac:dyDescent="0.2">
      <c r="B38" s="3" t="s">
        <v>3</v>
      </c>
      <c r="C38" s="11"/>
      <c r="D38" s="11"/>
      <c r="E38" s="11"/>
      <c r="F38" s="11"/>
      <c r="G38" s="11">
        <f>117229+12367</f>
        <v>129596</v>
      </c>
      <c r="H38" s="11"/>
      <c r="I38" s="11"/>
      <c r="J38" s="11"/>
      <c r="K38" s="11"/>
      <c r="L38" s="11"/>
      <c r="M38" s="11"/>
      <c r="N38" s="11">
        <f>20945+118704+29549</f>
        <v>169198</v>
      </c>
      <c r="O38" s="11">
        <f>20886+113084+30544</f>
        <v>164514</v>
      </c>
      <c r="P38" s="11">
        <f>124997+30665</f>
        <v>155662</v>
      </c>
      <c r="Q38" s="11">
        <f>21984+94275+30419</f>
        <v>146678</v>
      </c>
      <c r="R38" s="11">
        <f>113762+30492</f>
        <v>144254</v>
      </c>
      <c r="S38" s="11"/>
      <c r="T38" s="11"/>
      <c r="U38" s="11"/>
      <c r="V38" s="11"/>
    </row>
    <row r="39" spans="2:44" s="3" customFormat="1" x14ac:dyDescent="0.2">
      <c r="B39" s="3" t="s">
        <v>53</v>
      </c>
      <c r="C39" s="11"/>
      <c r="D39" s="11"/>
      <c r="E39" s="11"/>
      <c r="F39" s="11"/>
      <c r="G39" s="11">
        <v>21825</v>
      </c>
      <c r="H39" s="11"/>
      <c r="I39" s="11"/>
      <c r="J39" s="11"/>
      <c r="K39" s="11"/>
      <c r="L39" s="11"/>
      <c r="M39" s="11"/>
      <c r="N39" s="11">
        <v>39304</v>
      </c>
      <c r="O39" s="11">
        <v>34703</v>
      </c>
      <c r="P39" s="11">
        <v>35707</v>
      </c>
      <c r="Q39" s="11">
        <v>34697</v>
      </c>
      <c r="R39" s="11">
        <v>40258</v>
      </c>
      <c r="S39" s="11"/>
      <c r="T39" s="11"/>
      <c r="U39" s="11"/>
      <c r="V39" s="11"/>
    </row>
    <row r="40" spans="2:44" s="3" customFormat="1" x14ac:dyDescent="0.2">
      <c r="B40" s="3" t="s">
        <v>30</v>
      </c>
      <c r="C40" s="11"/>
      <c r="D40" s="11"/>
      <c r="E40" s="11"/>
      <c r="F40" s="11"/>
      <c r="G40" s="11">
        <v>1910</v>
      </c>
      <c r="H40" s="11"/>
      <c r="I40" s="11"/>
      <c r="J40" s="11"/>
      <c r="K40" s="11"/>
      <c r="L40" s="11"/>
      <c r="M40" s="11"/>
      <c r="N40" s="11">
        <v>966</v>
      </c>
      <c r="O40" s="11">
        <v>919</v>
      </c>
      <c r="P40" s="11">
        <v>1366</v>
      </c>
      <c r="Q40" s="11">
        <v>1479</v>
      </c>
      <c r="R40" s="11">
        <v>0</v>
      </c>
      <c r="S40" s="11"/>
      <c r="T40" s="11"/>
      <c r="U40" s="11"/>
      <c r="V40" s="11"/>
    </row>
    <row r="41" spans="2:44" s="3" customFormat="1" x14ac:dyDescent="0.2">
      <c r="B41" s="3" t="s">
        <v>54</v>
      </c>
      <c r="C41" s="11"/>
      <c r="D41" s="11"/>
      <c r="E41" s="11"/>
      <c r="F41" s="11"/>
      <c r="G41" s="11">
        <v>889</v>
      </c>
      <c r="H41" s="11"/>
      <c r="I41" s="11"/>
      <c r="J41" s="11"/>
      <c r="K41" s="11"/>
      <c r="L41" s="11"/>
      <c r="M41" s="11"/>
      <c r="N41" s="11">
        <v>1170</v>
      </c>
      <c r="O41" s="11">
        <v>1369</v>
      </c>
      <c r="P41" s="11">
        <v>1980</v>
      </c>
      <c r="Q41" s="11">
        <v>3156</v>
      </c>
      <c r="R41" s="11">
        <v>2670</v>
      </c>
      <c r="S41" s="11"/>
      <c r="T41" s="11"/>
      <c r="U41" s="11"/>
      <c r="V41" s="11"/>
    </row>
    <row r="42" spans="2:44" s="3" customFormat="1" x14ac:dyDescent="0.2">
      <c r="B42" s="3" t="s">
        <v>55</v>
      </c>
      <c r="C42" s="11"/>
      <c r="D42" s="11"/>
      <c r="E42" s="11"/>
      <c r="F42" s="11"/>
      <c r="G42" s="11">
        <v>5165</v>
      </c>
      <c r="H42" s="11"/>
      <c r="I42" s="11"/>
      <c r="J42" s="11"/>
      <c r="K42" s="11"/>
      <c r="L42" s="11"/>
      <c r="M42" s="11"/>
      <c r="N42" s="11">
        <v>7054</v>
      </c>
      <c r="O42" s="11">
        <v>6892</v>
      </c>
      <c r="P42" s="11">
        <v>8321</v>
      </c>
      <c r="Q42" s="11">
        <v>10518</v>
      </c>
      <c r="R42" s="11">
        <v>8105</v>
      </c>
      <c r="S42" s="11"/>
      <c r="T42" s="11"/>
      <c r="U42" s="11"/>
      <c r="V42" s="11"/>
    </row>
    <row r="43" spans="2:44" x14ac:dyDescent="0.2">
      <c r="B43" s="3" t="s">
        <v>56</v>
      </c>
      <c r="G43" s="11">
        <v>730</v>
      </c>
      <c r="N43" s="11">
        <v>1284</v>
      </c>
      <c r="O43" s="2">
        <v>1388</v>
      </c>
      <c r="P43" s="11">
        <v>1490</v>
      </c>
      <c r="Q43" s="11">
        <v>2991</v>
      </c>
      <c r="R43" s="11">
        <v>5261</v>
      </c>
      <c r="S43" s="11"/>
      <c r="T43" s="11"/>
      <c r="U43" s="11"/>
      <c r="V43" s="11"/>
    </row>
    <row r="44" spans="2:44" x14ac:dyDescent="0.2">
      <c r="B44" s="3" t="s">
        <v>57</v>
      </c>
      <c r="G44" s="11">
        <v>76747</v>
      </c>
      <c r="N44" s="11">
        <v>97599</v>
      </c>
      <c r="O44" s="2">
        <v>104218</v>
      </c>
      <c r="P44" s="11">
        <v>106223</v>
      </c>
      <c r="Q44" s="11">
        <v>108363</v>
      </c>
      <c r="R44" s="11">
        <v>112668</v>
      </c>
      <c r="S44" s="11"/>
      <c r="T44" s="11"/>
      <c r="U44" s="11"/>
      <c r="V44" s="11"/>
    </row>
    <row r="45" spans="2:44" x14ac:dyDescent="0.2">
      <c r="B45" s="3" t="s">
        <v>58</v>
      </c>
      <c r="G45" s="11">
        <v>11219</v>
      </c>
      <c r="N45" s="11">
        <v>12959</v>
      </c>
      <c r="O45" s="2">
        <v>12992</v>
      </c>
      <c r="P45" s="11">
        <v>13398</v>
      </c>
      <c r="Q45" s="11">
        <v>13677</v>
      </c>
      <c r="R45" s="11">
        <v>14381</v>
      </c>
      <c r="S45" s="11"/>
      <c r="T45" s="11"/>
      <c r="U45" s="11"/>
      <c r="V45" s="11"/>
    </row>
    <row r="46" spans="2:44" x14ac:dyDescent="0.2">
      <c r="B46" s="3" t="s">
        <v>61</v>
      </c>
      <c r="G46" s="11">
        <f>1840+20734</f>
        <v>22574</v>
      </c>
      <c r="N46" s="11">
        <f>1417+22956</f>
        <v>24373</v>
      </c>
      <c r="O46" s="2">
        <f>1313+23010</f>
        <v>24323</v>
      </c>
      <c r="P46" s="11">
        <f>1377+23949</f>
        <v>25326</v>
      </c>
      <c r="Q46" s="11">
        <f>28834+2192</f>
        <v>31026</v>
      </c>
      <c r="R46" s="11">
        <f>2084+28960</f>
        <v>31044</v>
      </c>
      <c r="S46" s="11"/>
      <c r="T46" s="11"/>
      <c r="U46" s="11"/>
      <c r="V46" s="11"/>
    </row>
    <row r="47" spans="2:44" x14ac:dyDescent="0.2">
      <c r="B47" s="3" t="s">
        <v>60</v>
      </c>
      <c r="G47" s="11">
        <v>2748</v>
      </c>
      <c r="N47" s="11">
        <v>5361</v>
      </c>
      <c r="O47" s="2">
        <v>5778</v>
      </c>
      <c r="P47" s="11">
        <v>5712</v>
      </c>
      <c r="Q47" s="11">
        <v>5670</v>
      </c>
      <c r="R47" s="11">
        <v>6623</v>
      </c>
      <c r="S47" s="11"/>
      <c r="T47" s="11"/>
      <c r="U47" s="11"/>
      <c r="V47" s="11"/>
    </row>
    <row r="48" spans="2:44" x14ac:dyDescent="0.2">
      <c r="B48" s="3" t="s">
        <v>59</v>
      </c>
      <c r="G48" s="11">
        <f>SUM(G38:G47)</f>
        <v>273403</v>
      </c>
      <c r="N48" s="11">
        <f>SUM(N38:N47)</f>
        <v>359268</v>
      </c>
      <c r="O48" s="11">
        <f>SUM(O38:O47)</f>
        <v>357096</v>
      </c>
      <c r="P48" s="11">
        <f>SUM(P38:P47)</f>
        <v>355185</v>
      </c>
      <c r="Q48" s="11">
        <f>SUM(Q38:Q47)</f>
        <v>358255</v>
      </c>
      <c r="R48" s="11">
        <f>SUM(R38:R47)</f>
        <v>365264</v>
      </c>
      <c r="S48" s="11"/>
      <c r="T48" s="11"/>
      <c r="U48" s="11"/>
      <c r="V48" s="11"/>
    </row>
    <row r="49" spans="2:22" x14ac:dyDescent="0.2">
      <c r="B49" s="3"/>
      <c r="G49" s="11"/>
      <c r="P49" s="11"/>
      <c r="Q49" s="11"/>
      <c r="R49" s="11"/>
      <c r="S49" s="11"/>
      <c r="T49" s="11"/>
      <c r="U49" s="11"/>
      <c r="V49" s="11"/>
    </row>
    <row r="50" spans="2:22" x14ac:dyDescent="0.2">
      <c r="B50" s="3" t="s">
        <v>62</v>
      </c>
      <c r="G50" s="11">
        <v>4099</v>
      </c>
      <c r="N50" s="11">
        <v>6037</v>
      </c>
      <c r="O50" s="11">
        <v>3436</v>
      </c>
      <c r="P50" s="11">
        <v>4409</v>
      </c>
      <c r="Q50" s="11">
        <v>6303</v>
      </c>
      <c r="R50" s="11">
        <v>5128</v>
      </c>
      <c r="S50" s="11"/>
      <c r="T50" s="11"/>
      <c r="U50" s="11"/>
      <c r="V50" s="11"/>
    </row>
    <row r="51" spans="2:22" x14ac:dyDescent="0.2">
      <c r="B51" s="3" t="s">
        <v>63</v>
      </c>
      <c r="G51" s="11">
        <v>5656</v>
      </c>
      <c r="N51" s="11">
        <v>13889</v>
      </c>
      <c r="O51" s="11">
        <v>9803</v>
      </c>
      <c r="P51" s="11">
        <v>10852</v>
      </c>
      <c r="Q51" s="11">
        <v>12366</v>
      </c>
      <c r="R51" s="11">
        <v>14028</v>
      </c>
      <c r="S51" s="11"/>
      <c r="T51" s="11"/>
      <c r="U51" s="11"/>
      <c r="V51" s="11"/>
    </row>
    <row r="52" spans="2:22" x14ac:dyDescent="0.2">
      <c r="B52" s="3" t="s">
        <v>64</v>
      </c>
      <c r="G52" s="11">
        <v>22601</v>
      </c>
      <c r="N52" s="11">
        <v>31236</v>
      </c>
      <c r="O52" s="11">
        <v>33051</v>
      </c>
      <c r="P52" s="11">
        <v>32976</v>
      </c>
      <c r="Q52" s="11">
        <v>35038</v>
      </c>
      <c r="R52" s="11">
        <v>37866</v>
      </c>
      <c r="S52" s="11"/>
      <c r="T52" s="11"/>
      <c r="U52" s="11"/>
      <c r="V52" s="11"/>
    </row>
    <row r="53" spans="2:22" x14ac:dyDescent="0.2">
      <c r="B53" s="3" t="s">
        <v>65</v>
      </c>
      <c r="G53" s="11">
        <v>4982</v>
      </c>
      <c r="N53" s="11">
        <v>8996</v>
      </c>
      <c r="O53" s="11">
        <v>8116</v>
      </c>
      <c r="P53" s="11">
        <v>7889</v>
      </c>
      <c r="Q53" s="11">
        <v>7662</v>
      </c>
      <c r="R53" s="11">
        <v>8370</v>
      </c>
      <c r="S53" s="11"/>
      <c r="T53" s="11"/>
      <c r="U53" s="11"/>
      <c r="V53" s="11"/>
    </row>
    <row r="54" spans="2:22" x14ac:dyDescent="0.2">
      <c r="B54" s="3" t="s">
        <v>66</v>
      </c>
      <c r="G54" s="11">
        <f>1938+350</f>
        <v>2288</v>
      </c>
      <c r="N54" s="11">
        <f>3288+535</f>
        <v>3823</v>
      </c>
      <c r="O54" s="11">
        <f>3198+499</f>
        <v>3697</v>
      </c>
      <c r="P54" s="11">
        <f>3272+472</f>
        <v>3744</v>
      </c>
      <c r="Q54" s="11">
        <f>3585+594</f>
        <v>4179</v>
      </c>
      <c r="R54" s="11">
        <f>3908+599</f>
        <v>4507</v>
      </c>
      <c r="S54" s="11"/>
      <c r="T54" s="11"/>
      <c r="U54" s="11"/>
      <c r="V54" s="11"/>
    </row>
    <row r="55" spans="2:22" x14ac:dyDescent="0.2">
      <c r="B55" s="3" t="s">
        <v>30</v>
      </c>
      <c r="G55" s="11">
        <f>9207+913+2079</f>
        <v>12199</v>
      </c>
      <c r="N55" s="11">
        <f>808+9176+5257</f>
        <v>15241</v>
      </c>
      <c r="O55" s="11">
        <f>4344+9406+2843</f>
        <v>16593</v>
      </c>
      <c r="P55" s="11">
        <f>1956+8163+924</f>
        <v>11043</v>
      </c>
      <c r="Q55" s="11">
        <f>1025+8572+476</f>
        <v>10073</v>
      </c>
      <c r="R55" s="11">
        <f>9258+514</f>
        <v>9772</v>
      </c>
      <c r="S55" s="11"/>
      <c r="T55" s="11"/>
      <c r="U55" s="11"/>
      <c r="V55" s="11"/>
    </row>
    <row r="56" spans="2:22" x14ac:dyDescent="0.2">
      <c r="B56" s="3" t="s">
        <v>4</v>
      </c>
      <c r="G56" s="11">
        <v>5016</v>
      </c>
      <c r="N56" s="11">
        <v>14817</v>
      </c>
      <c r="O56" s="11">
        <v>14791</v>
      </c>
      <c r="P56" s="11">
        <v>14734</v>
      </c>
      <c r="Q56" s="11">
        <v>14653</v>
      </c>
      <c r="R56" s="11">
        <v>14701</v>
      </c>
      <c r="S56" s="11"/>
      <c r="T56" s="11"/>
      <c r="U56" s="11"/>
      <c r="V56" s="11"/>
    </row>
    <row r="57" spans="2:22" x14ac:dyDescent="0.2">
      <c r="B57" s="3" t="s">
        <v>58</v>
      </c>
      <c r="G57" s="11">
        <v>10476</v>
      </c>
      <c r="N57" s="11">
        <v>11389</v>
      </c>
      <c r="O57" s="11">
        <v>11363</v>
      </c>
      <c r="P57" s="11">
        <v>11697</v>
      </c>
      <c r="Q57" s="11">
        <v>11984</v>
      </c>
      <c r="R57" s="11">
        <v>12501</v>
      </c>
      <c r="S57" s="11"/>
      <c r="T57" s="11"/>
      <c r="U57" s="11"/>
      <c r="V57" s="11"/>
    </row>
    <row r="58" spans="2:22" x14ac:dyDescent="0.2">
      <c r="B58" s="3" t="s">
        <v>69</v>
      </c>
      <c r="G58" s="11">
        <v>2427</v>
      </c>
      <c r="N58" s="11">
        <v>2205</v>
      </c>
      <c r="O58" s="11">
        <v>2242</v>
      </c>
      <c r="P58" s="11">
        <v>2422</v>
      </c>
      <c r="Q58" s="11">
        <v>2371</v>
      </c>
      <c r="R58" s="11">
        <v>2247</v>
      </c>
      <c r="S58" s="11"/>
      <c r="T58" s="11"/>
      <c r="U58" s="11"/>
      <c r="V58" s="11"/>
    </row>
    <row r="59" spans="2:22" x14ac:dyDescent="0.2">
      <c r="B59" s="3" t="s">
        <v>68</v>
      </c>
      <c r="G59" s="11">
        <v>203659</v>
      </c>
      <c r="N59" s="11">
        <v>251635</v>
      </c>
      <c r="O59" s="11">
        <v>254004</v>
      </c>
      <c r="P59" s="11">
        <v>255419</v>
      </c>
      <c r="Q59" s="11">
        <v>253626</v>
      </c>
      <c r="R59" s="11">
        <v>256144</v>
      </c>
      <c r="S59" s="11"/>
      <c r="T59" s="11"/>
      <c r="U59" s="11"/>
      <c r="V59" s="11"/>
    </row>
    <row r="60" spans="2:22" x14ac:dyDescent="0.2">
      <c r="B60" s="3" t="s">
        <v>67</v>
      </c>
      <c r="G60" s="11">
        <f>SUM(G50:G59)</f>
        <v>273403</v>
      </c>
      <c r="N60" s="11">
        <f>SUM(N50:N59)</f>
        <v>359268</v>
      </c>
      <c r="O60" s="11">
        <f>SUM(O50:O59)</f>
        <v>357096</v>
      </c>
      <c r="P60" s="11">
        <f>SUM(P50:P59)</f>
        <v>355185</v>
      </c>
      <c r="Q60" s="11">
        <f>SUM(Q50:Q59)</f>
        <v>358255</v>
      </c>
      <c r="R60" s="11">
        <f>SUM(R50:R59)</f>
        <v>365264</v>
      </c>
      <c r="S60" s="11"/>
      <c r="T60" s="11"/>
      <c r="U60" s="11"/>
      <c r="V60" s="11"/>
    </row>
    <row r="62" spans="2:22" s="3" customFormat="1" x14ac:dyDescent="0.2">
      <c r="B62" s="3" t="s">
        <v>82</v>
      </c>
      <c r="C62" s="11">
        <f>+C23</f>
        <v>8354</v>
      </c>
      <c r="D62" s="11"/>
      <c r="E62" s="11"/>
      <c r="F62" s="11"/>
      <c r="G62" s="11">
        <f>+G23</f>
        <v>6836</v>
      </c>
      <c r="H62" s="11">
        <f t="shared" ref="H62:R62" si="147">+H23</f>
        <v>6959</v>
      </c>
      <c r="I62" s="11">
        <f t="shared" si="147"/>
        <v>11247</v>
      </c>
      <c r="J62" s="11">
        <f t="shared" si="147"/>
        <v>15227</v>
      </c>
      <c r="K62" s="11">
        <f t="shared" si="147"/>
        <v>17930</v>
      </c>
      <c r="L62" s="11">
        <f t="shared" si="147"/>
        <v>18165</v>
      </c>
      <c r="M62" s="11">
        <f t="shared" si="147"/>
        <v>18936</v>
      </c>
      <c r="N62" s="11">
        <f t="shared" si="147"/>
        <v>20642</v>
      </c>
      <c r="O62" s="11">
        <f t="shared" si="147"/>
        <v>16436</v>
      </c>
      <c r="P62" s="11">
        <f t="shared" si="147"/>
        <v>16002</v>
      </c>
      <c r="Q62" s="11">
        <f t="shared" si="147"/>
        <v>13910</v>
      </c>
      <c r="R62" s="11">
        <f t="shared" si="147"/>
        <v>13624</v>
      </c>
      <c r="S62" s="11"/>
      <c r="T62" s="11"/>
      <c r="U62" s="11"/>
      <c r="V62" s="11"/>
    </row>
    <row r="63" spans="2:22" s="3" customFormat="1" x14ac:dyDescent="0.2">
      <c r="B63" s="3" t="s">
        <v>83</v>
      </c>
      <c r="C63" s="11">
        <v>6657</v>
      </c>
      <c r="D63" s="11"/>
      <c r="E63" s="11"/>
      <c r="F63" s="11"/>
      <c r="G63" s="11">
        <v>6836</v>
      </c>
      <c r="H63" s="11"/>
      <c r="I63" s="11"/>
      <c r="J63" s="11"/>
      <c r="K63" s="11">
        <v>17930</v>
      </c>
      <c r="L63" s="11"/>
      <c r="M63" s="11"/>
      <c r="N63" s="11"/>
      <c r="O63" s="11">
        <v>16436</v>
      </c>
      <c r="P63" s="11"/>
      <c r="Q63" s="11">
        <v>13910</v>
      </c>
      <c r="R63" s="11">
        <v>13624</v>
      </c>
      <c r="S63" s="11"/>
      <c r="T63" s="11"/>
      <c r="U63" s="11"/>
      <c r="V63" s="11"/>
    </row>
    <row r="64" spans="2:22" s="3" customFormat="1" x14ac:dyDescent="0.2">
      <c r="B64" s="3" t="s">
        <v>84</v>
      </c>
      <c r="C64" s="11">
        <v>2416</v>
      </c>
      <c r="D64" s="11"/>
      <c r="E64" s="11"/>
      <c r="F64" s="11"/>
      <c r="G64" s="11">
        <v>2899</v>
      </c>
      <c r="H64" s="11"/>
      <c r="I64" s="11"/>
      <c r="J64" s="11"/>
      <c r="K64" s="11">
        <v>2525</v>
      </c>
      <c r="L64" s="11"/>
      <c r="M64" s="11"/>
      <c r="N64" s="11"/>
      <c r="O64" s="11">
        <v>3591</v>
      </c>
      <c r="P64" s="11"/>
      <c r="Q64" s="11">
        <v>3933</v>
      </c>
      <c r="R64" s="11">
        <v>4065</v>
      </c>
      <c r="S64" s="11"/>
      <c r="T64" s="11"/>
      <c r="U64" s="11"/>
      <c r="V64" s="11"/>
    </row>
    <row r="65" spans="2:22" s="3" customFormat="1" x14ac:dyDescent="0.2">
      <c r="B65" s="3" t="s">
        <v>85</v>
      </c>
      <c r="C65" s="11">
        <v>197</v>
      </c>
      <c r="D65" s="11"/>
      <c r="E65" s="11"/>
      <c r="F65" s="11"/>
      <c r="G65" s="11">
        <v>209</v>
      </c>
      <c r="H65" s="11"/>
      <c r="I65" s="11"/>
      <c r="J65" s="11"/>
      <c r="K65" s="11">
        <v>228</v>
      </c>
      <c r="L65" s="11"/>
      <c r="M65" s="11"/>
      <c r="N65" s="11"/>
      <c r="O65" s="11">
        <v>191</v>
      </c>
      <c r="P65" s="11"/>
      <c r="Q65" s="11">
        <v>113</v>
      </c>
      <c r="R65" s="11">
        <v>136</v>
      </c>
      <c r="S65" s="11"/>
      <c r="T65" s="11"/>
      <c r="U65" s="11"/>
      <c r="V65" s="11"/>
    </row>
    <row r="66" spans="2:22" s="3" customFormat="1" x14ac:dyDescent="0.2">
      <c r="B66" s="3" t="s">
        <v>86</v>
      </c>
      <c r="C66" s="11">
        <v>2769</v>
      </c>
      <c r="D66" s="11"/>
      <c r="E66" s="11"/>
      <c r="F66" s="11"/>
      <c r="G66" s="11">
        <v>3191</v>
      </c>
      <c r="H66" s="11"/>
      <c r="I66" s="11"/>
      <c r="J66" s="11"/>
      <c r="K66" s="11">
        <v>3745</v>
      </c>
      <c r="L66" s="11"/>
      <c r="M66" s="11"/>
      <c r="N66" s="11"/>
      <c r="O66" s="11">
        <v>4504</v>
      </c>
      <c r="P66" s="11"/>
      <c r="Q66" s="11">
        <v>4976</v>
      </c>
      <c r="R66" s="11">
        <v>5100</v>
      </c>
      <c r="S66" s="11"/>
      <c r="T66" s="11"/>
      <c r="U66" s="11"/>
      <c r="V66" s="11"/>
    </row>
    <row r="67" spans="2:22" s="3" customFormat="1" x14ac:dyDescent="0.2">
      <c r="B67" s="3" t="s">
        <v>56</v>
      </c>
      <c r="C67" s="11">
        <v>-73</v>
      </c>
      <c r="D67" s="11"/>
      <c r="E67" s="11"/>
      <c r="F67" s="11"/>
      <c r="G67" s="11">
        <v>175</v>
      </c>
      <c r="H67" s="11"/>
      <c r="I67" s="11"/>
      <c r="J67" s="11"/>
      <c r="K67" s="11">
        <v>1100</v>
      </c>
      <c r="L67" s="11"/>
      <c r="M67" s="11"/>
      <c r="N67" s="11"/>
      <c r="O67" s="11">
        <v>-2090</v>
      </c>
      <c r="P67" s="11"/>
      <c r="Q67" s="11">
        <v>-1920</v>
      </c>
      <c r="R67" s="11">
        <v>-1924</v>
      </c>
      <c r="S67" s="11"/>
      <c r="T67" s="11"/>
      <c r="U67" s="11"/>
      <c r="V67" s="11"/>
    </row>
    <row r="68" spans="2:22" s="3" customFormat="1" x14ac:dyDescent="0.2">
      <c r="B68" s="3" t="s">
        <v>87</v>
      </c>
      <c r="C68" s="11">
        <v>-1081</v>
      </c>
      <c r="D68" s="11"/>
      <c r="E68" s="11"/>
      <c r="F68" s="11"/>
      <c r="G68" s="11">
        <v>802</v>
      </c>
      <c r="H68" s="11"/>
      <c r="I68" s="11"/>
      <c r="J68" s="11"/>
      <c r="K68" s="11">
        <v>-4751</v>
      </c>
      <c r="L68" s="11"/>
      <c r="M68" s="11"/>
      <c r="N68" s="11"/>
      <c r="O68" s="11">
        <v>1437</v>
      </c>
      <c r="P68" s="11"/>
      <c r="Q68" s="11">
        <v>1378</v>
      </c>
      <c r="R68" s="11">
        <v>1663</v>
      </c>
      <c r="S68" s="11"/>
      <c r="T68" s="11"/>
      <c r="U68" s="11"/>
      <c r="V68" s="11"/>
    </row>
    <row r="69" spans="2:22" s="3" customFormat="1" x14ac:dyDescent="0.2">
      <c r="B69" s="3" t="s">
        <v>28</v>
      </c>
      <c r="C69" s="11">
        <v>22</v>
      </c>
      <c r="D69" s="11"/>
      <c r="E69" s="11"/>
      <c r="F69" s="11"/>
      <c r="G69" s="11">
        <v>297</v>
      </c>
      <c r="H69" s="11"/>
      <c r="I69" s="11"/>
      <c r="J69" s="11"/>
      <c r="K69" s="11">
        <v>-255</v>
      </c>
      <c r="L69" s="11"/>
      <c r="M69" s="11"/>
      <c r="N69" s="11"/>
      <c r="O69" s="11">
        <v>140</v>
      </c>
      <c r="P69" s="11"/>
      <c r="Q69" s="11">
        <v>167</v>
      </c>
      <c r="R69" s="11">
        <v>661</v>
      </c>
      <c r="S69" s="11"/>
      <c r="T69" s="11"/>
      <c r="U69" s="11"/>
      <c r="V69" s="11"/>
    </row>
    <row r="70" spans="2:22" s="3" customFormat="1" x14ac:dyDescent="0.2">
      <c r="B70" s="3" t="s">
        <v>88</v>
      </c>
      <c r="C70" s="11">
        <f>1172+1068-265-425-229-147-81</f>
        <v>1093</v>
      </c>
      <c r="D70" s="11"/>
      <c r="E70" s="11"/>
      <c r="F70" s="11"/>
      <c r="G70" s="11">
        <f>2602-245-115-835-3531-871+37</f>
        <v>-2958</v>
      </c>
      <c r="H70" s="11"/>
      <c r="I70" s="11"/>
      <c r="J70" s="11"/>
      <c r="K70" s="11">
        <f>2794+785+7-982-3530-444+137</f>
        <v>-1233</v>
      </c>
      <c r="L70" s="11"/>
      <c r="M70" s="11"/>
      <c r="N70" s="11"/>
      <c r="O70" s="11">
        <f>4364+3820-776-2373-3216-828-94</f>
        <v>897</v>
      </c>
      <c r="P70" s="11"/>
      <c r="Q70" s="11">
        <f>-97-609-2647+1907+2210-80+112</f>
        <v>796</v>
      </c>
      <c r="R70" s="11">
        <f>-4615+1446-778-28+3424+577+263</f>
        <v>289</v>
      </c>
      <c r="S70" s="11"/>
      <c r="T70" s="11"/>
      <c r="U70" s="11"/>
      <c r="V70" s="11"/>
    </row>
    <row r="71" spans="2:22" s="3" customFormat="1" x14ac:dyDescent="0.2">
      <c r="B71" s="3" t="s">
        <v>35</v>
      </c>
      <c r="C71" s="11">
        <f>SUM(C63:C70)</f>
        <v>12000</v>
      </c>
      <c r="D71" s="11"/>
      <c r="E71" s="11"/>
      <c r="F71" s="11"/>
      <c r="G71" s="11">
        <f>SUM(G63:G70)</f>
        <v>11451</v>
      </c>
      <c r="H71" s="11"/>
      <c r="I71" s="11"/>
      <c r="J71" s="11">
        <v>22677</v>
      </c>
      <c r="K71" s="11">
        <f>SUM(K63:K70)</f>
        <v>19289</v>
      </c>
      <c r="L71" s="11"/>
      <c r="M71" s="11">
        <v>25539</v>
      </c>
      <c r="N71" s="11">
        <f>SUM(N63:N70)</f>
        <v>0</v>
      </c>
      <c r="O71" s="11">
        <f>SUM(O63:O70)</f>
        <v>25106</v>
      </c>
      <c r="P71" s="11"/>
      <c r="Q71" s="11">
        <f>SUM(Q63:Q70)</f>
        <v>23353</v>
      </c>
      <c r="R71" s="11">
        <f>SUM(R63:R70)</f>
        <v>23614</v>
      </c>
      <c r="S71" s="11"/>
      <c r="T71" s="11"/>
      <c r="U71" s="11"/>
      <c r="V71" s="11"/>
    </row>
    <row r="72" spans="2:22" s="3" customFormat="1" x14ac:dyDescent="0.2"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</row>
    <row r="73" spans="2:22" s="3" customFormat="1" x14ac:dyDescent="0.2">
      <c r="B73" s="3" t="s">
        <v>36</v>
      </c>
      <c r="C73" s="11">
        <v>-4638</v>
      </c>
      <c r="D73" s="11"/>
      <c r="E73" s="11"/>
      <c r="F73" s="11"/>
      <c r="G73" s="11">
        <v>-6005</v>
      </c>
      <c r="H73" s="11"/>
      <c r="I73" s="11"/>
      <c r="J73" s="11">
        <v>-5479</v>
      </c>
      <c r="K73" s="11">
        <v>-5942</v>
      </c>
      <c r="L73" s="11"/>
      <c r="M73" s="11">
        <v>-6819</v>
      </c>
      <c r="N73" s="11">
        <v>-6383</v>
      </c>
      <c r="O73" s="11">
        <v>-9786</v>
      </c>
      <c r="P73" s="11"/>
      <c r="Q73" s="11">
        <v>-7276</v>
      </c>
      <c r="R73" s="11">
        <v>-7595</v>
      </c>
      <c r="S73" s="11"/>
      <c r="T73" s="11"/>
      <c r="U73" s="11"/>
      <c r="V73" s="11"/>
    </row>
    <row r="74" spans="2:22" s="3" customFormat="1" x14ac:dyDescent="0.2">
      <c r="B74" s="3" t="s">
        <v>89</v>
      </c>
      <c r="C74" s="11">
        <f>-20883+21006-907+99</f>
        <v>-685</v>
      </c>
      <c r="D74" s="11"/>
      <c r="E74" s="11"/>
      <c r="F74" s="11"/>
      <c r="G74" s="11">
        <f>-37563+41811-572+260</f>
        <v>3936</v>
      </c>
      <c r="H74" s="11"/>
      <c r="I74" s="11"/>
      <c r="J74" s="11"/>
      <c r="K74" s="11"/>
      <c r="L74" s="11"/>
      <c r="M74" s="11"/>
      <c r="N74" s="11"/>
      <c r="O74" s="11">
        <f>-28462+29779-776+12</f>
        <v>553</v>
      </c>
      <c r="P74" s="11"/>
      <c r="Q74" s="11"/>
      <c r="R74" s="11">
        <f>-11621+13735-903+19</f>
        <v>1230</v>
      </c>
      <c r="S74" s="11"/>
      <c r="T74" s="11"/>
      <c r="U74" s="11"/>
      <c r="V74" s="11"/>
    </row>
    <row r="75" spans="2:22" s="3" customFormat="1" x14ac:dyDescent="0.2">
      <c r="B75" s="3" t="s">
        <v>91</v>
      </c>
      <c r="C75" s="11">
        <v>-99</v>
      </c>
      <c r="D75" s="11"/>
      <c r="E75" s="11"/>
      <c r="F75" s="11"/>
      <c r="G75" s="11">
        <v>-190</v>
      </c>
      <c r="H75" s="11"/>
      <c r="I75" s="11"/>
      <c r="J75" s="11"/>
      <c r="K75" s="11"/>
      <c r="L75" s="11"/>
      <c r="M75" s="11"/>
      <c r="N75" s="11"/>
      <c r="O75" s="11">
        <v>-173</v>
      </c>
      <c r="P75" s="11"/>
      <c r="Q75" s="11"/>
      <c r="R75" s="11">
        <v>-84</v>
      </c>
      <c r="S75" s="11"/>
      <c r="T75" s="11"/>
      <c r="U75" s="11"/>
      <c r="V75" s="11"/>
    </row>
    <row r="76" spans="2:22" s="3" customFormat="1" x14ac:dyDescent="0.2">
      <c r="B76" s="3" t="s">
        <v>28</v>
      </c>
      <c r="C76" s="11">
        <v>34</v>
      </c>
      <c r="D76" s="11"/>
      <c r="E76" s="11"/>
      <c r="F76" s="11"/>
      <c r="G76" s="11">
        <v>412</v>
      </c>
      <c r="H76" s="11"/>
      <c r="I76" s="11"/>
      <c r="J76" s="11"/>
      <c r="K76" s="11"/>
      <c r="L76" s="11"/>
      <c r="M76" s="11"/>
      <c r="N76" s="11"/>
      <c r="O76" s="11">
        <v>355</v>
      </c>
      <c r="P76" s="11"/>
      <c r="Q76" s="11"/>
      <c r="R76" s="11">
        <v>222</v>
      </c>
      <c r="S76" s="11"/>
      <c r="T76" s="11"/>
      <c r="U76" s="11"/>
      <c r="V76" s="11"/>
    </row>
    <row r="77" spans="2:22" s="3" customFormat="1" x14ac:dyDescent="0.2">
      <c r="B77" s="3" t="s">
        <v>92</v>
      </c>
      <c r="C77" s="11">
        <f>SUM(C73:C76)</f>
        <v>-5388</v>
      </c>
      <c r="D77" s="11"/>
      <c r="E77" s="11"/>
      <c r="F77" s="11"/>
      <c r="G77" s="11">
        <f>SUM(G73:G76)</f>
        <v>-1847</v>
      </c>
      <c r="H77" s="11"/>
      <c r="I77" s="11"/>
      <c r="J77" s="11"/>
      <c r="K77" s="11"/>
      <c r="L77" s="11"/>
      <c r="M77" s="11"/>
      <c r="N77" s="11"/>
      <c r="O77" s="11">
        <f>SUM(O73:O76)</f>
        <v>-9051</v>
      </c>
      <c r="P77" s="11"/>
      <c r="Q77" s="11"/>
      <c r="R77" s="11">
        <f>SUM(R73:R76)</f>
        <v>-6227</v>
      </c>
      <c r="S77" s="11"/>
      <c r="T77" s="11"/>
      <c r="U77" s="11"/>
      <c r="V77" s="11"/>
    </row>
    <row r="78" spans="2:22" s="3" customFormat="1" x14ac:dyDescent="0.2"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</row>
    <row r="79" spans="2:22" s="3" customFormat="1" x14ac:dyDescent="0.2">
      <c r="B79" s="3" t="s">
        <v>86</v>
      </c>
      <c r="C79" s="11">
        <v>-1175</v>
      </c>
      <c r="D79" s="11"/>
      <c r="E79" s="11"/>
      <c r="F79" s="11"/>
      <c r="G79" s="11">
        <v>-1241</v>
      </c>
      <c r="H79" s="11"/>
      <c r="I79" s="11"/>
      <c r="J79" s="11"/>
      <c r="K79" s="11"/>
      <c r="L79" s="11"/>
      <c r="M79" s="11"/>
      <c r="N79" s="11"/>
      <c r="O79" s="11">
        <v>-2916</v>
      </c>
      <c r="P79" s="11"/>
      <c r="Q79" s="11"/>
      <c r="R79" s="11">
        <v>-2079</v>
      </c>
      <c r="S79" s="11"/>
      <c r="T79" s="11"/>
      <c r="U79" s="11"/>
      <c r="V79" s="11"/>
    </row>
    <row r="80" spans="2:22" s="3" customFormat="1" x14ac:dyDescent="0.2">
      <c r="B80" s="3" t="s">
        <v>93</v>
      </c>
      <c r="C80" s="11">
        <v>-3025</v>
      </c>
      <c r="D80" s="11"/>
      <c r="E80" s="11"/>
      <c r="F80" s="11"/>
      <c r="G80" s="11">
        <v>-8496</v>
      </c>
      <c r="H80" s="11"/>
      <c r="I80" s="11"/>
      <c r="J80" s="11"/>
      <c r="K80" s="11"/>
      <c r="L80" s="11"/>
      <c r="M80" s="11"/>
      <c r="N80" s="11"/>
      <c r="O80" s="11">
        <v>-13300</v>
      </c>
      <c r="P80" s="11"/>
      <c r="Q80" s="11"/>
      <c r="R80" s="11">
        <v>-15407</v>
      </c>
      <c r="S80" s="11"/>
      <c r="T80" s="11"/>
      <c r="U80" s="11"/>
      <c r="V80" s="11"/>
    </row>
    <row r="81" spans="2:22" s="3" customFormat="1" x14ac:dyDescent="0.2">
      <c r="B81" s="3" t="s">
        <v>4</v>
      </c>
      <c r="C81" s="11">
        <f>315-345</f>
        <v>-30</v>
      </c>
      <c r="D81" s="11"/>
      <c r="E81" s="11"/>
      <c r="F81" s="11"/>
      <c r="G81" s="11">
        <f>1898-1947</f>
        <v>-49</v>
      </c>
      <c r="H81" s="11"/>
      <c r="I81" s="11"/>
      <c r="J81" s="11"/>
      <c r="K81" s="11"/>
      <c r="L81" s="11"/>
      <c r="M81" s="11"/>
      <c r="N81" s="11"/>
      <c r="O81" s="11">
        <f>16422-16420</f>
        <v>2</v>
      </c>
      <c r="P81" s="11"/>
      <c r="Q81" s="11"/>
      <c r="R81" s="11">
        <f>8550-8718</f>
        <v>-168</v>
      </c>
      <c r="S81" s="11"/>
      <c r="T81" s="11"/>
      <c r="U81" s="11"/>
      <c r="V81" s="11"/>
    </row>
    <row r="82" spans="2:22" s="3" customFormat="1" x14ac:dyDescent="0.2">
      <c r="B82" s="3" t="s">
        <v>94</v>
      </c>
      <c r="C82" s="11">
        <v>47</v>
      </c>
      <c r="D82" s="11"/>
      <c r="E82" s="11"/>
      <c r="F82" s="11"/>
      <c r="G82" s="11">
        <v>1600</v>
      </c>
      <c r="H82" s="11"/>
      <c r="I82" s="11"/>
      <c r="J82" s="11"/>
      <c r="K82" s="11"/>
      <c r="L82" s="11"/>
      <c r="M82" s="11"/>
      <c r="N82" s="11"/>
      <c r="O82" s="11">
        <v>0</v>
      </c>
      <c r="P82" s="11"/>
      <c r="Q82" s="11"/>
      <c r="R82" s="11">
        <v>25</v>
      </c>
      <c r="S82" s="11"/>
      <c r="T82" s="11"/>
      <c r="U82" s="11"/>
      <c r="V82" s="11"/>
    </row>
    <row r="83" spans="2:22" s="3" customFormat="1" x14ac:dyDescent="0.2">
      <c r="B83" s="3" t="s">
        <v>90</v>
      </c>
      <c r="C83" s="11">
        <f>SUM(C79:C82)</f>
        <v>-4183</v>
      </c>
      <c r="D83" s="11"/>
      <c r="E83" s="11"/>
      <c r="F83" s="11"/>
      <c r="G83" s="11">
        <f>SUM(G79:G82)</f>
        <v>-8186</v>
      </c>
      <c r="H83" s="11"/>
      <c r="I83" s="11"/>
      <c r="J83" s="11"/>
      <c r="K83" s="11"/>
      <c r="L83" s="11"/>
      <c r="M83" s="11"/>
      <c r="N83" s="11"/>
      <c r="O83" s="11">
        <f>SUM(O79:O82)</f>
        <v>-16214</v>
      </c>
      <c r="P83" s="11"/>
      <c r="Q83" s="11"/>
      <c r="R83" s="11">
        <f>SUM(R79:R82)</f>
        <v>-17629</v>
      </c>
      <c r="S83" s="11"/>
      <c r="T83" s="11"/>
      <c r="U83" s="11"/>
      <c r="V83" s="11"/>
    </row>
    <row r="84" spans="2:22" s="3" customFormat="1" x14ac:dyDescent="0.2">
      <c r="B84" s="3" t="s">
        <v>41</v>
      </c>
      <c r="C84" s="11">
        <v>18</v>
      </c>
      <c r="D84" s="11"/>
      <c r="E84" s="11"/>
      <c r="F84" s="11"/>
      <c r="G84" s="11">
        <v>-272</v>
      </c>
      <c r="H84" s="11"/>
      <c r="I84" s="11"/>
      <c r="J84" s="11"/>
      <c r="K84" s="11"/>
      <c r="L84" s="11"/>
      <c r="M84" s="11"/>
      <c r="N84" s="11"/>
      <c r="O84" s="11">
        <v>100</v>
      </c>
      <c r="P84" s="11"/>
      <c r="Q84" s="11"/>
      <c r="R84" s="11">
        <v>137</v>
      </c>
      <c r="S84" s="11"/>
      <c r="T84" s="11"/>
      <c r="U84" s="11"/>
      <c r="V84" s="11"/>
    </row>
    <row r="85" spans="2:22" s="3" customFormat="1" x14ac:dyDescent="0.2">
      <c r="B85" s="3" t="s">
        <v>95</v>
      </c>
      <c r="C85" s="11">
        <f>+C84+C83+C77+C71</f>
        <v>2447</v>
      </c>
      <c r="D85" s="11"/>
      <c r="E85" s="11"/>
      <c r="F85" s="11"/>
      <c r="G85" s="11">
        <f>+G84+G83+G77+G71</f>
        <v>1146</v>
      </c>
      <c r="H85" s="11"/>
      <c r="I85" s="11"/>
      <c r="J85" s="11"/>
      <c r="K85" s="11"/>
      <c r="L85" s="11"/>
      <c r="M85" s="11"/>
      <c r="N85" s="11"/>
      <c r="O85" s="11">
        <f>+O84+O83+O77+O71</f>
        <v>-59</v>
      </c>
      <c r="P85" s="11"/>
      <c r="Q85" s="11"/>
      <c r="R85" s="11">
        <f>+R84+R83+R77+R71</f>
        <v>-105</v>
      </c>
      <c r="S85" s="11"/>
      <c r="T85" s="11"/>
      <c r="U85" s="11"/>
      <c r="V85" s="11"/>
    </row>
    <row r="86" spans="2:22" s="3" customFormat="1" x14ac:dyDescent="0.2"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</row>
    <row r="87" spans="2:22" s="3" customFormat="1" x14ac:dyDescent="0.2">
      <c r="B87" s="3" t="s">
        <v>37</v>
      </c>
      <c r="C87" s="11"/>
      <c r="D87" s="11"/>
      <c r="E87" s="11"/>
      <c r="F87" s="11"/>
      <c r="G87" s="11"/>
      <c r="H87" s="11"/>
      <c r="I87" s="11"/>
      <c r="J87" s="11">
        <f>J71-J73</f>
        <v>28156</v>
      </c>
      <c r="K87" s="11">
        <f>K71-K73</f>
        <v>25231</v>
      </c>
      <c r="L87" s="11"/>
      <c r="M87" s="11">
        <f>M71-M73</f>
        <v>32358</v>
      </c>
      <c r="N87" s="11">
        <f>N71-N73</f>
        <v>6383</v>
      </c>
      <c r="O87" s="11">
        <f>O71-O73</f>
        <v>34892</v>
      </c>
      <c r="P87" s="11"/>
      <c r="Q87" s="11">
        <f>Q71-Q73</f>
        <v>30629</v>
      </c>
      <c r="R87" s="11">
        <f>R71-R73</f>
        <v>31209</v>
      </c>
      <c r="S87" s="11"/>
      <c r="T87" s="11"/>
      <c r="U87" s="11"/>
      <c r="V87" s="11"/>
    </row>
    <row r="90" spans="2:22" s="3" customFormat="1" x14ac:dyDescent="0.2">
      <c r="B90" s="3" t="s">
        <v>52</v>
      </c>
      <c r="C90" s="11">
        <v>103459</v>
      </c>
      <c r="D90" s="11"/>
      <c r="E90" s="11"/>
      <c r="F90" s="11"/>
      <c r="G90" s="11">
        <v>123048</v>
      </c>
      <c r="H90" s="11"/>
      <c r="I90" s="11"/>
      <c r="J90" s="11"/>
      <c r="K90" s="11">
        <v>139995</v>
      </c>
      <c r="L90" s="11">
        <v>144056</v>
      </c>
      <c r="M90" s="11">
        <v>150028</v>
      </c>
      <c r="N90" s="11">
        <v>156500</v>
      </c>
      <c r="O90" s="11">
        <v>163906</v>
      </c>
      <c r="P90" s="11">
        <v>174014</v>
      </c>
      <c r="Q90" s="11">
        <v>186779</v>
      </c>
      <c r="R90" s="11">
        <v>190234</v>
      </c>
      <c r="S90" s="11"/>
      <c r="T90" s="11"/>
      <c r="U90" s="11"/>
      <c r="V90" s="11"/>
    </row>
    <row r="91" spans="2:22" x14ac:dyDescent="0.2">
      <c r="B91" s="3" t="s">
        <v>81</v>
      </c>
      <c r="O91" s="15">
        <f>+O90/K90-1</f>
        <v>0.17079895710561099</v>
      </c>
      <c r="P91" s="15">
        <f>+P90/L90-1</f>
        <v>0.20796079302493475</v>
      </c>
      <c r="Q91" s="15">
        <f>+Q90/M90-1</f>
        <v>0.24496094062441687</v>
      </c>
      <c r="R91" s="15">
        <f>+R90/N90-1</f>
        <v>0.21555271565495215</v>
      </c>
    </row>
    <row r="92" spans="2:22" x14ac:dyDescent="0.2">
      <c r="B92" s="3" t="s">
        <v>100</v>
      </c>
      <c r="G92" s="11">
        <f>+G11/G90*1000</f>
        <v>334.49548143813797</v>
      </c>
      <c r="K92" s="11">
        <f>+K11/K90*1000</f>
        <v>395.11411121825779</v>
      </c>
      <c r="L92" s="11">
        <f>+L11/L90*1000</f>
        <v>429.55517298828232</v>
      </c>
      <c r="M92" s="11">
        <f>+M11/M90*1000</f>
        <v>434.03897939051376</v>
      </c>
      <c r="N92" s="11">
        <f>+N11/N90*1000</f>
        <v>481.30990415335464</v>
      </c>
      <c r="O92" s="11">
        <f>+O11/O90*1000</f>
        <v>414.93905043134475</v>
      </c>
      <c r="P92" s="11">
        <f>+P11/P90*1000</f>
        <v>400.45628512648409</v>
      </c>
      <c r="Q92" s="11">
        <f>+Q11/Q90*1000</f>
        <v>369.91310586307884</v>
      </c>
      <c r="R92" s="11">
        <f>+R11/R90*1000</f>
        <v>399.76029521536634</v>
      </c>
    </row>
  </sheetData>
  <hyperlinks>
    <hyperlink ref="A1" location="Main!A1" display="Main" xr:uid="{E44988C7-574D-4338-8D92-18114C17CDBF}"/>
  </hyperlink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2022-07-14T13:49:22Z</dcterms:created>
  <dcterms:modified xsi:type="dcterms:W3CDTF">2023-02-06T15:27:50Z</dcterms:modified>
</cp:coreProperties>
</file>