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260634B-8C2A-4913-87CE-83C47A4C4644}" xr6:coauthVersionLast="47" xr6:coauthVersionMax="47" xr10:uidLastSave="{00000000-0000-0000-0000-000000000000}"/>
  <bookViews>
    <workbookView xWindow="7380" yWindow="1650" windowWidth="29250" windowHeight="18735" activeTab="1" xr2:uid="{2060C4C8-3805-4E23-AE6B-F728D702787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8" i="2" l="1"/>
  <c r="AW18" i="2"/>
  <c r="AV18" i="2"/>
  <c r="AU18" i="2"/>
  <c r="AT18" i="2"/>
  <c r="AS18" i="2"/>
  <c r="AR18" i="2"/>
  <c r="AQ18" i="2"/>
  <c r="AP18" i="2"/>
  <c r="AO18" i="2"/>
  <c r="AN18" i="2"/>
  <c r="AM18" i="2"/>
  <c r="AL18" i="2"/>
  <c r="AL34" i="2"/>
  <c r="AK34" i="2"/>
  <c r="AL28" i="2"/>
  <c r="AM28" i="2" s="1"/>
  <c r="AN28" i="2" s="1"/>
  <c r="AL20" i="2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L19" i="2"/>
  <c r="AM19" i="2" s="1"/>
  <c r="AN19" i="2" s="1"/>
  <c r="AA49" i="2"/>
  <c r="W32" i="2"/>
  <c r="AB30" i="2"/>
  <c r="AA30" i="2"/>
  <c r="AA21" i="2"/>
  <c r="AA18" i="2"/>
  <c r="AA32" i="2" s="1"/>
  <c r="Z49" i="2"/>
  <c r="Z30" i="2"/>
  <c r="Z21" i="2"/>
  <c r="Z18" i="2"/>
  <c r="Z32" i="2" s="1"/>
  <c r="Y49" i="2"/>
  <c r="Y30" i="2"/>
  <c r="Y21" i="2"/>
  <c r="Y18" i="2"/>
  <c r="Y32" i="2" s="1"/>
  <c r="X49" i="2"/>
  <c r="X30" i="2"/>
  <c r="X21" i="2"/>
  <c r="X18" i="2"/>
  <c r="X32" i="2" s="1"/>
  <c r="W49" i="2"/>
  <c r="W30" i="2"/>
  <c r="V30" i="2"/>
  <c r="U30" i="2"/>
  <c r="W21" i="2"/>
  <c r="W18" i="2"/>
  <c r="V49" i="2"/>
  <c r="U49" i="2"/>
  <c r="T49" i="2"/>
  <c r="V21" i="2"/>
  <c r="U21" i="2"/>
  <c r="T21" i="2"/>
  <c r="V18" i="2"/>
  <c r="V32" i="2" s="1"/>
  <c r="AB18" i="2"/>
  <c r="AB22" i="2" s="1"/>
  <c r="AB24" i="2" s="1"/>
  <c r="AB26" i="2" s="1"/>
  <c r="U18" i="2"/>
  <c r="U32" i="2" s="1"/>
  <c r="T18" i="2"/>
  <c r="T32" i="2" s="1"/>
  <c r="AF49" i="2"/>
  <c r="AE49" i="2"/>
  <c r="AE18" i="2"/>
  <c r="AE32" i="2" s="1"/>
  <c r="AE21" i="2"/>
  <c r="AF21" i="2"/>
  <c r="AF18" i="2"/>
  <c r="AF32" i="2" s="1"/>
  <c r="AD49" i="2"/>
  <c r="AC49" i="2"/>
  <c r="AB49" i="2"/>
  <c r="AC30" i="2"/>
  <c r="AD30" i="2"/>
  <c r="AE30" i="2"/>
  <c r="AD21" i="2"/>
  <c r="AC21" i="2"/>
  <c r="AB21" i="2"/>
  <c r="AD18" i="2"/>
  <c r="AD22" i="2" s="1"/>
  <c r="AD24" i="2" s="1"/>
  <c r="AD26" i="2" s="1"/>
  <c r="AC18" i="2"/>
  <c r="AC32" i="2" s="1"/>
  <c r="AL6" i="2"/>
  <c r="AL5" i="2"/>
  <c r="AK6" i="2"/>
  <c r="AK3" i="2" s="1"/>
  <c r="AK4" i="2" s="1"/>
  <c r="AJ3" i="2"/>
  <c r="AJ4" i="2" s="1"/>
  <c r="AI3" i="2"/>
  <c r="AI4" i="2" s="1"/>
  <c r="AH3" i="2"/>
  <c r="AH4" i="2" s="1"/>
  <c r="AL16" i="2"/>
  <c r="AL30" i="2" s="1"/>
  <c r="R30" i="2"/>
  <c r="Q30" i="2"/>
  <c r="P30" i="2"/>
  <c r="R21" i="2"/>
  <c r="R22" i="2" s="1"/>
  <c r="Q21" i="2"/>
  <c r="Q22" i="2" s="1"/>
  <c r="P21" i="2"/>
  <c r="P22" i="2" s="1"/>
  <c r="O21" i="2"/>
  <c r="O30" i="2"/>
  <c r="M30" i="2"/>
  <c r="L30" i="2"/>
  <c r="K30" i="2"/>
  <c r="N30" i="2"/>
  <c r="G21" i="2"/>
  <c r="G18" i="2"/>
  <c r="K21" i="2"/>
  <c r="K18" i="2"/>
  <c r="H21" i="2"/>
  <c r="H18" i="2"/>
  <c r="L21" i="2"/>
  <c r="L18" i="2"/>
  <c r="I21" i="2"/>
  <c r="I18" i="2"/>
  <c r="M21" i="2"/>
  <c r="M18" i="2"/>
  <c r="J21" i="2"/>
  <c r="J18" i="2"/>
  <c r="N21" i="2"/>
  <c r="N18" i="2"/>
  <c r="O18" i="2"/>
  <c r="O17" i="2" s="1"/>
  <c r="AG49" i="2"/>
  <c r="AH49" i="2"/>
  <c r="AG21" i="2"/>
  <c r="AG18" i="2"/>
  <c r="AG32" i="2" s="1"/>
  <c r="AH21" i="2"/>
  <c r="AH18" i="2"/>
  <c r="AH32" i="2" s="1"/>
  <c r="AF30" i="2"/>
  <c r="AG30" i="2"/>
  <c r="AH30" i="2"/>
  <c r="AI30" i="2"/>
  <c r="AM2" i="2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AI45" i="2"/>
  <c r="AI46" i="2" s="1"/>
  <c r="AI49" i="2" s="1"/>
  <c r="AJ45" i="2"/>
  <c r="AJ46" i="2" s="1"/>
  <c r="AJ49" i="2" s="1"/>
  <c r="AK45" i="2"/>
  <c r="AK46" i="2" s="1"/>
  <c r="AK49" i="2" s="1"/>
  <c r="N22" i="2" l="1"/>
  <c r="N24" i="2" s="1"/>
  <c r="N26" i="2" s="1"/>
  <c r="N27" i="2" s="1"/>
  <c r="AL21" i="2"/>
  <c r="AL32" i="2"/>
  <c r="V22" i="2"/>
  <c r="V24" i="2" s="1"/>
  <c r="V26" i="2" s="1"/>
  <c r="U22" i="2"/>
  <c r="U24" i="2" s="1"/>
  <c r="U26" i="2" s="1"/>
  <c r="T22" i="2"/>
  <c r="T24" i="2" s="1"/>
  <c r="T26" i="2" s="1"/>
  <c r="AO28" i="2"/>
  <c r="AN21" i="2"/>
  <c r="AO19" i="2"/>
  <c r="AM21" i="2"/>
  <c r="AA22" i="2"/>
  <c r="AA24" i="2" s="1"/>
  <c r="AA26" i="2" s="1"/>
  <c r="Z22" i="2"/>
  <c r="Z24" i="2" s="1"/>
  <c r="Z26" i="2" s="1"/>
  <c r="Y22" i="2"/>
  <c r="Y24" i="2" s="1"/>
  <c r="Y26" i="2" s="1"/>
  <c r="X22" i="2"/>
  <c r="X24" i="2" s="1"/>
  <c r="X26" i="2" s="1"/>
  <c r="W22" i="2"/>
  <c r="W24" i="2" s="1"/>
  <c r="W26" i="2" s="1"/>
  <c r="AF22" i="2"/>
  <c r="AF24" i="2" s="1"/>
  <c r="AF26" i="2" s="1"/>
  <c r="AF27" i="2" s="1"/>
  <c r="AD32" i="2"/>
  <c r="AC22" i="2"/>
  <c r="AC24" i="2" s="1"/>
  <c r="AC26" i="2" s="1"/>
  <c r="AC27" i="2" s="1"/>
  <c r="AB32" i="2"/>
  <c r="AD27" i="2"/>
  <c r="AD37" i="2"/>
  <c r="AB27" i="2"/>
  <c r="AB37" i="2"/>
  <c r="AC37" i="2"/>
  <c r="AE22" i="2"/>
  <c r="AE24" i="2" s="1"/>
  <c r="AE26" i="2" s="1"/>
  <c r="H22" i="2"/>
  <c r="H24" i="2" s="1"/>
  <c r="H26" i="2" s="1"/>
  <c r="H27" i="2" s="1"/>
  <c r="J22" i="2"/>
  <c r="J24" i="2" s="1"/>
  <c r="J26" i="2" s="1"/>
  <c r="J27" i="2" s="1"/>
  <c r="AL3" i="2"/>
  <c r="K22" i="2"/>
  <c r="K24" i="2" s="1"/>
  <c r="K26" i="2" s="1"/>
  <c r="K27" i="2" s="1"/>
  <c r="AH22" i="2"/>
  <c r="AH24" i="2" s="1"/>
  <c r="AH26" i="2" s="1"/>
  <c r="AG22" i="2"/>
  <c r="AG24" i="2" s="1"/>
  <c r="AG26" i="2" s="1"/>
  <c r="O22" i="2"/>
  <c r="G22" i="2"/>
  <c r="G24" i="2" s="1"/>
  <c r="G26" i="2" s="1"/>
  <c r="G27" i="2" s="1"/>
  <c r="L22" i="2"/>
  <c r="L24" i="2" s="1"/>
  <c r="L26" i="2" s="1"/>
  <c r="L27" i="2" s="1"/>
  <c r="I22" i="2"/>
  <c r="I24" i="2" s="1"/>
  <c r="I26" i="2" s="1"/>
  <c r="I27" i="2" s="1"/>
  <c r="M22" i="2"/>
  <c r="AL22" i="2" l="1"/>
  <c r="AL24" i="2" s="1"/>
  <c r="AL25" i="2" s="1"/>
  <c r="AL26" i="2" s="1"/>
  <c r="AL27" i="2" s="1"/>
  <c r="AA27" i="2"/>
  <c r="AA37" i="2"/>
  <c r="AL4" i="2"/>
  <c r="AM3" i="2"/>
  <c r="T37" i="2"/>
  <c r="T27" i="2"/>
  <c r="U37" i="2"/>
  <c r="U27" i="2"/>
  <c r="V37" i="2"/>
  <c r="V27" i="2"/>
  <c r="AF37" i="2"/>
  <c r="AP28" i="2"/>
  <c r="AP19" i="2"/>
  <c r="AO21" i="2"/>
  <c r="Z27" i="2"/>
  <c r="Z37" i="2"/>
  <c r="Y27" i="2"/>
  <c r="Y37" i="2"/>
  <c r="X27" i="2"/>
  <c r="X37" i="2"/>
  <c r="W27" i="2"/>
  <c r="W37" i="2"/>
  <c r="AE27" i="2"/>
  <c r="AE37" i="2"/>
  <c r="M24" i="2"/>
  <c r="M26" i="2" s="1"/>
  <c r="M27" i="2" s="1"/>
  <c r="AG27" i="2"/>
  <c r="AG37" i="2"/>
  <c r="AH27" i="2"/>
  <c r="AH37" i="2"/>
  <c r="AN3" i="2" l="1"/>
  <c r="AM16" i="2"/>
  <c r="AQ28" i="2"/>
  <c r="AQ19" i="2"/>
  <c r="AP21" i="2"/>
  <c r="AM30" i="2" l="1"/>
  <c r="AO3" i="2"/>
  <c r="AN16" i="2"/>
  <c r="AR28" i="2"/>
  <c r="AR19" i="2"/>
  <c r="AQ21" i="2"/>
  <c r="AN30" i="2" l="1"/>
  <c r="AP3" i="2"/>
  <c r="AO16" i="2"/>
  <c r="AM32" i="2"/>
  <c r="AM22" i="2"/>
  <c r="AM24" i="2" s="1"/>
  <c r="AM25" i="2" s="1"/>
  <c r="AM26" i="2" s="1"/>
  <c r="AS28" i="2"/>
  <c r="AS19" i="2"/>
  <c r="AR21" i="2"/>
  <c r="AM27" i="2" l="1"/>
  <c r="AM34" i="2"/>
  <c r="AO30" i="2"/>
  <c r="AQ3" i="2"/>
  <c r="AP16" i="2"/>
  <c r="AN32" i="2"/>
  <c r="AN22" i="2"/>
  <c r="AN24" i="2" s="1"/>
  <c r="AT28" i="2"/>
  <c r="AT19" i="2"/>
  <c r="AS21" i="2"/>
  <c r="AN25" i="2" l="1"/>
  <c r="AN26" i="2" s="1"/>
  <c r="AN27" i="2" s="1"/>
  <c r="AP30" i="2"/>
  <c r="AR3" i="2"/>
  <c r="AQ16" i="2"/>
  <c r="AO32" i="2"/>
  <c r="AO22" i="2"/>
  <c r="AO24" i="2" s="1"/>
  <c r="AU28" i="2"/>
  <c r="AU19" i="2"/>
  <c r="AT21" i="2"/>
  <c r="AN34" i="2" l="1"/>
  <c r="AQ30" i="2"/>
  <c r="AS3" i="2"/>
  <c r="AR16" i="2"/>
  <c r="AP32" i="2"/>
  <c r="AP22" i="2"/>
  <c r="AP24" i="2" s="1"/>
  <c r="AO25" i="2"/>
  <c r="AO26" i="2" s="1"/>
  <c r="AO27" i="2" s="1"/>
  <c r="AV28" i="2"/>
  <c r="AV19" i="2"/>
  <c r="AU21" i="2"/>
  <c r="AO34" i="2" l="1"/>
  <c r="AP25" i="2"/>
  <c r="AP26" i="2" s="1"/>
  <c r="AP27" i="2" s="1"/>
  <c r="AR30" i="2"/>
  <c r="AT3" i="2"/>
  <c r="AS16" i="2"/>
  <c r="AQ32" i="2"/>
  <c r="AQ22" i="2"/>
  <c r="AW28" i="2"/>
  <c r="AV21" i="2"/>
  <c r="AW19" i="2"/>
  <c r="AP34" i="2" l="1"/>
  <c r="AQ23" i="2" s="1"/>
  <c r="AQ24" i="2"/>
  <c r="AQ25" i="2" s="1"/>
  <c r="AQ26" i="2" s="1"/>
  <c r="AS30" i="2"/>
  <c r="AU3" i="2"/>
  <c r="AT16" i="2"/>
  <c r="AR32" i="2"/>
  <c r="AR22" i="2"/>
  <c r="AX28" i="2"/>
  <c r="AW21" i="2"/>
  <c r="AX19" i="2"/>
  <c r="AX21" i="2" s="1"/>
  <c r="AQ27" i="2" l="1"/>
  <c r="AQ34" i="2"/>
  <c r="AT30" i="2"/>
  <c r="AV3" i="2"/>
  <c r="AU16" i="2"/>
  <c r="AS32" i="2"/>
  <c r="AS22" i="2"/>
  <c r="AR23" i="2" l="1"/>
  <c r="AR24" i="2" s="1"/>
  <c r="AR25" i="2" s="1"/>
  <c r="AR26" i="2" s="1"/>
  <c r="AW3" i="2"/>
  <c r="AV16" i="2"/>
  <c r="AU30" i="2"/>
  <c r="AT32" i="2"/>
  <c r="AT22" i="2"/>
  <c r="AR27" i="2" l="1"/>
  <c r="AR34" i="2"/>
  <c r="AU32" i="2"/>
  <c r="AU22" i="2"/>
  <c r="AV30" i="2"/>
  <c r="AX3" i="2"/>
  <c r="AX16" i="2" s="1"/>
  <c r="AW16" i="2"/>
  <c r="AS23" i="2" l="1"/>
  <c r="AS24" i="2" s="1"/>
  <c r="AS25" i="2" s="1"/>
  <c r="AS26" i="2" s="1"/>
  <c r="AW30" i="2"/>
  <c r="AX30" i="2"/>
  <c r="AV32" i="2"/>
  <c r="AV22" i="2"/>
  <c r="AK21" i="2"/>
  <c r="AJ21" i="2"/>
  <c r="AI21" i="2"/>
  <c r="AK18" i="2"/>
  <c r="AK22" i="2" s="1"/>
  <c r="AK24" i="2" s="1"/>
  <c r="AK26" i="2" s="1"/>
  <c r="AJ18" i="2"/>
  <c r="AJ22" i="2" s="1"/>
  <c r="AJ24" i="2" s="1"/>
  <c r="AJ26" i="2" s="1"/>
  <c r="AI18" i="2"/>
  <c r="AI22" i="2" s="1"/>
  <c r="AI24" i="2" s="1"/>
  <c r="AI26" i="2" s="1"/>
  <c r="AJ30" i="2"/>
  <c r="AK30" i="2"/>
  <c r="AJ2" i="2"/>
  <c r="AK2" i="2" s="1"/>
  <c r="L6" i="1"/>
  <c r="L5" i="1"/>
  <c r="L4" i="1"/>
  <c r="L7" i="1" s="1"/>
  <c r="AS27" i="2" l="1"/>
  <c r="AS34" i="2"/>
  <c r="AX32" i="2"/>
  <c r="AX22" i="2"/>
  <c r="AW32" i="2"/>
  <c r="AW22" i="2"/>
  <c r="AJ27" i="2"/>
  <c r="AJ37" i="2"/>
  <c r="AI27" i="2"/>
  <c r="AI37" i="2"/>
  <c r="AK27" i="2"/>
  <c r="AK37" i="2"/>
  <c r="AK32" i="2"/>
  <c r="AJ32" i="2"/>
  <c r="AI32" i="2"/>
  <c r="AT23" i="2" l="1"/>
  <c r="AT24" i="2" s="1"/>
  <c r="AT25" i="2" s="1"/>
  <c r="AT26" i="2" s="1"/>
  <c r="AT27" i="2" s="1"/>
  <c r="AT34" i="2" l="1"/>
  <c r="AU23" i="2" l="1"/>
  <c r="AU24" i="2" s="1"/>
  <c r="AU25" i="2" s="1"/>
  <c r="AU26" i="2" s="1"/>
  <c r="AU27" i="2" s="1"/>
  <c r="AU34" i="2" l="1"/>
  <c r="AV23" i="2" l="1"/>
  <c r="AV24" i="2" s="1"/>
  <c r="AV25" i="2" l="1"/>
  <c r="AV26" i="2" s="1"/>
  <c r="AV27" i="2" l="1"/>
  <c r="AV34" i="2"/>
  <c r="AW23" i="2" l="1"/>
  <c r="AW24" i="2" s="1"/>
  <c r="AW25" i="2" l="1"/>
  <c r="AW26" i="2" s="1"/>
  <c r="AW27" i="2" l="1"/>
  <c r="AW34" i="2"/>
  <c r="AX23" i="2" l="1"/>
  <c r="AX24" i="2" s="1"/>
  <c r="AX25" i="2" s="1"/>
  <c r="AX26" i="2" s="1"/>
  <c r="AY26" i="2" l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BB32" i="2" s="1"/>
  <c r="BB33" i="2" s="1"/>
  <c r="BB34" i="2" s="1"/>
  <c r="AX27" i="2"/>
  <c r="AX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tc={4AF041F6-2BD0-46AD-AD03-05C15165F132}</author>
    <author>tc={BEA6A42C-CEC1-47E1-B002-6B6D239FF53A}</author>
  </authors>
  <commentList>
    <comment ref="O16" authorId="0" shapeId="0" xr:uid="{4AF041F6-2BD0-46AD-AD03-05C15165F132}">
      <text>
        <t>[Threaded comment]
Your version of Excel allows you to read this threaded comment; however, any edits to it will get removed if the file is opened in a newer version of Excel. Learn more: https://go.microsoft.com/fwlink/?linkid=870924
Comment:
    10.5-11.5B guidance for Q123 given Q422</t>
      </text>
    </comment>
    <comment ref="O18" authorId="1" shapeId="0" xr:uid="{BEA6A42C-CEC1-47E1-B002-6B6D239FF53A}">
      <text>
        <t>[Threaded comment]
Your version of Excel allows you to read this threaded comment; however, any edits to it will get removed if the file is opened in a newer version of Excel. Learn more: https://go.microsoft.com/fwlink/?linkid=870924
Comment:
    39% GM non-gaap given Q422</t>
      </text>
    </comment>
  </commentList>
</comments>
</file>

<file path=xl/sharedStrings.xml><?xml version="1.0" encoding="utf-8"?>
<sst xmlns="http://schemas.openxmlformats.org/spreadsheetml/2006/main" count="86" uniqueCount="81">
  <si>
    <t>Price</t>
  </si>
  <si>
    <t>Shares</t>
  </si>
  <si>
    <t>MC</t>
  </si>
  <si>
    <t>Cash</t>
  </si>
  <si>
    <t>Debt</t>
  </si>
  <si>
    <t>EV</t>
  </si>
  <si>
    <t>Q422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</si>
  <si>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</si>
  <si>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</si>
  <si>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</si>
  <si>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</si>
  <si>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</si>
  <si>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</si>
  <si>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</si>
  <si>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</si>
  <si>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</si>
  <si>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</si>
  <si>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</si>
  <si>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</si>
  <si>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</si>
  <si>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Q123</t>
  </si>
  <si>
    <t>Q223</t>
  </si>
  <si>
    <t>Q323</t>
  </si>
  <si>
    <t>Q423</t>
  </si>
  <si>
    <t>Revenue y/y</t>
  </si>
  <si>
    <t>Gross Margin</t>
  </si>
  <si>
    <t>COGS</t>
  </si>
  <si>
    <t>R&amp;D</t>
  </si>
  <si>
    <t>MG&amp;A</t>
  </si>
  <si>
    <t>Operating Expenses</t>
  </si>
  <si>
    <t>Operating Income</t>
  </si>
  <si>
    <t>Interest</t>
  </si>
  <si>
    <t>Pretax</t>
  </si>
  <si>
    <t>Taxes</t>
  </si>
  <si>
    <t>Net Income</t>
  </si>
  <si>
    <t>EPS</t>
  </si>
  <si>
    <t>Nvidia</t>
  </si>
  <si>
    <t>Model NI</t>
  </si>
  <si>
    <t>Reported NI</t>
  </si>
  <si>
    <t>CFFO</t>
  </si>
  <si>
    <t>Depreciation</t>
  </si>
  <si>
    <t>SBC</t>
  </si>
  <si>
    <t>Restructuring</t>
  </si>
  <si>
    <t>Amortization</t>
  </si>
  <si>
    <t>Equity Investments</t>
  </si>
  <si>
    <t>Divestitures</t>
  </si>
  <si>
    <t>WC</t>
  </si>
  <si>
    <t>CapEx</t>
  </si>
  <si>
    <t>FCF</t>
  </si>
  <si>
    <t>12th-gen Intel Core HX</t>
  </si>
  <si>
    <t>Alder Lake</t>
  </si>
  <si>
    <t>Meteor Lake</t>
  </si>
  <si>
    <t>Intel Arc</t>
  </si>
  <si>
    <t>Ponte Vecchio - Intel Data Center GPU Max Series</t>
  </si>
  <si>
    <t>CCG - Notebook</t>
  </si>
  <si>
    <t>CCG - Desktop</t>
  </si>
  <si>
    <t>CCG - Other</t>
  </si>
  <si>
    <t>DCAI</t>
  </si>
  <si>
    <t>NEX</t>
  </si>
  <si>
    <t>Mobileye</t>
  </si>
  <si>
    <t>AXG</t>
  </si>
  <si>
    <t>Foundry</t>
  </si>
  <si>
    <t>CEO: Pat Gelsinger replaced Bob Swan</t>
  </si>
  <si>
    <t>Ice Lake - 10nm 3rd-gen Xeon</t>
  </si>
  <si>
    <t>GDP y/y</t>
  </si>
  <si>
    <t>Intel 7 - 7nm? - in high-volume manufacturing for client/server (Q422)</t>
  </si>
  <si>
    <t>Intel 4 - 4nm? - manufacturing ready, Meteor Lake ramp in 2H23</t>
  </si>
  <si>
    <t>Intel 3 - 3nm continues to progress, 20A, 18A test chips</t>
  </si>
  <si>
    <t>Raptor Lake - 13th-gen client, K processors, Z790 chipset</t>
  </si>
  <si>
    <t xml:space="preserve">  i9-13900K</t>
  </si>
  <si>
    <t xml:space="preserve">  4th-gen Xeon (Sapphire Rapids)</t>
  </si>
  <si>
    <t>Xeon</t>
  </si>
  <si>
    <t>AMD</t>
  </si>
  <si>
    <t>Big Three</t>
  </si>
  <si>
    <t xml:space="preserve">  Intel %</t>
  </si>
  <si>
    <t>Discount</t>
  </si>
  <si>
    <t>ROIC</t>
  </si>
  <si>
    <t>Terminal</t>
  </si>
  <si>
    <t>Net Cash</t>
  </si>
  <si>
    <t>NPV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</si>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</sst>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3" fontId="3" fillId="0" borderId="0" xfId="0" applyNumberFormat="1" applyFont="1"/>
    <xf numFmtId="0" fontId="2" fillId="0" borderId="0" xfId="1"/>
    <xf numFmtId="0" fontId="1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3" fontId="0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4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9" fontId="3" fillId="0" borderId="0" xfId="0" applyNumberFormat="1" applyFont="1"/>
    <xf numFmtId="9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30079</xdr:colOff>
      <xdr:row>0</xdr:row>
      <xdr:rowOff>35092</xdr:rowOff>
    </xdr:from>
    <xdr:to>
      <xdr:col>37</xdr:col>
      <xdr:colOff>30079</xdr:colOff>
      <xdr:row>54</xdr:row>
      <xdr:rowOff>10027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A93E111-9A1E-969E-B046-4678216F947D}"/>
            </a:ext>
          </a:extLst>
        </xdr:cNvPr>
        <xdr:cNvCxnSpPr/>
      </xdr:nvCxnSpPr>
      <xdr:spPr>
        <a:xfrm>
          <a:off x="15029447" y="35092"/>
          <a:ext cx="0" cy="43063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20052</xdr:colOff>
      <xdr:row>0</xdr:row>
      <xdr:rowOff>70184</xdr:rowOff>
    </xdr:from>
    <xdr:to>
      <xdr:col>14</xdr:col>
      <xdr:colOff>20052</xdr:colOff>
      <xdr:row>38</xdr:row>
      <xdr:rowOff>130342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DD1792C-2787-8FDE-6B43-CA52F6045161}"/>
            </a:ext>
          </a:extLst>
        </xdr:cNvPr>
        <xdr:cNvCxnSpPr/>
      </xdr:nvCxnSpPr>
      <xdr:spPr>
        <a:xfrm>
          <a:off x="8903368" y="70184"/>
          <a:ext cx="0" cy="51936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85FAFCD-EA21-4344-9B78-0E93CEEF76F9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6" dT="2023-02-01T15:27:50.55" personId="{885FAFCD-EA21-4344-9B78-0E93CEEF76F9}" id="{4AF041F6-2BD0-46AD-AD03-05C15165F132}">
    <text>10.5-11.5B guidance for Q123 given Q422</text>
  </threadedComment>
  <threadedComment ref="O18" dT="2023-02-01T15:28:03.45" personId="{885FAFCD-EA21-4344-9B78-0E93CEEF76F9}" id="{BEA6A42C-CEC1-47E1-B002-6B6D239FF53A}">
    <text>39% GM non-gaap given Q422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AE7DF-8440-4CDE-A9CC-8CE68EF0CE24}">
  <dimension ref="B2:M20"/>
  <sheetViews>
    <sheetView zoomScale="205" zoomScaleNormal="205" workbookViewId="0">
      <selection activeCell="B11" sqref="B11"/>
    </sheetView>
  </sheetViews>
  <sheetFormatPr defaultRowHeight="12.75" x14ac:dyDescent="0.2"/>
  <sheetData>
    <row r="2" spans="2:13" x14ac:dyDescent="0.2">
      <c r="B2" s="13" t="s">
        <v>50</v>
      </c>
      <c r="K2" t="s">
        <v>0</v>
      </c>
      <c r="L2" s="1">
        <v>27</v>
      </c>
    </row>
    <row r="3" spans="2:13" x14ac:dyDescent="0.2">
      <c r="B3" t="s">
        <v>49</v>
      </c>
      <c r="K3" t="s">
        <v>1</v>
      </c>
      <c r="L3" s="2">
        <v>4137</v>
      </c>
      <c r="M3" s="3" t="s">
        <v>6</v>
      </c>
    </row>
    <row r="4" spans="2:13" x14ac:dyDescent="0.2">
      <c r="B4" t="s">
        <v>68</v>
      </c>
      <c r="K4" t="s">
        <v>2</v>
      </c>
      <c r="L4" s="2">
        <f>+L2*L3</f>
        <v>111699</v>
      </c>
      <c r="M4" s="3"/>
    </row>
    <row r="5" spans="2:13" x14ac:dyDescent="0.2">
      <c r="B5" t="s">
        <v>69</v>
      </c>
      <c r="K5" t="s">
        <v>3</v>
      </c>
      <c r="L5" s="2">
        <f>11144+17194+5912</f>
        <v>34250</v>
      </c>
      <c r="M5" s="3" t="s">
        <v>6</v>
      </c>
    </row>
    <row r="6" spans="2:13" x14ac:dyDescent="0.2">
      <c r="K6" t="s">
        <v>4</v>
      </c>
      <c r="L6" s="2">
        <f>4367+37684</f>
        <v>42051</v>
      </c>
      <c r="M6" s="3" t="s">
        <v>6</v>
      </c>
    </row>
    <row r="7" spans="2:13" x14ac:dyDescent="0.2">
      <c r="B7" s="13" t="s">
        <v>71</v>
      </c>
      <c r="K7" t="s">
        <v>5</v>
      </c>
      <c r="L7" s="2">
        <f>+L4-L5+L6</f>
        <v>119500</v>
      </c>
    </row>
    <row r="8" spans="2:13" x14ac:dyDescent="0.2">
      <c r="B8" t="s">
        <v>63</v>
      </c>
      <c r="L8" s="2"/>
    </row>
    <row r="9" spans="2:13" x14ac:dyDescent="0.2">
      <c r="B9" t="s">
        <v>70</v>
      </c>
      <c r="L9" s="2"/>
    </row>
    <row r="12" spans="2:13" x14ac:dyDescent="0.2">
      <c r="B12" t="s">
        <v>53</v>
      </c>
      <c r="K12" t="s">
        <v>62</v>
      </c>
    </row>
    <row r="13" spans="2:13" x14ac:dyDescent="0.2">
      <c r="B13" t="s">
        <v>51</v>
      </c>
    </row>
    <row r="16" spans="2:13" x14ac:dyDescent="0.2">
      <c r="B16" t="s">
        <v>52</v>
      </c>
    </row>
    <row r="18" spans="2:2" x14ac:dyDescent="0.2">
      <c r="B18" t="s">
        <v>65</v>
      </c>
    </row>
    <row r="19" spans="2:2" x14ac:dyDescent="0.2">
      <c r="B19" t="s">
        <v>66</v>
      </c>
    </row>
    <row r="20" spans="2:2" x14ac:dyDescent="0.2"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D04B-6226-42F4-9686-EE1156E609DE}">
  <dimension ref="A1:DX49"/>
  <sheetViews>
    <sheetView tabSelected="1" zoomScale="190" zoomScaleNormal="190" workbookViewId="0">
      <pane xSplit="2" ySplit="2" topLeftCell="AR11" activePane="bottomRight" state="frozen"/>
      <selection pane="topRight" activeCell="C1" sqref="C1"/>
      <selection pane="bottomLeft" activeCell="A3" sqref="A3"/>
      <selection pane="bottomRight" activeCell="BB33" sqref="BB33"/>
    </sheetView>
  </sheetViews>
  <sheetFormatPr defaultRowHeight="12.75" x14ac:dyDescent="0.2"/>
  <cols>
    <col min="1" max="1" width="5" bestFit="1" customWidth="1"/>
    <col min="2" max="2" width="18.140625" bestFit="1" customWidth="1"/>
    <col min="3" max="18" width="9.140625" style="3"/>
    <col min="54" max="54" width="10.7109375" customWidth="1"/>
  </cols>
  <sheetData>
    <row r="1" spans="1:55" x14ac:dyDescent="0.2">
      <c r="A1" s="11" t="s">
        <v>7</v>
      </c>
    </row>
    <row r="2" spans="1:55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6</v>
      </c>
      <c r="O2" s="3" t="s">
        <v>20</v>
      </c>
      <c r="P2" s="3" t="s">
        <v>21</v>
      </c>
      <c r="Q2" s="3" t="s">
        <v>22</v>
      </c>
      <c r="R2" s="3" t="s">
        <v>23</v>
      </c>
      <c r="T2">
        <v>2005</v>
      </c>
      <c r="U2">
        <v>2006</v>
      </c>
      <c r="V2">
        <v>2007</v>
      </c>
      <c r="W2">
        <v>2008</v>
      </c>
      <c r="X2">
        <v>2009</v>
      </c>
      <c r="Y2">
        <v>2010</v>
      </c>
      <c r="Z2">
        <v>2011</v>
      </c>
      <c r="AA2">
        <v>2012</v>
      </c>
      <c r="AB2">
        <v>2013</v>
      </c>
      <c r="AC2">
        <v>2014</v>
      </c>
      <c r="AD2">
        <v>2015</v>
      </c>
      <c r="AE2">
        <v>2016</v>
      </c>
      <c r="AF2">
        <v>2017</v>
      </c>
      <c r="AG2">
        <v>2018</v>
      </c>
      <c r="AH2">
        <v>2019</v>
      </c>
      <c r="AI2">
        <v>2020</v>
      </c>
      <c r="AJ2">
        <f>+AI2+1</f>
        <v>2021</v>
      </c>
      <c r="AK2">
        <f>+AJ2+1</f>
        <v>2022</v>
      </c>
      <c r="AL2">
        <v>2023</v>
      </c>
      <c r="AM2">
        <f>+AL2+1</f>
        <v>2024</v>
      </c>
      <c r="AN2">
        <f t="shared" ref="AN2:BC2" si="0">+AM2+1</f>
        <v>2025</v>
      </c>
      <c r="AO2">
        <f t="shared" si="0"/>
        <v>2026</v>
      </c>
      <c r="AP2">
        <f t="shared" si="0"/>
        <v>2027</v>
      </c>
      <c r="AQ2">
        <f t="shared" si="0"/>
        <v>2028</v>
      </c>
      <c r="AR2">
        <f t="shared" si="0"/>
        <v>2029</v>
      </c>
      <c r="AS2">
        <f t="shared" si="0"/>
        <v>2030</v>
      </c>
      <c r="AT2">
        <f t="shared" si="0"/>
        <v>2031</v>
      </c>
      <c r="AU2">
        <f t="shared" si="0"/>
        <v>2032</v>
      </c>
      <c r="AV2">
        <f t="shared" si="0"/>
        <v>2033</v>
      </c>
      <c r="AW2">
        <f t="shared" si="0"/>
        <v>2034</v>
      </c>
      <c r="AX2">
        <f t="shared" si="0"/>
        <v>2035</v>
      </c>
      <c r="AY2">
        <f t="shared" si="0"/>
        <v>2036</v>
      </c>
      <c r="AZ2">
        <f t="shared" si="0"/>
        <v>2037</v>
      </c>
      <c r="BA2">
        <f t="shared" si="0"/>
        <v>2038</v>
      </c>
      <c r="BB2">
        <f t="shared" si="0"/>
        <v>2039</v>
      </c>
      <c r="BC2">
        <f t="shared" si="0"/>
        <v>2040</v>
      </c>
    </row>
    <row r="3" spans="1:55" x14ac:dyDescent="0.2">
      <c r="B3" t="s">
        <v>73</v>
      </c>
      <c r="AH3" s="2">
        <f>+AH5+AH6+AH16</f>
        <v>89614</v>
      </c>
      <c r="AI3" s="2">
        <f>+AI5+AI6+AI16</f>
        <v>104305</v>
      </c>
      <c r="AJ3" s="2">
        <f>+AJ5+AJ6+AJ16</f>
        <v>122372</v>
      </c>
      <c r="AK3" s="2">
        <f>+AK5+AK6+AK16</f>
        <v>106411</v>
      </c>
      <c r="AL3" s="2">
        <f t="shared" ref="AL3" si="1">+AL5+AL6+AL16</f>
        <v>98123</v>
      </c>
      <c r="AM3" s="2">
        <f>+AL3*1.05</f>
        <v>103029.15000000001</v>
      </c>
      <c r="AN3" s="2">
        <f t="shared" ref="AN3:AX3" si="2">+AM3*1.05</f>
        <v>108180.60750000001</v>
      </c>
      <c r="AO3" s="2">
        <f t="shared" si="2"/>
        <v>113589.63787500001</v>
      </c>
      <c r="AP3" s="2">
        <f t="shared" si="2"/>
        <v>119269.11976875002</v>
      </c>
      <c r="AQ3" s="2">
        <f t="shared" si="2"/>
        <v>125232.57575718753</v>
      </c>
      <c r="AR3" s="2">
        <f t="shared" si="2"/>
        <v>131494.2045450469</v>
      </c>
      <c r="AS3" s="2">
        <f t="shared" si="2"/>
        <v>138068.91477229926</v>
      </c>
      <c r="AT3" s="2">
        <f t="shared" si="2"/>
        <v>144972.36051091424</v>
      </c>
      <c r="AU3" s="2">
        <f t="shared" si="2"/>
        <v>152220.97853645997</v>
      </c>
      <c r="AV3" s="2">
        <f t="shared" si="2"/>
        <v>159832.02746328298</v>
      </c>
      <c r="AW3" s="2">
        <f t="shared" si="2"/>
        <v>167823.62883644714</v>
      </c>
      <c r="AX3" s="2">
        <f t="shared" si="2"/>
        <v>176214.81027826949</v>
      </c>
    </row>
    <row r="4" spans="1:55" x14ac:dyDescent="0.2">
      <c r="B4" t="s">
        <v>74</v>
      </c>
      <c r="AH4" s="21">
        <f>+AH16/AH3</f>
        <v>0.80305532617671349</v>
      </c>
      <c r="AI4" s="21">
        <f>+AI16/AI3</f>
        <v>0.74653180576194811</v>
      </c>
      <c r="AJ4" s="21">
        <f>+AJ16/AJ3</f>
        <v>0.64576863988494104</v>
      </c>
      <c r="AK4" s="21">
        <f>+AK16/AK3</f>
        <v>0.59255152192912386</v>
      </c>
      <c r="AL4" s="21">
        <f>+AL16/AL3</f>
        <v>0.50956452615594716</v>
      </c>
      <c r="AM4" s="4">
        <v>0.51</v>
      </c>
      <c r="AN4" s="4">
        <v>0.52</v>
      </c>
      <c r="AO4" s="4">
        <v>0.53</v>
      </c>
      <c r="AP4" s="4">
        <v>0.53</v>
      </c>
      <c r="AQ4" s="4">
        <v>0.54</v>
      </c>
      <c r="AR4" s="4">
        <v>0.54</v>
      </c>
      <c r="AS4" s="4">
        <v>0.54</v>
      </c>
      <c r="AT4" s="4">
        <v>0.55000000000000004</v>
      </c>
      <c r="AU4" s="4">
        <v>0.56000000000000005</v>
      </c>
      <c r="AV4" s="4">
        <v>0.56000000000000005</v>
      </c>
      <c r="AW4" s="4">
        <v>0.56000000000000005</v>
      </c>
      <c r="AX4" s="4">
        <v>0.56000000000000005</v>
      </c>
    </row>
    <row r="5" spans="1:55" s="8" customFormat="1" x14ac:dyDescent="0.2">
      <c r="B5" s="8" t="s">
        <v>36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AH5" s="10">
        <v>10918</v>
      </c>
      <c r="AI5" s="10">
        <v>16675</v>
      </c>
      <c r="AJ5" s="10">
        <v>26914</v>
      </c>
      <c r="AK5" s="10">
        <v>26923</v>
      </c>
      <c r="AL5" s="10">
        <f>+AK5</f>
        <v>26923</v>
      </c>
    </row>
    <row r="6" spans="1:55" s="8" customFormat="1" x14ac:dyDescent="0.2">
      <c r="B6" s="8" t="s">
        <v>72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AH6" s="10">
        <v>6731</v>
      </c>
      <c r="AI6" s="10">
        <v>9763</v>
      </c>
      <c r="AJ6" s="10">
        <v>16434</v>
      </c>
      <c r="AK6" s="10">
        <f>+AJ6</f>
        <v>16434</v>
      </c>
      <c r="AL6" s="10">
        <f>5300*4</f>
        <v>21200</v>
      </c>
    </row>
    <row r="7" spans="1:55" s="8" customFormat="1" x14ac:dyDescent="0.2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AI7" s="10"/>
      <c r="AJ7" s="10"/>
      <c r="AK7" s="10"/>
    </row>
    <row r="8" spans="1:55" s="14" customFormat="1" x14ac:dyDescent="0.2">
      <c r="B8" s="14" t="s">
        <v>61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AI8" s="16">
        <v>700</v>
      </c>
      <c r="AJ8" s="16">
        <v>800</v>
      </c>
      <c r="AK8" s="16">
        <v>900</v>
      </c>
    </row>
    <row r="9" spans="1:55" s="14" customFormat="1" x14ac:dyDescent="0.2">
      <c r="B9" s="14" t="s">
        <v>60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AI9" s="16">
        <v>700</v>
      </c>
      <c r="AJ9" s="16">
        <v>800</v>
      </c>
      <c r="AK9" s="16">
        <v>800</v>
      </c>
    </row>
    <row r="10" spans="1:55" s="14" customFormat="1" x14ac:dyDescent="0.2">
      <c r="B10" s="14" t="s">
        <v>59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AI10" s="16">
        <v>1000</v>
      </c>
      <c r="AJ10" s="16">
        <v>1400</v>
      </c>
      <c r="AK10" s="16">
        <v>1900</v>
      </c>
    </row>
    <row r="11" spans="1:55" s="14" customFormat="1" x14ac:dyDescent="0.2">
      <c r="B11" s="14" t="s">
        <v>58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AI11" s="16">
        <v>7100</v>
      </c>
      <c r="AJ11" s="16">
        <v>8000</v>
      </c>
      <c r="AK11" s="16">
        <v>8900</v>
      </c>
    </row>
    <row r="12" spans="1:55" s="14" customFormat="1" x14ac:dyDescent="0.2">
      <c r="B12" s="14" t="s">
        <v>57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AI12" s="16">
        <v>23400</v>
      </c>
      <c r="AJ12" s="16">
        <v>22700</v>
      </c>
      <c r="AK12" s="16">
        <v>19200</v>
      </c>
    </row>
    <row r="13" spans="1:55" s="14" customFormat="1" x14ac:dyDescent="0.2">
      <c r="B13" s="14" t="s">
        <v>56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AI13" s="16">
        <v>4500</v>
      </c>
      <c r="AJ13" s="16">
        <v>3200</v>
      </c>
      <c r="AK13" s="16">
        <v>2300</v>
      </c>
    </row>
    <row r="14" spans="1:55" s="2" customFormat="1" x14ac:dyDescent="0.2">
      <c r="B14" s="2" t="s">
        <v>55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AI14" s="2">
        <v>11200</v>
      </c>
      <c r="AJ14" s="2">
        <v>12400</v>
      </c>
      <c r="AK14" s="2">
        <v>10700</v>
      </c>
    </row>
    <row r="15" spans="1:55" s="2" customFormat="1" x14ac:dyDescent="0.2">
      <c r="B15" s="2" t="s">
        <v>54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AI15" s="2">
        <v>24900</v>
      </c>
      <c r="AJ15" s="2">
        <v>25400</v>
      </c>
      <c r="AK15" s="2">
        <v>18800</v>
      </c>
    </row>
    <row r="16" spans="1:55" s="6" customFormat="1" x14ac:dyDescent="0.2">
      <c r="B16" s="6" t="s">
        <v>8</v>
      </c>
      <c r="C16" s="7"/>
      <c r="D16" s="7"/>
      <c r="E16" s="7"/>
      <c r="F16" s="7"/>
      <c r="G16" s="7">
        <v>19673</v>
      </c>
      <c r="H16" s="7">
        <v>19631</v>
      </c>
      <c r="I16" s="7">
        <v>19192</v>
      </c>
      <c r="J16" s="7">
        <v>20528</v>
      </c>
      <c r="K16" s="7">
        <v>18353</v>
      </c>
      <c r="L16" s="7">
        <v>15321</v>
      </c>
      <c r="M16" s="7">
        <v>15338</v>
      </c>
      <c r="N16" s="7">
        <v>14042</v>
      </c>
      <c r="O16" s="7">
        <v>11000</v>
      </c>
      <c r="P16" s="7">
        <v>12000</v>
      </c>
      <c r="Q16" s="7">
        <v>13000</v>
      </c>
      <c r="R16" s="7">
        <v>14000</v>
      </c>
      <c r="T16" s="6">
        <v>38826</v>
      </c>
      <c r="U16" s="6">
        <v>35382</v>
      </c>
      <c r="V16" s="6">
        <v>38334</v>
      </c>
      <c r="W16" s="6">
        <v>37586</v>
      </c>
      <c r="X16" s="6">
        <v>35127</v>
      </c>
      <c r="Y16" s="6">
        <v>43623</v>
      </c>
      <c r="Z16" s="6">
        <v>53999</v>
      </c>
      <c r="AA16" s="6">
        <v>53341</v>
      </c>
      <c r="AB16" s="6">
        <v>52708</v>
      </c>
      <c r="AC16" s="6">
        <v>55870</v>
      </c>
      <c r="AD16" s="6">
        <v>55355</v>
      </c>
      <c r="AE16" s="6">
        <v>59387</v>
      </c>
      <c r="AF16" s="6">
        <v>62761</v>
      </c>
      <c r="AG16" s="6">
        <v>70848</v>
      </c>
      <c r="AH16" s="6">
        <v>71965</v>
      </c>
      <c r="AI16" s="6">
        <v>77867</v>
      </c>
      <c r="AJ16" s="6">
        <v>79024</v>
      </c>
      <c r="AK16" s="6">
        <v>63054</v>
      </c>
      <c r="AL16" s="6">
        <f>SUM(O16:R16)</f>
        <v>50000</v>
      </c>
      <c r="AM16" s="6">
        <f>+AM4*AM3</f>
        <v>52544.866500000004</v>
      </c>
      <c r="AN16" s="6">
        <f t="shared" ref="AN16:AX16" si="3">+AN4*AN3</f>
        <v>56253.915900000007</v>
      </c>
      <c r="AO16" s="6">
        <f t="shared" si="3"/>
        <v>60202.50807375001</v>
      </c>
      <c r="AP16" s="6">
        <f t="shared" si="3"/>
        <v>63212.633477437514</v>
      </c>
      <c r="AQ16" s="6">
        <f t="shared" si="3"/>
        <v>67625.590908881277</v>
      </c>
      <c r="AR16" s="6">
        <f t="shared" si="3"/>
        <v>71006.870454325326</v>
      </c>
      <c r="AS16" s="6">
        <f t="shared" si="3"/>
        <v>74557.213977041611</v>
      </c>
      <c r="AT16" s="6">
        <f t="shared" si="3"/>
        <v>79734.798281002833</v>
      </c>
      <c r="AU16" s="6">
        <f t="shared" si="3"/>
        <v>85243.747980417596</v>
      </c>
      <c r="AV16" s="6">
        <f t="shared" si="3"/>
        <v>89505.935379438481</v>
      </c>
      <c r="AW16" s="6">
        <f t="shared" si="3"/>
        <v>93981.232148410403</v>
      </c>
      <c r="AX16" s="6">
        <f t="shared" si="3"/>
        <v>98680.29375583092</v>
      </c>
    </row>
    <row r="17" spans="2:128" s="2" customFormat="1" x14ac:dyDescent="0.2">
      <c r="B17" s="2" t="s">
        <v>26</v>
      </c>
      <c r="C17" s="5"/>
      <c r="D17" s="5"/>
      <c r="E17" s="5"/>
      <c r="F17" s="5"/>
      <c r="G17" s="5">
        <v>8819</v>
      </c>
      <c r="H17" s="5">
        <v>8425</v>
      </c>
      <c r="I17" s="5">
        <v>8446</v>
      </c>
      <c r="J17" s="5">
        <v>9519</v>
      </c>
      <c r="K17" s="5">
        <v>9109</v>
      </c>
      <c r="L17" s="5">
        <v>9734</v>
      </c>
      <c r="M17" s="5">
        <v>8803</v>
      </c>
      <c r="N17" s="5">
        <v>8542</v>
      </c>
      <c r="O17" s="5">
        <f>+O16-O18</f>
        <v>6710</v>
      </c>
      <c r="P17" s="5"/>
      <c r="Q17" s="5"/>
      <c r="R17" s="5"/>
      <c r="T17" s="2">
        <v>15777</v>
      </c>
      <c r="U17" s="2">
        <v>17164</v>
      </c>
      <c r="V17" s="2">
        <v>18430</v>
      </c>
      <c r="W17" s="2">
        <v>16742</v>
      </c>
      <c r="X17" s="2">
        <v>15566</v>
      </c>
      <c r="Y17" s="2">
        <v>15132</v>
      </c>
      <c r="Z17" s="2">
        <v>20242</v>
      </c>
      <c r="AA17" s="2">
        <v>20190</v>
      </c>
      <c r="AB17" s="2">
        <v>21187</v>
      </c>
      <c r="AC17" s="2">
        <v>20261</v>
      </c>
      <c r="AD17" s="2">
        <v>20676</v>
      </c>
      <c r="AE17" s="2">
        <v>23196</v>
      </c>
      <c r="AF17" s="2">
        <v>23692</v>
      </c>
      <c r="AG17" s="2">
        <v>27111</v>
      </c>
      <c r="AH17" s="2">
        <v>29825</v>
      </c>
      <c r="AI17" s="2">
        <v>34255</v>
      </c>
      <c r="AJ17" s="2">
        <v>35209</v>
      </c>
      <c r="AK17" s="2">
        <v>36188</v>
      </c>
    </row>
    <row r="18" spans="2:128" s="2" customFormat="1" x14ac:dyDescent="0.2">
      <c r="B18" s="2" t="s">
        <v>25</v>
      </c>
      <c r="C18" s="5"/>
      <c r="D18" s="5"/>
      <c r="E18" s="5"/>
      <c r="F18" s="5"/>
      <c r="G18" s="5">
        <f>+G16-G17</f>
        <v>10854</v>
      </c>
      <c r="H18" s="5">
        <f>+H16-H17</f>
        <v>11206</v>
      </c>
      <c r="I18" s="5">
        <f>+I16-I17</f>
        <v>10746</v>
      </c>
      <c r="J18" s="5">
        <f>+J16-J17</f>
        <v>11009</v>
      </c>
      <c r="K18" s="5">
        <f>+K16-K17</f>
        <v>9244</v>
      </c>
      <c r="L18" s="5">
        <f>+L16-L17</f>
        <v>5587</v>
      </c>
      <c r="M18" s="5">
        <f>+M16-M17</f>
        <v>6535</v>
      </c>
      <c r="N18" s="5">
        <f>+N16-N17</f>
        <v>5500</v>
      </c>
      <c r="O18" s="5">
        <f>+O16*0.39</f>
        <v>4290</v>
      </c>
      <c r="P18" s="5"/>
      <c r="Q18" s="5"/>
      <c r="R18" s="5"/>
      <c r="T18" s="2">
        <f>+T16-T17</f>
        <v>23049</v>
      </c>
      <c r="U18" s="2">
        <f>+U16-U17</f>
        <v>18218</v>
      </c>
      <c r="V18" s="2">
        <f>+V16-V17</f>
        <v>19904</v>
      </c>
      <c r="W18" s="2">
        <f>+W16-W17</f>
        <v>20844</v>
      </c>
      <c r="X18" s="2">
        <f t="shared" ref="X18" si="4">+X16-X17</f>
        <v>19561</v>
      </c>
      <c r="Y18" s="2">
        <f t="shared" ref="Y18" si="5">+Y16-Y17</f>
        <v>28491</v>
      </c>
      <c r="Z18" s="2">
        <f t="shared" ref="Z18" si="6">+Z16-Z17</f>
        <v>33757</v>
      </c>
      <c r="AA18" s="2">
        <f t="shared" ref="AA18" si="7">+AA16-AA17</f>
        <v>33151</v>
      </c>
      <c r="AB18" s="2">
        <f>+AB16-AB17</f>
        <v>31521</v>
      </c>
      <c r="AC18" s="2">
        <f>+AC16-AC17</f>
        <v>35609</v>
      </c>
      <c r="AD18" s="2">
        <f>+AD16-AD17</f>
        <v>34679</v>
      </c>
      <c r="AE18" s="2">
        <f>+AE16-AE17</f>
        <v>36191</v>
      </c>
      <c r="AF18" s="2">
        <f>+AF16-AF17</f>
        <v>39069</v>
      </c>
      <c r="AG18" s="2">
        <f>+AG16-AG17</f>
        <v>43737</v>
      </c>
      <c r="AH18" s="2">
        <f>+AH16-AH17</f>
        <v>42140</v>
      </c>
      <c r="AI18" s="2">
        <f>+AI16-AI17</f>
        <v>43612</v>
      </c>
      <c r="AJ18" s="2">
        <f>+AJ16-AJ17</f>
        <v>43815</v>
      </c>
      <c r="AK18" s="2">
        <f>+AK16-AK17</f>
        <v>26866</v>
      </c>
      <c r="AL18" s="2">
        <f>+AL16*0.45</f>
        <v>22500</v>
      </c>
      <c r="AM18" s="2">
        <f>+AM16*0.47</f>
        <v>24696.087254999999</v>
      </c>
      <c r="AN18" s="2">
        <f>+AN16*0.48</f>
        <v>27001.879632000004</v>
      </c>
      <c r="AO18" s="2">
        <f>+AO16*0.48</f>
        <v>28897.203875400002</v>
      </c>
      <c r="AP18" s="2">
        <f>+AP16*0.49</f>
        <v>30974.19040394438</v>
      </c>
      <c r="AQ18" s="2">
        <f>+AQ16*0.49</f>
        <v>33136.539545351829</v>
      </c>
      <c r="AR18" s="2">
        <f>+AR16*0.5</f>
        <v>35503.435227162663</v>
      </c>
      <c r="AS18" s="2">
        <f>+AS16*0.5</f>
        <v>37278.606988520805</v>
      </c>
      <c r="AT18" s="2">
        <f>+AT16*0.51</f>
        <v>40664.747123311448</v>
      </c>
      <c r="AU18" s="2">
        <f>+AU16*0.51</f>
        <v>43474.311470012974</v>
      </c>
      <c r="AV18" s="2">
        <f>+AV16*0.52</f>
        <v>46543.086397308012</v>
      </c>
      <c r="AW18" s="2">
        <f>+AW16*0.52</f>
        <v>48870.240717173408</v>
      </c>
      <c r="AX18" s="2">
        <f>+AX16*0.53</f>
        <v>52300.555690590394</v>
      </c>
    </row>
    <row r="19" spans="2:128" x14ac:dyDescent="0.2">
      <c r="B19" s="2" t="s">
        <v>27</v>
      </c>
      <c r="G19" s="5">
        <v>3623</v>
      </c>
      <c r="H19" s="5">
        <v>3715</v>
      </c>
      <c r="I19" s="5">
        <v>3803</v>
      </c>
      <c r="J19" s="5">
        <v>4049</v>
      </c>
      <c r="K19" s="5">
        <v>4362</v>
      </c>
      <c r="L19" s="5">
        <v>4400</v>
      </c>
      <c r="M19" s="5">
        <v>4302</v>
      </c>
      <c r="N19" s="5">
        <v>4464</v>
      </c>
      <c r="T19" s="2">
        <v>5145</v>
      </c>
      <c r="U19" s="2">
        <v>5873</v>
      </c>
      <c r="V19" s="2">
        <v>5755</v>
      </c>
      <c r="W19" s="2">
        <v>5722</v>
      </c>
      <c r="X19" s="2">
        <v>5653</v>
      </c>
      <c r="Y19" s="2">
        <v>6576</v>
      </c>
      <c r="Z19" s="2">
        <v>8350</v>
      </c>
      <c r="AA19" s="2">
        <v>10148</v>
      </c>
      <c r="AB19" s="2">
        <v>10611</v>
      </c>
      <c r="AC19" s="2">
        <v>11537</v>
      </c>
      <c r="AD19" s="2">
        <v>12128</v>
      </c>
      <c r="AE19" s="2">
        <v>12740</v>
      </c>
      <c r="AF19" s="2">
        <v>13098</v>
      </c>
      <c r="AG19" s="2">
        <v>13543</v>
      </c>
      <c r="AH19" s="2">
        <v>13362</v>
      </c>
      <c r="AI19" s="2">
        <v>13556</v>
      </c>
      <c r="AJ19" s="2">
        <v>15190</v>
      </c>
      <c r="AK19" s="2">
        <v>17528</v>
      </c>
      <c r="AL19" s="2">
        <f>+AK19*1.03</f>
        <v>18053.84</v>
      </c>
      <c r="AM19" s="2">
        <f t="shared" ref="AM19:AX19" si="8">+AL19*1.03</f>
        <v>18595.4552</v>
      </c>
      <c r="AN19" s="2">
        <f t="shared" si="8"/>
        <v>19153.318856000002</v>
      </c>
      <c r="AO19" s="2">
        <f t="shared" si="8"/>
        <v>19727.918421680002</v>
      </c>
      <c r="AP19" s="2">
        <f t="shared" si="8"/>
        <v>20319.755974330405</v>
      </c>
      <c r="AQ19" s="2">
        <f t="shared" si="8"/>
        <v>20929.348653560319</v>
      </c>
      <c r="AR19" s="2">
        <f t="shared" si="8"/>
        <v>21557.22911316713</v>
      </c>
      <c r="AS19" s="2">
        <f t="shared" si="8"/>
        <v>22203.945986562143</v>
      </c>
      <c r="AT19" s="2">
        <f t="shared" si="8"/>
        <v>22870.064366159007</v>
      </c>
      <c r="AU19" s="2">
        <f t="shared" si="8"/>
        <v>23556.16629714378</v>
      </c>
      <c r="AV19" s="2">
        <f t="shared" si="8"/>
        <v>24262.851286058092</v>
      </c>
      <c r="AW19" s="2">
        <f t="shared" si="8"/>
        <v>24990.736824639836</v>
      </c>
      <c r="AX19" s="2">
        <f t="shared" si="8"/>
        <v>25740.45892937903</v>
      </c>
    </row>
    <row r="20" spans="2:128" x14ac:dyDescent="0.2">
      <c r="B20" s="2" t="s">
        <v>28</v>
      </c>
      <c r="G20" s="5">
        <v>1328</v>
      </c>
      <c r="H20" s="5">
        <v>1599</v>
      </c>
      <c r="I20" s="5">
        <v>1674</v>
      </c>
      <c r="J20" s="5">
        <v>1942</v>
      </c>
      <c r="K20" s="5">
        <v>1752</v>
      </c>
      <c r="L20" s="5">
        <v>1800</v>
      </c>
      <c r="M20" s="5">
        <v>1744</v>
      </c>
      <c r="N20" s="5">
        <v>1706</v>
      </c>
      <c r="T20" s="2">
        <v>5688</v>
      </c>
      <c r="U20" s="2">
        <v>6096</v>
      </c>
      <c r="V20" s="2">
        <v>5401</v>
      </c>
      <c r="W20" s="2">
        <v>5458</v>
      </c>
      <c r="X20" s="2">
        <v>7931</v>
      </c>
      <c r="Y20" s="2">
        <v>6309</v>
      </c>
      <c r="Z20" s="2">
        <v>7670</v>
      </c>
      <c r="AA20" s="2">
        <v>8057</v>
      </c>
      <c r="AB20" s="2">
        <v>8088</v>
      </c>
      <c r="AC20" s="2">
        <v>8136</v>
      </c>
      <c r="AD20" s="2">
        <v>7930</v>
      </c>
      <c r="AE20" s="2">
        <v>8397</v>
      </c>
      <c r="AF20" s="2">
        <v>7474</v>
      </c>
      <c r="AG20" s="2">
        <v>6950</v>
      </c>
      <c r="AH20" s="2">
        <v>6350</v>
      </c>
      <c r="AI20" s="2">
        <v>6180</v>
      </c>
      <c r="AJ20" s="2">
        <v>6543</v>
      </c>
      <c r="AK20" s="2">
        <v>7002</v>
      </c>
      <c r="AL20" s="2">
        <f>+AK20*1.03</f>
        <v>7212.06</v>
      </c>
      <c r="AM20" s="2">
        <f t="shared" ref="AM20:AX20" si="9">+AL20*1.03</f>
        <v>7428.421800000001</v>
      </c>
      <c r="AN20" s="2">
        <f t="shared" si="9"/>
        <v>7651.2744540000012</v>
      </c>
      <c r="AO20" s="2">
        <f t="shared" si="9"/>
        <v>7880.8126876200013</v>
      </c>
      <c r="AP20" s="2">
        <f t="shared" si="9"/>
        <v>8117.2370682486016</v>
      </c>
      <c r="AQ20" s="2">
        <f t="shared" si="9"/>
        <v>8360.7541802960604</v>
      </c>
      <c r="AR20" s="2">
        <f t="shared" si="9"/>
        <v>8611.5768057049427</v>
      </c>
      <c r="AS20" s="2">
        <f t="shared" si="9"/>
        <v>8869.9241098760904</v>
      </c>
      <c r="AT20" s="2">
        <f t="shared" si="9"/>
        <v>9136.0218331723736</v>
      </c>
      <c r="AU20" s="2">
        <f t="shared" si="9"/>
        <v>9410.1024881675457</v>
      </c>
      <c r="AV20" s="2">
        <f t="shared" si="9"/>
        <v>9692.4055628125716</v>
      </c>
      <c r="AW20" s="2">
        <f t="shared" si="9"/>
        <v>9983.1777296969485</v>
      </c>
      <c r="AX20" s="2">
        <f t="shared" si="9"/>
        <v>10282.673061587857</v>
      </c>
    </row>
    <row r="21" spans="2:128" x14ac:dyDescent="0.2">
      <c r="B21" s="2" t="s">
        <v>29</v>
      </c>
      <c r="G21" s="5">
        <f>+G19+G20</f>
        <v>4951</v>
      </c>
      <c r="H21" s="5">
        <f>+H19+H20</f>
        <v>5314</v>
      </c>
      <c r="I21" s="5">
        <f>+I19+I20</f>
        <v>5477</v>
      </c>
      <c r="J21" s="5">
        <f>+J19+J20</f>
        <v>5991</v>
      </c>
      <c r="K21" s="5">
        <f>+K19+K20</f>
        <v>6114</v>
      </c>
      <c r="L21" s="5">
        <f>+L19+L20</f>
        <v>6200</v>
      </c>
      <c r="M21" s="5">
        <f>+M19+M20</f>
        <v>6046</v>
      </c>
      <c r="N21" s="5">
        <f>+N19+N20</f>
        <v>6170</v>
      </c>
      <c r="O21" s="5">
        <f t="shared" ref="O21" si="10">+O19+O20</f>
        <v>0</v>
      </c>
      <c r="P21" s="5">
        <f t="shared" ref="P21" si="11">+P19+P20</f>
        <v>0</v>
      </c>
      <c r="Q21" s="5">
        <f t="shared" ref="Q21" si="12">+Q19+Q20</f>
        <v>0</v>
      </c>
      <c r="R21" s="5">
        <f t="shared" ref="R21" si="13">+R19+R20</f>
        <v>0</v>
      </c>
      <c r="T21" s="2">
        <f>+T19+T20</f>
        <v>10833</v>
      </c>
      <c r="U21" s="2">
        <f>+U19+U20</f>
        <v>11969</v>
      </c>
      <c r="V21" s="2">
        <f>+V19+V20</f>
        <v>11156</v>
      </c>
      <c r="W21" s="2">
        <f>+W19+W20</f>
        <v>11180</v>
      </c>
      <c r="X21" s="2">
        <f t="shared" ref="X21" si="14">+X19+X20</f>
        <v>13584</v>
      </c>
      <c r="Y21" s="2">
        <f t="shared" ref="Y21" si="15">+Y19+Y20</f>
        <v>12885</v>
      </c>
      <c r="Z21" s="2">
        <f t="shared" ref="Z21" si="16">+Z19+Z20</f>
        <v>16020</v>
      </c>
      <c r="AA21" s="2">
        <f t="shared" ref="AA21" si="17">+AA19+AA20</f>
        <v>18205</v>
      </c>
      <c r="AB21" s="2">
        <f>+AB19+AB20</f>
        <v>18699</v>
      </c>
      <c r="AC21" s="2">
        <f t="shared" ref="AC21:AE21" si="18">+AC19+AC20</f>
        <v>19673</v>
      </c>
      <c r="AD21" s="2">
        <f t="shared" si="18"/>
        <v>20058</v>
      </c>
      <c r="AE21" s="2">
        <f t="shared" si="18"/>
        <v>21137</v>
      </c>
      <c r="AF21" s="2">
        <f>+AF19+AF20</f>
        <v>20572</v>
      </c>
      <c r="AG21" s="2">
        <f>+AG19+AG20</f>
        <v>20493</v>
      </c>
      <c r="AH21" s="2">
        <f>+AH19+AH20</f>
        <v>19712</v>
      </c>
      <c r="AI21" s="2">
        <f>+AI19+AI20</f>
        <v>19736</v>
      </c>
      <c r="AJ21" s="2">
        <f t="shared" ref="AJ21:AK21" si="19">+AJ19+AJ20</f>
        <v>21733</v>
      </c>
      <c r="AK21" s="2">
        <f t="shared" si="19"/>
        <v>24530</v>
      </c>
      <c r="AL21" s="2">
        <f>+AL19+AL20</f>
        <v>25265.9</v>
      </c>
      <c r="AM21" s="2">
        <f t="shared" ref="AM21:AX21" si="20">+AM19+AM20</f>
        <v>26023.877</v>
      </c>
      <c r="AN21" s="2">
        <f t="shared" si="20"/>
        <v>26804.593310000004</v>
      </c>
      <c r="AO21" s="2">
        <f t="shared" si="20"/>
        <v>27608.731109300003</v>
      </c>
      <c r="AP21" s="2">
        <f t="shared" si="20"/>
        <v>28436.993042579008</v>
      </c>
      <c r="AQ21" s="2">
        <f t="shared" si="20"/>
        <v>29290.102833856377</v>
      </c>
      <c r="AR21" s="2">
        <f t="shared" si="20"/>
        <v>30168.805918872073</v>
      </c>
      <c r="AS21" s="2">
        <f t="shared" si="20"/>
        <v>31073.870096438233</v>
      </c>
      <c r="AT21" s="2">
        <f t="shared" si="20"/>
        <v>32006.086199331381</v>
      </c>
      <c r="AU21" s="2">
        <f t="shared" si="20"/>
        <v>32966.268785311324</v>
      </c>
      <c r="AV21" s="2">
        <f t="shared" si="20"/>
        <v>33955.25684887066</v>
      </c>
      <c r="AW21" s="2">
        <f t="shared" si="20"/>
        <v>34973.914554336785</v>
      </c>
      <c r="AX21" s="2">
        <f t="shared" si="20"/>
        <v>36023.131990966889</v>
      </c>
    </row>
    <row r="22" spans="2:128" x14ac:dyDescent="0.2">
      <c r="B22" s="2" t="s">
        <v>30</v>
      </c>
      <c r="G22" s="5">
        <f>+G18-G21</f>
        <v>5903</v>
      </c>
      <c r="H22" s="5">
        <f>+H18-H21</f>
        <v>5892</v>
      </c>
      <c r="I22" s="5">
        <f>+I18-I21</f>
        <v>5269</v>
      </c>
      <c r="J22" s="5">
        <f>+J18-J21</f>
        <v>5018</v>
      </c>
      <c r="K22" s="5">
        <f>+K18-K21</f>
        <v>3130</v>
      </c>
      <c r="L22" s="5">
        <f>+L18-L21</f>
        <v>-613</v>
      </c>
      <c r="M22" s="5">
        <f>+M18-M21</f>
        <v>489</v>
      </c>
      <c r="N22" s="5">
        <f>+N18-N21</f>
        <v>-670</v>
      </c>
      <c r="O22" s="5">
        <f t="shared" ref="O22" si="21">+O18-O21</f>
        <v>4290</v>
      </c>
      <c r="P22" s="5">
        <f t="shared" ref="P22" si="22">+P18-P21</f>
        <v>0</v>
      </c>
      <c r="Q22" s="5">
        <f t="shared" ref="Q22" si="23">+Q18-Q21</f>
        <v>0</v>
      </c>
      <c r="R22" s="5">
        <f t="shared" ref="R22" si="24">+R18-R21</f>
        <v>0</v>
      </c>
      <c r="T22" s="2">
        <f>+T18-T21</f>
        <v>12216</v>
      </c>
      <c r="U22" s="2">
        <f>+U18-U21</f>
        <v>6249</v>
      </c>
      <c r="V22" s="2">
        <f>+V18-V21</f>
        <v>8748</v>
      </c>
      <c r="W22" s="2">
        <f>+W18-W21</f>
        <v>9664</v>
      </c>
      <c r="X22" s="2">
        <f t="shared" ref="X22" si="25">+X18-X21</f>
        <v>5977</v>
      </c>
      <c r="Y22" s="2">
        <f t="shared" ref="Y22" si="26">+Y18-Y21</f>
        <v>15606</v>
      </c>
      <c r="Z22" s="2">
        <f t="shared" ref="Z22" si="27">+Z18-Z21</f>
        <v>17737</v>
      </c>
      <c r="AA22" s="2">
        <f t="shared" ref="AA22" si="28">+AA18-AA21</f>
        <v>14946</v>
      </c>
      <c r="AB22" s="2">
        <f>+AB18-AB21</f>
        <v>12822</v>
      </c>
      <c r="AC22" s="2">
        <f t="shared" ref="AC22:AE22" si="29">+AC18-AC21</f>
        <v>15936</v>
      </c>
      <c r="AD22" s="2">
        <f t="shared" si="29"/>
        <v>14621</v>
      </c>
      <c r="AE22" s="2">
        <f t="shared" si="29"/>
        <v>15054</v>
      </c>
      <c r="AF22" s="2">
        <f>+AF18-AF21</f>
        <v>18497</v>
      </c>
      <c r="AG22" s="2">
        <f>+AG18-AG21</f>
        <v>23244</v>
      </c>
      <c r="AH22" s="2">
        <f>+AH18-AH21</f>
        <v>22428</v>
      </c>
      <c r="AI22" s="2">
        <f>+AI18-AI21</f>
        <v>23876</v>
      </c>
      <c r="AJ22" s="2">
        <f>+AJ18-AJ21</f>
        <v>22082</v>
      </c>
      <c r="AK22" s="2">
        <f>+AK18-AK21</f>
        <v>2336</v>
      </c>
      <c r="AL22" s="2">
        <f>+AL18-AL21</f>
        <v>-2765.9000000000015</v>
      </c>
      <c r="AM22" s="2">
        <f t="shared" ref="AM22:AX22" si="30">+AM18-AM21</f>
        <v>-1327.7897450000019</v>
      </c>
      <c r="AN22" s="2">
        <f t="shared" si="30"/>
        <v>197.28632199999993</v>
      </c>
      <c r="AO22" s="2">
        <f t="shared" si="30"/>
        <v>1288.4727660999997</v>
      </c>
      <c r="AP22" s="2">
        <f t="shared" si="30"/>
        <v>2537.1973613653718</v>
      </c>
      <c r="AQ22" s="2">
        <f t="shared" si="30"/>
        <v>3846.4367114954512</v>
      </c>
      <c r="AR22" s="2">
        <f t="shared" si="30"/>
        <v>5334.6293082905904</v>
      </c>
      <c r="AS22" s="2">
        <f t="shared" si="30"/>
        <v>6204.736892082572</v>
      </c>
      <c r="AT22" s="2">
        <f t="shared" si="30"/>
        <v>8658.6609239800673</v>
      </c>
      <c r="AU22" s="2">
        <f t="shared" si="30"/>
        <v>10508.04268470165</v>
      </c>
      <c r="AV22" s="2">
        <f t="shared" si="30"/>
        <v>12587.829548437352</v>
      </c>
      <c r="AW22" s="2">
        <f t="shared" si="30"/>
        <v>13896.326162836624</v>
      </c>
      <c r="AX22" s="2">
        <f t="shared" si="30"/>
        <v>16277.423699623505</v>
      </c>
    </row>
    <row r="23" spans="2:128" x14ac:dyDescent="0.2">
      <c r="B23" s="2" t="s">
        <v>31</v>
      </c>
      <c r="G23" s="5">
        <v>-156</v>
      </c>
      <c r="H23" s="5">
        <v>-96</v>
      </c>
      <c r="I23" s="5">
        <v>-76</v>
      </c>
      <c r="J23" s="5">
        <v>-154</v>
      </c>
      <c r="K23" s="5">
        <v>997</v>
      </c>
      <c r="L23" s="5">
        <v>-119</v>
      </c>
      <c r="M23" s="5">
        <v>138</v>
      </c>
      <c r="N23" s="5">
        <v>150</v>
      </c>
      <c r="T23" s="2">
        <v>-565</v>
      </c>
      <c r="U23" s="2">
        <v>-1202</v>
      </c>
      <c r="V23" s="2">
        <v>-793</v>
      </c>
      <c r="W23" s="2">
        <v>-488</v>
      </c>
      <c r="X23" s="2">
        <v>-163</v>
      </c>
      <c r="Y23" s="2">
        <v>-109</v>
      </c>
      <c r="Z23" s="2">
        <v>-192</v>
      </c>
      <c r="AA23" s="2">
        <v>-94</v>
      </c>
      <c r="AB23" s="2">
        <v>-151</v>
      </c>
      <c r="AC23" s="2">
        <v>43</v>
      </c>
      <c r="AD23" s="2">
        <v>-105</v>
      </c>
      <c r="AE23" s="2">
        <v>-444</v>
      </c>
      <c r="AF23" s="2">
        <v>-235</v>
      </c>
      <c r="AG23" s="2">
        <v>126</v>
      </c>
      <c r="AH23" s="2">
        <v>484</v>
      </c>
      <c r="AI23" s="2">
        <v>-504</v>
      </c>
      <c r="AJ23" s="2">
        <v>-482</v>
      </c>
      <c r="AK23" s="2">
        <v>1166</v>
      </c>
      <c r="AQ23" s="2">
        <f>+AP34*$BB$30</f>
        <v>-78.59001302338396</v>
      </c>
      <c r="AR23" s="2">
        <f t="shared" ref="AR23:AX23" si="31">+AQ34*$BB$30</f>
        <v>-47.693670095913014</v>
      </c>
      <c r="AS23" s="2">
        <f t="shared" si="31"/>
        <v>-4.3407978627166539</v>
      </c>
      <c r="AT23" s="2">
        <f t="shared" si="31"/>
        <v>46.502450109886162</v>
      </c>
      <c r="AU23" s="2">
        <f t="shared" si="31"/>
        <v>117.88478977742379</v>
      </c>
      <c r="AV23" s="2">
        <f t="shared" si="31"/>
        <v>205.01739506815218</v>
      </c>
      <c r="AW23" s="2">
        <f t="shared" si="31"/>
        <v>309.91874000489736</v>
      </c>
      <c r="AX23" s="2">
        <f t="shared" si="31"/>
        <v>426.40994820819782</v>
      </c>
    </row>
    <row r="24" spans="2:128" x14ac:dyDescent="0.2">
      <c r="B24" s="2" t="s">
        <v>32</v>
      </c>
      <c r="G24" s="5">
        <f>+G22+G23</f>
        <v>5747</v>
      </c>
      <c r="H24" s="5">
        <f>+H22+H23</f>
        <v>5796</v>
      </c>
      <c r="I24" s="5">
        <f>+I22+I23</f>
        <v>5193</v>
      </c>
      <c r="J24" s="5">
        <f>+J22+J23</f>
        <v>4864</v>
      </c>
      <c r="K24" s="5">
        <f>+K22+K23</f>
        <v>4127</v>
      </c>
      <c r="L24" s="5">
        <f>+L22+L23</f>
        <v>-732</v>
      </c>
      <c r="M24" s="5">
        <f>+M22+M23</f>
        <v>627</v>
      </c>
      <c r="N24" s="5">
        <f>+N22+N23</f>
        <v>-520</v>
      </c>
      <c r="T24" s="2">
        <f>+T22+T23</f>
        <v>11651</v>
      </c>
      <c r="U24" s="2">
        <f>+U22+U23</f>
        <v>5047</v>
      </c>
      <c r="V24" s="2">
        <f>+V22+V23</f>
        <v>7955</v>
      </c>
      <c r="W24" s="2">
        <f>+W22+W23</f>
        <v>9176</v>
      </c>
      <c r="X24" s="2">
        <f t="shared" ref="X24" si="32">+X22+X23</f>
        <v>5814</v>
      </c>
      <c r="Y24" s="2">
        <f t="shared" ref="Y24" si="33">+Y22+Y23</f>
        <v>15497</v>
      </c>
      <c r="Z24" s="2">
        <f t="shared" ref="Z24" si="34">+Z22+Z23</f>
        <v>17545</v>
      </c>
      <c r="AA24" s="2">
        <f t="shared" ref="AA24" si="35">+AA22+AA23</f>
        <v>14852</v>
      </c>
      <c r="AB24" s="2">
        <f>+AB22+AB23</f>
        <v>12671</v>
      </c>
      <c r="AC24" s="2">
        <f>+AC22+AC23</f>
        <v>15979</v>
      </c>
      <c r="AD24" s="2">
        <f>+AD22+AD23</f>
        <v>14516</v>
      </c>
      <c r="AE24" s="2">
        <f t="shared" ref="AE24" si="36">+AE22+AE23</f>
        <v>14610</v>
      </c>
      <c r="AF24" s="2">
        <f>+AF22+AF23</f>
        <v>18262</v>
      </c>
      <c r="AG24" s="2">
        <f>+AG22+AG23</f>
        <v>23370</v>
      </c>
      <c r="AH24" s="2">
        <f>+AH22+AH23</f>
        <v>22912</v>
      </c>
      <c r="AI24" s="2">
        <f>+AI22+AI23</f>
        <v>23372</v>
      </c>
      <c r="AJ24" s="2">
        <f>+AJ22+AJ23</f>
        <v>21600</v>
      </c>
      <c r="AK24" s="2">
        <f>+AK22+AK23</f>
        <v>3502</v>
      </c>
      <c r="AL24" s="2">
        <f t="shared" ref="AL24:AX24" si="37">+AL22+AL23</f>
        <v>-2765.9000000000015</v>
      </c>
      <c r="AM24" s="2">
        <f t="shared" si="37"/>
        <v>-1327.7897450000019</v>
      </c>
      <c r="AN24" s="2">
        <f t="shared" si="37"/>
        <v>197.28632199999993</v>
      </c>
      <c r="AO24" s="2">
        <f t="shared" si="37"/>
        <v>1288.4727660999997</v>
      </c>
      <c r="AP24" s="2">
        <f t="shared" si="37"/>
        <v>2537.1973613653718</v>
      </c>
      <c r="AQ24" s="2">
        <f t="shared" si="37"/>
        <v>3767.8466984720671</v>
      </c>
      <c r="AR24" s="2">
        <f t="shared" si="37"/>
        <v>5286.9356381946773</v>
      </c>
      <c r="AS24" s="2">
        <f t="shared" si="37"/>
        <v>6200.3960942198555</v>
      </c>
      <c r="AT24" s="2">
        <f t="shared" si="37"/>
        <v>8705.1633740899542</v>
      </c>
      <c r="AU24" s="2">
        <f t="shared" si="37"/>
        <v>10625.927474479073</v>
      </c>
      <c r="AV24" s="2">
        <f t="shared" si="37"/>
        <v>12792.846943505505</v>
      </c>
      <c r="AW24" s="2">
        <f t="shared" si="37"/>
        <v>14206.244902841521</v>
      </c>
      <c r="AX24" s="2">
        <f t="shared" si="37"/>
        <v>16703.833647831703</v>
      </c>
      <c r="AY24" s="2"/>
    </row>
    <row r="25" spans="2:128" x14ac:dyDescent="0.2">
      <c r="B25" s="2" t="s">
        <v>33</v>
      </c>
      <c r="G25" s="5">
        <v>545</v>
      </c>
      <c r="H25" s="5">
        <v>684</v>
      </c>
      <c r="I25" s="5">
        <v>35</v>
      </c>
      <c r="J25" s="5">
        <v>571</v>
      </c>
      <c r="K25" s="5">
        <v>1548</v>
      </c>
      <c r="L25" s="5">
        <v>0</v>
      </c>
      <c r="M25" s="5">
        <v>0</v>
      </c>
      <c r="N25" s="5">
        <v>0</v>
      </c>
      <c r="T25" s="2">
        <v>3946</v>
      </c>
      <c r="U25" s="2">
        <v>2024</v>
      </c>
      <c r="V25" s="2">
        <v>2190</v>
      </c>
      <c r="W25" s="2">
        <v>2394</v>
      </c>
      <c r="X25" s="2">
        <v>1335</v>
      </c>
      <c r="Y25" s="2">
        <v>4581</v>
      </c>
      <c r="Z25" s="2">
        <v>4839</v>
      </c>
      <c r="AA25" s="2">
        <v>3868</v>
      </c>
      <c r="AB25" s="2">
        <v>2991</v>
      </c>
      <c r="AC25" s="2">
        <v>4097</v>
      </c>
      <c r="AD25" s="2">
        <v>2792</v>
      </c>
      <c r="AE25" s="2">
        <v>2620</v>
      </c>
      <c r="AF25" s="2">
        <v>0</v>
      </c>
      <c r="AG25" s="2">
        <v>2264</v>
      </c>
      <c r="AH25" s="2">
        <v>3010</v>
      </c>
      <c r="AI25" s="2">
        <v>4179</v>
      </c>
      <c r="AJ25" s="2">
        <v>1835</v>
      </c>
      <c r="AK25" s="2">
        <v>-249</v>
      </c>
      <c r="AL25" s="2">
        <f>+AL24*0.18</f>
        <v>-497.86200000000025</v>
      </c>
      <c r="AM25" s="2">
        <f t="shared" ref="AM25:AX25" si="38">+AM24*0.18</f>
        <v>-239.00215410000033</v>
      </c>
      <c r="AN25" s="2">
        <f t="shared" si="38"/>
        <v>35.511537959999984</v>
      </c>
      <c r="AO25" s="2">
        <f t="shared" si="38"/>
        <v>231.92509789799993</v>
      </c>
      <c r="AP25" s="2">
        <f t="shared" si="38"/>
        <v>456.69552504576689</v>
      </c>
      <c r="AQ25" s="2">
        <f t="shared" si="38"/>
        <v>678.21240572497209</v>
      </c>
      <c r="AR25" s="2">
        <f t="shared" si="38"/>
        <v>951.64841487504191</v>
      </c>
      <c r="AS25" s="2">
        <f t="shared" si="38"/>
        <v>1116.0712969595741</v>
      </c>
      <c r="AT25" s="2">
        <f t="shared" si="38"/>
        <v>1566.9294073361916</v>
      </c>
      <c r="AU25" s="2">
        <f t="shared" si="38"/>
        <v>1912.666945406233</v>
      </c>
      <c r="AV25" s="2">
        <f t="shared" si="38"/>
        <v>2302.7124498309909</v>
      </c>
      <c r="AW25" s="2">
        <f t="shared" si="38"/>
        <v>2557.1240825114737</v>
      </c>
      <c r="AX25" s="2">
        <f t="shared" si="38"/>
        <v>3006.6900566097065</v>
      </c>
    </row>
    <row r="26" spans="2:128" x14ac:dyDescent="0.2">
      <c r="B26" s="2" t="s">
        <v>34</v>
      </c>
      <c r="G26" s="5">
        <f>+G24-G25</f>
        <v>5202</v>
      </c>
      <c r="H26" s="5">
        <f>+H24-H25</f>
        <v>5112</v>
      </c>
      <c r="I26" s="5">
        <f>+I24-I25</f>
        <v>5158</v>
      </c>
      <c r="J26" s="5">
        <f>+J24-J25</f>
        <v>4293</v>
      </c>
      <c r="K26" s="5">
        <f>+K24-K25</f>
        <v>2579</v>
      </c>
      <c r="L26" s="5">
        <f>+L24-L25</f>
        <v>-732</v>
      </c>
      <c r="M26" s="5">
        <f>+M24-M25</f>
        <v>627</v>
      </c>
      <c r="N26" s="5">
        <f>+N24-N25</f>
        <v>-520</v>
      </c>
      <c r="T26" s="2">
        <f>+T24-T25</f>
        <v>7705</v>
      </c>
      <c r="U26" s="2">
        <f>+U24-U25</f>
        <v>3023</v>
      </c>
      <c r="V26" s="2">
        <f>+V24-V25</f>
        <v>5765</v>
      </c>
      <c r="W26" s="2">
        <f>+W24-W25</f>
        <v>6782</v>
      </c>
      <c r="X26" s="2">
        <f t="shared" ref="X26" si="39">+X24-X25</f>
        <v>4479</v>
      </c>
      <c r="Y26" s="2">
        <f t="shared" ref="Y26" si="40">+Y24-Y25</f>
        <v>10916</v>
      </c>
      <c r="Z26" s="2">
        <f t="shared" ref="Z26" si="41">+Z24-Z25</f>
        <v>12706</v>
      </c>
      <c r="AA26" s="2">
        <f t="shared" ref="AA26" si="42">+AA24-AA25</f>
        <v>10984</v>
      </c>
      <c r="AB26" s="2">
        <f>+AB24-AB25</f>
        <v>9680</v>
      </c>
      <c r="AC26" s="2">
        <f>+AC24-AC25</f>
        <v>11882</v>
      </c>
      <c r="AD26" s="2">
        <f>+AD24-AD25</f>
        <v>11724</v>
      </c>
      <c r="AE26" s="2">
        <f t="shared" ref="AE26" si="43">+AE24-AE25</f>
        <v>11990</v>
      </c>
      <c r="AF26" s="2">
        <f>+AF24-AF25</f>
        <v>18262</v>
      </c>
      <c r="AG26" s="2">
        <f>+AG24-AG25</f>
        <v>21106</v>
      </c>
      <c r="AH26" s="2">
        <f>+AH24-AH25</f>
        <v>19902</v>
      </c>
      <c r="AI26" s="2">
        <f>+AI24-AI25</f>
        <v>19193</v>
      </c>
      <c r="AJ26" s="2">
        <f t="shared" ref="AJ26:AK26" si="44">+AJ24-AJ25</f>
        <v>19765</v>
      </c>
      <c r="AK26" s="2">
        <f t="shared" si="44"/>
        <v>3751</v>
      </c>
      <c r="AL26" s="2">
        <f t="shared" ref="AL26" si="45">+AL24-AL25</f>
        <v>-2268.0380000000014</v>
      </c>
      <c r="AM26" s="2">
        <f t="shared" ref="AM26" si="46">+AM24-AM25</f>
        <v>-1088.7875909000015</v>
      </c>
      <c r="AN26" s="2">
        <f t="shared" ref="AN26" si="47">+AN24-AN25</f>
        <v>161.77478403999993</v>
      </c>
      <c r="AO26" s="2">
        <f t="shared" ref="AO26" si="48">+AO24-AO25</f>
        <v>1056.5476682019998</v>
      </c>
      <c r="AP26" s="2">
        <f t="shared" ref="AP26" si="49">+AP24-AP25</f>
        <v>2080.501836319605</v>
      </c>
      <c r="AQ26" s="2">
        <f t="shared" ref="AQ26" si="50">+AQ24-AQ25</f>
        <v>3089.6342927470951</v>
      </c>
      <c r="AR26" s="2">
        <f t="shared" ref="AR26" si="51">+AR24-AR25</f>
        <v>4335.2872233196358</v>
      </c>
      <c r="AS26" s="2">
        <f t="shared" ref="AS26" si="52">+AS24-AS25</f>
        <v>5084.3247972602812</v>
      </c>
      <c r="AT26" s="2">
        <f t="shared" ref="AT26" si="53">+AT24-AT25</f>
        <v>7138.2339667537626</v>
      </c>
      <c r="AU26" s="2">
        <f t="shared" ref="AU26" si="54">+AU24-AU25</f>
        <v>8713.2605290728388</v>
      </c>
      <c r="AV26" s="2">
        <f t="shared" ref="AV26" si="55">+AV24-AV25</f>
        <v>10490.134493674514</v>
      </c>
      <c r="AW26" s="2">
        <f t="shared" ref="AW26" si="56">+AW24-AW25</f>
        <v>11649.120820330048</v>
      </c>
      <c r="AX26" s="2">
        <f t="shared" ref="AX26" si="57">+AX24-AX25</f>
        <v>13697.143591221997</v>
      </c>
      <c r="AY26" s="2">
        <f>+AX26*(1+$BB$31)</f>
        <v>13834.115027134218</v>
      </c>
      <c r="AZ26" s="2">
        <f t="shared" ref="AZ26:DK26" si="58">+AY26*(1+$BB$31)</f>
        <v>13972.45617740556</v>
      </c>
      <c r="BA26" s="2">
        <f t="shared" si="58"/>
        <v>14112.180739179616</v>
      </c>
      <c r="BB26" s="2">
        <f t="shared" si="58"/>
        <v>14253.302546571413</v>
      </c>
      <c r="BC26" s="2">
        <f t="shared" si="58"/>
        <v>14395.835572037127</v>
      </c>
      <c r="BD26" s="2">
        <f t="shared" si="58"/>
        <v>14539.793927757499</v>
      </c>
      <c r="BE26" s="2">
        <f t="shared" si="58"/>
        <v>14685.191867035073</v>
      </c>
      <c r="BF26" s="2">
        <f t="shared" si="58"/>
        <v>14832.043785705424</v>
      </c>
      <c r="BG26" s="2">
        <f t="shared" si="58"/>
        <v>14980.364223562477</v>
      </c>
      <c r="BH26" s="2">
        <f t="shared" si="58"/>
        <v>15130.167865798103</v>
      </c>
      <c r="BI26" s="2">
        <f t="shared" si="58"/>
        <v>15281.469544456084</v>
      </c>
      <c r="BJ26" s="2">
        <f t="shared" si="58"/>
        <v>15434.284239900644</v>
      </c>
      <c r="BK26" s="2">
        <f t="shared" si="58"/>
        <v>15588.62708229965</v>
      </c>
      <c r="BL26" s="2">
        <f t="shared" si="58"/>
        <v>15744.513353122647</v>
      </c>
      <c r="BM26" s="2">
        <f t="shared" si="58"/>
        <v>15901.958486653873</v>
      </c>
      <c r="BN26" s="2">
        <f t="shared" si="58"/>
        <v>16060.978071520412</v>
      </c>
      <c r="BO26" s="2">
        <f t="shared" si="58"/>
        <v>16221.587852235616</v>
      </c>
      <c r="BP26" s="2">
        <f t="shared" si="58"/>
        <v>16383.803730757973</v>
      </c>
      <c r="BQ26" s="2">
        <f t="shared" si="58"/>
        <v>16547.641768065554</v>
      </c>
      <c r="BR26" s="2">
        <f t="shared" si="58"/>
        <v>16713.118185746211</v>
      </c>
      <c r="BS26" s="2">
        <f t="shared" si="58"/>
        <v>16880.249367603672</v>
      </c>
      <c r="BT26" s="2">
        <f t="shared" si="58"/>
        <v>17049.05186127971</v>
      </c>
      <c r="BU26" s="2">
        <f t="shared" si="58"/>
        <v>17219.542379892508</v>
      </c>
      <c r="BV26" s="2">
        <f t="shared" si="58"/>
        <v>17391.737803691434</v>
      </c>
      <c r="BW26" s="2">
        <f t="shared" si="58"/>
        <v>17565.655181728347</v>
      </c>
      <c r="BX26" s="2">
        <f t="shared" si="58"/>
        <v>17741.31173354563</v>
      </c>
      <c r="BY26" s="2">
        <f t="shared" si="58"/>
        <v>17918.724850881088</v>
      </c>
      <c r="BZ26" s="2">
        <f t="shared" si="58"/>
        <v>18097.912099389898</v>
      </c>
      <c r="CA26" s="2">
        <f t="shared" si="58"/>
        <v>18278.891220383797</v>
      </c>
      <c r="CB26" s="2">
        <f t="shared" si="58"/>
        <v>18461.680132587637</v>
      </c>
      <c r="CC26" s="2">
        <f t="shared" si="58"/>
        <v>18646.296933913512</v>
      </c>
      <c r="CD26" s="2">
        <f t="shared" si="58"/>
        <v>18832.759903252649</v>
      </c>
      <c r="CE26" s="2">
        <f t="shared" si="58"/>
        <v>19021.087502285176</v>
      </c>
      <c r="CF26" s="2">
        <f t="shared" si="58"/>
        <v>19211.298377308027</v>
      </c>
      <c r="CG26" s="2">
        <f t="shared" si="58"/>
        <v>19403.411361081107</v>
      </c>
      <c r="CH26" s="2">
        <f t="shared" si="58"/>
        <v>19597.445474691918</v>
      </c>
      <c r="CI26" s="2">
        <f t="shared" si="58"/>
        <v>19793.419929438838</v>
      </c>
      <c r="CJ26" s="2">
        <f t="shared" si="58"/>
        <v>19991.354128733226</v>
      </c>
      <c r="CK26" s="2">
        <f t="shared" si="58"/>
        <v>20191.267670020559</v>
      </c>
      <c r="CL26" s="2">
        <f t="shared" si="58"/>
        <v>20393.180346720765</v>
      </c>
      <c r="CM26" s="2">
        <f t="shared" si="58"/>
        <v>20597.112150187972</v>
      </c>
      <c r="CN26" s="2">
        <f t="shared" si="58"/>
        <v>20803.083271689851</v>
      </c>
      <c r="CO26" s="2">
        <f t="shared" si="58"/>
        <v>21011.114104406752</v>
      </c>
      <c r="CP26" s="2">
        <f t="shared" si="58"/>
        <v>21221.22524545082</v>
      </c>
      <c r="CQ26" s="2">
        <f t="shared" si="58"/>
        <v>21433.437497905328</v>
      </c>
      <c r="CR26" s="2">
        <f t="shared" si="58"/>
        <v>21647.771872884383</v>
      </c>
      <c r="CS26" s="2">
        <f t="shared" si="58"/>
        <v>21864.249591613228</v>
      </c>
      <c r="CT26" s="2">
        <f t="shared" si="58"/>
        <v>22082.892087529362</v>
      </c>
      <c r="CU26" s="2">
        <f t="shared" si="58"/>
        <v>22303.721008404656</v>
      </c>
      <c r="CV26" s="2">
        <f t="shared" si="58"/>
        <v>22526.758218488703</v>
      </c>
      <c r="CW26" s="2">
        <f t="shared" si="58"/>
        <v>22752.025800673589</v>
      </c>
      <c r="CX26" s="2">
        <f t="shared" si="58"/>
        <v>22979.546058680324</v>
      </c>
      <c r="CY26" s="2">
        <f t="shared" si="58"/>
        <v>23209.341519267127</v>
      </c>
      <c r="CZ26" s="2">
        <f t="shared" si="58"/>
        <v>23441.434934459798</v>
      </c>
      <c r="DA26" s="2">
        <f t="shared" si="58"/>
        <v>23675.849283804397</v>
      </c>
      <c r="DB26" s="2">
        <f t="shared" si="58"/>
        <v>23912.607776642442</v>
      </c>
      <c r="DC26" s="2">
        <f t="shared" si="58"/>
        <v>24151.733854408867</v>
      </c>
      <c r="DD26" s="2">
        <f t="shared" si="58"/>
        <v>24393.251192952957</v>
      </c>
      <c r="DE26" s="2">
        <f t="shared" si="58"/>
        <v>24637.183704882485</v>
      </c>
      <c r="DF26" s="2">
        <f t="shared" si="58"/>
        <v>24883.55554193131</v>
      </c>
      <c r="DG26" s="2">
        <f t="shared" si="58"/>
        <v>25132.391097350624</v>
      </c>
      <c r="DH26" s="2">
        <f t="shared" si="58"/>
        <v>25383.715008324132</v>
      </c>
      <c r="DI26" s="2">
        <f t="shared" si="58"/>
        <v>25637.552158407372</v>
      </c>
      <c r="DJ26" s="2">
        <f t="shared" si="58"/>
        <v>25893.927679991448</v>
      </c>
      <c r="DK26" s="2">
        <f t="shared" si="58"/>
        <v>26152.866956791364</v>
      </c>
      <c r="DL26" s="2">
        <f t="shared" ref="DL26:DX26" si="59">+DK26*(1+$BB$31)</f>
        <v>26414.395626359277</v>
      </c>
      <c r="DM26" s="2">
        <f t="shared" si="59"/>
        <v>26678.539582622871</v>
      </c>
      <c r="DN26" s="2">
        <f t="shared" si="59"/>
        <v>26945.324978449098</v>
      </c>
      <c r="DO26" s="2">
        <f t="shared" si="59"/>
        <v>27214.77822823359</v>
      </c>
      <c r="DP26" s="2">
        <f t="shared" si="59"/>
        <v>27486.926010515926</v>
      </c>
      <c r="DQ26" s="2">
        <f t="shared" si="59"/>
        <v>27761.795270621085</v>
      </c>
      <c r="DR26" s="2">
        <f t="shared" si="59"/>
        <v>28039.413223327298</v>
      </c>
      <c r="DS26" s="2">
        <f t="shared" si="59"/>
        <v>28319.80735556057</v>
      </c>
      <c r="DT26" s="2">
        <f t="shared" si="59"/>
        <v>28603.005429116176</v>
      </c>
      <c r="DU26" s="2">
        <f t="shared" si="59"/>
        <v>28889.035483407337</v>
      </c>
      <c r="DV26" s="2">
        <f t="shared" si="59"/>
        <v>29177.925838241412</v>
      </c>
      <c r="DW26" s="2">
        <f t="shared" si="59"/>
        <v>29469.705096623828</v>
      </c>
      <c r="DX26" s="2">
        <f t="shared" si="59"/>
        <v>29764.402147590066</v>
      </c>
    </row>
    <row r="27" spans="2:128" x14ac:dyDescent="0.2">
      <c r="B27" s="2" t="s">
        <v>35</v>
      </c>
      <c r="G27" s="19">
        <f>+G26/G28</f>
        <v>1.27001953125</v>
      </c>
      <c r="H27" s="19">
        <f>+H26/H28</f>
        <v>1.2517140058765917</v>
      </c>
      <c r="I27" s="19">
        <f>+I26/I28</f>
        <v>1.2623592755751345</v>
      </c>
      <c r="J27" s="19">
        <f>+J26/J28</f>
        <v>1.0483516483516484</v>
      </c>
      <c r="K27" s="19">
        <f>+K26/K28</f>
        <v>0.62795227660092523</v>
      </c>
      <c r="L27" s="19">
        <f>+L26/L28</f>
        <v>-0.17853658536585365</v>
      </c>
      <c r="M27" s="19">
        <f>+M26/M28</f>
        <v>0.152</v>
      </c>
      <c r="N27" s="19">
        <f>+N26/N28</f>
        <v>-0.12581659811275103</v>
      </c>
      <c r="T27" s="1">
        <f>+T26/T28</f>
        <v>1.2471673680802848</v>
      </c>
      <c r="U27" s="1">
        <f>+U26/U28</f>
        <v>0.51411564625850337</v>
      </c>
      <c r="V27" s="1">
        <f>+V26/V28</f>
        <v>0.97119272237196763</v>
      </c>
      <c r="W27" s="1">
        <f>+W26/W28</f>
        <v>1.1798886569241476</v>
      </c>
      <c r="X27" s="1">
        <f t="shared" ref="X27" si="60">+X26/X28</f>
        <v>0.79344552701505755</v>
      </c>
      <c r="Y27" s="1">
        <f t="shared" ref="Y27" si="61">+Y26/Y28</f>
        <v>1.916432584269663</v>
      </c>
      <c r="Z27" s="1">
        <f t="shared" ref="Z27" si="62">+Z26/Z28</f>
        <v>2.3481796340787287</v>
      </c>
      <c r="AA27" s="1">
        <f t="shared" ref="AA27" si="63">+AA26/AA28</f>
        <v>2.1286821705426355</v>
      </c>
      <c r="AB27" s="1">
        <f>+AB26/AB28</f>
        <v>1.8991563664900921</v>
      </c>
      <c r="AC27" s="1">
        <f t="shared" ref="AC27:AE27" si="64">+AC26/AC28</f>
        <v>2.3500791139240507</v>
      </c>
      <c r="AD27" s="1">
        <f t="shared" si="64"/>
        <v>2.3955864323661626</v>
      </c>
      <c r="AE27" s="1">
        <f t="shared" si="64"/>
        <v>2.4594871794871795</v>
      </c>
      <c r="AF27" s="1">
        <f>+AF26/AF28</f>
        <v>3.7770423991726991</v>
      </c>
      <c r="AG27" s="1">
        <f>+AG26/AG28</f>
        <v>4.4896830461603914</v>
      </c>
      <c r="AH27" s="1">
        <f>+AH26/AH28</f>
        <v>4.4493628437290411</v>
      </c>
      <c r="AI27" s="1">
        <f>+AI26/AI28</f>
        <v>4.5352079395085063</v>
      </c>
      <c r="AJ27" s="1">
        <f t="shared" ref="AJ27:AL27" si="65">+AJ26/AJ28</f>
        <v>4.8325183374083132</v>
      </c>
      <c r="AK27" s="1">
        <f t="shared" si="65"/>
        <v>0.90977443609022557</v>
      </c>
      <c r="AL27" s="1">
        <f t="shared" si="65"/>
        <v>-0.55009410623332555</v>
      </c>
      <c r="AM27" s="1">
        <f t="shared" ref="AM27" si="66">+AM26/AM28</f>
        <v>-0.26407654399708985</v>
      </c>
      <c r="AN27" s="1">
        <f t="shared" ref="AN27" si="67">+AN26/AN28</f>
        <v>3.9237153538685406E-2</v>
      </c>
      <c r="AO27" s="1">
        <f t="shared" ref="AO27" si="68">+AO26/AO28</f>
        <v>0.25625701387387823</v>
      </c>
      <c r="AP27" s="1">
        <f t="shared" ref="AP27" si="69">+AP26/AP28</f>
        <v>0.50460874031520864</v>
      </c>
      <c r="AQ27" s="1">
        <f t="shared" ref="AQ27" si="70">+AQ26/AQ28</f>
        <v>0.74936558155398858</v>
      </c>
      <c r="AR27" s="1">
        <f t="shared" ref="AR27" si="71">+AR26/AR28</f>
        <v>1.0514885334270279</v>
      </c>
      <c r="AS27" s="1">
        <f t="shared" ref="AS27" si="72">+AS26/AS28</f>
        <v>1.233161483691555</v>
      </c>
      <c r="AT27" s="1">
        <f t="shared" ref="AT27" si="73">+AT26/AT28</f>
        <v>1.7313203897050116</v>
      </c>
      <c r="AU27" s="1">
        <f t="shared" ref="AU27" si="74">+AU26/AU28</f>
        <v>2.113330227764453</v>
      </c>
      <c r="AV27" s="1">
        <f t="shared" ref="AV27" si="75">+AV26/AV28</f>
        <v>2.5442965058633309</v>
      </c>
      <c r="AW27" s="1">
        <f t="shared" ref="AW27" si="76">+AW26/AW28</f>
        <v>2.8253991802886365</v>
      </c>
      <c r="AX27" s="1">
        <f t="shared" ref="AX27" si="77">+AX26/AX28</f>
        <v>3.3221303883633269</v>
      </c>
    </row>
    <row r="28" spans="2:128" x14ac:dyDescent="0.2">
      <c r="B28" s="2" t="s">
        <v>1</v>
      </c>
      <c r="G28" s="5">
        <v>4096</v>
      </c>
      <c r="H28" s="5">
        <v>4084</v>
      </c>
      <c r="I28" s="5">
        <v>4086</v>
      </c>
      <c r="J28" s="5">
        <v>4095</v>
      </c>
      <c r="K28" s="5">
        <v>4107</v>
      </c>
      <c r="L28" s="5">
        <v>4100</v>
      </c>
      <c r="M28" s="5">
        <v>4125</v>
      </c>
      <c r="N28" s="5">
        <v>4133</v>
      </c>
      <c r="T28" s="2">
        <v>6178</v>
      </c>
      <c r="U28" s="2">
        <v>5880</v>
      </c>
      <c r="V28" s="2">
        <v>5936</v>
      </c>
      <c r="W28" s="2">
        <v>5748</v>
      </c>
      <c r="X28" s="2">
        <v>5645</v>
      </c>
      <c r="Y28" s="2">
        <v>5696</v>
      </c>
      <c r="Z28" s="2">
        <v>5411</v>
      </c>
      <c r="AA28" s="2">
        <v>5160</v>
      </c>
      <c r="AB28" s="2">
        <v>5097</v>
      </c>
      <c r="AC28" s="2">
        <v>5056</v>
      </c>
      <c r="AD28" s="2">
        <v>4894</v>
      </c>
      <c r="AE28" s="2">
        <v>4875</v>
      </c>
      <c r="AF28" s="2">
        <v>4835</v>
      </c>
      <c r="AG28" s="2">
        <v>4701</v>
      </c>
      <c r="AH28" s="2">
        <v>4473</v>
      </c>
      <c r="AI28" s="2">
        <v>4232</v>
      </c>
      <c r="AJ28" s="2">
        <v>4090</v>
      </c>
      <c r="AK28" s="2">
        <v>4123</v>
      </c>
      <c r="AL28" s="2">
        <f>+AK28</f>
        <v>4123</v>
      </c>
      <c r="AM28" s="2">
        <f t="shared" ref="AM28:AX28" si="78">+AL28</f>
        <v>4123</v>
      </c>
      <c r="AN28" s="2">
        <f t="shared" si="78"/>
        <v>4123</v>
      </c>
      <c r="AO28" s="2">
        <f t="shared" si="78"/>
        <v>4123</v>
      </c>
      <c r="AP28" s="2">
        <f t="shared" si="78"/>
        <v>4123</v>
      </c>
      <c r="AQ28" s="2">
        <f t="shared" si="78"/>
        <v>4123</v>
      </c>
      <c r="AR28" s="2">
        <f t="shared" si="78"/>
        <v>4123</v>
      </c>
      <c r="AS28" s="2">
        <f t="shared" si="78"/>
        <v>4123</v>
      </c>
      <c r="AT28" s="2">
        <f t="shared" si="78"/>
        <v>4123</v>
      </c>
      <c r="AU28" s="2">
        <f t="shared" si="78"/>
        <v>4123</v>
      </c>
      <c r="AV28" s="2">
        <f t="shared" si="78"/>
        <v>4123</v>
      </c>
      <c r="AW28" s="2">
        <f t="shared" si="78"/>
        <v>4123</v>
      </c>
      <c r="AX28" s="2">
        <f t="shared" si="78"/>
        <v>4123</v>
      </c>
    </row>
    <row r="29" spans="2:128" x14ac:dyDescent="0.2">
      <c r="BA29" t="s">
        <v>75</v>
      </c>
      <c r="BB29" s="4">
        <v>0.08</v>
      </c>
    </row>
    <row r="30" spans="2:128" s="12" customFormat="1" x14ac:dyDescent="0.2">
      <c r="B30" s="12" t="s">
        <v>24</v>
      </c>
      <c r="C30" s="17"/>
      <c r="D30" s="17"/>
      <c r="E30" s="17"/>
      <c r="F30" s="17"/>
      <c r="G30" s="17"/>
      <c r="H30" s="17"/>
      <c r="I30" s="17"/>
      <c r="J30" s="17"/>
      <c r="K30" s="20">
        <f t="shared" ref="K30:M30" si="79">+K16/G16-1</f>
        <v>-6.7097036547552502E-2</v>
      </c>
      <c r="L30" s="20">
        <f t="shared" si="79"/>
        <v>-0.2195507106107687</v>
      </c>
      <c r="M30" s="20">
        <f t="shared" si="79"/>
        <v>-0.20081283868278454</v>
      </c>
      <c r="N30" s="20">
        <f>+N16/J16-1</f>
        <v>-0.31595869056897896</v>
      </c>
      <c r="O30" s="20">
        <f t="shared" ref="O30" si="80">+O16/K16-1</f>
        <v>-0.40064294665722222</v>
      </c>
      <c r="P30" s="20">
        <f t="shared" ref="P30" si="81">+P16/L16-1</f>
        <v>-0.21676130800861559</v>
      </c>
      <c r="Q30" s="20">
        <f t="shared" ref="Q30" si="82">+Q16/M16-1</f>
        <v>-0.15243186856174207</v>
      </c>
      <c r="R30" s="20">
        <f t="shared" ref="R30" si="83">+R16/N16-1</f>
        <v>-2.9910269192422456E-3</v>
      </c>
      <c r="U30" s="18">
        <f>+U16/T16-1</f>
        <v>-8.8703446144336229E-2</v>
      </c>
      <c r="V30" s="18">
        <f>+V16/U16-1</f>
        <v>8.3432253688316083E-2</v>
      </c>
      <c r="W30" s="18">
        <f>+W16/V16-1</f>
        <v>-1.9512704126884772E-2</v>
      </c>
      <c r="X30" s="18">
        <f>+X16/W16-1</f>
        <v>-6.5423295908050849E-2</v>
      </c>
      <c r="Y30" s="18">
        <f>+Y16/X16-1</f>
        <v>0.2418652318729182</v>
      </c>
      <c r="Z30" s="18">
        <f t="shared" ref="Z30:AB30" si="84">+Z16/Y16-1</f>
        <v>0.2378561767874745</v>
      </c>
      <c r="AA30" s="18">
        <f t="shared" si="84"/>
        <v>-1.2185410840941491E-2</v>
      </c>
      <c r="AB30" s="18">
        <f t="shared" si="84"/>
        <v>-1.1867044112408798E-2</v>
      </c>
      <c r="AC30" s="18">
        <f>+AC16/AB16-1</f>
        <v>5.9990893223040187E-2</v>
      </c>
      <c r="AD30" s="18">
        <f>+AD16/AC16-1</f>
        <v>-9.2178270986218447E-3</v>
      </c>
      <c r="AE30" s="18">
        <f>+AE16/AD16-1</f>
        <v>7.283894860446205E-2</v>
      </c>
      <c r="AF30" s="18">
        <f>+AF16/AE16-1</f>
        <v>5.6813780793776525E-2</v>
      </c>
      <c r="AG30" s="18">
        <f>+AG16/AF16-1</f>
        <v>0.12885390608817571</v>
      </c>
      <c r="AH30" s="18">
        <f>+AH16/AG16-1</f>
        <v>1.576614724480585E-2</v>
      </c>
      <c r="AI30" s="18">
        <f>+AI16/AH16-1</f>
        <v>8.2012089210032668E-2</v>
      </c>
      <c r="AJ30" s="18">
        <f>+AJ16/AI16-1</f>
        <v>1.4858669269395275E-2</v>
      </c>
      <c r="AK30" s="18">
        <f>+AK16/AJ16-1</f>
        <v>-0.20209050415063778</v>
      </c>
      <c r="AL30" s="18">
        <f t="shared" ref="AL30:AX30" si="85">+AL16/AK16-1</f>
        <v>-0.20702889586703466</v>
      </c>
      <c r="AM30" s="18">
        <f t="shared" si="85"/>
        <v>5.0897330000000185E-2</v>
      </c>
      <c r="AN30" s="18">
        <f t="shared" si="85"/>
        <v>7.0588235294117618E-2</v>
      </c>
      <c r="AO30" s="18">
        <f t="shared" si="85"/>
        <v>7.0192307692307665E-2</v>
      </c>
      <c r="AP30" s="18">
        <f t="shared" si="85"/>
        <v>5.0000000000000044E-2</v>
      </c>
      <c r="AQ30" s="18">
        <f t="shared" si="85"/>
        <v>6.9811320754717077E-2</v>
      </c>
      <c r="AR30" s="18">
        <f t="shared" si="85"/>
        <v>4.9999999999999822E-2</v>
      </c>
      <c r="AS30" s="18">
        <f t="shared" si="85"/>
        <v>5.0000000000000266E-2</v>
      </c>
      <c r="AT30" s="18">
        <f t="shared" si="85"/>
        <v>6.944444444444442E-2</v>
      </c>
      <c r="AU30" s="18">
        <f t="shared" si="85"/>
        <v>6.9090909090909314E-2</v>
      </c>
      <c r="AV30" s="18">
        <f t="shared" si="85"/>
        <v>5.0000000000000044E-2</v>
      </c>
      <c r="AW30" s="18">
        <f t="shared" si="85"/>
        <v>5.0000000000000044E-2</v>
      </c>
      <c r="AX30" s="18">
        <f t="shared" si="85"/>
        <v>5.0000000000000044E-2</v>
      </c>
      <c r="BA30" s="14" t="s">
        <v>76</v>
      </c>
      <c r="BB30" s="22">
        <v>0.01</v>
      </c>
    </row>
    <row r="31" spans="2:128" x14ac:dyDescent="0.2">
      <c r="B31" s="2" t="s">
        <v>64</v>
      </c>
      <c r="AE31" s="4">
        <v>1.67E-2</v>
      </c>
      <c r="AF31" s="4">
        <v>2.2599999999999999E-2</v>
      </c>
      <c r="AG31" s="4">
        <v>2.92E-2</v>
      </c>
      <c r="AH31" s="4">
        <v>2.29E-2</v>
      </c>
      <c r="AI31" s="4">
        <v>-3.4000000000000002E-2</v>
      </c>
      <c r="AJ31" s="4">
        <v>5.67E-2</v>
      </c>
      <c r="AK31" s="4">
        <v>0.01</v>
      </c>
      <c r="BA31" t="s">
        <v>77</v>
      </c>
      <c r="BB31" s="4">
        <v>0.01</v>
      </c>
    </row>
    <row r="32" spans="2:128" x14ac:dyDescent="0.2">
      <c r="B32" t="s">
        <v>25</v>
      </c>
      <c r="T32" s="4">
        <f t="shared" ref="T32:AB32" si="86">+T18/T16</f>
        <v>0.59364858599907278</v>
      </c>
      <c r="U32" s="4">
        <f t="shared" si="86"/>
        <v>0.51489457916454695</v>
      </c>
      <c r="V32" s="4">
        <f t="shared" si="86"/>
        <v>0.51922575259560699</v>
      </c>
      <c r="W32" s="4">
        <f t="shared" si="86"/>
        <v>0.55456819028361626</v>
      </c>
      <c r="X32" s="4">
        <f t="shared" si="86"/>
        <v>0.55686508953226865</v>
      </c>
      <c r="Y32" s="4">
        <f t="shared" si="86"/>
        <v>0.65311876762258436</v>
      </c>
      <c r="Z32" s="4">
        <f t="shared" si="86"/>
        <v>0.62514120631863557</v>
      </c>
      <c r="AA32" s="4">
        <f t="shared" si="86"/>
        <v>0.62149191053786024</v>
      </c>
      <c r="AB32" s="4">
        <f t="shared" ref="AB32" si="87">+AB18/AB16</f>
        <v>0.5980306594824315</v>
      </c>
      <c r="AC32" s="4">
        <f t="shared" ref="AC32" si="88">+AC18/AC16</f>
        <v>0.6373545731161625</v>
      </c>
      <c r="AD32" s="4">
        <f t="shared" ref="AD32:AF32" si="89">+AD18/AD16</f>
        <v>0.62648360581699936</v>
      </c>
      <c r="AE32" s="4">
        <f t="shared" si="89"/>
        <v>0.60940946671830531</v>
      </c>
      <c r="AF32" s="4">
        <f t="shared" si="89"/>
        <v>0.6225044215356671</v>
      </c>
      <c r="AG32" s="4">
        <f t="shared" ref="AG32:AI32" si="90">+AG18/AG16</f>
        <v>0.61733570460704612</v>
      </c>
      <c r="AH32" s="4">
        <f t="shared" si="90"/>
        <v>0.5855624261793928</v>
      </c>
      <c r="AI32" s="4">
        <f>+AI18/AI16</f>
        <v>0.5600832188218372</v>
      </c>
      <c r="AJ32" s="4">
        <f>+AJ18/AJ16</f>
        <v>0.5544518121077141</v>
      </c>
      <c r="AK32" s="4">
        <f>+AK18/AK16</f>
        <v>0.42607923367272499</v>
      </c>
      <c r="AL32" s="4">
        <f t="shared" ref="AL32:AX32" si="91">+AL18/AL16</f>
        <v>0.45</v>
      </c>
      <c r="AM32" s="4">
        <f t="shared" si="91"/>
        <v>0.46999999999999992</v>
      </c>
      <c r="AN32" s="4">
        <f t="shared" si="91"/>
        <v>0.48</v>
      </c>
      <c r="AO32" s="4">
        <f t="shared" si="91"/>
        <v>0.48</v>
      </c>
      <c r="AP32" s="4">
        <f t="shared" si="91"/>
        <v>0.49</v>
      </c>
      <c r="AQ32" s="4">
        <f t="shared" si="91"/>
        <v>0.49000000000000005</v>
      </c>
      <c r="AR32" s="4">
        <f t="shared" si="91"/>
        <v>0.5</v>
      </c>
      <c r="AS32" s="4">
        <f t="shared" si="91"/>
        <v>0.5</v>
      </c>
      <c r="AT32" s="4">
        <f t="shared" si="91"/>
        <v>0.51</v>
      </c>
      <c r="AU32" s="4">
        <f t="shared" si="91"/>
        <v>0.51</v>
      </c>
      <c r="AV32" s="4">
        <f t="shared" si="91"/>
        <v>0.52</v>
      </c>
      <c r="AW32" s="4">
        <f t="shared" si="91"/>
        <v>0.52</v>
      </c>
      <c r="AX32" s="4">
        <f t="shared" si="91"/>
        <v>0.53</v>
      </c>
      <c r="BA32" t="s">
        <v>79</v>
      </c>
      <c r="BB32" s="2">
        <f>NPV(BB29,AL26:DX26)+Main!L5-Main!L6</f>
        <v>92756.221851481969</v>
      </c>
    </row>
    <row r="33" spans="2:54" x14ac:dyDescent="0.2">
      <c r="BA33" t="s">
        <v>80</v>
      </c>
      <c r="BB33" s="1">
        <f>+BB32/Main!L3</f>
        <v>22.421131702074444</v>
      </c>
    </row>
    <row r="34" spans="2:54" x14ac:dyDescent="0.2">
      <c r="B34" t="s">
        <v>78</v>
      </c>
      <c r="AK34" s="2">
        <f>+Main!L5-Main!L6</f>
        <v>-7801</v>
      </c>
      <c r="AL34" s="2">
        <f>+AK34+AL26</f>
        <v>-10069.038</v>
      </c>
      <c r="AM34" s="2">
        <f t="shared" ref="AM34:AX34" si="92">+AL34+AM26</f>
        <v>-11157.825590900002</v>
      </c>
      <c r="AN34" s="2">
        <f t="shared" si="92"/>
        <v>-10996.050806860001</v>
      </c>
      <c r="AO34" s="2">
        <f t="shared" si="92"/>
        <v>-9939.5031386580013</v>
      </c>
      <c r="AP34" s="2">
        <f t="shared" si="92"/>
        <v>-7859.0013023383963</v>
      </c>
      <c r="AQ34" s="2">
        <f t="shared" si="92"/>
        <v>-4769.3670095913012</v>
      </c>
      <c r="AR34" s="2">
        <f t="shared" si="92"/>
        <v>-434.0797862716654</v>
      </c>
      <c r="AS34" s="2">
        <f t="shared" si="92"/>
        <v>4650.2450109886158</v>
      </c>
      <c r="AT34" s="2">
        <f t="shared" si="92"/>
        <v>11788.478977742379</v>
      </c>
      <c r="AU34" s="2">
        <f t="shared" si="92"/>
        <v>20501.739506815218</v>
      </c>
      <c r="AV34" s="2">
        <f t="shared" si="92"/>
        <v>30991.874000489734</v>
      </c>
      <c r="AW34" s="2">
        <f t="shared" si="92"/>
        <v>42640.994820819782</v>
      </c>
      <c r="AX34" s="2">
        <f t="shared" si="92"/>
        <v>56338.138412041779</v>
      </c>
      <c r="BB34" s="4">
        <f>+BB33/Main!L2-1</f>
        <v>-0.16958771473798351</v>
      </c>
    </row>
    <row r="37" spans="2:54" x14ac:dyDescent="0.2">
      <c r="B37" s="2" t="s">
        <v>37</v>
      </c>
      <c r="T37" s="2">
        <f t="shared" ref="T37:AA37" si="93">+T26</f>
        <v>7705</v>
      </c>
      <c r="U37" s="2">
        <f t="shared" si="93"/>
        <v>3023</v>
      </c>
      <c r="V37" s="2">
        <f t="shared" si="93"/>
        <v>5765</v>
      </c>
      <c r="W37" s="2">
        <f t="shared" si="93"/>
        <v>6782</v>
      </c>
      <c r="X37" s="2">
        <f t="shared" si="93"/>
        <v>4479</v>
      </c>
      <c r="Y37" s="2">
        <f t="shared" si="93"/>
        <v>10916</v>
      </c>
      <c r="Z37" s="2">
        <f t="shared" si="93"/>
        <v>12706</v>
      </c>
      <c r="AA37" s="2">
        <f t="shared" si="93"/>
        <v>10984</v>
      </c>
      <c r="AB37" s="2">
        <f>+AB26</f>
        <v>9680</v>
      </c>
      <c r="AC37" s="2">
        <f>+AC26</f>
        <v>11882</v>
      </c>
      <c r="AD37" s="2">
        <f>+AD26</f>
        <v>11724</v>
      </c>
      <c r="AE37" s="2">
        <f>+AE26</f>
        <v>11990</v>
      </c>
      <c r="AF37" s="2">
        <f>+AF26</f>
        <v>18262</v>
      </c>
      <c r="AG37" s="2">
        <f>+AG26</f>
        <v>21106</v>
      </c>
      <c r="AH37" s="2">
        <f>+AH26</f>
        <v>19902</v>
      </c>
      <c r="AI37" s="2">
        <f>+AI26</f>
        <v>19193</v>
      </c>
      <c r="AJ37" s="2">
        <f t="shared" ref="AJ37:AK37" si="94">+AJ26</f>
        <v>19765</v>
      </c>
      <c r="AK37" s="2">
        <f t="shared" si="94"/>
        <v>3751</v>
      </c>
    </row>
    <row r="38" spans="2:54" x14ac:dyDescent="0.2">
      <c r="B38" s="2" t="s">
        <v>38</v>
      </c>
      <c r="T38" s="2">
        <v>8664</v>
      </c>
      <c r="U38" s="2">
        <v>5044</v>
      </c>
      <c r="V38" s="2">
        <v>6976</v>
      </c>
      <c r="W38" s="2">
        <v>5292</v>
      </c>
      <c r="X38" s="2">
        <v>4369</v>
      </c>
      <c r="Y38" s="2">
        <v>11464</v>
      </c>
      <c r="Z38" s="2">
        <v>12942</v>
      </c>
      <c r="AA38" s="2">
        <v>11005</v>
      </c>
      <c r="AB38" s="2">
        <v>9620</v>
      </c>
      <c r="AC38" s="2">
        <v>11704</v>
      </c>
      <c r="AD38" s="2">
        <v>11420</v>
      </c>
      <c r="AE38" s="2">
        <v>10316</v>
      </c>
      <c r="AF38" s="2">
        <v>9601</v>
      </c>
      <c r="AG38" s="2">
        <v>21053</v>
      </c>
      <c r="AH38" s="2">
        <v>21048</v>
      </c>
      <c r="AI38" s="2">
        <v>20899</v>
      </c>
      <c r="AJ38" s="2">
        <v>19868</v>
      </c>
      <c r="AK38" s="2">
        <v>8017</v>
      </c>
    </row>
    <row r="39" spans="2:54" x14ac:dyDescent="0.2">
      <c r="B39" s="2" t="s">
        <v>40</v>
      </c>
      <c r="T39" s="2"/>
      <c r="U39" s="2"/>
      <c r="V39" s="2"/>
      <c r="AI39" s="2">
        <v>10482</v>
      </c>
      <c r="AJ39" s="2">
        <v>9953</v>
      </c>
      <c r="AK39" s="2">
        <v>11128</v>
      </c>
    </row>
    <row r="40" spans="2:54" x14ac:dyDescent="0.2">
      <c r="B40" s="2" t="s">
        <v>41</v>
      </c>
      <c r="T40" s="2"/>
      <c r="U40" s="2"/>
      <c r="V40" s="2"/>
      <c r="AI40" s="2">
        <v>1854</v>
      </c>
      <c r="AJ40" s="2">
        <v>2036</v>
      </c>
      <c r="AK40" s="2">
        <v>3128</v>
      </c>
    </row>
    <row r="41" spans="2:54" x14ac:dyDescent="0.2">
      <c r="B41" s="2" t="s">
        <v>42</v>
      </c>
      <c r="T41" s="2"/>
      <c r="U41" s="2"/>
      <c r="V41" s="2"/>
      <c r="AI41" s="2">
        <v>198</v>
      </c>
      <c r="AJ41" s="2">
        <v>2626</v>
      </c>
      <c r="AK41" s="2">
        <v>1074</v>
      </c>
    </row>
    <row r="42" spans="2:54" x14ac:dyDescent="0.2">
      <c r="B42" s="2" t="s">
        <v>43</v>
      </c>
      <c r="T42" s="2"/>
      <c r="U42" s="2"/>
      <c r="V42" s="2"/>
      <c r="AI42" s="2">
        <v>1757</v>
      </c>
      <c r="AJ42" s="2">
        <v>1839</v>
      </c>
      <c r="AK42" s="2">
        <v>1907</v>
      </c>
    </row>
    <row r="43" spans="2:54" x14ac:dyDescent="0.2">
      <c r="B43" s="2" t="s">
        <v>44</v>
      </c>
      <c r="T43" s="2"/>
      <c r="U43" s="2"/>
      <c r="V43" s="2"/>
      <c r="AI43" s="2">
        <v>-1757</v>
      </c>
      <c r="AJ43" s="2">
        <v>-1458</v>
      </c>
      <c r="AK43" s="2">
        <v>-4254</v>
      </c>
    </row>
    <row r="44" spans="2:54" x14ac:dyDescent="0.2">
      <c r="B44" s="2" t="s">
        <v>45</v>
      </c>
      <c r="T44" s="2"/>
      <c r="U44" s="2"/>
      <c r="V44" s="2"/>
      <c r="AI44" s="2">
        <v>-30</v>
      </c>
      <c r="AJ44" s="2">
        <v>0</v>
      </c>
      <c r="AK44" s="2">
        <v>-1059</v>
      </c>
    </row>
    <row r="45" spans="2:54" x14ac:dyDescent="0.2">
      <c r="B45" s="2" t="s">
        <v>46</v>
      </c>
      <c r="T45" s="2"/>
      <c r="U45" s="2"/>
      <c r="V45" s="2"/>
      <c r="AI45" s="2">
        <f>883-687+405+348-181+1620+73</f>
        <v>2461</v>
      </c>
      <c r="AJ45" s="2">
        <f>-2674-2339+1190+515-1583-441-76</f>
        <v>-5408</v>
      </c>
      <c r="AK45" s="2">
        <f>5327-2436-29-1533-24-4535-1278</f>
        <v>-4508</v>
      </c>
    </row>
    <row r="46" spans="2:54" x14ac:dyDescent="0.2">
      <c r="B46" s="2" t="s">
        <v>39</v>
      </c>
      <c r="T46" s="2">
        <v>14851</v>
      </c>
      <c r="U46" s="2">
        <v>10632</v>
      </c>
      <c r="V46" s="2">
        <v>12625</v>
      </c>
      <c r="W46" s="2">
        <v>10926</v>
      </c>
      <c r="X46" s="2">
        <v>11170</v>
      </c>
      <c r="Y46" s="2">
        <v>16692</v>
      </c>
      <c r="Z46" s="2">
        <v>20963</v>
      </c>
      <c r="AA46" s="2">
        <v>18884</v>
      </c>
      <c r="AB46" s="2">
        <v>20776</v>
      </c>
      <c r="AC46" s="2">
        <v>20418</v>
      </c>
      <c r="AD46" s="2">
        <v>19017</v>
      </c>
      <c r="AE46" s="2">
        <v>21808</v>
      </c>
      <c r="AF46" s="2">
        <v>22110</v>
      </c>
      <c r="AG46" s="2">
        <v>29432</v>
      </c>
      <c r="AH46" s="2">
        <v>33145</v>
      </c>
      <c r="AI46" s="2">
        <f>SUM(AI38:AI45)</f>
        <v>35864</v>
      </c>
      <c r="AJ46" s="2">
        <f>SUM(AJ38:AJ45)</f>
        <v>29456</v>
      </c>
      <c r="AK46" s="2">
        <f>SUM(AK38:AK45)</f>
        <v>15433</v>
      </c>
    </row>
    <row r="47" spans="2:54" x14ac:dyDescent="0.2">
      <c r="T47" s="2"/>
      <c r="U47" s="2"/>
      <c r="V47" s="2"/>
      <c r="AB47" s="2"/>
      <c r="AC47" s="2"/>
      <c r="AD47" s="2"/>
    </row>
    <row r="48" spans="2:54" x14ac:dyDescent="0.2">
      <c r="B48" s="2" t="s">
        <v>47</v>
      </c>
      <c r="T48" s="2">
        <v>5871</v>
      </c>
      <c r="U48" s="2">
        <v>5860</v>
      </c>
      <c r="V48" s="2">
        <v>5000</v>
      </c>
      <c r="W48" s="2">
        <v>5197</v>
      </c>
      <c r="X48" s="2">
        <v>4515</v>
      </c>
      <c r="Y48" s="2">
        <v>5207</v>
      </c>
      <c r="Z48" s="2">
        <v>5207</v>
      </c>
      <c r="AA48" s="2">
        <v>11027</v>
      </c>
      <c r="AB48" s="2">
        <v>10711</v>
      </c>
      <c r="AC48" s="2">
        <v>10105</v>
      </c>
      <c r="AD48" s="2">
        <v>7326</v>
      </c>
      <c r="AE48" s="2">
        <v>9625</v>
      </c>
      <c r="AF48" s="2">
        <v>11778</v>
      </c>
      <c r="AG48" s="2">
        <v>-15181</v>
      </c>
      <c r="AH48" s="2">
        <v>-16213</v>
      </c>
      <c r="AI48" s="2">
        <v>-14259</v>
      </c>
      <c r="AJ48" s="2">
        <v>-18733</v>
      </c>
      <c r="AK48" s="2">
        <v>-24844</v>
      </c>
    </row>
    <row r="49" spans="2:38" x14ac:dyDescent="0.2">
      <c r="B49" s="2" t="s">
        <v>48</v>
      </c>
      <c r="T49" s="6">
        <f>+T46-T48</f>
        <v>8980</v>
      </c>
      <c r="U49" s="6">
        <f>+U46-U48</f>
        <v>4772</v>
      </c>
      <c r="V49" s="6">
        <f>+V46-V48</f>
        <v>7625</v>
      </c>
      <c r="W49" s="6">
        <f>+W46-W48</f>
        <v>5729</v>
      </c>
      <c r="X49" s="6">
        <f>+X46-X48</f>
        <v>6655</v>
      </c>
      <c r="Y49" s="6">
        <f>+Y46-Y48</f>
        <v>11485</v>
      </c>
      <c r="Z49" s="6">
        <f>+Z46-Z48</f>
        <v>15756</v>
      </c>
      <c r="AA49" s="6">
        <f>+AA46-AA48</f>
        <v>7857</v>
      </c>
      <c r="AB49" s="6">
        <f>+AB46-AB48</f>
        <v>10065</v>
      </c>
      <c r="AC49" s="6">
        <f>+AC46-AC48</f>
        <v>10313</v>
      </c>
      <c r="AD49" s="6">
        <f>+AD46-AD48</f>
        <v>11691</v>
      </c>
      <c r="AE49" s="6">
        <f>+AE46-AE48</f>
        <v>12183</v>
      </c>
      <c r="AF49" s="6">
        <f>+AF46-AF48</f>
        <v>10332</v>
      </c>
      <c r="AG49" s="6">
        <f>+AG46+AG48</f>
        <v>14251</v>
      </c>
      <c r="AH49" s="6">
        <f>+AH46+AH48</f>
        <v>16932</v>
      </c>
      <c r="AI49" s="6">
        <f>+AI46+AI48</f>
        <v>21605</v>
      </c>
      <c r="AJ49" s="6">
        <f>+AJ46+AJ48</f>
        <v>10723</v>
      </c>
      <c r="AK49" s="6">
        <f>+AK46+AK48</f>
        <v>-9411</v>
      </c>
      <c r="AL49" s="2"/>
    </row>
  </sheetData>
  <hyperlinks>
    <hyperlink ref="A1" location="Main!A1" display="Main" xr:uid="{5CF14BD8-3E10-4C93-8FB6-1B87FA509CB3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2023-02-01T14:35:47Z</dcterms:created>
  <dcterms:modified xsi:type="dcterms:W3CDTF">2023-02-01T16:16:38Z</dcterms:modified>
</cp:coreProperties>
</file>