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43265520-2CB8-4E67-B317-172D4612CEF3}" xr6:coauthVersionLast="47" xr6:coauthVersionMax="47" xr10:uidLastSave="{00000000-0000-0000-0000-000000000000}"/>
  <bookViews>
    <workbookView xWindow="13575" yWindow="1095" windowWidth="31890" windowHeight="19365" activeTab="1" xr2:uid="{F911F33E-D266-41EC-86F2-46FCC30D23BB}"/>
  </bookViews>
  <sheets>
    <sheet name="Main" sheetId="1" r:id="rId1"/>
    <sheet name="Mode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32" i="2" l="1"/>
  <c r="AJ32" i="2"/>
  <c r="AI32" i="2"/>
  <c r="AH32" i="2"/>
  <c r="AG32" i="2"/>
  <c r="AF32" i="2"/>
  <c r="AE32" i="2"/>
  <c r="AD32" i="2"/>
  <c r="AC32" i="2"/>
  <c r="AB32" i="2"/>
  <c r="AA32" i="2"/>
  <c r="Z32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Z25" i="2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AK25" i="2" s="1"/>
  <c r="Z24" i="2"/>
  <c r="AA24" i="2" s="1"/>
  <c r="AA23" i="2"/>
  <c r="AB23" i="2" s="1"/>
  <c r="Z23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X30" i="2"/>
  <c r="AA33" i="2"/>
  <c r="AB33" i="2" s="1"/>
  <c r="AC33" i="2" s="1"/>
  <c r="AD33" i="2" s="1"/>
  <c r="AE33" i="2" s="1"/>
  <c r="AF33" i="2" s="1"/>
  <c r="AG33" i="2" s="1"/>
  <c r="AH33" i="2" s="1"/>
  <c r="AI33" i="2" s="1"/>
  <c r="AJ33" i="2" s="1"/>
  <c r="AK33" i="2" s="1"/>
  <c r="Z33" i="2"/>
  <c r="AK20" i="2"/>
  <c r="AJ20" i="2"/>
  <c r="AI20" i="2"/>
  <c r="AH20" i="2"/>
  <c r="AG20" i="2"/>
  <c r="AF20" i="2"/>
  <c r="AE20" i="2"/>
  <c r="AD20" i="2"/>
  <c r="AC20" i="2"/>
  <c r="AB20" i="2"/>
  <c r="AA20" i="2"/>
  <c r="AB12" i="2"/>
  <c r="AA12" i="2"/>
  <c r="Z12" i="2"/>
  <c r="AC12" i="2" s="1"/>
  <c r="AD12" i="2" s="1"/>
  <c r="AE12" i="2" s="1"/>
  <c r="AF12" i="2" s="1"/>
  <c r="AG12" i="2" s="1"/>
  <c r="AH12" i="2" s="1"/>
  <c r="AI12" i="2" s="1"/>
  <c r="AJ12" i="2" s="1"/>
  <c r="AK12" i="2" s="1"/>
  <c r="Z11" i="2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Z10" i="2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K4" i="2"/>
  <c r="AJ4" i="2"/>
  <c r="AI4" i="2"/>
  <c r="AH4" i="2"/>
  <c r="AG4" i="2"/>
  <c r="AF4" i="2"/>
  <c r="AE4" i="2"/>
  <c r="AD4" i="2"/>
  <c r="AC4" i="2"/>
  <c r="AB4" i="2"/>
  <c r="AA4" i="2"/>
  <c r="AA8" i="2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B7" i="2"/>
  <c r="AC7" i="2" s="1"/>
  <c r="AD7" i="2" s="1"/>
  <c r="AE7" i="2" s="1"/>
  <c r="AF7" i="2" s="1"/>
  <c r="AG7" i="2" s="1"/>
  <c r="AH7" i="2" s="1"/>
  <c r="AI7" i="2" s="1"/>
  <c r="AJ7" i="2" s="1"/>
  <c r="AK7" i="2" s="1"/>
  <c r="AA7" i="2"/>
  <c r="AA6" i="2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A5" i="2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Z8" i="2"/>
  <c r="Z7" i="2"/>
  <c r="Z6" i="2"/>
  <c r="Z5" i="2"/>
  <c r="Z4" i="2"/>
  <c r="Y20" i="2"/>
  <c r="Y12" i="2"/>
  <c r="Y11" i="2"/>
  <c r="Y10" i="2"/>
  <c r="Y8" i="2"/>
  <c r="Y7" i="2"/>
  <c r="Y6" i="2"/>
  <c r="Y5" i="2"/>
  <c r="Y4" i="2"/>
  <c r="R12" i="2"/>
  <c r="Q12" i="2"/>
  <c r="P12" i="2"/>
  <c r="O12" i="2"/>
  <c r="R11" i="2"/>
  <c r="Q11" i="2"/>
  <c r="P11" i="2"/>
  <c r="O11" i="2"/>
  <c r="R10" i="2"/>
  <c r="Q10" i="2"/>
  <c r="P10" i="2"/>
  <c r="O10" i="2"/>
  <c r="R8" i="2"/>
  <c r="Q8" i="2"/>
  <c r="P8" i="2"/>
  <c r="O8" i="2"/>
  <c r="R7" i="2"/>
  <c r="Q7" i="2"/>
  <c r="P7" i="2"/>
  <c r="O7" i="2"/>
  <c r="R6" i="2"/>
  <c r="Q6" i="2"/>
  <c r="P6" i="2"/>
  <c r="O6" i="2"/>
  <c r="O4" i="2" s="1"/>
  <c r="O20" i="2" s="1"/>
  <c r="R5" i="2"/>
  <c r="Q5" i="2"/>
  <c r="Q4" i="2" s="1"/>
  <c r="P5" i="2"/>
  <c r="P4" i="2" s="1"/>
  <c r="O5" i="2"/>
  <c r="R2" i="2"/>
  <c r="Q2" i="2"/>
  <c r="P2" i="2"/>
  <c r="O2" i="2"/>
  <c r="Q28" i="2"/>
  <c r="P28" i="2"/>
  <c r="R28" i="2" s="1"/>
  <c r="O28" i="2"/>
  <c r="R26" i="2"/>
  <c r="Q26" i="2"/>
  <c r="P26" i="2"/>
  <c r="O26" i="2"/>
  <c r="R25" i="2"/>
  <c r="Q25" i="2"/>
  <c r="P25" i="2"/>
  <c r="O25" i="2"/>
  <c r="R24" i="2"/>
  <c r="Q24" i="2"/>
  <c r="P24" i="2"/>
  <c r="O24" i="2"/>
  <c r="R23" i="2"/>
  <c r="Q23" i="2"/>
  <c r="P23" i="2"/>
  <c r="O23" i="2"/>
  <c r="R4" i="2"/>
  <c r="J12" i="2"/>
  <c r="J11" i="2"/>
  <c r="J8" i="2"/>
  <c r="J7" i="2"/>
  <c r="J6" i="2"/>
  <c r="J5" i="2"/>
  <c r="J4" i="2"/>
  <c r="G4" i="2"/>
  <c r="N12" i="2"/>
  <c r="N11" i="2"/>
  <c r="N8" i="2"/>
  <c r="N7" i="2"/>
  <c r="N6" i="2"/>
  <c r="N5" i="2"/>
  <c r="K4" i="2"/>
  <c r="H4" i="2"/>
  <c r="L4" i="2"/>
  <c r="I4" i="2"/>
  <c r="M4" i="2"/>
  <c r="X4" i="2"/>
  <c r="W4" i="2"/>
  <c r="V4" i="2"/>
  <c r="O33" i="2"/>
  <c r="Y25" i="2"/>
  <c r="Y24" i="2"/>
  <c r="Y23" i="2"/>
  <c r="Y19" i="2"/>
  <c r="Y18" i="2"/>
  <c r="X18" i="2"/>
  <c r="W33" i="2"/>
  <c r="W30" i="2"/>
  <c r="W25" i="2"/>
  <c r="W24" i="2"/>
  <c r="W23" i="2"/>
  <c r="W19" i="2"/>
  <c r="W18" i="2"/>
  <c r="N58" i="2"/>
  <c r="N43" i="2"/>
  <c r="N48" i="2"/>
  <c r="N41" i="2"/>
  <c r="N50" i="2" s="1"/>
  <c r="N28" i="2"/>
  <c r="N26" i="2"/>
  <c r="N21" i="2"/>
  <c r="N20" i="2"/>
  <c r="F28" i="2"/>
  <c r="F21" i="2"/>
  <c r="F26" i="2"/>
  <c r="J28" i="2"/>
  <c r="J21" i="2"/>
  <c r="F20" i="2"/>
  <c r="G28" i="2"/>
  <c r="G21" i="2"/>
  <c r="K28" i="2"/>
  <c r="K21" i="2"/>
  <c r="X33" i="2"/>
  <c r="X25" i="2"/>
  <c r="X24" i="2"/>
  <c r="X23" i="2"/>
  <c r="X19" i="2"/>
  <c r="H28" i="2"/>
  <c r="L28" i="2"/>
  <c r="L26" i="2"/>
  <c r="K26" i="2"/>
  <c r="J26" i="2"/>
  <c r="I26" i="2"/>
  <c r="H26" i="2"/>
  <c r="G26" i="2"/>
  <c r="L20" i="2"/>
  <c r="L22" i="2" s="1"/>
  <c r="L37" i="2" s="1"/>
  <c r="K20" i="2"/>
  <c r="J20" i="2"/>
  <c r="I20" i="2"/>
  <c r="H20" i="2"/>
  <c r="H22" i="2" s="1"/>
  <c r="G20" i="2"/>
  <c r="L4" i="1"/>
  <c r="L7" i="1" s="1"/>
  <c r="M55" i="2"/>
  <c r="M62" i="2" s="1"/>
  <c r="M43" i="2"/>
  <c r="M48" i="2"/>
  <c r="M41" i="2"/>
  <c r="I28" i="2"/>
  <c r="M26" i="2"/>
  <c r="M21" i="2"/>
  <c r="I21" i="2"/>
  <c r="M20" i="2"/>
  <c r="AC23" i="2" l="1"/>
  <c r="AB24" i="2"/>
  <c r="AC24" i="2" s="1"/>
  <c r="AD24" i="2" s="1"/>
  <c r="AE24" i="2" s="1"/>
  <c r="AF24" i="2" s="1"/>
  <c r="AG24" i="2" s="1"/>
  <c r="AH24" i="2" s="1"/>
  <c r="AI24" i="2" s="1"/>
  <c r="AJ24" i="2" s="1"/>
  <c r="AK24" i="2" s="1"/>
  <c r="AA26" i="2"/>
  <c r="AA27" i="2" s="1"/>
  <c r="AA29" i="2" s="1"/>
  <c r="AA31" i="2" s="1"/>
  <c r="Z26" i="2"/>
  <c r="Z27" i="2" s="1"/>
  <c r="Z29" i="2" s="1"/>
  <c r="Z31" i="2" s="1"/>
  <c r="Z20" i="2"/>
  <c r="R20" i="2"/>
  <c r="Q20" i="2"/>
  <c r="P20" i="2"/>
  <c r="P22" i="2" s="1"/>
  <c r="Q22" i="2"/>
  <c r="Q37" i="2" s="1"/>
  <c r="Q35" i="2"/>
  <c r="R35" i="2"/>
  <c r="R22" i="2"/>
  <c r="R37" i="2" s="1"/>
  <c r="R27" i="2"/>
  <c r="R38" i="2" s="1"/>
  <c r="Q27" i="2"/>
  <c r="Q38" i="2" s="1"/>
  <c r="O22" i="2"/>
  <c r="O37" i="2" s="1"/>
  <c r="O35" i="2"/>
  <c r="O27" i="2"/>
  <c r="O38" i="2" s="1"/>
  <c r="Y28" i="2"/>
  <c r="N4" i="2"/>
  <c r="W26" i="2"/>
  <c r="W21" i="2"/>
  <c r="W20" i="2"/>
  <c r="Y26" i="2"/>
  <c r="F22" i="2"/>
  <c r="N35" i="2"/>
  <c r="M35" i="2"/>
  <c r="K35" i="2"/>
  <c r="W28" i="2"/>
  <c r="N40" i="2"/>
  <c r="P33" i="2"/>
  <c r="N62" i="2"/>
  <c r="N22" i="2"/>
  <c r="L35" i="2"/>
  <c r="F27" i="2"/>
  <c r="F29" i="2" s="1"/>
  <c r="F31" i="2" s="1"/>
  <c r="F32" i="2" s="1"/>
  <c r="J22" i="2"/>
  <c r="J37" i="2" s="1"/>
  <c r="X28" i="2"/>
  <c r="X21" i="2"/>
  <c r="M50" i="2"/>
  <c r="G22" i="2"/>
  <c r="G37" i="2" s="1"/>
  <c r="X26" i="2"/>
  <c r="K22" i="2"/>
  <c r="K37" i="2" s="1"/>
  <c r="X20" i="2"/>
  <c r="I22" i="2"/>
  <c r="I37" i="2" s="1"/>
  <c r="M22" i="2"/>
  <c r="M27" i="2" s="1"/>
  <c r="M29" i="2" s="1"/>
  <c r="M31" i="2" s="1"/>
  <c r="M32" i="2" s="1"/>
  <c r="M40" i="2"/>
  <c r="L27" i="2"/>
  <c r="H27" i="2"/>
  <c r="H29" i="2" s="1"/>
  <c r="H31" i="2" s="1"/>
  <c r="H32" i="2" s="1"/>
  <c r="H37" i="2"/>
  <c r="AD23" i="2" l="1"/>
  <c r="AC26" i="2"/>
  <c r="AC27" i="2" s="1"/>
  <c r="AC29" i="2" s="1"/>
  <c r="AC31" i="2" s="1"/>
  <c r="AB26" i="2"/>
  <c r="AB27" i="2" s="1"/>
  <c r="AB29" i="2" s="1"/>
  <c r="AB31" i="2" s="1"/>
  <c r="P37" i="2"/>
  <c r="P27" i="2"/>
  <c r="P35" i="2"/>
  <c r="R29" i="2"/>
  <c r="Q29" i="2"/>
  <c r="P38" i="2"/>
  <c r="P29" i="2"/>
  <c r="R21" i="2"/>
  <c r="Q21" i="2"/>
  <c r="P21" i="2"/>
  <c r="O29" i="2"/>
  <c r="O21" i="2"/>
  <c r="Y21" i="2" s="1"/>
  <c r="Y22" i="2" s="1"/>
  <c r="Y27" i="2" s="1"/>
  <c r="Y29" i="2" s="1"/>
  <c r="Y30" i="2" s="1"/>
  <c r="W22" i="2"/>
  <c r="W37" i="2"/>
  <c r="W27" i="2"/>
  <c r="J27" i="2"/>
  <c r="N27" i="2"/>
  <c r="N37" i="2"/>
  <c r="Q33" i="2"/>
  <c r="J29" i="2"/>
  <c r="J31" i="2" s="1"/>
  <c r="J32" i="2" s="1"/>
  <c r="J38" i="2"/>
  <c r="W38" i="2"/>
  <c r="W29" i="2"/>
  <c r="W31" i="2" s="1"/>
  <c r="W32" i="2" s="1"/>
  <c r="X22" i="2"/>
  <c r="X37" i="2" s="1"/>
  <c r="X35" i="2"/>
  <c r="G27" i="2"/>
  <c r="G38" i="2" s="1"/>
  <c r="M38" i="2"/>
  <c r="M37" i="2"/>
  <c r="K27" i="2"/>
  <c r="K29" i="2" s="1"/>
  <c r="K31" i="2" s="1"/>
  <c r="K32" i="2" s="1"/>
  <c r="I27" i="2"/>
  <c r="I29" i="2" s="1"/>
  <c r="I31" i="2" s="1"/>
  <c r="I32" i="2" s="1"/>
  <c r="H38" i="2"/>
  <c r="L29" i="2"/>
  <c r="L31" i="2" s="1"/>
  <c r="L32" i="2" s="1"/>
  <c r="L38" i="2"/>
  <c r="AE23" i="2" l="1"/>
  <c r="AD26" i="2"/>
  <c r="AD27" i="2" s="1"/>
  <c r="AD29" i="2" s="1"/>
  <c r="AD31" i="2" s="1"/>
  <c r="P30" i="2"/>
  <c r="P31" i="2" s="1"/>
  <c r="P32" i="2" s="1"/>
  <c r="Q30" i="2"/>
  <c r="Q31" i="2" s="1"/>
  <c r="Q32" i="2" s="1"/>
  <c r="R30" i="2"/>
  <c r="R31" i="2" s="1"/>
  <c r="Y31" i="2"/>
  <c r="O30" i="2"/>
  <c r="O31" i="2" s="1"/>
  <c r="O32" i="2" s="1"/>
  <c r="X27" i="2"/>
  <c r="X38" i="2" s="1"/>
  <c r="K38" i="2"/>
  <c r="R33" i="2"/>
  <c r="N29" i="2"/>
  <c r="N31" i="2" s="1"/>
  <c r="N32" i="2" s="1"/>
  <c r="N38" i="2"/>
  <c r="X29" i="2"/>
  <c r="X31" i="2" s="1"/>
  <c r="X32" i="2" s="1"/>
  <c r="G29" i="2"/>
  <c r="G31" i="2" s="1"/>
  <c r="G32" i="2" s="1"/>
  <c r="I38" i="2"/>
  <c r="AF23" i="2" l="1"/>
  <c r="AE26" i="2"/>
  <c r="AE27" i="2" s="1"/>
  <c r="AE29" i="2" s="1"/>
  <c r="AE31" i="2" s="1"/>
  <c r="R32" i="2"/>
  <c r="Y33" i="2"/>
  <c r="Y32" i="2" s="1"/>
  <c r="AG23" i="2" l="1"/>
  <c r="AF26" i="2"/>
  <c r="AF27" i="2" s="1"/>
  <c r="AF29" i="2" s="1"/>
  <c r="AF31" i="2" s="1"/>
  <c r="AG26" i="2" l="1"/>
  <c r="AG27" i="2" s="1"/>
  <c r="AG29" i="2" s="1"/>
  <c r="AG31" i="2" s="1"/>
  <c r="AH23" i="2"/>
  <c r="AI23" i="2" l="1"/>
  <c r="AH26" i="2"/>
  <c r="AH27" i="2" s="1"/>
  <c r="AH29" i="2" s="1"/>
  <c r="AH31" i="2" s="1"/>
  <c r="AI26" i="2" l="1"/>
  <c r="AI27" i="2" s="1"/>
  <c r="AI29" i="2" s="1"/>
  <c r="AI31" i="2" s="1"/>
  <c r="AJ23" i="2"/>
  <c r="AK23" i="2" l="1"/>
  <c r="AK26" i="2" s="1"/>
  <c r="AK27" i="2" s="1"/>
  <c r="AK29" i="2" s="1"/>
  <c r="AK31" i="2" s="1"/>
  <c r="AJ26" i="2"/>
  <c r="AJ27" i="2" s="1"/>
  <c r="AJ29" i="2" s="1"/>
  <c r="AJ3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tc={B380F975-4FA7-483C-921D-1DFE73D05678}</author>
    <author>tc={833B3E48-D6B7-4F4E-BA46-042963E4E036}</author>
    <author>tc={706C9F39-7589-416F-AFB2-5F4F692434F0}</author>
  </authors>
  <commentList>
    <comment ref="M20" authorId="0" shapeId="0" xr:uid="{B380F975-4FA7-483C-921D-1DFE73D05678}">
      <text>
        <t>[Threaded comment]
Your version of Excel allows you to read this threaded comment; however, any edits to it will get removed if the file is opened in a newer version of Excel. Learn more: https://go.microsoft.com/fwlink/?linkid=870924
Comment:
    Earlier tax filing deadline</t>
      </text>
    </comment>
    <comment ref="X20" authorId="1" shapeId="0" xr:uid="{833B3E48-D6B7-4F4E-BA46-042963E4E036}">
      <text>
        <t>[Threaded comment]
Your version of Excel allows you to read this threaded comment; however, any edits to it will get removed if the file is opened in a newer version of Excel. Learn more: https://go.microsoft.com/fwlink/?linkid=870924
Comment:
    12.165-12.300B guidance FQ222 PR</t>
      </text>
    </comment>
    <comment ref="Y20" authorId="2" shapeId="0" xr:uid="{706C9F39-7589-416F-AFB2-5F4F692434F0}">
      <text>
        <t>[Threaded comment]
Your version of Excel allows you to read this threaded comment; however, any edits to it will get removed if the file is opened in a newer version of Excel. Learn more: https://go.microsoft.com/fwlink/?linkid=870924
Comment:
    Q422 guidance: 14.485-14.700B</t>
      </text>
    </comment>
  </commentList>
</comments>
</file>

<file path=xl/sharedStrings.xml><?xml version="1.0" encoding="utf-8"?>
<sst xmlns="http://schemas.openxmlformats.org/spreadsheetml/2006/main" count="106" uniqueCount="96">
  <si>
    <t>Price</t>
  </si>
  <si>
    <t>Shares</t>
  </si>
  <si>
    <t>MC</t>
  </si>
  <si>
    <t>Cash</t>
  </si>
  <si>
    <t>Debt</t>
  </si>
  <si>
    <t>EV</t>
  </si>
  <si>
    <t>QuickBooks</t>
  </si>
  <si>
    <t>TurboTax</t>
  </si>
  <si>
    <t>5/24/22: FYQ322 results</t>
  </si>
  <si>
    <t>Mint</t>
  </si>
  <si>
    <t>Credit Karma</t>
  </si>
  <si>
    <t>MailChimp</t>
  </si>
  <si>
    <t>Main</t>
  </si>
  <si>
    <t>Revenue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</si>
  <si>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</si>
  <si>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</si>
  <si>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</si>
  <si>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</si>
  <si>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</si>
  <si>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</si>
  <si>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</si>
  <si>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</si>
  <si>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Product</t>
  </si>
  <si>
    <t>Service</t>
  </si>
  <si>
    <t>COGS</t>
  </si>
  <si>
    <t>Gross Margin</t>
  </si>
  <si>
    <t>OpEx</t>
  </si>
  <si>
    <t>OpInc</t>
  </si>
  <si>
    <t>S&amp;M</t>
  </si>
  <si>
    <t>R&amp;D</t>
  </si>
  <si>
    <t>G&amp;A</t>
  </si>
  <si>
    <t>Interest</t>
  </si>
  <si>
    <t>Pretax</t>
  </si>
  <si>
    <t>Taxes</t>
  </si>
  <si>
    <t>Net Income</t>
  </si>
  <si>
    <t>EPS</t>
  </si>
  <si>
    <t>AR</t>
  </si>
  <si>
    <t>Prepaids</t>
  </si>
  <si>
    <t>Customers</t>
  </si>
  <si>
    <t>PPE</t>
  </si>
  <si>
    <t>Operating Margin</t>
  </si>
  <si>
    <t>Goodwill</t>
  </si>
  <si>
    <t>Lease</t>
  </si>
  <si>
    <t>Other</t>
  </si>
  <si>
    <t>Assets</t>
  </si>
  <si>
    <t>AP</t>
  </si>
  <si>
    <t>Compensation</t>
  </si>
  <si>
    <t>DR</t>
  </si>
  <si>
    <t>OCL</t>
  </si>
  <si>
    <t>Customer</t>
  </si>
  <si>
    <t>OLTL</t>
  </si>
  <si>
    <t>SE</t>
  </si>
  <si>
    <t>L+SE</t>
  </si>
  <si>
    <t>Net Cash</t>
  </si>
  <si>
    <t>CEO: Sasan Goodarzi</t>
  </si>
  <si>
    <t>Organic</t>
  </si>
  <si>
    <t>Online Services</t>
  </si>
  <si>
    <t>Consumer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</si>
  <si>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</si>
  <si>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</si>
  <si>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</si>
  <si>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</si>
  <si>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</si>
  <si>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</si>
  <si>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</si>
  <si>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</si>
  <si>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</si>
  <si>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</si>
  <si>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</si>
  <si>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</si>
  <si>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</si>
  <si>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</si>
  <si>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</si>
  <si>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</si>
  <si>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FY36</t>
  </si>
  <si>
    <t>FY37</t>
  </si>
  <si>
    <t>FY38</t>
  </si>
  <si>
    <t>FY39</t>
  </si>
  <si>
    <t>FQ120</t>
  </si>
  <si>
    <t>FQ220</t>
  </si>
  <si>
    <t>FQ320</t>
  </si>
  <si>
    <t>FQ420</t>
  </si>
  <si>
    <t>Revenue y/y</t>
  </si>
  <si>
    <t>Q222</t>
  </si>
  <si>
    <t>FQ123</t>
  </si>
  <si>
    <t>FQ223</t>
  </si>
  <si>
    <t>FQ323</t>
  </si>
  <si>
    <t>FQ423</t>
  </si>
  <si>
    <t>FY19</t>
  </si>
  <si>
    <t>Small Business</t>
  </si>
  <si>
    <t>QuickBooks Online</t>
  </si>
  <si>
    <t>QuickBooks Desktop</t>
  </si>
  <si>
    <t>Desktop Services</t>
  </si>
  <si>
    <t>ProConnect</t>
  </si>
  <si>
    <t>MailChimp (closed 11/1/2021) - 12.0B</t>
  </si>
  <si>
    <t>Credit Karma - 8.1B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</si>
</sst>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2" fillId="0" borderId="0" xfId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4" fontId="0" fillId="0" borderId="0" xfId="0" applyNumberFormat="1"/>
    <xf numFmtId="3" fontId="0" fillId="0" borderId="0" xfId="0" applyNumberFormat="1" applyFont="1"/>
    <xf numFmtId="3" fontId="0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57150</xdr:colOff>
      <xdr:row>0</xdr:row>
      <xdr:rowOff>0</xdr:rowOff>
    </xdr:from>
    <xdr:to>
      <xdr:col>24</xdr:col>
      <xdr:colOff>57150</xdr:colOff>
      <xdr:row>63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47FE851-D7E5-FCF3-E7D2-D0A0B8E0AED3}"/>
            </a:ext>
          </a:extLst>
        </xdr:cNvPr>
        <xdr:cNvCxnSpPr/>
      </xdr:nvCxnSpPr>
      <xdr:spPr>
        <a:xfrm>
          <a:off x="11830050" y="0"/>
          <a:ext cx="0" cy="8934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8523</xdr:colOff>
      <xdr:row>0</xdr:row>
      <xdr:rowOff>63165</xdr:rowOff>
    </xdr:from>
    <xdr:to>
      <xdr:col>14</xdr:col>
      <xdr:colOff>8523</xdr:colOff>
      <xdr:row>63</xdr:row>
      <xdr:rowOff>90236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C92C005-6253-47DA-85A5-8FDD58098858}"/>
            </a:ext>
          </a:extLst>
        </xdr:cNvPr>
        <xdr:cNvCxnSpPr/>
      </xdr:nvCxnSpPr>
      <xdr:spPr>
        <a:xfrm>
          <a:off x="8941970" y="63165"/>
          <a:ext cx="0" cy="885022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F1D3EAA-D855-4993-8BA5-672068DCE453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0" dT="2022-09-26T02:35:42.18" personId="{6F1D3EAA-D855-4993-8BA5-672068DCE453}" id="{B380F975-4FA7-483C-921D-1DFE73D05678}">
    <text>Earlier tax filing deadline</text>
  </threadedComment>
  <threadedComment ref="X20" dT="2022-07-18T13:17:32.64" personId="{6F1D3EAA-D855-4993-8BA5-672068DCE453}" id="{833B3E48-D6B7-4F4E-BA46-042963E4E036}">
    <text>12.165-12.300B guidance FQ222 PR</text>
  </threadedComment>
  <threadedComment ref="Y20" dT="2022-09-26T03:05:09.65" personId="{6F1D3EAA-D855-4993-8BA5-672068DCE453}" id="{706C9F39-7589-416F-AFB2-5F4F692434F0}">
    <text>Q422 guidance: 14.485-14.700B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F1851-E36A-4E12-9896-01ED9C75784D}">
  <dimension ref="B2:M12"/>
  <sheetViews>
    <sheetView zoomScale="175" zoomScaleNormal="175" workbookViewId="0">
      <selection activeCell="B6" sqref="B6"/>
    </sheetView>
  </sheetViews>
  <sheetFormatPr defaultRowHeight="12.75" x14ac:dyDescent="0.2"/>
  <sheetData>
    <row r="2" spans="2:13" x14ac:dyDescent="0.2">
      <c r="B2" t="s">
        <v>6</v>
      </c>
      <c r="K2" t="s">
        <v>0</v>
      </c>
      <c r="L2" s="11">
        <v>394</v>
      </c>
    </row>
    <row r="3" spans="2:13" x14ac:dyDescent="0.2">
      <c r="B3" t="s">
        <v>7</v>
      </c>
      <c r="K3" t="s">
        <v>1</v>
      </c>
      <c r="L3" s="2">
        <v>281.86987900000003</v>
      </c>
      <c r="M3" s="1" t="s">
        <v>83</v>
      </c>
    </row>
    <row r="4" spans="2:13" x14ac:dyDescent="0.2">
      <c r="B4" t="s">
        <v>9</v>
      </c>
      <c r="K4" t="s">
        <v>2</v>
      </c>
      <c r="L4" s="2">
        <f>L2*L3</f>
        <v>111056.73232600001</v>
      </c>
    </row>
    <row r="5" spans="2:13" x14ac:dyDescent="0.2">
      <c r="B5" t="s">
        <v>95</v>
      </c>
      <c r="K5" t="s">
        <v>3</v>
      </c>
      <c r="L5" s="2">
        <v>4002</v>
      </c>
      <c r="M5" s="1" t="s">
        <v>83</v>
      </c>
    </row>
    <row r="6" spans="2:13" x14ac:dyDescent="0.2">
      <c r="B6" t="s">
        <v>94</v>
      </c>
      <c r="K6" t="s">
        <v>4</v>
      </c>
      <c r="L6" s="2">
        <v>6853</v>
      </c>
      <c r="M6" s="1" t="s">
        <v>83</v>
      </c>
    </row>
    <row r="7" spans="2:13" x14ac:dyDescent="0.2">
      <c r="K7" t="s">
        <v>5</v>
      </c>
      <c r="L7" s="2">
        <f>L4-L5+L6</f>
        <v>113907.73232600001</v>
      </c>
    </row>
    <row r="10" spans="2:13" x14ac:dyDescent="0.2">
      <c r="K10" t="s">
        <v>54</v>
      </c>
    </row>
    <row r="12" spans="2:13" x14ac:dyDescent="0.2">
      <c r="B1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521E4-F7EC-48A6-9D04-C6C2933ADBCA}">
  <dimension ref="A1:AO62"/>
  <sheetViews>
    <sheetView tabSelected="1" zoomScale="190" zoomScaleNormal="190" workbookViewId="0">
      <pane xSplit="2" ySplit="3" topLeftCell="Y4" activePane="bottomRight" state="frozen"/>
      <selection pane="topRight" activeCell="C1" sqref="C1"/>
      <selection pane="bottomLeft" activeCell="A4" sqref="A4"/>
      <selection pane="bottomRight" activeCell="AK4" sqref="AK4"/>
    </sheetView>
  </sheetViews>
  <sheetFormatPr defaultRowHeight="12.75" x14ac:dyDescent="0.2"/>
  <cols>
    <col min="1" max="1" width="5" bestFit="1" customWidth="1"/>
    <col min="2" max="2" width="19.28515625" customWidth="1"/>
    <col min="3" max="9" width="9.42578125" style="1" customWidth="1"/>
    <col min="10" max="14" width="8.5703125" style="1" customWidth="1"/>
    <col min="15" max="18" width="8.5703125" customWidth="1"/>
    <col min="22" max="25" width="9.140625" style="1"/>
  </cols>
  <sheetData>
    <row r="1" spans="1:41" x14ac:dyDescent="0.2">
      <c r="A1" s="4" t="s">
        <v>12</v>
      </c>
    </row>
    <row r="2" spans="1:41" s="9" customFormat="1" x14ac:dyDescent="0.2">
      <c r="C2" s="10"/>
      <c r="D2" s="10"/>
      <c r="E2" s="10"/>
      <c r="F2" s="10">
        <v>44043</v>
      </c>
      <c r="G2" s="10">
        <v>44135</v>
      </c>
      <c r="H2" s="10">
        <v>44227</v>
      </c>
      <c r="I2" s="10">
        <v>44316</v>
      </c>
      <c r="J2" s="10">
        <v>44408</v>
      </c>
      <c r="K2" s="10">
        <v>44500</v>
      </c>
      <c r="L2" s="10">
        <v>44592</v>
      </c>
      <c r="M2" s="10">
        <v>44681</v>
      </c>
      <c r="N2" s="10">
        <v>44773</v>
      </c>
      <c r="O2" s="9">
        <f>+N2+92</f>
        <v>44865</v>
      </c>
      <c r="P2" s="9">
        <f>+O2+92</f>
        <v>44957</v>
      </c>
      <c r="Q2" s="9">
        <f>+P2+89</f>
        <v>45046</v>
      </c>
      <c r="R2" s="9">
        <f>+Q2+92</f>
        <v>45138</v>
      </c>
      <c r="V2" s="10"/>
      <c r="W2" s="10"/>
      <c r="X2" s="10"/>
      <c r="Y2" s="10"/>
    </row>
    <row r="3" spans="1:41" x14ac:dyDescent="0.2">
      <c r="C3" s="1" t="s">
        <v>78</v>
      </c>
      <c r="D3" s="1" t="s">
        <v>79</v>
      </c>
      <c r="E3" s="1" t="s">
        <v>80</v>
      </c>
      <c r="F3" s="1" t="s">
        <v>81</v>
      </c>
      <c r="G3" s="1" t="s">
        <v>14</v>
      </c>
      <c r="H3" s="1" t="s">
        <v>15</v>
      </c>
      <c r="I3" s="1" t="s">
        <v>16</v>
      </c>
      <c r="J3" s="1" t="s">
        <v>17</v>
      </c>
      <c r="K3" s="1" t="s">
        <v>18</v>
      </c>
      <c r="L3" s="1" t="s">
        <v>19</v>
      </c>
      <c r="M3" s="1" t="s">
        <v>20</v>
      </c>
      <c r="N3" s="1" t="s">
        <v>21</v>
      </c>
      <c r="O3" s="1" t="s">
        <v>84</v>
      </c>
      <c r="P3" s="1" t="s">
        <v>85</v>
      </c>
      <c r="Q3" s="1" t="s">
        <v>86</v>
      </c>
      <c r="R3" s="1" t="s">
        <v>87</v>
      </c>
      <c r="U3" s="1" t="s">
        <v>88</v>
      </c>
      <c r="V3" s="1" t="s">
        <v>58</v>
      </c>
      <c r="W3" s="1" t="s">
        <v>59</v>
      </c>
      <c r="X3" s="1" t="s">
        <v>60</v>
      </c>
      <c r="Y3" s="1" t="s">
        <v>61</v>
      </c>
      <c r="Z3" s="1" t="s">
        <v>62</v>
      </c>
      <c r="AA3" s="1" t="s">
        <v>63</v>
      </c>
      <c r="AB3" s="1" t="s">
        <v>64</v>
      </c>
      <c r="AC3" s="1" t="s">
        <v>65</v>
      </c>
      <c r="AD3" s="1" t="s">
        <v>66</v>
      </c>
      <c r="AE3" s="1" t="s">
        <v>67</v>
      </c>
      <c r="AF3" s="1" t="s">
        <v>68</v>
      </c>
      <c r="AG3" s="1" t="s">
        <v>69</v>
      </c>
      <c r="AH3" s="1" t="s">
        <v>70</v>
      </c>
      <c r="AI3" s="1" t="s">
        <v>71</v>
      </c>
      <c r="AJ3" s="1" t="s">
        <v>72</v>
      </c>
      <c r="AK3" s="1" t="s">
        <v>73</v>
      </c>
      <c r="AL3" s="1" t="s">
        <v>74</v>
      </c>
      <c r="AM3" s="1" t="s">
        <v>75</v>
      </c>
      <c r="AN3" s="1" t="s">
        <v>76</v>
      </c>
      <c r="AO3" s="1" t="s">
        <v>77</v>
      </c>
    </row>
    <row r="4" spans="1:41" s="5" customFormat="1" x14ac:dyDescent="0.2">
      <c r="B4" s="5" t="s">
        <v>89</v>
      </c>
      <c r="C4" s="6"/>
      <c r="D4" s="6"/>
      <c r="E4" s="6"/>
      <c r="F4" s="6"/>
      <c r="G4" s="6">
        <f>SUM(G5:G8)</f>
        <v>1181</v>
      </c>
      <c r="H4" s="6">
        <f>SUM(H5:H8)</f>
        <v>1078</v>
      </c>
      <c r="I4" s="6">
        <f>SUM(I5:I8)</f>
        <v>1177</v>
      </c>
      <c r="J4" s="6">
        <f>SUM(J5:J8)</f>
        <v>1252</v>
      </c>
      <c r="K4" s="6">
        <f>SUM(K5:K8)</f>
        <v>1443</v>
      </c>
      <c r="L4" s="6">
        <f>SUM(L5:L8)</f>
        <v>1581</v>
      </c>
      <c r="M4" s="6">
        <f>SUM(M5:M8)</f>
        <v>1667</v>
      </c>
      <c r="N4" s="6">
        <f>SUM(N5:N8)</f>
        <v>1769</v>
      </c>
      <c r="O4" s="6">
        <f>SUM(O5:O8)</f>
        <v>1659.4499999999998</v>
      </c>
      <c r="P4" s="6">
        <f>SUM(P5:P8)</f>
        <v>1818.1499999999996</v>
      </c>
      <c r="Q4" s="6">
        <f>SUM(Q5:Q8)</f>
        <v>1917.0499999999997</v>
      </c>
      <c r="R4" s="6">
        <f>SUM(R5:R8)</f>
        <v>2034.35</v>
      </c>
      <c r="U4" s="6"/>
      <c r="V4" s="6">
        <f>SUM(V5:V8)</f>
        <v>4050</v>
      </c>
      <c r="W4" s="6">
        <f t="shared" ref="W4:Z4" si="0">SUM(W5:W8)</f>
        <v>4688</v>
      </c>
      <c r="X4" s="6">
        <f t="shared" si="0"/>
        <v>6460</v>
      </c>
      <c r="Y4" s="6">
        <f t="shared" si="0"/>
        <v>7428.9999999999982</v>
      </c>
      <c r="Z4" s="6">
        <f t="shared" si="0"/>
        <v>7800.4499999999989</v>
      </c>
      <c r="AA4" s="6">
        <f t="shared" ref="AA4" si="1">SUM(AA5:AA8)</f>
        <v>8190.4724999999989</v>
      </c>
      <c r="AB4" s="6">
        <f t="shared" ref="AB4" si="2">SUM(AB5:AB8)</f>
        <v>8599.9961249999997</v>
      </c>
      <c r="AC4" s="6">
        <f t="shared" ref="AC4" si="3">SUM(AC5:AC8)</f>
        <v>9029.9959312499996</v>
      </c>
      <c r="AD4" s="6">
        <f t="shared" ref="AD4" si="4">SUM(AD5:AD8)</f>
        <v>9481.4957278125003</v>
      </c>
      <c r="AE4" s="6">
        <f t="shared" ref="AE4" si="5">SUM(AE5:AE8)</f>
        <v>9955.5705142031256</v>
      </c>
      <c r="AF4" s="6">
        <f t="shared" ref="AF4" si="6">SUM(AF5:AF8)</f>
        <v>10453.349039913284</v>
      </c>
      <c r="AG4" s="6">
        <f t="shared" ref="AG4" si="7">SUM(AG5:AG8)</f>
        <v>10976.016491908948</v>
      </c>
      <c r="AH4" s="6">
        <f t="shared" ref="AH4" si="8">SUM(AH5:AH8)</f>
        <v>11524.817316504395</v>
      </c>
      <c r="AI4" s="6">
        <f t="shared" ref="AI4" si="9">SUM(AI5:AI8)</f>
        <v>12101.058182329616</v>
      </c>
      <c r="AJ4" s="6">
        <f t="shared" ref="AJ4" si="10">SUM(AJ5:AJ8)</f>
        <v>12706.111091446099</v>
      </c>
      <c r="AK4" s="6">
        <f t="shared" ref="AK4" si="11">SUM(AK5:AK8)</f>
        <v>13341.416646018404</v>
      </c>
      <c r="AL4" s="6"/>
      <c r="AM4" s="6"/>
      <c r="AN4" s="6"/>
      <c r="AO4" s="6"/>
    </row>
    <row r="5" spans="1:41" s="2" customFormat="1" x14ac:dyDescent="0.2">
      <c r="B5" s="2" t="s">
        <v>90</v>
      </c>
      <c r="C5" s="3"/>
      <c r="D5" s="3"/>
      <c r="E5" s="3"/>
      <c r="F5" s="3"/>
      <c r="G5" s="3">
        <v>392</v>
      </c>
      <c r="H5" s="3">
        <v>404</v>
      </c>
      <c r="I5" s="3">
        <v>437</v>
      </c>
      <c r="J5" s="3">
        <f>W5-I5-H5-G5</f>
        <v>466</v>
      </c>
      <c r="K5" s="3">
        <v>519</v>
      </c>
      <c r="L5" s="3">
        <v>547</v>
      </c>
      <c r="M5" s="3">
        <v>578</v>
      </c>
      <c r="N5" s="3">
        <f>+X5-M5-L5-K5</f>
        <v>623</v>
      </c>
      <c r="O5" s="3">
        <f>+K5*1.15</f>
        <v>596.84999999999991</v>
      </c>
      <c r="P5" s="3">
        <f t="shared" ref="P5:P8" si="12">+L5*1.15</f>
        <v>629.04999999999995</v>
      </c>
      <c r="Q5" s="3">
        <f t="shared" ref="Q5:Q8" si="13">+M5*1.15</f>
        <v>664.69999999999993</v>
      </c>
      <c r="R5" s="3">
        <f t="shared" ref="R5:R8" si="14">+N5*1.15</f>
        <v>716.44999999999993</v>
      </c>
      <c r="U5" s="3"/>
      <c r="V5" s="3">
        <v>1354</v>
      </c>
      <c r="W5" s="3">
        <v>1699</v>
      </c>
      <c r="X5" s="3">
        <v>2267</v>
      </c>
      <c r="Y5" s="3">
        <f>SUM(O5:R5)</f>
        <v>2607.0499999999997</v>
      </c>
      <c r="Z5" s="3">
        <f>+Y5*1.05</f>
        <v>2737.4024999999997</v>
      </c>
      <c r="AA5" s="3">
        <f t="shared" ref="AA5:AK5" si="15">+Z5*1.05</f>
        <v>2874.2726249999996</v>
      </c>
      <c r="AB5" s="3">
        <f t="shared" si="15"/>
        <v>3017.9862562499998</v>
      </c>
      <c r="AC5" s="3">
        <f t="shared" si="15"/>
        <v>3168.8855690625001</v>
      </c>
      <c r="AD5" s="3">
        <f t="shared" si="15"/>
        <v>3327.3298475156253</v>
      </c>
      <c r="AE5" s="3">
        <f t="shared" si="15"/>
        <v>3493.6963398914068</v>
      </c>
      <c r="AF5" s="3">
        <f t="shared" si="15"/>
        <v>3668.3811568859774</v>
      </c>
      <c r="AG5" s="3">
        <f t="shared" si="15"/>
        <v>3851.8002147302764</v>
      </c>
      <c r="AH5" s="3">
        <f t="shared" si="15"/>
        <v>4044.3902254667905</v>
      </c>
      <c r="AI5" s="3">
        <f t="shared" si="15"/>
        <v>4246.6097367401298</v>
      </c>
      <c r="AJ5" s="3">
        <f t="shared" si="15"/>
        <v>4458.9402235771367</v>
      </c>
      <c r="AK5" s="3">
        <f t="shared" si="15"/>
        <v>4681.8872347559936</v>
      </c>
      <c r="AL5" s="3"/>
      <c r="AM5" s="3"/>
      <c r="AN5" s="3"/>
      <c r="AO5" s="3"/>
    </row>
    <row r="6" spans="1:41" s="2" customFormat="1" x14ac:dyDescent="0.2">
      <c r="B6" s="2" t="s">
        <v>56</v>
      </c>
      <c r="C6" s="3"/>
      <c r="D6" s="3"/>
      <c r="E6" s="3"/>
      <c r="F6" s="3"/>
      <c r="G6" s="3">
        <v>229</v>
      </c>
      <c r="H6" s="3">
        <v>240</v>
      </c>
      <c r="I6" s="3">
        <v>278</v>
      </c>
      <c r="J6" s="3">
        <f t="shared" ref="J6:J8" si="16">W6-I6-H6-G6</f>
        <v>304</v>
      </c>
      <c r="K6" s="3">
        <v>326</v>
      </c>
      <c r="L6" s="3">
        <v>574</v>
      </c>
      <c r="M6" s="3">
        <v>614</v>
      </c>
      <c r="N6" s="3">
        <f t="shared" ref="N6:N8" si="17">+X6-M6-L6-K6</f>
        <v>657</v>
      </c>
      <c r="O6" s="3">
        <f t="shared" ref="O6:O8" si="18">+K6*1.15</f>
        <v>374.9</v>
      </c>
      <c r="P6" s="3">
        <f t="shared" si="12"/>
        <v>660.09999999999991</v>
      </c>
      <c r="Q6" s="3">
        <f t="shared" si="13"/>
        <v>706.09999999999991</v>
      </c>
      <c r="R6" s="3">
        <f t="shared" si="14"/>
        <v>755.55</v>
      </c>
      <c r="U6" s="3"/>
      <c r="V6" s="3">
        <v>828</v>
      </c>
      <c r="W6" s="3">
        <v>1051</v>
      </c>
      <c r="X6" s="3">
        <v>2171</v>
      </c>
      <c r="Y6" s="3">
        <f t="shared" ref="Y6:Y12" si="19">SUM(O6:R6)</f>
        <v>2496.6499999999996</v>
      </c>
      <c r="Z6" s="3">
        <f t="shared" ref="Z6:AK11" si="20">+Y6*1.05</f>
        <v>2621.4824999999996</v>
      </c>
      <c r="AA6" s="3">
        <f t="shared" si="20"/>
        <v>2752.5566249999997</v>
      </c>
      <c r="AB6" s="3">
        <f t="shared" si="20"/>
        <v>2890.18445625</v>
      </c>
      <c r="AC6" s="3">
        <f t="shared" si="20"/>
        <v>3034.6936790625</v>
      </c>
      <c r="AD6" s="3">
        <f t="shared" si="20"/>
        <v>3186.4283630156251</v>
      </c>
      <c r="AE6" s="3">
        <f t="shared" si="20"/>
        <v>3345.7497811664066</v>
      </c>
      <c r="AF6" s="3">
        <f t="shared" si="20"/>
        <v>3513.0372702247269</v>
      </c>
      <c r="AG6" s="3">
        <f t="shared" si="20"/>
        <v>3688.6891337359634</v>
      </c>
      <c r="AH6" s="3">
        <f t="shared" si="20"/>
        <v>3873.1235904227619</v>
      </c>
      <c r="AI6" s="3">
        <f t="shared" si="20"/>
        <v>4066.7797699439002</v>
      </c>
      <c r="AJ6" s="3">
        <f t="shared" si="20"/>
        <v>4270.1187584410955</v>
      </c>
      <c r="AK6" s="3">
        <f t="shared" si="20"/>
        <v>4483.6246963631502</v>
      </c>
      <c r="AL6" s="3"/>
      <c r="AM6" s="3"/>
      <c r="AN6" s="3"/>
      <c r="AO6" s="3"/>
    </row>
    <row r="7" spans="1:41" s="2" customFormat="1" x14ac:dyDescent="0.2">
      <c r="B7" s="2" t="s">
        <v>91</v>
      </c>
      <c r="C7" s="3"/>
      <c r="D7" s="3"/>
      <c r="E7" s="3"/>
      <c r="F7" s="3"/>
      <c r="G7" s="3">
        <v>241</v>
      </c>
      <c r="H7" s="3">
        <v>160</v>
      </c>
      <c r="I7" s="3">
        <v>193</v>
      </c>
      <c r="J7" s="3">
        <f t="shared" si="16"/>
        <v>195</v>
      </c>
      <c r="K7" s="3">
        <v>267</v>
      </c>
      <c r="L7" s="3">
        <v>169</v>
      </c>
      <c r="M7" s="3">
        <v>201</v>
      </c>
      <c r="N7" s="3">
        <f t="shared" si="17"/>
        <v>214</v>
      </c>
      <c r="O7" s="3">
        <f t="shared" si="18"/>
        <v>307.04999999999995</v>
      </c>
      <c r="P7" s="3">
        <f t="shared" si="12"/>
        <v>194.35</v>
      </c>
      <c r="Q7" s="3">
        <f t="shared" si="13"/>
        <v>231.14999999999998</v>
      </c>
      <c r="R7" s="3">
        <f t="shared" si="14"/>
        <v>246.1</v>
      </c>
      <c r="U7" s="3"/>
      <c r="V7" s="3">
        <v>755</v>
      </c>
      <c r="W7" s="3">
        <v>789</v>
      </c>
      <c r="X7" s="3">
        <v>851</v>
      </c>
      <c r="Y7" s="3">
        <f t="shared" si="19"/>
        <v>978.65</v>
      </c>
      <c r="Z7" s="3">
        <f t="shared" si="20"/>
        <v>1027.5825</v>
      </c>
      <c r="AA7" s="3">
        <f t="shared" si="20"/>
        <v>1078.9616250000001</v>
      </c>
      <c r="AB7" s="3">
        <f t="shared" si="20"/>
        <v>1132.9097062500002</v>
      </c>
      <c r="AC7" s="3">
        <f t="shared" si="20"/>
        <v>1189.5551915625003</v>
      </c>
      <c r="AD7" s="3">
        <f t="shared" si="20"/>
        <v>1249.0329511406253</v>
      </c>
      <c r="AE7" s="3">
        <f t="shared" si="20"/>
        <v>1311.4845986976566</v>
      </c>
      <c r="AF7" s="3">
        <f t="shared" si="20"/>
        <v>1377.0588286325394</v>
      </c>
      <c r="AG7" s="3">
        <f t="shared" si="20"/>
        <v>1445.9117700641664</v>
      </c>
      <c r="AH7" s="3">
        <f t="shared" si="20"/>
        <v>1518.2073585673747</v>
      </c>
      <c r="AI7" s="3">
        <f t="shared" si="20"/>
        <v>1594.1177264957435</v>
      </c>
      <c r="AJ7" s="3">
        <f t="shared" si="20"/>
        <v>1673.8236128205308</v>
      </c>
      <c r="AK7" s="3">
        <f t="shared" si="20"/>
        <v>1757.5147934615575</v>
      </c>
      <c r="AL7" s="3"/>
      <c r="AM7" s="3"/>
      <c r="AN7" s="3"/>
      <c r="AO7" s="3"/>
    </row>
    <row r="8" spans="1:41" s="2" customFormat="1" x14ac:dyDescent="0.2">
      <c r="B8" s="2" t="s">
        <v>92</v>
      </c>
      <c r="C8" s="3"/>
      <c r="D8" s="3"/>
      <c r="E8" s="3"/>
      <c r="F8" s="3"/>
      <c r="G8" s="3">
        <v>319</v>
      </c>
      <c r="H8" s="3">
        <v>274</v>
      </c>
      <c r="I8" s="3">
        <v>269</v>
      </c>
      <c r="J8" s="3">
        <f t="shared" si="16"/>
        <v>287</v>
      </c>
      <c r="K8" s="3">
        <v>331</v>
      </c>
      <c r="L8" s="3">
        <v>291</v>
      </c>
      <c r="M8" s="3">
        <v>274</v>
      </c>
      <c r="N8" s="3">
        <f t="shared" si="17"/>
        <v>275</v>
      </c>
      <c r="O8" s="3">
        <f t="shared" si="18"/>
        <v>380.65</v>
      </c>
      <c r="P8" s="3">
        <f t="shared" si="12"/>
        <v>334.65</v>
      </c>
      <c r="Q8" s="3">
        <f t="shared" si="13"/>
        <v>315.09999999999997</v>
      </c>
      <c r="R8" s="3">
        <f t="shared" si="14"/>
        <v>316.25</v>
      </c>
      <c r="U8" s="3"/>
      <c r="V8" s="3">
        <v>1113</v>
      </c>
      <c r="W8" s="3">
        <v>1149</v>
      </c>
      <c r="X8" s="3">
        <v>1171</v>
      </c>
      <c r="Y8" s="3">
        <f t="shared" si="19"/>
        <v>1346.6499999999999</v>
      </c>
      <c r="Z8" s="3">
        <f t="shared" si="20"/>
        <v>1413.9824999999998</v>
      </c>
      <c r="AA8" s="3">
        <f t="shared" si="20"/>
        <v>1484.6816249999999</v>
      </c>
      <c r="AB8" s="3">
        <f t="shared" si="20"/>
        <v>1558.9157062500001</v>
      </c>
      <c r="AC8" s="3">
        <f t="shared" si="20"/>
        <v>1636.8614915625001</v>
      </c>
      <c r="AD8" s="3">
        <f t="shared" si="20"/>
        <v>1718.704566140625</v>
      </c>
      <c r="AE8" s="3">
        <f t="shared" si="20"/>
        <v>1804.6397944476564</v>
      </c>
      <c r="AF8" s="3">
        <f t="shared" si="20"/>
        <v>1894.8717841700393</v>
      </c>
      <c r="AG8" s="3">
        <f t="shared" si="20"/>
        <v>1989.6153733785413</v>
      </c>
      <c r="AH8" s="3">
        <f t="shared" si="20"/>
        <v>2089.0961420474687</v>
      </c>
      <c r="AI8" s="3">
        <f t="shared" si="20"/>
        <v>2193.5509491498424</v>
      </c>
      <c r="AJ8" s="3">
        <f t="shared" si="20"/>
        <v>2303.2284966073348</v>
      </c>
      <c r="AK8" s="3">
        <f t="shared" si="20"/>
        <v>2418.3899214377016</v>
      </c>
      <c r="AL8" s="3"/>
      <c r="AM8" s="3"/>
      <c r="AN8" s="3"/>
      <c r="AO8" s="3"/>
    </row>
    <row r="9" spans="1:41" x14ac:dyDescent="0.2">
      <c r="O9" s="1"/>
      <c r="P9" s="1"/>
      <c r="Q9" s="1"/>
      <c r="R9" s="1"/>
      <c r="U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 s="12" customFormat="1" x14ac:dyDescent="0.2">
      <c r="B10" s="12" t="s">
        <v>57</v>
      </c>
      <c r="C10" s="13"/>
      <c r="D10" s="13"/>
      <c r="E10" s="13"/>
      <c r="F10" s="13"/>
      <c r="G10" s="13">
        <v>119</v>
      </c>
      <c r="H10" s="13">
        <v>147</v>
      </c>
      <c r="I10" s="13">
        <v>2445</v>
      </c>
      <c r="J10" s="13">
        <v>852</v>
      </c>
      <c r="K10" s="13">
        <v>120</v>
      </c>
      <c r="L10" s="13">
        <v>411</v>
      </c>
      <c r="M10" s="13">
        <v>3239</v>
      </c>
      <c r="N10" s="13">
        <v>145</v>
      </c>
      <c r="O10" s="3">
        <f t="shared" ref="O10:O12" si="21">+K10*1.15</f>
        <v>138</v>
      </c>
      <c r="P10" s="3">
        <f t="shared" ref="P10:P12" si="22">+L10*1.15</f>
        <v>472.65</v>
      </c>
      <c r="Q10" s="3">
        <f t="shared" ref="Q10:Q12" si="23">+M10*1.15</f>
        <v>3724.85</v>
      </c>
      <c r="R10" s="3">
        <f t="shared" ref="R10:R12" si="24">+N10*1.15</f>
        <v>166.75</v>
      </c>
      <c r="U10" s="13"/>
      <c r="V10" s="13">
        <v>3136</v>
      </c>
      <c r="W10" s="13">
        <v>3563</v>
      </c>
      <c r="X10" s="13">
        <v>3915</v>
      </c>
      <c r="Y10" s="3">
        <f t="shared" si="19"/>
        <v>4502.25</v>
      </c>
      <c r="Z10" s="3">
        <f t="shared" si="20"/>
        <v>4727.3625000000002</v>
      </c>
      <c r="AA10" s="3">
        <f t="shared" si="20"/>
        <v>4963.7306250000001</v>
      </c>
      <c r="AB10" s="3">
        <f t="shared" si="20"/>
        <v>5211.9171562500005</v>
      </c>
      <c r="AC10" s="3">
        <f t="shared" si="20"/>
        <v>5472.5130140625006</v>
      </c>
      <c r="AD10" s="3">
        <f t="shared" si="20"/>
        <v>5746.1386647656254</v>
      </c>
      <c r="AE10" s="3">
        <f t="shared" si="20"/>
        <v>6033.4455980039065</v>
      </c>
      <c r="AF10" s="3">
        <f t="shared" si="20"/>
        <v>6335.117877904102</v>
      </c>
      <c r="AG10" s="3">
        <f t="shared" si="20"/>
        <v>6651.8737717993072</v>
      </c>
      <c r="AH10" s="3">
        <f t="shared" si="20"/>
        <v>6984.4674603892727</v>
      </c>
      <c r="AI10" s="3">
        <f t="shared" si="20"/>
        <v>7333.6908334087366</v>
      </c>
      <c r="AJ10" s="3">
        <f t="shared" si="20"/>
        <v>7700.3753750791739</v>
      </c>
      <c r="AK10" s="3">
        <f t="shared" si="20"/>
        <v>8085.3941438331331</v>
      </c>
      <c r="AL10" s="13"/>
      <c r="AM10" s="13"/>
      <c r="AN10" s="13"/>
      <c r="AO10" s="13"/>
    </row>
    <row r="11" spans="1:41" s="2" customFormat="1" x14ac:dyDescent="0.2">
      <c r="B11" s="2" t="s">
        <v>10</v>
      </c>
      <c r="C11" s="3"/>
      <c r="D11" s="3"/>
      <c r="E11" s="3"/>
      <c r="F11" s="3"/>
      <c r="G11" s="3">
        <v>0</v>
      </c>
      <c r="H11" s="3">
        <v>144</v>
      </c>
      <c r="I11" s="3">
        <v>316</v>
      </c>
      <c r="J11" s="3">
        <f t="shared" ref="J11:J12" si="25">W11-I11-H11-G11</f>
        <v>405</v>
      </c>
      <c r="K11" s="3">
        <v>418</v>
      </c>
      <c r="L11" s="3">
        <v>444</v>
      </c>
      <c r="M11" s="3">
        <v>468</v>
      </c>
      <c r="N11" s="3">
        <f t="shared" ref="N11:N12" si="26">+X11-M11-L11-K11</f>
        <v>475</v>
      </c>
      <c r="O11" s="3">
        <f t="shared" si="21"/>
        <v>480.7</v>
      </c>
      <c r="P11" s="3">
        <f t="shared" si="22"/>
        <v>510.59999999999997</v>
      </c>
      <c r="Q11" s="3">
        <f t="shared" si="23"/>
        <v>538.19999999999993</v>
      </c>
      <c r="R11" s="3">
        <f t="shared" si="24"/>
        <v>546.25</v>
      </c>
      <c r="V11" s="3"/>
      <c r="W11" s="3">
        <v>865</v>
      </c>
      <c r="X11" s="3">
        <v>1805</v>
      </c>
      <c r="Y11" s="3">
        <f t="shared" si="19"/>
        <v>2075.75</v>
      </c>
      <c r="Z11" s="3">
        <f t="shared" ref="Z11:AK11" si="27">+Y11*1.05</f>
        <v>2179.5374999999999</v>
      </c>
      <c r="AA11" s="3">
        <f t="shared" si="27"/>
        <v>2288.5143750000002</v>
      </c>
      <c r="AB11" s="3">
        <f t="shared" si="27"/>
        <v>2402.9400937500004</v>
      </c>
      <c r="AC11" s="3">
        <f t="shared" si="27"/>
        <v>2523.0870984375006</v>
      </c>
      <c r="AD11" s="3">
        <f t="shared" si="27"/>
        <v>2649.2414533593756</v>
      </c>
      <c r="AE11" s="3">
        <f t="shared" si="27"/>
        <v>2781.7035260273447</v>
      </c>
      <c r="AF11" s="3">
        <f t="shared" si="27"/>
        <v>2920.7887023287121</v>
      </c>
      <c r="AG11" s="3">
        <f t="shared" si="27"/>
        <v>3066.8281374451481</v>
      </c>
      <c r="AH11" s="3">
        <f t="shared" si="27"/>
        <v>3220.1695443174058</v>
      </c>
      <c r="AI11" s="3">
        <f t="shared" si="27"/>
        <v>3381.178021533276</v>
      </c>
      <c r="AJ11" s="3">
        <f t="shared" si="27"/>
        <v>3550.2369226099399</v>
      </c>
      <c r="AK11" s="3">
        <f t="shared" si="27"/>
        <v>3727.7487687404373</v>
      </c>
    </row>
    <row r="12" spans="1:41" s="2" customFormat="1" x14ac:dyDescent="0.2">
      <c r="B12" s="2" t="s">
        <v>93</v>
      </c>
      <c r="C12" s="3"/>
      <c r="D12" s="3"/>
      <c r="E12" s="3"/>
      <c r="F12" s="3"/>
      <c r="G12" s="3">
        <v>23</v>
      </c>
      <c r="H12" s="3">
        <v>207</v>
      </c>
      <c r="I12" s="3">
        <v>235</v>
      </c>
      <c r="J12" s="3">
        <f t="shared" si="25"/>
        <v>52</v>
      </c>
      <c r="K12" s="3">
        <v>26</v>
      </c>
      <c r="L12" s="3">
        <v>237</v>
      </c>
      <c r="M12" s="3">
        <v>258</v>
      </c>
      <c r="N12" s="3">
        <f t="shared" si="26"/>
        <v>25</v>
      </c>
      <c r="O12" s="3">
        <f t="shared" si="21"/>
        <v>29.9</v>
      </c>
      <c r="P12" s="3">
        <f t="shared" si="22"/>
        <v>272.54999999999995</v>
      </c>
      <c r="Q12" s="3">
        <f t="shared" si="23"/>
        <v>296.7</v>
      </c>
      <c r="R12" s="3">
        <f t="shared" si="24"/>
        <v>28.749999999999996</v>
      </c>
      <c r="V12" s="3">
        <v>493</v>
      </c>
      <c r="W12" s="3">
        <v>517</v>
      </c>
      <c r="X12" s="3">
        <v>546</v>
      </c>
      <c r="Y12" s="3">
        <f t="shared" si="19"/>
        <v>627.89999999999986</v>
      </c>
      <c r="Z12" s="3">
        <f t="shared" ref="Z12:AK12" si="28">+Y12*1.05</f>
        <v>659.29499999999985</v>
      </c>
      <c r="AA12" s="3">
        <f>+Z12*1.05</f>
        <v>692.25974999999983</v>
      </c>
      <c r="AB12" s="3">
        <f>+AA12*1.05</f>
        <v>726.87273749999986</v>
      </c>
      <c r="AC12" s="3">
        <f t="shared" si="28"/>
        <v>763.21637437499987</v>
      </c>
      <c r="AD12" s="3">
        <f t="shared" si="28"/>
        <v>801.37719309374995</v>
      </c>
      <c r="AE12" s="3">
        <f t="shared" si="28"/>
        <v>841.44605274843752</v>
      </c>
      <c r="AF12" s="3">
        <f t="shared" si="28"/>
        <v>883.51835538585942</v>
      </c>
      <c r="AG12" s="3">
        <f t="shared" si="28"/>
        <v>927.69427315515247</v>
      </c>
      <c r="AH12" s="3">
        <f t="shared" si="28"/>
        <v>974.0789868129101</v>
      </c>
      <c r="AI12" s="3">
        <f t="shared" si="28"/>
        <v>1022.7829361535556</v>
      </c>
      <c r="AJ12" s="3">
        <f t="shared" si="28"/>
        <v>1073.9220829612334</v>
      </c>
      <c r="AK12" s="3">
        <f t="shared" si="28"/>
        <v>1127.6181871092951</v>
      </c>
    </row>
    <row r="13" spans="1:41" s="2" customFormat="1" x14ac:dyDescent="0.2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V13" s="3"/>
      <c r="W13" s="3"/>
      <c r="X13" s="3"/>
      <c r="Y13" s="3"/>
    </row>
    <row r="14" spans="1:41" s="2" customFormat="1" x14ac:dyDescent="0.2">
      <c r="B14" s="2" t="s">
        <v>11</v>
      </c>
      <c r="C14" s="3"/>
      <c r="D14" s="3"/>
      <c r="E14" s="3"/>
      <c r="F14" s="3"/>
      <c r="G14" s="3"/>
      <c r="H14" s="3"/>
      <c r="I14" s="3"/>
      <c r="J14" s="3"/>
      <c r="K14" s="3"/>
      <c r="L14" s="3">
        <v>240</v>
      </c>
      <c r="M14" s="3"/>
      <c r="N14" s="3">
        <v>265</v>
      </c>
      <c r="V14" s="3"/>
      <c r="W14" s="3"/>
      <c r="X14" s="3"/>
      <c r="Y14" s="3"/>
    </row>
    <row r="15" spans="1:41" s="2" customFormat="1" x14ac:dyDescent="0.2">
      <c r="B15" s="2" t="s">
        <v>56</v>
      </c>
      <c r="C15" s="3"/>
      <c r="D15" s="3"/>
      <c r="E15" s="3"/>
      <c r="F15" s="3"/>
      <c r="G15" s="3"/>
      <c r="H15" s="3"/>
      <c r="I15" s="3"/>
      <c r="J15" s="3"/>
      <c r="K15" s="3"/>
      <c r="L15" s="3">
        <v>574</v>
      </c>
      <c r="M15" s="3"/>
      <c r="N15" s="3"/>
      <c r="V15" s="3"/>
      <c r="W15" s="3"/>
      <c r="X15" s="3"/>
      <c r="Y15" s="3"/>
    </row>
    <row r="16" spans="1:41" s="2" customFormat="1" x14ac:dyDescent="0.2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V16" s="3"/>
      <c r="W16" s="3"/>
      <c r="X16" s="3"/>
      <c r="Y16" s="3"/>
    </row>
    <row r="18" spans="2:38" s="2" customFormat="1" x14ac:dyDescent="0.2">
      <c r="B18" s="2" t="s">
        <v>22</v>
      </c>
      <c r="C18" s="3"/>
      <c r="D18" s="3"/>
      <c r="E18" s="3"/>
      <c r="F18" s="3">
        <v>294</v>
      </c>
      <c r="G18" s="3">
        <v>367</v>
      </c>
      <c r="H18" s="3">
        <v>495</v>
      </c>
      <c r="I18" s="3">
        <v>533</v>
      </c>
      <c r="J18" s="3">
        <v>303</v>
      </c>
      <c r="K18" s="3">
        <v>397</v>
      </c>
      <c r="L18" s="3">
        <v>525</v>
      </c>
      <c r="M18" s="3">
        <v>554</v>
      </c>
      <c r="N18" s="3">
        <v>271</v>
      </c>
      <c r="V18" s="3"/>
      <c r="W18" s="3">
        <f>SUM(G18:J18)</f>
        <v>1698</v>
      </c>
      <c r="X18" s="3">
        <f>SUM(K18:N18)</f>
        <v>1747</v>
      </c>
      <c r="Y18" s="3">
        <f>SUM(O18:R18)</f>
        <v>0</v>
      </c>
    </row>
    <row r="19" spans="2:38" s="2" customFormat="1" x14ac:dyDescent="0.2">
      <c r="B19" s="2" t="s">
        <v>23</v>
      </c>
      <c r="C19" s="3"/>
      <c r="D19" s="3"/>
      <c r="E19" s="3"/>
      <c r="F19" s="3">
        <v>1522</v>
      </c>
      <c r="G19" s="3">
        <v>956</v>
      </c>
      <c r="H19" s="3">
        <v>1081</v>
      </c>
      <c r="I19" s="3">
        <v>3640</v>
      </c>
      <c r="J19" s="3">
        <v>2258</v>
      </c>
      <c r="K19" s="3">
        <v>1610</v>
      </c>
      <c r="L19" s="3">
        <v>2148</v>
      </c>
      <c r="M19" s="3">
        <v>5078</v>
      </c>
      <c r="N19" s="3">
        <v>2143</v>
      </c>
      <c r="V19" s="3"/>
      <c r="W19" s="3">
        <f>SUM(G19:J19)</f>
        <v>7935</v>
      </c>
      <c r="X19" s="3">
        <f>SUM(K19:N19)</f>
        <v>10979</v>
      </c>
      <c r="Y19" s="3">
        <f>SUM(O19:R19)</f>
        <v>0</v>
      </c>
    </row>
    <row r="20" spans="2:38" s="5" customFormat="1" x14ac:dyDescent="0.2">
      <c r="B20" s="5" t="s">
        <v>13</v>
      </c>
      <c r="C20" s="6"/>
      <c r="D20" s="6"/>
      <c r="E20" s="6"/>
      <c r="F20" s="6">
        <f t="shared" ref="F20:L20" si="29">F18+F19</f>
        <v>1816</v>
      </c>
      <c r="G20" s="6">
        <f t="shared" si="29"/>
        <v>1323</v>
      </c>
      <c r="H20" s="6">
        <f t="shared" si="29"/>
        <v>1576</v>
      </c>
      <c r="I20" s="6">
        <f t="shared" si="29"/>
        <v>4173</v>
      </c>
      <c r="J20" s="6">
        <f t="shared" si="29"/>
        <v>2561</v>
      </c>
      <c r="K20" s="6">
        <f t="shared" si="29"/>
        <v>2007</v>
      </c>
      <c r="L20" s="6">
        <f t="shared" si="29"/>
        <v>2673</v>
      </c>
      <c r="M20" s="6">
        <f>M18+M19</f>
        <v>5632</v>
      </c>
      <c r="N20" s="6">
        <f>N18+N19</f>
        <v>2414</v>
      </c>
      <c r="O20" s="6">
        <f>+O12+O11+O10+O4</f>
        <v>2308.0499999999997</v>
      </c>
      <c r="P20" s="6">
        <f t="shared" ref="P20:R20" si="30">+P12+P11+P10+P4</f>
        <v>3073.9499999999994</v>
      </c>
      <c r="Q20" s="6">
        <f t="shared" si="30"/>
        <v>6476.7999999999993</v>
      </c>
      <c r="R20" s="6">
        <f t="shared" si="30"/>
        <v>2776.1</v>
      </c>
      <c r="V20" s="6">
        <v>7679</v>
      </c>
      <c r="W20" s="6">
        <f>+W18+W19</f>
        <v>9633</v>
      </c>
      <c r="X20" s="6">
        <f>X18+X19</f>
        <v>12726</v>
      </c>
      <c r="Y20" s="6">
        <f>+Y12+Y11+Y10+Y4</f>
        <v>14634.899999999998</v>
      </c>
      <c r="Z20" s="6">
        <f>+Z10+Z11+Z12+Z4</f>
        <v>15366.644999999999</v>
      </c>
      <c r="AA20" s="6">
        <f t="shared" ref="AA20:AK20" si="31">+AA10+AA11+AA12+AA4</f>
        <v>16134.97725</v>
      </c>
      <c r="AB20" s="6">
        <f t="shared" si="31"/>
        <v>16941.7261125</v>
      </c>
      <c r="AC20" s="6">
        <f t="shared" si="31"/>
        <v>17788.812418125002</v>
      </c>
      <c r="AD20" s="6">
        <f t="shared" si="31"/>
        <v>18678.253039031253</v>
      </c>
      <c r="AE20" s="6">
        <f t="shared" si="31"/>
        <v>19612.165690982816</v>
      </c>
      <c r="AF20" s="6">
        <f t="shared" si="31"/>
        <v>20592.773975531956</v>
      </c>
      <c r="AG20" s="6">
        <f t="shared" si="31"/>
        <v>21622.412674308554</v>
      </c>
      <c r="AH20" s="6">
        <f t="shared" si="31"/>
        <v>22703.533308023983</v>
      </c>
      <c r="AI20" s="6">
        <f t="shared" si="31"/>
        <v>23838.709973425182</v>
      </c>
      <c r="AJ20" s="6">
        <f t="shared" si="31"/>
        <v>25030.645472096447</v>
      </c>
      <c r="AK20" s="6">
        <f t="shared" si="31"/>
        <v>26282.177745701272</v>
      </c>
    </row>
    <row r="21" spans="2:38" x14ac:dyDescent="0.2">
      <c r="B21" t="s">
        <v>24</v>
      </c>
      <c r="F21" s="1">
        <f>317</f>
        <v>317</v>
      </c>
      <c r="G21" s="1">
        <f>15+234</f>
        <v>249</v>
      </c>
      <c r="H21" s="1">
        <v>353</v>
      </c>
      <c r="I21" s="1">
        <f>16+565</f>
        <v>581</v>
      </c>
      <c r="J21" s="1">
        <f>16+434</f>
        <v>450</v>
      </c>
      <c r="K21" s="1">
        <f>15+387</f>
        <v>402</v>
      </c>
      <c r="L21" s="1">
        <v>523</v>
      </c>
      <c r="M21" s="1">
        <f>18+764</f>
        <v>782</v>
      </c>
      <c r="N21" s="1">
        <f>16+543</f>
        <v>559</v>
      </c>
      <c r="O21" s="2">
        <f>+O20-O22</f>
        <v>507.77099999999996</v>
      </c>
      <c r="P21" s="2">
        <f>+P20-P22</f>
        <v>676.26899999999978</v>
      </c>
      <c r="Q21" s="2">
        <f>+Q20-Q22</f>
        <v>1424.8959999999997</v>
      </c>
      <c r="R21" s="2">
        <f>+R20-R22</f>
        <v>610.74199999999973</v>
      </c>
      <c r="W21" s="3">
        <f>SUM(G21:J21)</f>
        <v>1633</v>
      </c>
      <c r="X21" s="3">
        <f>SUM(K21:N21)</f>
        <v>2266</v>
      </c>
      <c r="Y21" s="3">
        <f>SUM(O21:R21)</f>
        <v>3219.6779999999994</v>
      </c>
      <c r="Z21" s="2">
        <f>+Z20-Z22</f>
        <v>2612.3296499999997</v>
      </c>
      <c r="AA21" s="2">
        <f t="shared" ref="AA21:AK21" si="32">+AA20-AA22</f>
        <v>2742.9461325000011</v>
      </c>
      <c r="AB21" s="2">
        <f t="shared" si="32"/>
        <v>2880.0934391250012</v>
      </c>
      <c r="AC21" s="2">
        <f t="shared" si="32"/>
        <v>3024.0981110812518</v>
      </c>
      <c r="AD21" s="2">
        <f t="shared" si="32"/>
        <v>3175.3030166353146</v>
      </c>
      <c r="AE21" s="2">
        <f t="shared" si="32"/>
        <v>3334.0681674670795</v>
      </c>
      <c r="AF21" s="2">
        <f t="shared" si="32"/>
        <v>3500.7715758404338</v>
      </c>
      <c r="AG21" s="2">
        <f t="shared" si="32"/>
        <v>3675.8101546324542</v>
      </c>
      <c r="AH21" s="2">
        <f t="shared" si="32"/>
        <v>3859.6006623640787</v>
      </c>
      <c r="AI21" s="2">
        <f t="shared" si="32"/>
        <v>4052.5806954822838</v>
      </c>
      <c r="AJ21" s="2">
        <f t="shared" si="32"/>
        <v>4255.2097302563961</v>
      </c>
      <c r="AK21" s="2">
        <f t="shared" si="32"/>
        <v>4467.9702167692158</v>
      </c>
    </row>
    <row r="22" spans="2:38" x14ac:dyDescent="0.2">
      <c r="B22" t="s">
        <v>25</v>
      </c>
      <c r="C22" s="3"/>
      <c r="D22" s="3"/>
      <c r="E22" s="3"/>
      <c r="F22" s="3">
        <f>F20-F21</f>
        <v>1499</v>
      </c>
      <c r="G22" s="3">
        <f>G20-G21</f>
        <v>1074</v>
      </c>
      <c r="H22" s="3">
        <f>H20-H21</f>
        <v>1223</v>
      </c>
      <c r="I22" s="3">
        <f>I20-I21</f>
        <v>3592</v>
      </c>
      <c r="J22" s="3">
        <f t="shared" ref="J22:M22" si="33">J20-J21</f>
        <v>2111</v>
      </c>
      <c r="K22" s="3">
        <f t="shared" si="33"/>
        <v>1605</v>
      </c>
      <c r="L22" s="3">
        <f t="shared" si="33"/>
        <v>2150</v>
      </c>
      <c r="M22" s="3">
        <f t="shared" si="33"/>
        <v>4850</v>
      </c>
      <c r="N22" s="3">
        <f>+N20-N21</f>
        <v>1855</v>
      </c>
      <c r="O22" s="3">
        <f>+O20*0.78</f>
        <v>1800.2789999999998</v>
      </c>
      <c r="P22" s="3">
        <f>+P20*0.78</f>
        <v>2397.6809999999996</v>
      </c>
      <c r="Q22" s="3">
        <f>+Q20*0.78</f>
        <v>5051.9039999999995</v>
      </c>
      <c r="R22" s="3">
        <f>+R20*0.78</f>
        <v>2165.3580000000002</v>
      </c>
      <c r="W22" s="3">
        <f>+W20-W21</f>
        <v>8000</v>
      </c>
      <c r="X22" s="3">
        <f>X20-X21</f>
        <v>10460</v>
      </c>
      <c r="Y22" s="3">
        <f>+Y20-Y21</f>
        <v>11415.221999999998</v>
      </c>
      <c r="Z22" s="2">
        <f>+Z20*0.83</f>
        <v>12754.315349999999</v>
      </c>
      <c r="AA22" s="2">
        <f t="shared" ref="AA22:AL22" si="34">+AA20*0.83</f>
        <v>13392.031117499999</v>
      </c>
      <c r="AB22" s="2">
        <f t="shared" si="34"/>
        <v>14061.632673374999</v>
      </c>
      <c r="AC22" s="2">
        <f t="shared" si="34"/>
        <v>14764.714307043751</v>
      </c>
      <c r="AD22" s="2">
        <f t="shared" si="34"/>
        <v>15502.950022395939</v>
      </c>
      <c r="AE22" s="2">
        <f t="shared" si="34"/>
        <v>16278.097523515737</v>
      </c>
      <c r="AF22" s="2">
        <f t="shared" si="34"/>
        <v>17092.002399691522</v>
      </c>
      <c r="AG22" s="2">
        <f t="shared" si="34"/>
        <v>17946.6025196761</v>
      </c>
      <c r="AH22" s="2">
        <f t="shared" si="34"/>
        <v>18843.932645659905</v>
      </c>
      <c r="AI22" s="2">
        <f t="shared" si="34"/>
        <v>19786.129277942899</v>
      </c>
      <c r="AJ22" s="2">
        <f t="shared" si="34"/>
        <v>20775.43574184005</v>
      </c>
      <c r="AK22" s="2">
        <f t="shared" si="34"/>
        <v>21814.207528932056</v>
      </c>
      <c r="AL22" s="2"/>
    </row>
    <row r="23" spans="2:38" s="2" customFormat="1" x14ac:dyDescent="0.2">
      <c r="B23" s="2" t="s">
        <v>28</v>
      </c>
      <c r="C23" s="3"/>
      <c r="D23" s="3"/>
      <c r="E23" s="3"/>
      <c r="F23" s="3">
        <v>424</v>
      </c>
      <c r="G23" s="3">
        <v>362</v>
      </c>
      <c r="H23" s="3">
        <v>580</v>
      </c>
      <c r="I23" s="3">
        <v>857</v>
      </c>
      <c r="J23" s="3">
        <v>845</v>
      </c>
      <c r="K23" s="3">
        <v>550</v>
      </c>
      <c r="L23" s="3">
        <v>942</v>
      </c>
      <c r="M23" s="3">
        <v>1227</v>
      </c>
      <c r="N23" s="3">
        <v>807</v>
      </c>
      <c r="O23" s="2">
        <f>+K23*1.05</f>
        <v>577.5</v>
      </c>
      <c r="P23" s="2">
        <f t="shared" ref="P23:P25" si="35">+L23*1.05</f>
        <v>989.1</v>
      </c>
      <c r="Q23" s="2">
        <f t="shared" ref="Q23:Q25" si="36">+M23*1.05</f>
        <v>1288.3500000000001</v>
      </c>
      <c r="R23" s="2">
        <f t="shared" ref="R23:R25" si="37">+N23*1.05</f>
        <v>847.35</v>
      </c>
      <c r="V23" s="3"/>
      <c r="W23" s="3">
        <f>SUM(G23:J23)</f>
        <v>2644</v>
      </c>
      <c r="X23" s="3">
        <f t="shared" ref="X23:X25" si="38">SUM(K23:N23)</f>
        <v>3526</v>
      </c>
      <c r="Y23" s="3">
        <f t="shared" ref="Y23:Y25" si="39">SUM(O23:R23)</f>
        <v>3702.2999999999997</v>
      </c>
      <c r="Z23" s="2">
        <f>+Y23*1.01</f>
        <v>3739.3229999999999</v>
      </c>
      <c r="AA23" s="2">
        <f t="shared" ref="AA23:AK23" si="40">+Z23*1.01</f>
        <v>3776.71623</v>
      </c>
      <c r="AB23" s="2">
        <f t="shared" si="40"/>
        <v>3814.4833923000001</v>
      </c>
      <c r="AC23" s="2">
        <f t="shared" si="40"/>
        <v>3852.6282262230002</v>
      </c>
      <c r="AD23" s="2">
        <f t="shared" si="40"/>
        <v>3891.1545084852301</v>
      </c>
      <c r="AE23" s="2">
        <f t="shared" si="40"/>
        <v>3930.0660535700822</v>
      </c>
      <c r="AF23" s="2">
        <f t="shared" si="40"/>
        <v>3969.3667141057831</v>
      </c>
      <c r="AG23" s="2">
        <f t="shared" si="40"/>
        <v>4009.0603812468412</v>
      </c>
      <c r="AH23" s="2">
        <f t="shared" si="40"/>
        <v>4049.1509850593097</v>
      </c>
      <c r="AI23" s="2">
        <f t="shared" si="40"/>
        <v>4089.6424949099028</v>
      </c>
      <c r="AJ23" s="2">
        <f t="shared" si="40"/>
        <v>4130.5389198590019</v>
      </c>
      <c r="AK23" s="2">
        <f t="shared" si="40"/>
        <v>4171.844309057592</v>
      </c>
    </row>
    <row r="24" spans="2:38" s="2" customFormat="1" x14ac:dyDescent="0.2">
      <c r="B24" s="2" t="s">
        <v>29</v>
      </c>
      <c r="C24" s="3"/>
      <c r="D24" s="3"/>
      <c r="E24" s="3"/>
      <c r="F24" s="3">
        <v>393</v>
      </c>
      <c r="G24" s="3">
        <v>325</v>
      </c>
      <c r="H24" s="3">
        <v>368</v>
      </c>
      <c r="I24" s="3">
        <v>464</v>
      </c>
      <c r="J24" s="3">
        <v>521</v>
      </c>
      <c r="K24" s="3">
        <v>530</v>
      </c>
      <c r="L24" s="3">
        <v>590</v>
      </c>
      <c r="M24" s="3">
        <v>600</v>
      </c>
      <c r="N24" s="3">
        <v>627</v>
      </c>
      <c r="O24" s="2">
        <f t="shared" ref="O24:O25" si="41">+K24*1.05</f>
        <v>556.5</v>
      </c>
      <c r="P24" s="2">
        <f t="shared" si="35"/>
        <v>619.5</v>
      </c>
      <c r="Q24" s="2">
        <f t="shared" si="36"/>
        <v>630</v>
      </c>
      <c r="R24" s="2">
        <f t="shared" si="37"/>
        <v>658.35</v>
      </c>
      <c r="V24" s="3"/>
      <c r="W24" s="3">
        <f>SUM(G24:J24)</f>
        <v>1678</v>
      </c>
      <c r="X24" s="3">
        <f t="shared" si="38"/>
        <v>2347</v>
      </c>
      <c r="Y24" s="3">
        <f t="shared" si="39"/>
        <v>2464.35</v>
      </c>
      <c r="Z24" s="2">
        <f t="shared" ref="Z24:AK24" si="42">+Y24*1.01</f>
        <v>2488.9935</v>
      </c>
      <c r="AA24" s="2">
        <f t="shared" si="42"/>
        <v>2513.8834350000002</v>
      </c>
      <c r="AB24" s="2">
        <f t="shared" si="42"/>
        <v>2539.02226935</v>
      </c>
      <c r="AC24" s="2">
        <f t="shared" si="42"/>
        <v>2564.4124920435002</v>
      </c>
      <c r="AD24" s="2">
        <f t="shared" si="42"/>
        <v>2590.0566169639351</v>
      </c>
      <c r="AE24" s="2">
        <f t="shared" si="42"/>
        <v>2615.9571831335743</v>
      </c>
      <c r="AF24" s="2">
        <f t="shared" si="42"/>
        <v>2642.1167549649099</v>
      </c>
      <c r="AG24" s="2">
        <f t="shared" si="42"/>
        <v>2668.5379225145589</v>
      </c>
      <c r="AH24" s="2">
        <f t="shared" si="42"/>
        <v>2695.2233017397043</v>
      </c>
      <c r="AI24" s="2">
        <f t="shared" si="42"/>
        <v>2722.1755347571016</v>
      </c>
      <c r="AJ24" s="2">
        <f t="shared" si="42"/>
        <v>2749.3972901046727</v>
      </c>
      <c r="AK24" s="2">
        <f t="shared" si="42"/>
        <v>2776.8912630057193</v>
      </c>
    </row>
    <row r="25" spans="2:38" s="2" customFormat="1" x14ac:dyDescent="0.2">
      <c r="B25" s="2" t="s">
        <v>30</v>
      </c>
      <c r="C25" s="3"/>
      <c r="D25" s="3"/>
      <c r="E25" s="3"/>
      <c r="F25" s="3">
        <v>193</v>
      </c>
      <c r="G25" s="3">
        <v>169</v>
      </c>
      <c r="H25" s="3">
        <v>250</v>
      </c>
      <c r="I25" s="3">
        <v>289</v>
      </c>
      <c r="J25" s="3">
        <v>274</v>
      </c>
      <c r="K25" s="3">
        <v>262</v>
      </c>
      <c r="L25" s="3">
        <v>399</v>
      </c>
      <c r="M25" s="3">
        <v>465</v>
      </c>
      <c r="N25" s="3">
        <v>334</v>
      </c>
      <c r="O25" s="2">
        <f t="shared" si="41"/>
        <v>275.10000000000002</v>
      </c>
      <c r="P25" s="2">
        <f t="shared" si="35"/>
        <v>418.95000000000005</v>
      </c>
      <c r="Q25" s="2">
        <f t="shared" si="36"/>
        <v>488.25</v>
      </c>
      <c r="R25" s="2">
        <f t="shared" si="37"/>
        <v>350.7</v>
      </c>
      <c r="V25" s="3"/>
      <c r="W25" s="3">
        <f>SUM(G25:J25)</f>
        <v>982</v>
      </c>
      <c r="X25" s="3">
        <f t="shared" si="38"/>
        <v>1460</v>
      </c>
      <c r="Y25" s="3">
        <f t="shared" si="39"/>
        <v>1533.0000000000002</v>
      </c>
      <c r="Z25" s="2">
        <f t="shared" ref="Z25:AK25" si="43">+Y25*1.01</f>
        <v>1548.3300000000002</v>
      </c>
      <c r="AA25" s="2">
        <f t="shared" si="43"/>
        <v>1563.8133000000003</v>
      </c>
      <c r="AB25" s="2">
        <f t="shared" si="43"/>
        <v>1579.4514330000002</v>
      </c>
      <c r="AC25" s="2">
        <f t="shared" si="43"/>
        <v>1595.2459473300003</v>
      </c>
      <c r="AD25" s="2">
        <f t="shared" si="43"/>
        <v>1611.1984068033003</v>
      </c>
      <c r="AE25" s="2">
        <f t="shared" si="43"/>
        <v>1627.3103908713333</v>
      </c>
      <c r="AF25" s="2">
        <f t="shared" si="43"/>
        <v>1643.5834947800467</v>
      </c>
      <c r="AG25" s="2">
        <f t="shared" si="43"/>
        <v>1660.0193297278472</v>
      </c>
      <c r="AH25" s="2">
        <f t="shared" si="43"/>
        <v>1676.6195230251258</v>
      </c>
      <c r="AI25" s="2">
        <f t="shared" si="43"/>
        <v>1693.385718255377</v>
      </c>
      <c r="AJ25" s="2">
        <f t="shared" si="43"/>
        <v>1710.3195754379308</v>
      </c>
      <c r="AK25" s="2">
        <f t="shared" si="43"/>
        <v>1727.4227711923102</v>
      </c>
    </row>
    <row r="26" spans="2:38" s="2" customFormat="1" x14ac:dyDescent="0.2">
      <c r="B26" s="2" t="s">
        <v>26</v>
      </c>
      <c r="C26" s="3"/>
      <c r="D26" s="3"/>
      <c r="E26" s="3"/>
      <c r="F26" s="3">
        <f t="shared" ref="F26:L26" si="44">SUM(F23:F25)</f>
        <v>1010</v>
      </c>
      <c r="G26" s="3">
        <f t="shared" si="44"/>
        <v>856</v>
      </c>
      <c r="H26" s="3">
        <f t="shared" si="44"/>
        <v>1198</v>
      </c>
      <c r="I26" s="3">
        <f t="shared" si="44"/>
        <v>1610</v>
      </c>
      <c r="J26" s="3">
        <f t="shared" si="44"/>
        <v>1640</v>
      </c>
      <c r="K26" s="3">
        <f t="shared" si="44"/>
        <v>1342</v>
      </c>
      <c r="L26" s="3">
        <f t="shared" si="44"/>
        <v>1931</v>
      </c>
      <c r="M26" s="3">
        <f>SUM(M23:M25)</f>
        <v>2292</v>
      </c>
      <c r="N26" s="3">
        <f>SUM(N23:N25)</f>
        <v>1768</v>
      </c>
      <c r="O26" s="3">
        <f t="shared" ref="O26:R26" si="45">SUM(O23:O25)</f>
        <v>1409.1</v>
      </c>
      <c r="P26" s="3">
        <f t="shared" si="45"/>
        <v>2027.55</v>
      </c>
      <c r="Q26" s="3">
        <f t="shared" si="45"/>
        <v>2406.6000000000004</v>
      </c>
      <c r="R26" s="3">
        <f t="shared" si="45"/>
        <v>1856.4</v>
      </c>
      <c r="V26" s="3"/>
      <c r="W26" s="3">
        <f>SUM(W23:W25)</f>
        <v>5304</v>
      </c>
      <c r="X26" s="3">
        <f>SUM(X23:X25)</f>
        <v>7333</v>
      </c>
      <c r="Y26" s="3">
        <f>SUM(Y23:Y25)</f>
        <v>7699.65</v>
      </c>
      <c r="Z26" s="3">
        <f t="shared" ref="Z26:AK26" si="46">SUM(Z23:Z25)</f>
        <v>7776.6464999999998</v>
      </c>
      <c r="AA26" s="3">
        <f t="shared" si="46"/>
        <v>7854.4129649999995</v>
      </c>
      <c r="AB26" s="3">
        <f t="shared" si="46"/>
        <v>7932.9570946500007</v>
      </c>
      <c r="AC26" s="3">
        <f t="shared" si="46"/>
        <v>8012.2866655965008</v>
      </c>
      <c r="AD26" s="3">
        <f t="shared" si="46"/>
        <v>8092.4095322524645</v>
      </c>
      <c r="AE26" s="3">
        <f t="shared" si="46"/>
        <v>8173.3336275749898</v>
      </c>
      <c r="AF26" s="3">
        <f t="shared" si="46"/>
        <v>8255.0669638507388</v>
      </c>
      <c r="AG26" s="3">
        <f t="shared" si="46"/>
        <v>8337.617633489248</v>
      </c>
      <c r="AH26" s="3">
        <f t="shared" si="46"/>
        <v>8420.99380982414</v>
      </c>
      <c r="AI26" s="3">
        <f t="shared" si="46"/>
        <v>8505.2037479223818</v>
      </c>
      <c r="AJ26" s="3">
        <f t="shared" si="46"/>
        <v>8590.255785401605</v>
      </c>
      <c r="AK26" s="3">
        <f t="shared" si="46"/>
        <v>8676.1583432556217</v>
      </c>
    </row>
    <row r="27" spans="2:38" s="2" customFormat="1" x14ac:dyDescent="0.2">
      <c r="B27" s="2" t="s">
        <v>27</v>
      </c>
      <c r="C27" s="3"/>
      <c r="D27" s="3"/>
      <c r="E27" s="3"/>
      <c r="F27" s="3">
        <f t="shared" ref="F27:L27" si="47">F22-F26</f>
        <v>489</v>
      </c>
      <c r="G27" s="3">
        <f t="shared" si="47"/>
        <v>218</v>
      </c>
      <c r="H27" s="3">
        <f t="shared" si="47"/>
        <v>25</v>
      </c>
      <c r="I27" s="3">
        <f t="shared" si="47"/>
        <v>1982</v>
      </c>
      <c r="J27" s="3">
        <f t="shared" si="47"/>
        <v>471</v>
      </c>
      <c r="K27" s="3">
        <f t="shared" si="47"/>
        <v>263</v>
      </c>
      <c r="L27" s="3">
        <f t="shared" si="47"/>
        <v>219</v>
      </c>
      <c r="M27" s="3">
        <f>M22-M26</f>
        <v>2558</v>
      </c>
      <c r="N27" s="3">
        <f>N22-N26</f>
        <v>87</v>
      </c>
      <c r="O27" s="3">
        <f t="shared" ref="O27:R27" si="48">O22-O26</f>
        <v>391.17899999999986</v>
      </c>
      <c r="P27" s="3">
        <f t="shared" si="48"/>
        <v>370.13099999999963</v>
      </c>
      <c r="Q27" s="3">
        <f t="shared" si="48"/>
        <v>2645.3039999999992</v>
      </c>
      <c r="R27" s="3">
        <f t="shared" si="48"/>
        <v>308.95800000000008</v>
      </c>
      <c r="V27" s="3"/>
      <c r="W27" s="3">
        <f>W22-W26</f>
        <v>2696</v>
      </c>
      <c r="X27" s="3">
        <f>X22-X26</f>
        <v>3127</v>
      </c>
      <c r="Y27" s="3">
        <f t="shared" ref="Y27" si="49">Y22-Y26</f>
        <v>3715.5719999999983</v>
      </c>
      <c r="Z27" s="3">
        <f t="shared" ref="Z27" si="50">Z22-Z26</f>
        <v>4977.6688499999991</v>
      </c>
      <c r="AA27" s="3">
        <f t="shared" ref="AA27" si="51">AA22-AA26</f>
        <v>5537.6181524999993</v>
      </c>
      <c r="AB27" s="3">
        <f t="shared" ref="AB27" si="52">AB22-AB26</f>
        <v>6128.6755787249986</v>
      </c>
      <c r="AC27" s="3">
        <f t="shared" ref="AC27" si="53">AC22-AC26</f>
        <v>6752.4276414472497</v>
      </c>
      <c r="AD27" s="3">
        <f t="shared" ref="AD27" si="54">AD22-AD26</f>
        <v>7410.540490143474</v>
      </c>
      <c r="AE27" s="3">
        <f t="shared" ref="AE27" si="55">AE22-AE26</f>
        <v>8104.7638959407468</v>
      </c>
      <c r="AF27" s="3">
        <f t="shared" ref="AF27" si="56">AF22-AF26</f>
        <v>8836.9354358407836</v>
      </c>
      <c r="AG27" s="3">
        <f t="shared" ref="AG27" si="57">AG22-AG26</f>
        <v>9608.9848861868522</v>
      </c>
      <c r="AH27" s="3">
        <f t="shared" ref="AH27" si="58">AH22-AH26</f>
        <v>10422.938835835765</v>
      </c>
      <c r="AI27" s="3">
        <f t="shared" ref="AI27" si="59">AI22-AI26</f>
        <v>11280.925530020517</v>
      </c>
      <c r="AJ27" s="3">
        <f t="shared" ref="AJ27" si="60">AJ22-AJ26</f>
        <v>12185.179956438446</v>
      </c>
      <c r="AK27" s="3">
        <f t="shared" ref="AK27" si="61">AK22-AK26</f>
        <v>13138.049185676435</v>
      </c>
    </row>
    <row r="28" spans="2:38" x14ac:dyDescent="0.2">
      <c r="B28" s="2" t="s">
        <v>31</v>
      </c>
      <c r="F28" s="1">
        <f>-7+10</f>
        <v>3</v>
      </c>
      <c r="G28" s="1">
        <f>-8+9</f>
        <v>1</v>
      </c>
      <c r="H28" s="1">
        <f>-7+54</f>
        <v>47</v>
      </c>
      <c r="I28" s="1">
        <f>-7+14</f>
        <v>7</v>
      </c>
      <c r="J28" s="1">
        <f>-7+8</f>
        <v>1</v>
      </c>
      <c r="K28" s="1">
        <f>-7+50</f>
        <v>43</v>
      </c>
      <c r="L28" s="1">
        <f>-21-5</f>
        <v>-26</v>
      </c>
      <c r="M28" s="1">
        <v>-22</v>
      </c>
      <c r="N28" s="1">
        <f>-32+8</f>
        <v>-24</v>
      </c>
      <c r="O28" s="2">
        <f>AVERAGE(K28:N28)</f>
        <v>-7.25</v>
      </c>
      <c r="P28" s="2">
        <f t="shared" ref="P28:R28" si="62">AVERAGE(L28:O28)</f>
        <v>-19.8125</v>
      </c>
      <c r="Q28" s="2">
        <f t="shared" si="62"/>
        <v>-18.265625</v>
      </c>
      <c r="R28" s="2">
        <f t="shared" si="62"/>
        <v>-17.33203125</v>
      </c>
      <c r="W28" s="3">
        <f>SUM(G28:J28)</f>
        <v>56</v>
      </c>
      <c r="X28" s="3">
        <f t="shared" ref="X28:X30" si="63">SUM(K28:N28)</f>
        <v>-29</v>
      </c>
      <c r="Y28" s="3">
        <f t="shared" ref="Y28" si="64">SUM(O28:R28)</f>
        <v>-62.66015625</v>
      </c>
    </row>
    <row r="29" spans="2:38" x14ac:dyDescent="0.2">
      <c r="B29" s="2" t="s">
        <v>32</v>
      </c>
      <c r="C29" s="3"/>
      <c r="D29" s="3"/>
      <c r="E29" s="3"/>
      <c r="F29" s="3">
        <f t="shared" ref="F29:L29" si="65">F27+F28</f>
        <v>492</v>
      </c>
      <c r="G29" s="3">
        <f t="shared" si="65"/>
        <v>219</v>
      </c>
      <c r="H29" s="3">
        <f t="shared" si="65"/>
        <v>72</v>
      </c>
      <c r="I29" s="3">
        <f t="shared" si="65"/>
        <v>1989</v>
      </c>
      <c r="J29" s="3">
        <f t="shared" si="65"/>
        <v>472</v>
      </c>
      <c r="K29" s="3">
        <f t="shared" si="65"/>
        <v>306</v>
      </c>
      <c r="L29" s="3">
        <f t="shared" si="65"/>
        <v>193</v>
      </c>
      <c r="M29" s="3">
        <f>M27+M28</f>
        <v>2536</v>
      </c>
      <c r="N29" s="3">
        <f>N27+N28</f>
        <v>63</v>
      </c>
      <c r="O29" s="3">
        <f>O27+O28</f>
        <v>383.92899999999986</v>
      </c>
      <c r="P29" s="3">
        <f>P27+P28</f>
        <v>350.31849999999963</v>
      </c>
      <c r="Q29" s="3">
        <f>Q27+Q28</f>
        <v>2627.0383749999992</v>
      </c>
      <c r="R29" s="3">
        <f>R27+R28</f>
        <v>291.62596875000008</v>
      </c>
      <c r="W29" s="3">
        <f>W27+W28</f>
        <v>2752</v>
      </c>
      <c r="X29" s="3">
        <f>X27+X28</f>
        <v>3098</v>
      </c>
      <c r="Y29" s="3">
        <f>Y27+Y28</f>
        <v>3652.9118437499983</v>
      </c>
      <c r="Z29" s="3">
        <f t="shared" ref="Z29:AK29" si="66">Z27+Z28</f>
        <v>4977.6688499999991</v>
      </c>
      <c r="AA29" s="3">
        <f t="shared" si="66"/>
        <v>5537.6181524999993</v>
      </c>
      <c r="AB29" s="3">
        <f t="shared" si="66"/>
        <v>6128.6755787249986</v>
      </c>
      <c r="AC29" s="3">
        <f t="shared" si="66"/>
        <v>6752.4276414472497</v>
      </c>
      <c r="AD29" s="3">
        <f t="shared" si="66"/>
        <v>7410.540490143474</v>
      </c>
      <c r="AE29" s="3">
        <f t="shared" si="66"/>
        <v>8104.7638959407468</v>
      </c>
      <c r="AF29" s="3">
        <f t="shared" si="66"/>
        <v>8836.9354358407836</v>
      </c>
      <c r="AG29" s="3">
        <f t="shared" si="66"/>
        <v>9608.9848861868522</v>
      </c>
      <c r="AH29" s="3">
        <f t="shared" si="66"/>
        <v>10422.938835835765</v>
      </c>
      <c r="AI29" s="3">
        <f t="shared" si="66"/>
        <v>11280.925530020517</v>
      </c>
      <c r="AJ29" s="3">
        <f t="shared" si="66"/>
        <v>12185.179956438446</v>
      </c>
      <c r="AK29" s="3">
        <f t="shared" si="66"/>
        <v>13138.049185676435</v>
      </c>
    </row>
    <row r="30" spans="2:38" x14ac:dyDescent="0.2">
      <c r="B30" s="2" t="s">
        <v>33</v>
      </c>
      <c r="F30" s="1">
        <v>41</v>
      </c>
      <c r="G30" s="1">
        <v>12</v>
      </c>
      <c r="H30" s="1">
        <v>2</v>
      </c>
      <c r="I30" s="1">
        <v>457</v>
      </c>
      <c r="J30" s="1">
        <v>23</v>
      </c>
      <c r="K30" s="1">
        <v>10</v>
      </c>
      <c r="L30" s="1">
        <v>-70</v>
      </c>
      <c r="M30" s="1">
        <v>579</v>
      </c>
      <c r="N30" s="1">
        <v>-43</v>
      </c>
      <c r="O30" s="2">
        <f>+O29*0.15</f>
        <v>57.589349999999975</v>
      </c>
      <c r="P30" s="2">
        <f t="shared" ref="P30:R30" si="67">+P29*0.15</f>
        <v>52.547774999999945</v>
      </c>
      <c r="Q30" s="2">
        <f t="shared" si="67"/>
        <v>394.05575624999989</v>
      </c>
      <c r="R30" s="2">
        <f t="shared" si="67"/>
        <v>43.743895312500008</v>
      </c>
      <c r="W30" s="3">
        <f>SUM(G30:J30)</f>
        <v>494</v>
      </c>
      <c r="X30" s="3">
        <f>SUM(K30:N30)</f>
        <v>476</v>
      </c>
      <c r="Y30" s="3">
        <f>+Y29*0.15</f>
        <v>547.93677656249974</v>
      </c>
      <c r="Z30" s="2">
        <f>+Z29*0.15</f>
        <v>746.65032749999989</v>
      </c>
      <c r="AA30" s="2">
        <f t="shared" ref="AA30:AK30" si="68">+AA29*0.15</f>
        <v>830.64272287499989</v>
      </c>
      <c r="AB30" s="2">
        <f t="shared" si="68"/>
        <v>919.30133680874974</v>
      </c>
      <c r="AC30" s="2">
        <f t="shared" si="68"/>
        <v>1012.8641462170874</v>
      </c>
      <c r="AD30" s="2">
        <f t="shared" si="68"/>
        <v>1111.5810735215211</v>
      </c>
      <c r="AE30" s="2">
        <f t="shared" si="68"/>
        <v>1215.7145843911119</v>
      </c>
      <c r="AF30" s="2">
        <f t="shared" si="68"/>
        <v>1325.5403153761174</v>
      </c>
      <c r="AG30" s="2">
        <f t="shared" si="68"/>
        <v>1441.3477329280279</v>
      </c>
      <c r="AH30" s="2">
        <f t="shared" si="68"/>
        <v>1563.4408253753647</v>
      </c>
      <c r="AI30" s="2">
        <f t="shared" si="68"/>
        <v>1692.1388295030774</v>
      </c>
      <c r="AJ30" s="2">
        <f t="shared" si="68"/>
        <v>1827.7769934657667</v>
      </c>
      <c r="AK30" s="2">
        <f t="shared" si="68"/>
        <v>1970.707377851465</v>
      </c>
    </row>
    <row r="31" spans="2:38" x14ac:dyDescent="0.2">
      <c r="B31" s="2" t="s">
        <v>34</v>
      </c>
      <c r="C31" s="3"/>
      <c r="D31" s="3"/>
      <c r="E31" s="3"/>
      <c r="F31" s="3">
        <f t="shared" ref="F31:L31" si="69">F29-F30</f>
        <v>451</v>
      </c>
      <c r="G31" s="3">
        <f t="shared" si="69"/>
        <v>207</v>
      </c>
      <c r="H31" s="3">
        <f t="shared" si="69"/>
        <v>70</v>
      </c>
      <c r="I31" s="3">
        <f t="shared" si="69"/>
        <v>1532</v>
      </c>
      <c r="J31" s="3">
        <f t="shared" si="69"/>
        <v>449</v>
      </c>
      <c r="K31" s="3">
        <f t="shared" si="69"/>
        <v>296</v>
      </c>
      <c r="L31" s="3">
        <f t="shared" si="69"/>
        <v>263</v>
      </c>
      <c r="M31" s="3">
        <f>M29-M30</f>
        <v>1957</v>
      </c>
      <c r="N31" s="3">
        <f>N29-N30</f>
        <v>106</v>
      </c>
      <c r="O31" s="3">
        <f t="shared" ref="O31:R31" si="70">O29-O30</f>
        <v>326.33964999999989</v>
      </c>
      <c r="P31" s="3">
        <f t="shared" si="70"/>
        <v>297.77072499999969</v>
      </c>
      <c r="Q31" s="3">
        <f t="shared" si="70"/>
        <v>2232.9826187499993</v>
      </c>
      <c r="R31" s="3">
        <f t="shared" si="70"/>
        <v>247.88207343750008</v>
      </c>
      <c r="W31" s="3">
        <f>W29-W30</f>
        <v>2258</v>
      </c>
      <c r="X31" s="3">
        <f>X29-X30</f>
        <v>2622</v>
      </c>
      <c r="Y31" s="3">
        <f>Y29-Y30</f>
        <v>3104.9750671874986</v>
      </c>
      <c r="Z31" s="3">
        <f t="shared" ref="Z31:AK31" si="71">Z29-Z30</f>
        <v>4231.0185224999996</v>
      </c>
      <c r="AA31" s="3">
        <f t="shared" si="71"/>
        <v>4706.9754296249994</v>
      </c>
      <c r="AB31" s="3">
        <f t="shared" si="71"/>
        <v>5209.374241916249</v>
      </c>
      <c r="AC31" s="3">
        <f t="shared" si="71"/>
        <v>5739.5634952301625</v>
      </c>
      <c r="AD31" s="3">
        <f t="shared" si="71"/>
        <v>6298.9594166219531</v>
      </c>
      <c r="AE31" s="3">
        <f t="shared" si="71"/>
        <v>6889.0493115496347</v>
      </c>
      <c r="AF31" s="3">
        <f t="shared" si="71"/>
        <v>7511.3951204646664</v>
      </c>
      <c r="AG31" s="3">
        <f t="shared" si="71"/>
        <v>8167.6371532588246</v>
      </c>
      <c r="AH31" s="3">
        <f t="shared" si="71"/>
        <v>8859.4980104604001</v>
      </c>
      <c r="AI31" s="3">
        <f t="shared" si="71"/>
        <v>9588.7867005174394</v>
      </c>
      <c r="AJ31" s="3">
        <f t="shared" si="71"/>
        <v>10357.402962972679</v>
      </c>
      <c r="AK31" s="3">
        <f t="shared" si="71"/>
        <v>11167.341807824971</v>
      </c>
    </row>
    <row r="32" spans="2:38" x14ac:dyDescent="0.2">
      <c r="B32" s="2" t="s">
        <v>35</v>
      </c>
      <c r="C32" s="7"/>
      <c r="D32" s="7"/>
      <c r="E32" s="7"/>
      <c r="F32" s="7">
        <f t="shared" ref="F32:N32" si="72">F31/F33</f>
        <v>1.7083333333333333</v>
      </c>
      <c r="G32" s="7">
        <f t="shared" si="72"/>
        <v>0.78113207547169816</v>
      </c>
      <c r="H32" s="7">
        <f t="shared" si="72"/>
        <v>0.25641025641025639</v>
      </c>
      <c r="I32" s="7">
        <f t="shared" si="72"/>
        <v>5.5507246376811592</v>
      </c>
      <c r="J32" s="7">
        <f t="shared" si="72"/>
        <v>1.6209386281588447</v>
      </c>
      <c r="K32" s="7">
        <f t="shared" si="72"/>
        <v>1.0685920577617329</v>
      </c>
      <c r="L32" s="7">
        <f t="shared" si="72"/>
        <v>0.91637630662020908</v>
      </c>
      <c r="M32" s="7">
        <f t="shared" si="72"/>
        <v>6.8426573426573425</v>
      </c>
      <c r="N32" s="7">
        <f t="shared" si="72"/>
        <v>0.37588652482269502</v>
      </c>
      <c r="O32" s="7">
        <f t="shared" ref="O32" si="73">O31/O33</f>
        <v>1.1572328014184394</v>
      </c>
      <c r="P32" s="7">
        <f t="shared" ref="P32" si="74">P31/P33</f>
        <v>1.0559245567375874</v>
      </c>
      <c r="Q32" s="7">
        <f t="shared" ref="Q32" si="75">Q31/Q33</f>
        <v>7.9183780806737563</v>
      </c>
      <c r="R32" s="7">
        <f t="shared" ref="R32" si="76">R31/R33</f>
        <v>0.87901444481383006</v>
      </c>
      <c r="W32" s="7">
        <f>W31/W33</f>
        <v>8.2786434463794691</v>
      </c>
      <c r="X32" s="7">
        <f>X31/X33</f>
        <v>9.2650176678445231</v>
      </c>
      <c r="Y32" s="7">
        <f>Y31/Y33</f>
        <v>11.010549883643613</v>
      </c>
      <c r="Z32" s="7">
        <f t="shared" ref="Z32:AK32" si="77">Z31/Z33</f>
        <v>15.003611781914891</v>
      </c>
      <c r="AA32" s="7">
        <f t="shared" si="77"/>
        <v>16.691402232712765</v>
      </c>
      <c r="AB32" s="7">
        <f t="shared" si="77"/>
        <v>18.47295830466755</v>
      </c>
      <c r="AC32" s="7">
        <f t="shared" si="77"/>
        <v>20.353062039823271</v>
      </c>
      <c r="AD32" s="7">
        <f t="shared" si="77"/>
        <v>22.336735519936003</v>
      </c>
      <c r="AE32" s="7">
        <f t="shared" si="77"/>
        <v>24.429252877835584</v>
      </c>
      <c r="AF32" s="7">
        <f t="shared" si="77"/>
        <v>26.636152909449173</v>
      </c>
      <c r="AG32" s="7">
        <f t="shared" si="77"/>
        <v>28.963252316520656</v>
      </c>
      <c r="AH32" s="7">
        <f t="shared" si="77"/>
        <v>31.416659611561702</v>
      </c>
      <c r="AI32" s="7">
        <f t="shared" si="77"/>
        <v>34.00278971814695</v>
      </c>
      <c r="AJ32" s="7">
        <f t="shared" si="77"/>
        <v>36.72837930132156</v>
      </c>
      <c r="AK32" s="7">
        <f t="shared" si="77"/>
        <v>39.600502864627558</v>
      </c>
    </row>
    <row r="33" spans="2:37" x14ac:dyDescent="0.2">
      <c r="B33" s="2" t="s">
        <v>1</v>
      </c>
      <c r="F33" s="1">
        <v>264</v>
      </c>
      <c r="G33" s="1">
        <v>265</v>
      </c>
      <c r="H33" s="1">
        <v>273</v>
      </c>
      <c r="I33" s="1">
        <v>276</v>
      </c>
      <c r="J33" s="1">
        <v>277</v>
      </c>
      <c r="K33" s="1">
        <v>277</v>
      </c>
      <c r="L33" s="1">
        <v>287</v>
      </c>
      <c r="M33" s="1">
        <v>286</v>
      </c>
      <c r="N33" s="1">
        <v>282</v>
      </c>
      <c r="O33">
        <f>+N33</f>
        <v>282</v>
      </c>
      <c r="P33">
        <f>+O33</f>
        <v>282</v>
      </c>
      <c r="Q33">
        <f>+P33</f>
        <v>282</v>
      </c>
      <c r="R33">
        <f>+Q33</f>
        <v>282</v>
      </c>
      <c r="W33" s="3">
        <f>AVERAGE(G33:J33)</f>
        <v>272.75</v>
      </c>
      <c r="X33" s="3">
        <f>AVERAGE(K33:N33)</f>
        <v>283</v>
      </c>
      <c r="Y33" s="1">
        <f>AVERAGE(O33:R33)</f>
        <v>282</v>
      </c>
      <c r="Z33">
        <f>+Y33</f>
        <v>282</v>
      </c>
      <c r="AA33">
        <f t="shared" ref="AA33:AK33" si="78">+Z33</f>
        <v>282</v>
      </c>
      <c r="AB33">
        <f t="shared" si="78"/>
        <v>282</v>
      </c>
      <c r="AC33">
        <f t="shared" si="78"/>
        <v>282</v>
      </c>
      <c r="AD33">
        <f t="shared" si="78"/>
        <v>282</v>
      </c>
      <c r="AE33">
        <f t="shared" si="78"/>
        <v>282</v>
      </c>
      <c r="AF33">
        <f t="shared" si="78"/>
        <v>282</v>
      </c>
      <c r="AG33">
        <f t="shared" si="78"/>
        <v>282</v>
      </c>
      <c r="AH33">
        <f t="shared" si="78"/>
        <v>282</v>
      </c>
      <c r="AI33">
        <f t="shared" si="78"/>
        <v>282</v>
      </c>
      <c r="AJ33">
        <f t="shared" si="78"/>
        <v>282</v>
      </c>
      <c r="AK33">
        <f t="shared" si="78"/>
        <v>282</v>
      </c>
    </row>
    <row r="35" spans="2:37" x14ac:dyDescent="0.2">
      <c r="B35" s="2" t="s">
        <v>82</v>
      </c>
      <c r="K35" s="8">
        <f>K20/G20-1</f>
        <v>0.51700680272108834</v>
      </c>
      <c r="L35" s="8">
        <f>L20/H20-1</f>
        <v>0.69606598984771573</v>
      </c>
      <c r="M35" s="8">
        <f>M20/I20-1</f>
        <v>0.34962856458183555</v>
      </c>
      <c r="N35" s="8">
        <f>N20/J20-1</f>
        <v>-5.7399453338539685E-2</v>
      </c>
      <c r="O35" s="8">
        <f t="shared" ref="O35:R35" si="79">O20/K20-1</f>
        <v>0.14999999999999991</v>
      </c>
      <c r="P35" s="8">
        <f t="shared" si="79"/>
        <v>0.14999999999999969</v>
      </c>
      <c r="Q35" s="8">
        <f t="shared" si="79"/>
        <v>0.14999999999999991</v>
      </c>
      <c r="R35" s="8">
        <f t="shared" si="79"/>
        <v>0.14999999999999991</v>
      </c>
      <c r="X35" s="8">
        <f>+X20/W20-1</f>
        <v>0.32108377452507009</v>
      </c>
    </row>
    <row r="36" spans="2:37" x14ac:dyDescent="0.2">
      <c r="B36" s="2" t="s">
        <v>55</v>
      </c>
      <c r="L36" s="8"/>
      <c r="M36" s="8"/>
    </row>
    <row r="37" spans="2:37" x14ac:dyDescent="0.2">
      <c r="B37" s="2" t="s">
        <v>25</v>
      </c>
      <c r="C37" s="8"/>
      <c r="D37" s="8"/>
      <c r="E37" s="8"/>
      <c r="F37" s="8"/>
      <c r="G37" s="8">
        <f>G22/G20</f>
        <v>0.8117913832199547</v>
      </c>
      <c r="H37" s="8">
        <f>H22/H20</f>
        <v>0.77601522842639592</v>
      </c>
      <c r="I37" s="8">
        <f>I22/I20</f>
        <v>0.86077162712676736</v>
      </c>
      <c r="J37" s="8">
        <f>J22/J20</f>
        <v>0.82428738773916443</v>
      </c>
      <c r="K37" s="8">
        <f>K22/K20</f>
        <v>0.79970104633781769</v>
      </c>
      <c r="L37" s="8">
        <f>L22/L20</f>
        <v>0.80433969322858212</v>
      </c>
      <c r="M37" s="8">
        <f>M22/M20</f>
        <v>0.86115056818181823</v>
      </c>
      <c r="N37" s="8">
        <f>N22/N20</f>
        <v>0.76843413421706708</v>
      </c>
      <c r="O37" s="8">
        <f t="shared" ref="O37:R37" si="80">O22/O20</f>
        <v>0.78</v>
      </c>
      <c r="P37" s="8">
        <f t="shared" si="80"/>
        <v>0.78</v>
      </c>
      <c r="Q37" s="8">
        <f t="shared" si="80"/>
        <v>0.78</v>
      </c>
      <c r="R37" s="8">
        <f t="shared" si="80"/>
        <v>0.78000000000000014</v>
      </c>
      <c r="W37" s="8">
        <f>W22/W20</f>
        <v>0.83047856327208558</v>
      </c>
      <c r="X37" s="8">
        <f>X22/X20</f>
        <v>0.82193933679082198</v>
      </c>
    </row>
    <row r="38" spans="2:37" x14ac:dyDescent="0.2">
      <c r="B38" s="2" t="s">
        <v>40</v>
      </c>
      <c r="C38" s="8"/>
      <c r="D38" s="8"/>
      <c r="E38" s="8"/>
      <c r="F38" s="8"/>
      <c r="G38" s="8">
        <f>G27/G20</f>
        <v>0.16477702191987906</v>
      </c>
      <c r="H38" s="8">
        <f>H27/H20</f>
        <v>1.5862944162436547E-2</v>
      </c>
      <c r="I38" s="8">
        <f>I27/I20</f>
        <v>0.47495806374311045</v>
      </c>
      <c r="J38" s="8">
        <f>J27/J20</f>
        <v>0.18391253416634126</v>
      </c>
      <c r="K38" s="8">
        <f>K27/K20</f>
        <v>0.1310413552566019</v>
      </c>
      <c r="L38" s="8">
        <f>L27/L20</f>
        <v>8.1930415263748599E-2</v>
      </c>
      <c r="M38" s="8">
        <f>M27/M20</f>
        <v>0.45419034090909088</v>
      </c>
      <c r="N38" s="8">
        <f>N27/N20</f>
        <v>3.6039768019884011E-2</v>
      </c>
      <c r="O38" s="8">
        <f t="shared" ref="O38:R38" si="81">O27/O20</f>
        <v>0.1694846298823682</v>
      </c>
      <c r="P38" s="8">
        <f t="shared" si="81"/>
        <v>0.12040892011906495</v>
      </c>
      <c r="Q38" s="8">
        <f t="shared" si="81"/>
        <v>0.40842761857707499</v>
      </c>
      <c r="R38" s="8">
        <f t="shared" si="81"/>
        <v>0.11129210042865895</v>
      </c>
      <c r="W38" s="8">
        <f>W27/W20</f>
        <v>0.27987127582269283</v>
      </c>
      <c r="X38" s="8">
        <f>X27/X20</f>
        <v>0.24571742888574571</v>
      </c>
    </row>
    <row r="40" spans="2:37" x14ac:dyDescent="0.2">
      <c r="B40" s="2" t="s">
        <v>53</v>
      </c>
      <c r="M40" s="3">
        <f>M41-M58</f>
        <v>-2851</v>
      </c>
      <c r="N40" s="3">
        <f>N41-N58</f>
        <v>-3026</v>
      </c>
    </row>
    <row r="41" spans="2:37" s="2" customFormat="1" x14ac:dyDescent="0.2">
      <c r="B41" s="2" t="s">
        <v>3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>
        <f>3531+373+98</f>
        <v>4002</v>
      </c>
      <c r="N41" s="3">
        <f>2796+485+509+98</f>
        <v>3888</v>
      </c>
      <c r="V41" s="3"/>
      <c r="W41" s="3"/>
      <c r="X41" s="3"/>
      <c r="Y41" s="3"/>
    </row>
    <row r="42" spans="2:37" s="2" customFormat="1" x14ac:dyDescent="0.2">
      <c r="B42" s="2" t="s">
        <v>36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>
        <v>738</v>
      </c>
      <c r="N42" s="3">
        <v>446</v>
      </c>
      <c r="V42" s="3"/>
      <c r="W42" s="3"/>
      <c r="X42" s="3"/>
      <c r="Y42" s="3"/>
    </row>
    <row r="43" spans="2:37" s="2" customFormat="1" x14ac:dyDescent="0.2">
      <c r="B43" s="2" t="s">
        <v>33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>
        <f>6+8</f>
        <v>14</v>
      </c>
      <c r="N43" s="3">
        <f>93+11</f>
        <v>104</v>
      </c>
      <c r="V43" s="3"/>
      <c r="W43" s="3"/>
      <c r="X43" s="3"/>
      <c r="Y43" s="3"/>
    </row>
    <row r="44" spans="2:37" s="2" customFormat="1" x14ac:dyDescent="0.2">
      <c r="B44" s="2" t="s">
        <v>37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>
        <v>671</v>
      </c>
      <c r="N44" s="3">
        <v>287</v>
      </c>
      <c r="V44" s="3"/>
      <c r="W44" s="3"/>
      <c r="X44" s="3"/>
      <c r="Y44" s="3"/>
    </row>
    <row r="45" spans="2:37" s="2" customFormat="1" x14ac:dyDescent="0.2">
      <c r="B45" s="2" t="s">
        <v>38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>
        <v>539</v>
      </c>
      <c r="N45" s="3">
        <v>431</v>
      </c>
      <c r="V45" s="3"/>
      <c r="W45" s="3"/>
      <c r="X45" s="3"/>
      <c r="Y45" s="3"/>
    </row>
    <row r="46" spans="2:37" s="2" customFormat="1" x14ac:dyDescent="0.2">
      <c r="B46" s="2" t="s">
        <v>39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>
        <v>858</v>
      </c>
      <c r="N46" s="3">
        <v>888</v>
      </c>
      <c r="V46" s="3"/>
      <c r="W46" s="3"/>
      <c r="X46" s="3"/>
      <c r="Y46" s="3"/>
    </row>
    <row r="47" spans="2:37" s="2" customFormat="1" x14ac:dyDescent="0.2">
      <c r="B47" s="2" t="s">
        <v>42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>
        <v>425</v>
      </c>
      <c r="N47" s="3">
        <v>549</v>
      </c>
      <c r="V47" s="3"/>
      <c r="W47" s="3"/>
      <c r="X47" s="3"/>
      <c r="Y47" s="3"/>
    </row>
    <row r="48" spans="2:37" s="2" customFormat="1" x14ac:dyDescent="0.2">
      <c r="B48" s="2" t="s">
        <v>41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>
        <f>13731+7224</f>
        <v>20955</v>
      </c>
      <c r="N48" s="3">
        <f>13736+7061</f>
        <v>20797</v>
      </c>
      <c r="V48" s="3"/>
      <c r="W48" s="3"/>
      <c r="X48" s="3"/>
      <c r="Y48" s="3"/>
    </row>
    <row r="49" spans="2:25" s="2" customFormat="1" x14ac:dyDescent="0.2">
      <c r="B49" s="2" t="s">
        <v>43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>
        <v>312</v>
      </c>
      <c r="N49" s="3">
        <v>344</v>
      </c>
      <c r="V49" s="3"/>
      <c r="W49" s="3"/>
      <c r="X49" s="3"/>
      <c r="Y49" s="3"/>
    </row>
    <row r="50" spans="2:25" s="2" customFormat="1" x14ac:dyDescent="0.2">
      <c r="B50" s="2" t="s">
        <v>44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>
        <f>SUM(M41:M49)</f>
        <v>28514</v>
      </c>
      <c r="N50" s="3">
        <f>SUM(N41:N49)</f>
        <v>27734</v>
      </c>
      <c r="V50" s="3"/>
      <c r="W50" s="3"/>
      <c r="X50" s="3"/>
      <c r="Y50" s="3"/>
    </row>
    <row r="51" spans="2:25" s="2" customFormat="1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V51" s="3"/>
      <c r="W51" s="3"/>
      <c r="X51" s="3"/>
      <c r="Y51" s="3"/>
    </row>
    <row r="52" spans="2:25" s="2" customFormat="1" x14ac:dyDescent="0.2">
      <c r="B52" s="2" t="s">
        <v>45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>
        <v>900</v>
      </c>
      <c r="N52" s="3">
        <v>737</v>
      </c>
      <c r="V52" s="3"/>
      <c r="W52" s="3"/>
      <c r="X52" s="3"/>
      <c r="Y52" s="3"/>
    </row>
    <row r="53" spans="2:25" s="2" customFormat="1" x14ac:dyDescent="0.2">
      <c r="B53" s="2" t="s">
        <v>46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>
        <v>543</v>
      </c>
      <c r="N53" s="3">
        <v>576</v>
      </c>
      <c r="V53" s="3"/>
      <c r="W53" s="3"/>
      <c r="X53" s="3"/>
      <c r="Y53" s="3"/>
    </row>
    <row r="54" spans="2:25" s="2" customFormat="1" x14ac:dyDescent="0.2">
      <c r="B54" s="2" t="s">
        <v>47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>
        <v>741</v>
      </c>
      <c r="N54" s="3">
        <v>808</v>
      </c>
      <c r="V54" s="3"/>
      <c r="W54" s="3"/>
      <c r="X54" s="3"/>
      <c r="Y54" s="3"/>
    </row>
    <row r="55" spans="2:25" s="2" customFormat="1" x14ac:dyDescent="0.2">
      <c r="B55" s="2" t="s">
        <v>33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>
        <f>198+608</f>
        <v>806</v>
      </c>
      <c r="N55" s="3">
        <v>619</v>
      </c>
      <c r="V55" s="3"/>
      <c r="W55" s="3"/>
      <c r="X55" s="3"/>
      <c r="Y55" s="3"/>
    </row>
    <row r="56" spans="2:25" s="2" customFormat="1" x14ac:dyDescent="0.2">
      <c r="B56" s="2" t="s">
        <v>48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>
        <v>670</v>
      </c>
      <c r="N56" s="3">
        <v>579</v>
      </c>
      <c r="V56" s="3"/>
      <c r="W56" s="3"/>
      <c r="X56" s="3"/>
      <c r="Y56" s="3"/>
    </row>
    <row r="57" spans="2:25" s="2" customFormat="1" x14ac:dyDescent="0.2">
      <c r="B57" s="2" t="s">
        <v>49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>
        <v>539</v>
      </c>
      <c r="N57" s="3">
        <v>431</v>
      </c>
      <c r="V57" s="3"/>
      <c r="W57" s="3"/>
      <c r="X57" s="3"/>
      <c r="Y57" s="3"/>
    </row>
    <row r="58" spans="2:25" s="2" customFormat="1" x14ac:dyDescent="0.2">
      <c r="B58" s="2" t="s">
        <v>4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>
        <v>6853</v>
      </c>
      <c r="N58" s="3">
        <f>499+6415</f>
        <v>6914</v>
      </c>
      <c r="V58" s="3"/>
      <c r="W58" s="3"/>
      <c r="X58" s="3"/>
      <c r="Y58" s="3"/>
    </row>
    <row r="59" spans="2:25" s="2" customFormat="1" x14ac:dyDescent="0.2">
      <c r="B59" s="2" t="s">
        <v>42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>
        <v>415</v>
      </c>
      <c r="N59" s="3">
        <v>542</v>
      </c>
      <c r="V59" s="3"/>
      <c r="W59" s="3"/>
      <c r="X59" s="3"/>
      <c r="Y59" s="3"/>
    </row>
    <row r="60" spans="2:25" s="2" customFormat="1" x14ac:dyDescent="0.2">
      <c r="B60" s="2" t="s">
        <v>50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>
        <v>86</v>
      </c>
      <c r="N60" s="3">
        <v>87</v>
      </c>
      <c r="V60" s="3"/>
      <c r="W60" s="3"/>
      <c r="X60" s="3"/>
      <c r="Y60" s="3"/>
    </row>
    <row r="61" spans="2:25" s="2" customFormat="1" x14ac:dyDescent="0.2">
      <c r="B61" s="2" t="s">
        <v>51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>
        <v>16961</v>
      </c>
      <c r="N61" s="3">
        <v>16441</v>
      </c>
      <c r="V61" s="3"/>
      <c r="W61" s="3"/>
      <c r="X61" s="3"/>
      <c r="Y61" s="3"/>
    </row>
    <row r="62" spans="2:25" s="2" customFormat="1" x14ac:dyDescent="0.2">
      <c r="B62" s="2" t="s">
        <v>52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>
        <f>SUM(M52:M61)</f>
        <v>28514</v>
      </c>
      <c r="N62" s="3">
        <f>SUM(N52:N61)</f>
        <v>27734</v>
      </c>
      <c r="V62" s="3"/>
      <c r="W62" s="3"/>
      <c r="X62" s="3"/>
      <c r="Y62" s="3"/>
    </row>
  </sheetData>
  <phoneticPr fontId="3" type="noConversion"/>
  <hyperlinks>
    <hyperlink ref="A1" location="Main!A1" display="Main" xr:uid="{B997DAEA-D636-487D-A707-F2283FC68FBB}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2022-07-18T12:30:03Z</dcterms:created>
  <dcterms:modified xsi:type="dcterms:W3CDTF">2022-09-26T05:30:17Z</dcterms:modified>
</cp:coreProperties>
</file>