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9F230F3-9DC2-46F6-8099-024525885F49}" xr6:coauthVersionLast="47" xr6:coauthVersionMax="47" xr10:uidLastSave="{00000000-0000-0000-0000-000000000000}"/>
  <bookViews>
    <workbookView xWindow="22500" yWindow="1020" windowWidth="27645" windowHeight="18960" activeTab="1" xr2:uid="{79B0AABE-526A-4476-AFB2-442F9E053778}"/>
  </bookViews>
  <sheets>
    <sheet name="Main" sheetId="1" r:id="rId1"/>
    <sheet name="Model" sheetId="2" r:id="rId2"/>
    <sheet name="Epidiole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2" l="1"/>
  <c r="AC5" i="2" s="1"/>
  <c r="AD5" i="2" s="1"/>
  <c r="AE5" i="2" s="1"/>
  <c r="AF5" i="2" s="1"/>
  <c r="AG5" i="2" s="1"/>
  <c r="AH5" i="2" s="1"/>
  <c r="AI5" i="2" s="1"/>
  <c r="AA5" i="2"/>
  <c r="AC4" i="2"/>
  <c r="AD4" i="2"/>
  <c r="AE4" i="2"/>
  <c r="AF4" i="2"/>
  <c r="AG4" i="2"/>
  <c r="Z20" i="2"/>
  <c r="X20" i="2"/>
  <c r="W27" i="2"/>
  <c r="O27" i="2"/>
  <c r="P27" i="2" s="1"/>
  <c r="Q27" i="2" s="1"/>
  <c r="R27" i="2" s="1"/>
  <c r="N27" i="2"/>
  <c r="M27" i="2"/>
  <c r="N20" i="2"/>
  <c r="O20" i="2" s="1"/>
  <c r="N25" i="2"/>
  <c r="O25" i="2" s="1"/>
  <c r="J28" i="2"/>
  <c r="I28" i="2"/>
  <c r="G28" i="2"/>
  <c r="F28" i="2"/>
  <c r="N11" i="2"/>
  <c r="O10" i="2"/>
  <c r="N10" i="2"/>
  <c r="N9" i="2"/>
  <c r="O9" i="2" s="1"/>
  <c r="N8" i="2"/>
  <c r="O8" i="2" s="1"/>
  <c r="N7" i="2"/>
  <c r="O7" i="2" s="1"/>
  <c r="P7" i="2" s="1"/>
  <c r="Q7" i="2" s="1"/>
  <c r="R7" i="2" s="1"/>
  <c r="N6" i="2"/>
  <c r="O6" i="2" s="1"/>
  <c r="Q5" i="2"/>
  <c r="P5" i="2"/>
  <c r="O5" i="2"/>
  <c r="N5" i="2"/>
  <c r="R5" i="2" s="1"/>
  <c r="R3" i="2"/>
  <c r="Q3" i="2"/>
  <c r="P3" i="2"/>
  <c r="W3" i="2" s="1"/>
  <c r="O3" i="2"/>
  <c r="Q4" i="2"/>
  <c r="P4" i="2"/>
  <c r="O4" i="2"/>
  <c r="N4" i="2"/>
  <c r="R4" i="2" s="1"/>
  <c r="W4" i="2" s="1"/>
  <c r="X4" i="2" s="1"/>
  <c r="Y4" i="2" s="1"/>
  <c r="Z4" i="2" s="1"/>
  <c r="AA4" i="2" s="1"/>
  <c r="AB4" i="2" s="1"/>
  <c r="AH4" i="2" s="1"/>
  <c r="AI4" i="2" s="1"/>
  <c r="N3" i="2"/>
  <c r="F18" i="2"/>
  <c r="F12" i="2"/>
  <c r="F13" i="2"/>
  <c r="F15" i="2" s="1"/>
  <c r="J12" i="2"/>
  <c r="J13" i="2" s="1"/>
  <c r="J15" i="2" s="1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G18" i="2"/>
  <c r="G12" i="2"/>
  <c r="G13" i="2"/>
  <c r="G15" i="2" s="1"/>
  <c r="G19" i="2" s="1"/>
  <c r="G21" i="2" s="1"/>
  <c r="G23" i="2" s="1"/>
  <c r="G24" i="2" s="1"/>
  <c r="K12" i="2"/>
  <c r="K13" i="2" s="1"/>
  <c r="K15" i="2" s="1"/>
  <c r="K28" i="2" s="1"/>
  <c r="H18" i="2"/>
  <c r="L12" i="2"/>
  <c r="L13" i="2" s="1"/>
  <c r="L15" i="2" s="1"/>
  <c r="L28" i="2" s="1"/>
  <c r="H12" i="2"/>
  <c r="H13" i="2" s="1"/>
  <c r="H15" i="2" s="1"/>
  <c r="H28" i="2" s="1"/>
  <c r="M18" i="2"/>
  <c r="L18" i="2"/>
  <c r="K18" i="2"/>
  <c r="J18" i="2"/>
  <c r="I18" i="2"/>
  <c r="I12" i="2"/>
  <c r="I13" i="2" s="1"/>
  <c r="I15" i="2" s="1"/>
  <c r="M12" i="2"/>
  <c r="M13" i="2" s="1"/>
  <c r="M15" i="2" s="1"/>
  <c r="M28" i="2" s="1"/>
  <c r="K6" i="1"/>
  <c r="K5" i="1"/>
  <c r="K4" i="1"/>
  <c r="K7" i="1" s="1"/>
  <c r="P8" i="2" l="1"/>
  <c r="Q8" i="2" s="1"/>
  <c r="R8" i="2" s="1"/>
  <c r="X3" i="2"/>
  <c r="W5" i="2"/>
  <c r="X5" i="2" s="1"/>
  <c r="Y5" i="2" s="1"/>
  <c r="Z5" i="2" s="1"/>
  <c r="P6" i="2"/>
  <c r="Q6" i="2" s="1"/>
  <c r="R6" i="2" s="1"/>
  <c r="W6" i="2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P9" i="2"/>
  <c r="Q9" i="2" s="1"/>
  <c r="R9" i="2" s="1"/>
  <c r="W9" i="2"/>
  <c r="P25" i="2"/>
  <c r="Q25" i="2" s="1"/>
  <c r="R25" i="2" s="1"/>
  <c r="W25" i="2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P20" i="2"/>
  <c r="Q20" i="2" s="1"/>
  <c r="R20" i="2" s="1"/>
  <c r="W20" i="2"/>
  <c r="N12" i="2"/>
  <c r="O12" i="2" s="1"/>
  <c r="W7" i="2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O11" i="2"/>
  <c r="P11" i="2"/>
  <c r="P10" i="2"/>
  <c r="F19" i="2"/>
  <c r="F21" i="2" s="1"/>
  <c r="F23" i="2" s="1"/>
  <c r="F24" i="2" s="1"/>
  <c r="H19" i="2"/>
  <c r="H21" i="2" s="1"/>
  <c r="H23" i="2" s="1"/>
  <c r="H24" i="2" s="1"/>
  <c r="I19" i="2"/>
  <c r="I21" i="2" s="1"/>
  <c r="I23" i="2" s="1"/>
  <c r="I24" i="2" s="1"/>
  <c r="J19" i="2"/>
  <c r="J21" i="2" s="1"/>
  <c r="J23" i="2" s="1"/>
  <c r="J24" i="2" s="1"/>
  <c r="K19" i="2"/>
  <c r="K21" i="2" s="1"/>
  <c r="K23" i="2" s="1"/>
  <c r="K24" i="2" s="1"/>
  <c r="L19" i="2"/>
  <c r="L21" i="2" s="1"/>
  <c r="L23" i="2" s="1"/>
  <c r="L24" i="2" s="1"/>
  <c r="M19" i="2"/>
  <c r="M21" i="2" s="1"/>
  <c r="M23" i="2" s="1"/>
  <c r="M24" i="2" s="1"/>
  <c r="O13" i="2" l="1"/>
  <c r="N13" i="2"/>
  <c r="Q10" i="2"/>
  <c r="W10" i="2" s="1"/>
  <c r="X10" i="2" s="1"/>
  <c r="P12" i="2"/>
  <c r="P13" i="2" s="1"/>
  <c r="Y3" i="2"/>
  <c r="W8" i="2"/>
  <c r="R10" i="2"/>
  <c r="Q11" i="2"/>
  <c r="R11" i="2" s="1"/>
  <c r="Y10" i="2" l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W11" i="2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Z3" i="2"/>
  <c r="P16" i="2"/>
  <c r="P18" i="2" s="1"/>
  <c r="P14" i="2"/>
  <c r="P15" i="2" s="1"/>
  <c r="P28" i="2" s="1"/>
  <c r="N14" i="2"/>
  <c r="N16" i="2"/>
  <c r="N18" i="2" s="1"/>
  <c r="N19" i="2" s="1"/>
  <c r="N21" i="2" s="1"/>
  <c r="N15" i="2"/>
  <c r="N28" i="2" s="1"/>
  <c r="Q12" i="2"/>
  <c r="R12" i="2" s="1"/>
  <c r="R13" i="2" s="1"/>
  <c r="O16" i="2"/>
  <c r="O14" i="2"/>
  <c r="O15" i="2"/>
  <c r="O28" i="2" s="1"/>
  <c r="R16" i="2" l="1"/>
  <c r="R18" i="2" s="1"/>
  <c r="R14" i="2"/>
  <c r="R15" i="2" s="1"/>
  <c r="R28" i="2" s="1"/>
  <c r="AA3" i="2"/>
  <c r="W12" i="2"/>
  <c r="X12" i="2" s="1"/>
  <c r="Y12" i="2" s="1"/>
  <c r="O18" i="2"/>
  <c r="O19" i="2" s="1"/>
  <c r="O21" i="2" s="1"/>
  <c r="O22" i="2" s="1"/>
  <c r="N22" i="2"/>
  <c r="N23" i="2"/>
  <c r="N24" i="2" s="1"/>
  <c r="P19" i="2"/>
  <c r="P21" i="2" s="1"/>
  <c r="P22" i="2" s="1"/>
  <c r="P23" i="2" s="1"/>
  <c r="P24" i="2" s="1"/>
  <c r="Q13" i="2"/>
  <c r="X13" i="2"/>
  <c r="W13" i="2"/>
  <c r="X14" i="2" l="1"/>
  <c r="X15" i="2" s="1"/>
  <c r="X16" i="2"/>
  <c r="X18" i="2" s="1"/>
  <c r="Z12" i="2"/>
  <c r="Y13" i="2"/>
  <c r="Q16" i="2"/>
  <c r="Q14" i="2"/>
  <c r="O23" i="2"/>
  <c r="O24" i="2" s="1"/>
  <c r="AB3" i="2"/>
  <c r="R19" i="2"/>
  <c r="R21" i="2" s="1"/>
  <c r="R22" i="2" s="1"/>
  <c r="R23" i="2" s="1"/>
  <c r="R24" i="2" s="1"/>
  <c r="Q15" i="2" l="1"/>
  <c r="Q28" i="2" s="1"/>
  <c r="W14" i="2"/>
  <c r="W15" i="2" s="1"/>
  <c r="X19" i="2"/>
  <c r="X21" i="2" s="1"/>
  <c r="AC3" i="2"/>
  <c r="Q18" i="2"/>
  <c r="Q19" i="2" s="1"/>
  <c r="Q21" i="2" s="1"/>
  <c r="Q22" i="2" s="1"/>
  <c r="W16" i="2"/>
  <c r="W18" i="2" s="1"/>
  <c r="Y14" i="2"/>
  <c r="Y15" i="2" s="1"/>
  <c r="Y16" i="2"/>
  <c r="Y18" i="2" s="1"/>
  <c r="Y19" i="2" s="1"/>
  <c r="AA12" i="2"/>
  <c r="Z13" i="2"/>
  <c r="AB12" i="2" l="1"/>
  <c r="AA13" i="2"/>
  <c r="Q23" i="2"/>
  <c r="Q24" i="2" s="1"/>
  <c r="W22" i="2"/>
  <c r="AD3" i="2"/>
  <c r="Z16" i="2"/>
  <c r="Z18" i="2" s="1"/>
  <c r="Z14" i="2"/>
  <c r="Z15" i="2" s="1"/>
  <c r="X22" i="2"/>
  <c r="X23" i="2" s="1"/>
  <c r="W19" i="2"/>
  <c r="W21" i="2" s="1"/>
  <c r="W23" i="2" s="1"/>
  <c r="W24" i="2" s="1"/>
  <c r="X24" i="2" l="1"/>
  <c r="X27" i="2"/>
  <c r="AE3" i="2"/>
  <c r="Z19" i="2"/>
  <c r="Z21" i="2" s="1"/>
  <c r="Z22" i="2" s="1"/>
  <c r="Z23" i="2" s="1"/>
  <c r="Z24" i="2" s="1"/>
  <c r="AA14" i="2"/>
  <c r="AA15" i="2" s="1"/>
  <c r="AA16" i="2"/>
  <c r="AA18" i="2" s="1"/>
  <c r="AC12" i="2"/>
  <c r="AB13" i="2"/>
  <c r="Y20" i="2" l="1"/>
  <c r="Y21" i="2" s="1"/>
  <c r="Y22" i="2" s="1"/>
  <c r="Y23" i="2" s="1"/>
  <c r="Y24" i="2" s="1"/>
  <c r="AB16" i="2"/>
  <c r="AB18" i="2" s="1"/>
  <c r="AB14" i="2"/>
  <c r="AB15" i="2" s="1"/>
  <c r="AD12" i="2"/>
  <c r="AC13" i="2"/>
  <c r="AA19" i="2"/>
  <c r="AF3" i="2"/>
  <c r="Y27" i="2" l="1"/>
  <c r="Z27" i="2" s="1"/>
  <c r="AG3" i="2"/>
  <c r="AC16" i="2"/>
  <c r="AC18" i="2" s="1"/>
  <c r="AC14" i="2"/>
  <c r="AC15" i="2" s="1"/>
  <c r="AE12" i="2"/>
  <c r="AD13" i="2"/>
  <c r="AB19" i="2"/>
  <c r="AA20" i="2" l="1"/>
  <c r="AA21" i="2" s="1"/>
  <c r="AA22" i="2" s="1"/>
  <c r="AA23" i="2" s="1"/>
  <c r="AA24" i="2" s="1"/>
  <c r="AD16" i="2"/>
  <c r="AD18" i="2" s="1"/>
  <c r="AD14" i="2"/>
  <c r="AD15" i="2" s="1"/>
  <c r="AF12" i="2"/>
  <c r="AE13" i="2"/>
  <c r="AC19" i="2"/>
  <c r="AH3" i="2"/>
  <c r="AA27" i="2" l="1"/>
  <c r="AI3" i="2"/>
  <c r="AE16" i="2"/>
  <c r="AE18" i="2" s="1"/>
  <c r="AE14" i="2"/>
  <c r="AE15" i="2" s="1"/>
  <c r="AG12" i="2"/>
  <c r="AF13" i="2"/>
  <c r="AD19" i="2"/>
  <c r="AB20" i="2" l="1"/>
  <c r="AB21" i="2" s="1"/>
  <c r="AB22" i="2" s="1"/>
  <c r="AB23" i="2" s="1"/>
  <c r="AB24" i="2" s="1"/>
  <c r="AF16" i="2"/>
  <c r="AF18" i="2" s="1"/>
  <c r="AF14" i="2"/>
  <c r="AF15" i="2" s="1"/>
  <c r="AH12" i="2"/>
  <c r="AG13" i="2"/>
  <c r="AE19" i="2"/>
  <c r="AB27" i="2" l="1"/>
  <c r="AG16" i="2"/>
  <c r="AG18" i="2" s="1"/>
  <c r="AG14" i="2"/>
  <c r="AG15" i="2" s="1"/>
  <c r="AI12" i="2"/>
  <c r="AI13" i="2" s="1"/>
  <c r="AH13" i="2"/>
  <c r="AF19" i="2"/>
  <c r="AC20" i="2" l="1"/>
  <c r="AC21" i="2" s="1"/>
  <c r="AC22" i="2" s="1"/>
  <c r="AC23" i="2" s="1"/>
  <c r="AH14" i="2"/>
  <c r="AH15" i="2" s="1"/>
  <c r="AH16" i="2"/>
  <c r="AH18" i="2" s="1"/>
  <c r="AH19" i="2" s="1"/>
  <c r="AI16" i="2"/>
  <c r="AI18" i="2" s="1"/>
  <c r="AI14" i="2"/>
  <c r="AI15" i="2" s="1"/>
  <c r="AG19" i="2"/>
  <c r="AC24" i="2" l="1"/>
  <c r="AC27" i="2"/>
  <c r="AI19" i="2"/>
  <c r="AD20" i="2" l="1"/>
  <c r="AD21" i="2" s="1"/>
  <c r="AD22" i="2" s="1"/>
  <c r="AD23" i="2" s="1"/>
  <c r="AD24" i="2" l="1"/>
  <c r="AD27" i="2"/>
  <c r="AE20" i="2" l="1"/>
  <c r="AE21" i="2" s="1"/>
  <c r="AE22" i="2" s="1"/>
  <c r="AE23" i="2" s="1"/>
  <c r="AE24" i="2" l="1"/>
  <c r="AE27" i="2"/>
  <c r="AF20" i="2" l="1"/>
  <c r="AF21" i="2" s="1"/>
  <c r="AF22" i="2" s="1"/>
  <c r="AF23" i="2" s="1"/>
  <c r="AF24" i="2" l="1"/>
  <c r="AF27" i="2"/>
  <c r="AG20" i="2" l="1"/>
  <c r="AG21" i="2" s="1"/>
  <c r="AG22" i="2" s="1"/>
  <c r="AG23" i="2" s="1"/>
  <c r="AG24" i="2" l="1"/>
  <c r="AG27" i="2"/>
  <c r="AH20" i="2" l="1"/>
  <c r="AH21" i="2" s="1"/>
  <c r="AH22" i="2" s="1"/>
  <c r="AH23" i="2" s="1"/>
  <c r="AH24" i="2" s="1"/>
  <c r="AH27" i="2" l="1"/>
  <c r="AI20" i="2" l="1"/>
  <c r="AI21" i="2" s="1"/>
  <c r="AI22" i="2" s="1"/>
  <c r="AI23" i="2" s="1"/>
  <c r="AI24" i="2" l="1"/>
  <c r="AJ23" i="2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AL28" i="2" s="1"/>
  <c r="AL29" i="2" s="1"/>
  <c r="AI27" i="2"/>
</calcChain>
</file>

<file path=xl/sharedStrings.xml><?xml version="1.0" encoding="utf-8"?>
<sst xmlns="http://schemas.openxmlformats.org/spreadsheetml/2006/main" count="118" uniqueCount="109">
  <si>
    <t>Price</t>
  </si>
  <si>
    <t>Shares</t>
  </si>
  <si>
    <t>MC</t>
  </si>
  <si>
    <t>Cash</t>
  </si>
  <si>
    <t>Debt</t>
  </si>
  <si>
    <t>EV</t>
  </si>
  <si>
    <t>Q322</t>
  </si>
  <si>
    <t>Main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</si>
  <si>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</si>
  <si>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</si>
  <si>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</si>
  <si>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</si>
  <si>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</si>
  <si>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</si>
  <si>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</si>
  <si>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</si>
  <si>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</si>
  <si>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</si>
  <si>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</si>
  <si>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Xyrem</t>
  </si>
  <si>
    <t>Revenue</t>
  </si>
  <si>
    <t>Xywav</t>
  </si>
  <si>
    <t>Epidiolex</t>
  </si>
  <si>
    <t>Sativex</t>
  </si>
  <si>
    <t>Sunosi</t>
  </si>
  <si>
    <t>Zepzelca</t>
  </si>
  <si>
    <t>Rylaze</t>
  </si>
  <si>
    <t>Vyxeos</t>
  </si>
  <si>
    <t>Defitelio</t>
  </si>
  <si>
    <t>Other</t>
  </si>
  <si>
    <t>COGS</t>
  </si>
  <si>
    <t>Gross Profit</t>
  </si>
  <si>
    <t>SG&amp;A</t>
  </si>
  <si>
    <t>R&amp;D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</si>
  <si>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</si>
  <si>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</si>
  <si>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</si>
  <si>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</si>
  <si>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</si>
  <si>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</si>
  <si>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</si>
  <si>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Name</t>
  </si>
  <si>
    <t>Indication</t>
  </si>
  <si>
    <t>IH</t>
  </si>
  <si>
    <t>SCLC</t>
  </si>
  <si>
    <t>JZP815</t>
  </si>
  <si>
    <t>pan-RAF</t>
  </si>
  <si>
    <t>Epidyolex</t>
  </si>
  <si>
    <t>zanidatamab</t>
  </si>
  <si>
    <t>suvecaltamide</t>
  </si>
  <si>
    <t>Parkinson's</t>
  </si>
  <si>
    <t>JZP441</t>
  </si>
  <si>
    <t>orexin-2 agonist</t>
  </si>
  <si>
    <t>MOA</t>
  </si>
  <si>
    <t>Zepzelca (lurbinectedin)</t>
  </si>
  <si>
    <t>Rylaze (asparaginase)</t>
  </si>
  <si>
    <t>ALL</t>
  </si>
  <si>
    <t>TSC/Dravet</t>
  </si>
  <si>
    <t>Economics</t>
  </si>
  <si>
    <t>ZYME</t>
  </si>
  <si>
    <t>HER2</t>
  </si>
  <si>
    <t>T-type Ca inhibitor</t>
  </si>
  <si>
    <t>JZP150</t>
  </si>
  <si>
    <t>PTSD</t>
  </si>
  <si>
    <t>FAAH</t>
  </si>
  <si>
    <t>Approved</t>
  </si>
  <si>
    <t>Phase</t>
  </si>
  <si>
    <t>I</t>
  </si>
  <si>
    <t>Q123</t>
  </si>
  <si>
    <t>Q223</t>
  </si>
  <si>
    <t>Q323</t>
  </si>
  <si>
    <t>Q423</t>
  </si>
  <si>
    <t>Gross Margin</t>
  </si>
  <si>
    <t>Xywav (Ca, Mg, K, Na oxybate)</t>
  </si>
  <si>
    <t>Xyrem (Na oxybate)</t>
  </si>
  <si>
    <t>Brand</t>
  </si>
  <si>
    <t>IP</t>
  </si>
  <si>
    <t>9949937 MOU for epilepsy</t>
  </si>
  <si>
    <t>9956183 MOU</t>
  </si>
  <si>
    <t>9956184 MOU</t>
  </si>
  <si>
    <t>9956185 MOU</t>
  </si>
  <si>
    <t>9956186 MOU</t>
  </si>
  <si>
    <t>10092525 MOU for epilepsy</t>
  </si>
  <si>
    <t>10111840 MOU for epilepsy</t>
  </si>
  <si>
    <t>10137095 MOU for epilepsy</t>
  </si>
  <si>
    <t>10195159 plant based</t>
  </si>
  <si>
    <t>Manufacturing</t>
  </si>
  <si>
    <t>Plant-derived</t>
  </si>
  <si>
    <t>10603288 MOU</t>
  </si>
  <si>
    <t>10709671 MOU</t>
  </si>
  <si>
    <t>10709673 MOU</t>
  </si>
  <si>
    <t>10709674 MOU</t>
  </si>
  <si>
    <t>10849860 MOU</t>
  </si>
  <si>
    <t>10918608 MOU</t>
  </si>
  <si>
    <t>10966939 MOU</t>
  </si>
  <si>
    <t>11065209 MOU</t>
  </si>
  <si>
    <t>11096905 MOU</t>
  </si>
  <si>
    <t>11154516 MOU</t>
  </si>
  <si>
    <t>11160795 MOU</t>
  </si>
  <si>
    <t>11207292 formulation</t>
  </si>
  <si>
    <t>11311498 MOU</t>
  </si>
  <si>
    <t>11357741 MOU</t>
  </si>
  <si>
    <t>11400055 MOU</t>
  </si>
  <si>
    <t>11406623 MOU</t>
  </si>
  <si>
    <t>11446258 MOU</t>
  </si>
  <si>
    <t>Discount</t>
  </si>
  <si>
    <t>NPV</t>
  </si>
  <si>
    <t>ROIC</t>
  </si>
  <si>
    <t>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</si>
</sst>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5" fontId="0" fillId="0" borderId="0" xfId="0" applyNumberFormat="1"/>
    <xf numFmtId="0" fontId="2" fillId="0" borderId="0" xfId="1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 applyAlignment="1">
      <alignment horizontal="right"/>
    </xf>
    <xf numFmtId="4" fontId="0" fillId="0" borderId="0" xfId="0" applyNumberFormat="1"/>
    <xf numFmtId="0" fontId="0" fillId="0" borderId="2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27878</xdr:colOff>
      <xdr:row>0</xdr:row>
      <xdr:rowOff>37171</xdr:rowOff>
    </xdr:from>
    <xdr:to>
      <xdr:col>13</xdr:col>
      <xdr:colOff>27878</xdr:colOff>
      <xdr:row>32</xdr:row>
      <xdr:rowOff>162622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FAD753D-0FB2-EF5C-D299-95ABADB404B3}"/>
            </a:ext>
          </a:extLst>
        </xdr:cNvPr>
        <xdr:cNvCxnSpPr/>
      </xdr:nvCxnSpPr>
      <xdr:spPr>
        <a:xfrm>
          <a:off x="7666463" y="37171"/>
          <a:ext cx="0" cy="51667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34557</xdr:colOff>
      <xdr:row>0</xdr:row>
      <xdr:rowOff>0</xdr:rowOff>
    </xdr:from>
    <xdr:to>
      <xdr:col>21</xdr:col>
      <xdr:colOff>34557</xdr:colOff>
      <xdr:row>32</xdr:row>
      <xdr:rowOff>125451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D652E3C-E721-43B0-AED9-7F673169A911}"/>
            </a:ext>
          </a:extLst>
        </xdr:cNvPr>
        <xdr:cNvCxnSpPr/>
      </xdr:nvCxnSpPr>
      <xdr:spPr>
        <a:xfrm>
          <a:off x="13113573" y="0"/>
          <a:ext cx="0" cy="51082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CF0EA-6190-476D-832E-2260D789DF8A}">
  <dimension ref="B2:L14"/>
  <sheetViews>
    <sheetView zoomScale="160" zoomScaleNormal="160" workbookViewId="0">
      <selection activeCell="D12" sqref="D12"/>
    </sheetView>
  </sheetViews>
  <sheetFormatPr defaultRowHeight="12.75" x14ac:dyDescent="0.2"/>
  <cols>
    <col min="1" max="1" width="3" customWidth="1"/>
    <col min="2" max="2" width="28.42578125" customWidth="1"/>
    <col min="3" max="3" width="11" customWidth="1"/>
    <col min="4" max="4" width="16.5703125" customWidth="1"/>
    <col min="5" max="5" width="10.85546875" customWidth="1"/>
    <col min="6" max="6" width="10.42578125" customWidth="1"/>
  </cols>
  <sheetData>
    <row r="2" spans="2:12" x14ac:dyDescent="0.2">
      <c r="B2" s="11" t="s">
        <v>41</v>
      </c>
      <c r="C2" s="22" t="s">
        <v>42</v>
      </c>
      <c r="D2" s="22" t="s">
        <v>53</v>
      </c>
      <c r="E2" s="22" t="s">
        <v>58</v>
      </c>
      <c r="F2" s="22" t="s">
        <v>65</v>
      </c>
      <c r="G2" s="12"/>
      <c r="H2" s="13"/>
      <c r="J2" t="s">
        <v>0</v>
      </c>
      <c r="K2">
        <v>156.38</v>
      </c>
    </row>
    <row r="3" spans="2:12" x14ac:dyDescent="0.2">
      <c r="B3" s="14" t="s">
        <v>73</v>
      </c>
      <c r="C3" s="24" t="s">
        <v>43</v>
      </c>
      <c r="D3" s="24"/>
      <c r="E3" s="24"/>
      <c r="F3" s="23">
        <v>44033</v>
      </c>
      <c r="G3" s="15"/>
      <c r="H3" s="16"/>
      <c r="J3" t="s">
        <v>1</v>
      </c>
      <c r="K3" s="1">
        <v>62.784999999999997</v>
      </c>
      <c r="L3" s="2" t="s">
        <v>6</v>
      </c>
    </row>
    <row r="4" spans="2:12" x14ac:dyDescent="0.2">
      <c r="B4" s="14" t="s">
        <v>74</v>
      </c>
      <c r="C4" s="24" t="s">
        <v>43</v>
      </c>
      <c r="D4" s="24"/>
      <c r="E4" s="24"/>
      <c r="F4" s="23">
        <v>37454</v>
      </c>
      <c r="G4" s="15"/>
      <c r="H4" s="16"/>
      <c r="J4" t="s">
        <v>2</v>
      </c>
      <c r="K4" s="1">
        <f>+K2*K3</f>
        <v>9818.318299999999</v>
      </c>
    </row>
    <row r="5" spans="2:12" x14ac:dyDescent="0.2">
      <c r="B5" s="14" t="s">
        <v>55</v>
      </c>
      <c r="C5" s="26" t="s">
        <v>56</v>
      </c>
      <c r="D5" s="24"/>
      <c r="E5" s="24"/>
      <c r="F5" s="24"/>
      <c r="G5" s="15"/>
      <c r="H5" s="16"/>
      <c r="J5" t="s">
        <v>3</v>
      </c>
      <c r="K5" s="1">
        <f>839.358+60</f>
        <v>899.35799999999995</v>
      </c>
      <c r="L5" s="2" t="s">
        <v>6</v>
      </c>
    </row>
    <row r="6" spans="2:12" x14ac:dyDescent="0.2">
      <c r="B6" s="14" t="s">
        <v>54</v>
      </c>
      <c r="C6" s="24" t="s">
        <v>44</v>
      </c>
      <c r="D6" s="24"/>
      <c r="E6" s="24"/>
      <c r="F6" s="24"/>
      <c r="G6" s="15"/>
      <c r="H6" s="16"/>
      <c r="J6" t="s">
        <v>4</v>
      </c>
      <c r="K6" s="1">
        <f>5695.814+31</f>
        <v>5726.8140000000003</v>
      </c>
      <c r="L6" s="2" t="s">
        <v>6</v>
      </c>
    </row>
    <row r="7" spans="2:12" x14ac:dyDescent="0.2">
      <c r="B7" s="14" t="s">
        <v>47</v>
      </c>
      <c r="C7" s="26" t="s">
        <v>57</v>
      </c>
      <c r="D7" s="24"/>
      <c r="E7" s="24"/>
      <c r="F7" s="23">
        <v>43371</v>
      </c>
      <c r="G7" s="15"/>
      <c r="H7" s="16"/>
      <c r="J7" t="s">
        <v>5</v>
      </c>
      <c r="K7" s="1">
        <f>+K4-K5+K6</f>
        <v>14645.774299999999</v>
      </c>
    </row>
    <row r="8" spans="2:12" x14ac:dyDescent="0.2">
      <c r="B8" s="11"/>
      <c r="C8" s="22"/>
      <c r="D8" s="22"/>
      <c r="E8" s="22"/>
      <c r="F8" s="22" t="s">
        <v>66</v>
      </c>
      <c r="G8" s="12"/>
      <c r="H8" s="13"/>
      <c r="K8" s="1"/>
    </row>
    <row r="9" spans="2:12" x14ac:dyDescent="0.2">
      <c r="B9" s="14" t="s">
        <v>45</v>
      </c>
      <c r="C9" s="24"/>
      <c r="D9" s="24" t="s">
        <v>46</v>
      </c>
      <c r="E9" s="24"/>
      <c r="F9" s="24" t="s">
        <v>67</v>
      </c>
      <c r="G9" s="15"/>
      <c r="H9" s="16"/>
    </row>
    <row r="10" spans="2:12" x14ac:dyDescent="0.2">
      <c r="B10" s="14" t="s">
        <v>48</v>
      </c>
      <c r="C10" s="26"/>
      <c r="D10" s="24" t="s">
        <v>60</v>
      </c>
      <c r="E10" s="24" t="s">
        <v>59</v>
      </c>
      <c r="F10" s="24"/>
      <c r="G10" s="15"/>
      <c r="H10" s="16"/>
    </row>
    <row r="11" spans="2:12" x14ac:dyDescent="0.2">
      <c r="B11" s="14" t="s">
        <v>49</v>
      </c>
      <c r="C11" s="24" t="s">
        <v>50</v>
      </c>
      <c r="D11" s="24" t="s">
        <v>61</v>
      </c>
      <c r="E11" s="24"/>
      <c r="F11" s="24"/>
      <c r="G11" s="15"/>
      <c r="H11" s="16"/>
    </row>
    <row r="12" spans="2:12" x14ac:dyDescent="0.2">
      <c r="B12" s="14" t="s">
        <v>51</v>
      </c>
      <c r="C12" s="24"/>
      <c r="D12" s="24" t="s">
        <v>52</v>
      </c>
      <c r="E12" s="24"/>
      <c r="F12" s="24" t="s">
        <v>67</v>
      </c>
      <c r="G12" s="15"/>
      <c r="H12" s="16"/>
    </row>
    <row r="13" spans="2:12" x14ac:dyDescent="0.2">
      <c r="B13" s="14" t="s">
        <v>62</v>
      </c>
      <c r="C13" s="24" t="s">
        <v>63</v>
      </c>
      <c r="D13" s="26" t="s">
        <v>64</v>
      </c>
      <c r="E13" s="24"/>
      <c r="F13" s="24"/>
      <c r="G13" s="15"/>
      <c r="H13" s="16"/>
    </row>
    <row r="14" spans="2:12" x14ac:dyDescent="0.2">
      <c r="B14" s="17"/>
      <c r="C14" s="25"/>
      <c r="D14" s="25"/>
      <c r="E14" s="25"/>
      <c r="F14" s="25"/>
      <c r="G14" s="18"/>
      <c r="H14" s="19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25E3F-0D5A-4F1A-A75A-A8CE578AC72F}">
  <dimension ref="A1:CT29"/>
  <sheetViews>
    <sheetView tabSelected="1" zoomScale="160" zoomScaleNormal="160" workbookViewId="0">
      <pane xSplit="2" ySplit="2" topLeftCell="Y3" activePane="bottomRight" state="frozen"/>
      <selection pane="topRight" activeCell="C1" sqref="C1"/>
      <selection pane="bottomLeft" activeCell="A3" sqref="A3"/>
      <selection pane="bottomRight" activeCell="AA5" sqref="AA5"/>
    </sheetView>
  </sheetViews>
  <sheetFormatPr defaultRowHeight="12.75" x14ac:dyDescent="0.2"/>
  <cols>
    <col min="1" max="1" width="5" bestFit="1" customWidth="1"/>
    <col min="2" max="2" width="18.140625" bestFit="1" customWidth="1"/>
    <col min="3" max="16" width="9.140625" style="2"/>
    <col min="38" max="38" width="11.140625" bestFit="1" customWidth="1"/>
  </cols>
  <sheetData>
    <row r="1" spans="1:35" x14ac:dyDescent="0.2">
      <c r="A1" s="8" t="s">
        <v>7</v>
      </c>
    </row>
    <row r="2" spans="1:35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6</v>
      </c>
      <c r="N2" s="2" t="s">
        <v>18</v>
      </c>
      <c r="O2" s="2" t="s">
        <v>68</v>
      </c>
      <c r="P2" s="2" t="s">
        <v>69</v>
      </c>
      <c r="Q2" s="2" t="s">
        <v>70</v>
      </c>
      <c r="R2" s="2" t="s">
        <v>71</v>
      </c>
      <c r="T2">
        <v>2020</v>
      </c>
      <c r="U2">
        <f>+T2+1</f>
        <v>2021</v>
      </c>
      <c r="V2">
        <f t="shared" ref="V2:AI2" si="0">+U2+1</f>
        <v>2022</v>
      </c>
      <c r="W2">
        <f t="shared" si="0"/>
        <v>2023</v>
      </c>
      <c r="X2">
        <f t="shared" si="0"/>
        <v>2024</v>
      </c>
      <c r="Y2">
        <f t="shared" si="0"/>
        <v>2025</v>
      </c>
      <c r="Z2">
        <f t="shared" si="0"/>
        <v>2026</v>
      </c>
      <c r="AA2">
        <f t="shared" si="0"/>
        <v>2027</v>
      </c>
      <c r="AB2">
        <f t="shared" si="0"/>
        <v>2028</v>
      </c>
      <c r="AC2">
        <f t="shared" si="0"/>
        <v>2029</v>
      </c>
      <c r="AD2">
        <f t="shared" si="0"/>
        <v>2030</v>
      </c>
      <c r="AE2">
        <f t="shared" si="0"/>
        <v>2031</v>
      </c>
      <c r="AF2">
        <f t="shared" si="0"/>
        <v>2032</v>
      </c>
      <c r="AG2">
        <f t="shared" si="0"/>
        <v>2033</v>
      </c>
      <c r="AH2">
        <f t="shared" si="0"/>
        <v>2034</v>
      </c>
      <c r="AI2">
        <f t="shared" si="0"/>
        <v>2035</v>
      </c>
    </row>
    <row r="3" spans="1:35" s="3" customFormat="1" x14ac:dyDescent="0.2">
      <c r="B3" s="3" t="s">
        <v>19</v>
      </c>
      <c r="C3" s="4"/>
      <c r="D3" s="4"/>
      <c r="E3" s="4"/>
      <c r="F3" s="4">
        <v>439.26600000000002</v>
      </c>
      <c r="G3" s="4">
        <v>335.55</v>
      </c>
      <c r="H3" s="4">
        <v>334.18200000000002</v>
      </c>
      <c r="I3" s="4">
        <v>307.33300000000003</v>
      </c>
      <c r="J3" s="4">
        <v>288.76499999999999</v>
      </c>
      <c r="K3" s="4">
        <v>247.49700000000001</v>
      </c>
      <c r="L3" s="4">
        <v>269.42099999999999</v>
      </c>
      <c r="M3" s="4">
        <v>256.03899999999999</v>
      </c>
      <c r="N3" s="4">
        <f>+J3*0.8</f>
        <v>231.012</v>
      </c>
      <c r="O3" s="4">
        <f t="shared" ref="O3:R3" si="1">+K3*0.8</f>
        <v>197.99760000000003</v>
      </c>
      <c r="P3" s="4">
        <f t="shared" si="1"/>
        <v>215.5368</v>
      </c>
      <c r="Q3" s="4">
        <f t="shared" si="1"/>
        <v>204.8312</v>
      </c>
      <c r="R3" s="4">
        <f t="shared" si="1"/>
        <v>184.80960000000002</v>
      </c>
      <c r="W3" s="3">
        <f>SUM(O3:R3)</f>
        <v>803.17520000000002</v>
      </c>
      <c r="X3" s="3">
        <f>+W3*0.5</f>
        <v>401.58760000000001</v>
      </c>
      <c r="Y3" s="3">
        <f t="shared" ref="Y3:AH3" si="2">+X3*0.5</f>
        <v>200.7938</v>
      </c>
      <c r="Z3" s="3">
        <f t="shared" si="2"/>
        <v>100.3969</v>
      </c>
      <c r="AA3" s="3">
        <f t="shared" si="2"/>
        <v>50.198450000000001</v>
      </c>
      <c r="AB3" s="3">
        <f t="shared" si="2"/>
        <v>25.099225000000001</v>
      </c>
      <c r="AC3" s="3">
        <f t="shared" si="2"/>
        <v>12.5496125</v>
      </c>
      <c r="AD3" s="3">
        <f t="shared" si="2"/>
        <v>6.2748062500000001</v>
      </c>
      <c r="AE3" s="3">
        <f t="shared" si="2"/>
        <v>3.1374031250000001</v>
      </c>
      <c r="AF3" s="3">
        <f t="shared" si="2"/>
        <v>1.5687015625</v>
      </c>
      <c r="AG3" s="3">
        <f t="shared" si="2"/>
        <v>0.78435078125000002</v>
      </c>
      <c r="AH3" s="3">
        <f t="shared" si="2"/>
        <v>0.39217539062500001</v>
      </c>
      <c r="AI3" s="3">
        <f t="shared" ref="AI3" si="3">+AH3*0.5</f>
        <v>0.1960876953125</v>
      </c>
    </row>
    <row r="4" spans="1:35" s="3" customFormat="1" x14ac:dyDescent="0.2">
      <c r="B4" s="3" t="s">
        <v>21</v>
      </c>
      <c r="C4" s="4"/>
      <c r="D4" s="4"/>
      <c r="E4" s="4"/>
      <c r="F4" s="4">
        <v>15.263999999999999</v>
      </c>
      <c r="G4" s="4">
        <v>75.415999999999997</v>
      </c>
      <c r="H4" s="4">
        <v>124.164</v>
      </c>
      <c r="I4" s="4">
        <v>153.06299999999999</v>
      </c>
      <c r="J4" s="4">
        <v>182.654</v>
      </c>
      <c r="K4" s="4">
        <v>186.08</v>
      </c>
      <c r="L4" s="4">
        <v>235.02500000000001</v>
      </c>
      <c r="M4" s="4">
        <v>255.93600000000001</v>
      </c>
      <c r="N4" s="4">
        <f>+J4*1.4</f>
        <v>255.71559999999997</v>
      </c>
      <c r="O4" s="4">
        <f>+K4*1.3</f>
        <v>241.90400000000002</v>
      </c>
      <c r="P4" s="4">
        <f>+L4*1.2</f>
        <v>282.02999999999997</v>
      </c>
      <c r="Q4" s="4">
        <f>+M4*1.2</f>
        <v>307.1232</v>
      </c>
      <c r="R4" s="4">
        <f>+N4*1.2</f>
        <v>306.85871999999995</v>
      </c>
      <c r="W4" s="3">
        <f t="shared" ref="W4:W16" si="4">SUM(O4:R4)</f>
        <v>1137.9159199999999</v>
      </c>
      <c r="X4" s="3">
        <f>+W4*1.1</f>
        <v>1251.707512</v>
      </c>
      <c r="Y4" s="3">
        <f t="shared" ref="Y4:Z4" si="5">+X4*1.1</f>
        <v>1376.8782632</v>
      </c>
      <c r="Z4" s="3">
        <f t="shared" si="5"/>
        <v>1514.5660895200001</v>
      </c>
      <c r="AA4" s="3">
        <f>+Z4*1.05</f>
        <v>1590.2943939960003</v>
      </c>
      <c r="AB4" s="3">
        <f t="shared" ref="AB4:AF4" si="6">+AA4*1.05</f>
        <v>1669.8091136958003</v>
      </c>
      <c r="AC4" s="3">
        <f t="shared" si="6"/>
        <v>1753.2995693805904</v>
      </c>
      <c r="AD4" s="3">
        <f t="shared" si="6"/>
        <v>1840.96454784962</v>
      </c>
      <c r="AE4" s="3">
        <f t="shared" si="6"/>
        <v>1933.012775242101</v>
      </c>
      <c r="AF4" s="3">
        <f t="shared" si="6"/>
        <v>2029.6634140042063</v>
      </c>
      <c r="AG4" s="3">
        <f>+AF4*0.5</f>
        <v>1014.8317070021031</v>
      </c>
      <c r="AH4" s="3">
        <f>+AG4*0.2</f>
        <v>202.96634140042065</v>
      </c>
      <c r="AI4" s="3">
        <f t="shared" ref="AI4" si="7">+AH4*0.2</f>
        <v>40.593268280084132</v>
      </c>
    </row>
    <row r="5" spans="1:35" s="3" customFormat="1" x14ac:dyDescent="0.2">
      <c r="B5" s="3" t="s">
        <v>22</v>
      </c>
      <c r="C5" s="4"/>
      <c r="D5" s="4"/>
      <c r="E5" s="4"/>
      <c r="F5" s="4">
        <v>0</v>
      </c>
      <c r="G5" s="4">
        <v>0</v>
      </c>
      <c r="H5" s="4">
        <v>109.48099999999999</v>
      </c>
      <c r="I5" s="4">
        <v>160.37799999999999</v>
      </c>
      <c r="J5" s="4">
        <v>193.786</v>
      </c>
      <c r="K5" s="4">
        <v>157.893</v>
      </c>
      <c r="L5" s="4">
        <v>175.28899999999999</v>
      </c>
      <c r="M5" s="4">
        <v>196.21799999999999</v>
      </c>
      <c r="N5" s="4">
        <f>+J5*1.1</f>
        <v>213.16460000000001</v>
      </c>
      <c r="O5" s="4">
        <f t="shared" ref="O5:R5" si="8">+K5*1.1</f>
        <v>173.68230000000003</v>
      </c>
      <c r="P5" s="4">
        <f t="shared" si="8"/>
        <v>192.81790000000001</v>
      </c>
      <c r="Q5" s="4">
        <f t="shared" si="8"/>
        <v>215.8398</v>
      </c>
      <c r="R5" s="4">
        <f t="shared" si="8"/>
        <v>234.48106000000001</v>
      </c>
      <c r="W5" s="3">
        <f t="shared" si="4"/>
        <v>816.82105999999999</v>
      </c>
      <c r="X5" s="3">
        <f>+W5*1.1</f>
        <v>898.50316600000008</v>
      </c>
      <c r="Y5" s="3">
        <f t="shared" ref="Y5:Z5" si="9">+X5*1.1</f>
        <v>988.35348260000012</v>
      </c>
      <c r="Z5" s="3">
        <f t="shared" si="9"/>
        <v>1087.1888308600003</v>
      </c>
      <c r="AA5" s="3">
        <f>+Z5*1.03</f>
        <v>1119.8044957858003</v>
      </c>
      <c r="AB5" s="3">
        <f>+AA5*0.7</f>
        <v>783.86314705006021</v>
      </c>
      <c r="AC5" s="3">
        <f>+AB5*0.7</f>
        <v>548.70420293504208</v>
      </c>
      <c r="AD5" s="3">
        <f t="shared" ref="AD5:AI5" si="10">+AC5*0.7</f>
        <v>384.09294205452943</v>
      </c>
      <c r="AE5" s="3">
        <f t="shared" si="10"/>
        <v>268.86505943817059</v>
      </c>
      <c r="AF5" s="3">
        <f t="shared" si="10"/>
        <v>188.20554160671941</v>
      </c>
      <c r="AG5" s="3">
        <f t="shared" si="10"/>
        <v>131.74387912470357</v>
      </c>
      <c r="AH5" s="3">
        <f t="shared" si="10"/>
        <v>92.220715387292486</v>
      </c>
      <c r="AI5" s="3">
        <f t="shared" si="10"/>
        <v>64.554500771104742</v>
      </c>
    </row>
    <row r="6" spans="1:35" s="3" customFormat="1" x14ac:dyDescent="0.2">
      <c r="B6" s="3" t="s">
        <v>23</v>
      </c>
      <c r="C6" s="4"/>
      <c r="D6" s="4"/>
      <c r="E6" s="4"/>
      <c r="F6" s="4">
        <v>0</v>
      </c>
      <c r="G6" s="4">
        <v>0</v>
      </c>
      <c r="H6" s="4">
        <v>1.9610000000000001</v>
      </c>
      <c r="I6" s="4">
        <v>6.0970000000000004</v>
      </c>
      <c r="J6" s="4">
        <v>4.649</v>
      </c>
      <c r="K6" s="4">
        <v>4.742</v>
      </c>
      <c r="L6" s="4">
        <v>4.1420000000000003</v>
      </c>
      <c r="M6" s="4">
        <v>3.22</v>
      </c>
      <c r="N6" s="4">
        <f>+M6*0.9</f>
        <v>2.8980000000000001</v>
      </c>
      <c r="O6" s="4">
        <f t="shared" ref="O6:R6" si="11">+N6*0.9</f>
        <v>2.6082000000000001</v>
      </c>
      <c r="P6" s="4">
        <f t="shared" si="11"/>
        <v>2.3473800000000002</v>
      </c>
      <c r="Q6" s="4">
        <f t="shared" si="11"/>
        <v>2.1126420000000001</v>
      </c>
      <c r="R6" s="4">
        <f t="shared" si="11"/>
        <v>1.9013778000000001</v>
      </c>
      <c r="W6" s="3">
        <f t="shared" si="4"/>
        <v>8.969599800000001</v>
      </c>
      <c r="X6" s="3">
        <f>+W6*0.9</f>
        <v>8.0726398200000009</v>
      </c>
      <c r="Y6" s="3">
        <f t="shared" ref="Y6:AI6" si="12">+X6*0.9</f>
        <v>7.2653758380000006</v>
      </c>
      <c r="Z6" s="3">
        <f t="shared" si="12"/>
        <v>6.5388382542000008</v>
      </c>
      <c r="AA6" s="3">
        <f t="shared" si="12"/>
        <v>5.8849544287800004</v>
      </c>
      <c r="AB6" s="3">
        <f t="shared" si="12"/>
        <v>5.2964589859020004</v>
      </c>
      <c r="AC6" s="3">
        <f t="shared" si="12"/>
        <v>4.7668130873118004</v>
      </c>
      <c r="AD6" s="3">
        <f t="shared" si="12"/>
        <v>4.2901317785806201</v>
      </c>
      <c r="AE6" s="3">
        <f t="shared" si="12"/>
        <v>3.8611186007225582</v>
      </c>
      <c r="AF6" s="3">
        <f t="shared" si="12"/>
        <v>3.4750067406503025</v>
      </c>
      <c r="AG6" s="3">
        <f t="shared" si="12"/>
        <v>3.1275060665852723</v>
      </c>
      <c r="AH6" s="3">
        <f t="shared" si="12"/>
        <v>2.814755459926745</v>
      </c>
      <c r="AI6" s="3">
        <f t="shared" si="12"/>
        <v>2.5332799139340705</v>
      </c>
    </row>
    <row r="7" spans="1:35" s="3" customFormat="1" x14ac:dyDescent="0.2">
      <c r="B7" s="3" t="s">
        <v>24</v>
      </c>
      <c r="C7" s="4"/>
      <c r="D7" s="4"/>
      <c r="E7" s="4"/>
      <c r="F7" s="4">
        <v>8.7149999999999999</v>
      </c>
      <c r="G7" s="4">
        <v>11.606</v>
      </c>
      <c r="H7" s="4">
        <v>12.124000000000001</v>
      </c>
      <c r="I7" s="4">
        <v>19.251000000000001</v>
      </c>
      <c r="J7" s="4">
        <v>14.933</v>
      </c>
      <c r="K7" s="4">
        <v>15.878</v>
      </c>
      <c r="L7" s="4">
        <v>12.965999999999999</v>
      </c>
      <c r="M7" s="4">
        <v>0</v>
      </c>
      <c r="N7" s="4">
        <f t="shared" ref="N7:R7" si="13">+M7*0.9</f>
        <v>0</v>
      </c>
      <c r="O7" s="4">
        <f t="shared" si="13"/>
        <v>0</v>
      </c>
      <c r="P7" s="4">
        <f t="shared" si="13"/>
        <v>0</v>
      </c>
      <c r="Q7" s="4">
        <f t="shared" si="13"/>
        <v>0</v>
      </c>
      <c r="R7" s="4">
        <f t="shared" si="13"/>
        <v>0</v>
      </c>
      <c r="W7" s="3">
        <f t="shared" si="4"/>
        <v>0</v>
      </c>
      <c r="X7" s="3">
        <f t="shared" ref="X7:AI7" si="14">+W7*0.9</f>
        <v>0</v>
      </c>
      <c r="Y7" s="3">
        <f t="shared" si="14"/>
        <v>0</v>
      </c>
      <c r="Z7" s="3">
        <f t="shared" si="14"/>
        <v>0</v>
      </c>
      <c r="AA7" s="3">
        <f t="shared" si="14"/>
        <v>0</v>
      </c>
      <c r="AB7" s="3">
        <f t="shared" si="14"/>
        <v>0</v>
      </c>
      <c r="AC7" s="3">
        <f t="shared" si="14"/>
        <v>0</v>
      </c>
      <c r="AD7" s="3">
        <f t="shared" si="14"/>
        <v>0</v>
      </c>
      <c r="AE7" s="3">
        <f t="shared" si="14"/>
        <v>0</v>
      </c>
      <c r="AF7" s="3">
        <f t="shared" si="14"/>
        <v>0</v>
      </c>
      <c r="AG7" s="3">
        <f t="shared" si="14"/>
        <v>0</v>
      </c>
      <c r="AH7" s="3">
        <f t="shared" si="14"/>
        <v>0</v>
      </c>
      <c r="AI7" s="3">
        <f t="shared" si="14"/>
        <v>0</v>
      </c>
    </row>
    <row r="8" spans="1:35" s="3" customFormat="1" x14ac:dyDescent="0.2">
      <c r="B8" s="3" t="s">
        <v>25</v>
      </c>
      <c r="C8" s="4"/>
      <c r="D8" s="4"/>
      <c r="E8" s="4"/>
      <c r="F8" s="4">
        <v>53.439</v>
      </c>
      <c r="G8" s="4">
        <v>54.334000000000003</v>
      </c>
      <c r="H8" s="4">
        <v>55.923999999999999</v>
      </c>
      <c r="I8" s="4">
        <v>71.713999999999999</v>
      </c>
      <c r="J8" s="4">
        <v>64.835999999999999</v>
      </c>
      <c r="K8" s="4">
        <v>59.338000000000001</v>
      </c>
      <c r="L8" s="4">
        <v>68.284999999999997</v>
      </c>
      <c r="M8" s="4">
        <v>70.319999999999993</v>
      </c>
      <c r="N8" s="4">
        <f>+M8+1</f>
        <v>71.319999999999993</v>
      </c>
      <c r="O8" s="4">
        <f t="shared" ref="O8:R8" si="15">+N8+1</f>
        <v>72.319999999999993</v>
      </c>
      <c r="P8" s="4">
        <f t="shared" si="15"/>
        <v>73.319999999999993</v>
      </c>
      <c r="Q8" s="4">
        <f t="shared" si="15"/>
        <v>74.319999999999993</v>
      </c>
      <c r="R8" s="4">
        <f t="shared" si="15"/>
        <v>75.319999999999993</v>
      </c>
      <c r="W8" s="3">
        <f t="shared" si="4"/>
        <v>295.27999999999997</v>
      </c>
    </row>
    <row r="9" spans="1:35" s="3" customFormat="1" x14ac:dyDescent="0.2">
      <c r="B9" s="3" t="s">
        <v>26</v>
      </c>
      <c r="C9" s="4"/>
      <c r="D9" s="4"/>
      <c r="E9" s="4"/>
      <c r="F9" s="4">
        <v>0</v>
      </c>
      <c r="G9" s="4">
        <v>0</v>
      </c>
      <c r="H9" s="4">
        <v>0</v>
      </c>
      <c r="I9" s="4">
        <v>20.673999999999999</v>
      </c>
      <c r="J9" s="4">
        <v>64.954999999999998</v>
      </c>
      <c r="K9" s="4">
        <v>54.22</v>
      </c>
      <c r="L9" s="4">
        <v>72.953999999999994</v>
      </c>
      <c r="M9" s="4">
        <v>73.513000000000005</v>
      </c>
      <c r="N9" s="4">
        <f>+M9+1</f>
        <v>74.513000000000005</v>
      </c>
      <c r="O9" s="4">
        <f t="shared" ref="O9:R9" si="16">+N9+1</f>
        <v>75.513000000000005</v>
      </c>
      <c r="P9" s="4">
        <f t="shared" si="16"/>
        <v>76.513000000000005</v>
      </c>
      <c r="Q9" s="4">
        <f t="shared" si="16"/>
        <v>77.513000000000005</v>
      </c>
      <c r="R9" s="4">
        <f t="shared" si="16"/>
        <v>78.513000000000005</v>
      </c>
      <c r="W9" s="3">
        <f t="shared" si="4"/>
        <v>308.05200000000002</v>
      </c>
    </row>
    <row r="10" spans="1:35" s="3" customFormat="1" x14ac:dyDescent="0.2">
      <c r="B10" s="3" t="s">
        <v>27</v>
      </c>
      <c r="C10" s="4"/>
      <c r="D10" s="4"/>
      <c r="E10" s="4"/>
      <c r="F10" s="4">
        <v>30.992000000000001</v>
      </c>
      <c r="G10" s="4">
        <v>33.155000000000001</v>
      </c>
      <c r="H10" s="4">
        <v>31.452999999999999</v>
      </c>
      <c r="I10" s="4">
        <v>34.688000000000002</v>
      </c>
      <c r="J10" s="4">
        <v>34.764000000000003</v>
      </c>
      <c r="K10" s="4">
        <v>33.756999999999998</v>
      </c>
      <c r="L10" s="4">
        <v>33.89</v>
      </c>
      <c r="M10" s="4">
        <v>30.067</v>
      </c>
      <c r="N10" s="4">
        <f>+AVERAGE(J10:M10)</f>
        <v>33.119500000000002</v>
      </c>
      <c r="O10" s="4">
        <f t="shared" ref="O10:R10" si="17">+AVERAGE(K10:N10)</f>
        <v>32.708375000000004</v>
      </c>
      <c r="P10" s="4">
        <f t="shared" si="17"/>
        <v>32.44621875</v>
      </c>
      <c r="Q10" s="4">
        <f t="shared" si="17"/>
        <v>32.085273437500007</v>
      </c>
      <c r="R10" s="4">
        <f t="shared" si="17"/>
        <v>32.589841796875007</v>
      </c>
      <c r="W10" s="3">
        <f t="shared" si="4"/>
        <v>129.82970898437503</v>
      </c>
      <c r="X10" s="3">
        <f>+W10*0.99</f>
        <v>128.53141189453129</v>
      </c>
      <c r="Y10" s="3">
        <f t="shared" ref="Y10:AI10" si="18">+X10*0.99</f>
        <v>127.24609777558598</v>
      </c>
      <c r="Z10" s="3">
        <f t="shared" si="18"/>
        <v>125.97363679783012</v>
      </c>
      <c r="AA10" s="3">
        <f t="shared" si="18"/>
        <v>124.71390042985182</v>
      </c>
      <c r="AB10" s="3">
        <f t="shared" si="18"/>
        <v>123.4667614255533</v>
      </c>
      <c r="AC10" s="3">
        <f t="shared" si="18"/>
        <v>122.23209381129777</v>
      </c>
      <c r="AD10" s="3">
        <f t="shared" si="18"/>
        <v>121.0097728731848</v>
      </c>
      <c r="AE10" s="3">
        <f t="shared" si="18"/>
        <v>119.79967514445295</v>
      </c>
      <c r="AF10" s="3">
        <f t="shared" si="18"/>
        <v>118.60167839300841</v>
      </c>
      <c r="AG10" s="3">
        <f t="shared" si="18"/>
        <v>117.41566160907833</v>
      </c>
      <c r="AH10" s="3">
        <f t="shared" si="18"/>
        <v>116.24150499298754</v>
      </c>
      <c r="AI10" s="3">
        <f t="shared" si="18"/>
        <v>115.07908994305767</v>
      </c>
    </row>
    <row r="11" spans="1:35" s="3" customFormat="1" x14ac:dyDescent="0.2">
      <c r="B11" s="3" t="s">
        <v>28</v>
      </c>
      <c r="C11" s="4"/>
      <c r="D11" s="4"/>
      <c r="E11" s="4"/>
      <c r="F11" s="4">
        <v>55.454999999999998</v>
      </c>
      <c r="G11" s="4">
        <v>49.619</v>
      </c>
      <c r="H11" s="4">
        <v>48.095999999999997</v>
      </c>
      <c r="I11" s="4">
        <v>57.704999999999998</v>
      </c>
      <c r="J11" s="4">
        <v>42.511000000000003</v>
      </c>
      <c r="K11" s="4">
        <v>49.488999999999997</v>
      </c>
      <c r="L11" s="4">
        <v>54.695999999999998</v>
      </c>
      <c r="M11" s="4">
        <v>49.451999999999998</v>
      </c>
      <c r="N11" s="4">
        <f t="shared" ref="N11:N12" si="19">+AVERAGE(J11:M11)</f>
        <v>49.036999999999999</v>
      </c>
      <c r="O11" s="4">
        <f t="shared" ref="O11:O12" si="20">+AVERAGE(K11:N11)</f>
        <v>50.668500000000002</v>
      </c>
      <c r="P11" s="4">
        <f t="shared" ref="P11:P12" si="21">+AVERAGE(L11:O11)</f>
        <v>50.963374999999999</v>
      </c>
      <c r="Q11" s="4">
        <f t="shared" ref="Q11:Q12" si="22">+AVERAGE(M11:P11)</f>
        <v>50.030218750000003</v>
      </c>
      <c r="R11" s="4">
        <f t="shared" ref="R11:R12" si="23">+AVERAGE(N11:Q11)</f>
        <v>50.174773437500008</v>
      </c>
      <c r="W11" s="3">
        <f t="shared" si="4"/>
        <v>201.83686718749999</v>
      </c>
      <c r="X11" s="3">
        <f t="shared" ref="X11:AI11" si="24">+W11*0.99</f>
        <v>199.81849851562498</v>
      </c>
      <c r="Y11" s="3">
        <f t="shared" si="24"/>
        <v>197.82031353046872</v>
      </c>
      <c r="Z11" s="3">
        <f t="shared" si="24"/>
        <v>195.84211039516404</v>
      </c>
      <c r="AA11" s="3">
        <f t="shared" si="24"/>
        <v>193.88368929121239</v>
      </c>
      <c r="AB11" s="3">
        <f t="shared" si="24"/>
        <v>191.94485239830027</v>
      </c>
      <c r="AC11" s="3">
        <f t="shared" si="24"/>
        <v>190.02540387431728</v>
      </c>
      <c r="AD11" s="3">
        <f t="shared" si="24"/>
        <v>188.12514983557409</v>
      </c>
      <c r="AE11" s="3">
        <f t="shared" si="24"/>
        <v>186.24389833721835</v>
      </c>
      <c r="AF11" s="3">
        <f t="shared" si="24"/>
        <v>184.38145935384617</v>
      </c>
      <c r="AG11" s="3">
        <f t="shared" si="24"/>
        <v>182.5376447603077</v>
      </c>
      <c r="AH11" s="3">
        <f t="shared" si="24"/>
        <v>180.71226831270462</v>
      </c>
      <c r="AI11" s="3">
        <f t="shared" si="24"/>
        <v>178.90514562957759</v>
      </c>
    </row>
    <row r="12" spans="1:35" s="3" customFormat="1" x14ac:dyDescent="0.2">
      <c r="B12" s="3" t="s">
        <v>29</v>
      </c>
      <c r="C12" s="4"/>
      <c r="D12" s="4"/>
      <c r="E12" s="4"/>
      <c r="F12" s="4">
        <f>4.214+1.596+56.576</f>
        <v>62.386000000000003</v>
      </c>
      <c r="G12" s="4">
        <f>41.068+4.05+2.783</f>
        <v>47.900999999999996</v>
      </c>
      <c r="H12" s="4">
        <f>28.314+2.641+3.471</f>
        <v>34.426000000000002</v>
      </c>
      <c r="I12" s="4">
        <f>3.344+3.868</f>
        <v>7.2119999999999997</v>
      </c>
      <c r="J12" s="4">
        <f>3.848+1.03</f>
        <v>4.8780000000000001</v>
      </c>
      <c r="K12" s="4">
        <f>0+0.943+3.884</f>
        <v>4.827</v>
      </c>
      <c r="L12" s="4">
        <f>4.578+1.632</f>
        <v>6.21</v>
      </c>
      <c r="M12" s="4">
        <f>1.001+4.886</f>
        <v>5.8870000000000005</v>
      </c>
      <c r="N12" s="4">
        <f t="shared" si="19"/>
        <v>5.4504999999999999</v>
      </c>
      <c r="O12" s="4">
        <f t="shared" si="20"/>
        <v>5.5936249999999994</v>
      </c>
      <c r="P12" s="4">
        <f t="shared" si="21"/>
        <v>5.7852812499999997</v>
      </c>
      <c r="Q12" s="4">
        <f t="shared" si="22"/>
        <v>5.6791015625000005</v>
      </c>
      <c r="R12" s="4">
        <f t="shared" si="23"/>
        <v>5.6271269531249999</v>
      </c>
      <c r="W12" s="3">
        <f t="shared" si="4"/>
        <v>22.685134765625001</v>
      </c>
      <c r="X12" s="3">
        <f t="shared" ref="X12:AI12" si="25">+W12*0.99</f>
        <v>22.458283417968751</v>
      </c>
      <c r="Y12" s="3">
        <f t="shared" si="25"/>
        <v>22.233700583789062</v>
      </c>
      <c r="Z12" s="3">
        <f t="shared" si="25"/>
        <v>22.011363577951172</v>
      </c>
      <c r="AA12" s="3">
        <f t="shared" si="25"/>
        <v>21.79124994217166</v>
      </c>
      <c r="AB12" s="3">
        <f t="shared" si="25"/>
        <v>21.573337442749942</v>
      </c>
      <c r="AC12" s="3">
        <f t="shared" si="25"/>
        <v>21.357604068322441</v>
      </c>
      <c r="AD12" s="3">
        <f t="shared" si="25"/>
        <v>21.144028027639216</v>
      </c>
      <c r="AE12" s="3">
        <f t="shared" si="25"/>
        <v>20.932587747362824</v>
      </c>
      <c r="AF12" s="3">
        <f t="shared" si="25"/>
        <v>20.723261869889196</v>
      </c>
      <c r="AG12" s="3">
        <f t="shared" si="25"/>
        <v>20.516029251190304</v>
      </c>
      <c r="AH12" s="3">
        <f t="shared" si="25"/>
        <v>20.310868958678402</v>
      </c>
      <c r="AI12" s="3">
        <f t="shared" si="25"/>
        <v>20.107760269091617</v>
      </c>
    </row>
    <row r="13" spans="1:35" s="5" customFormat="1" x14ac:dyDescent="0.2">
      <c r="B13" s="5" t="s">
        <v>20</v>
      </c>
      <c r="C13" s="6"/>
      <c r="D13" s="6"/>
      <c r="E13" s="6"/>
      <c r="F13" s="6">
        <f t="shared" ref="F13:G13" si="26">SUM(F3:F12)</f>
        <v>665.51699999999994</v>
      </c>
      <c r="G13" s="6">
        <f t="shared" si="26"/>
        <v>607.58100000000002</v>
      </c>
      <c r="H13" s="6">
        <f t="shared" ref="H13" si="27">SUM(H3:H12)</f>
        <v>751.81100000000004</v>
      </c>
      <c r="I13" s="6">
        <f>SUM(I3:I12)</f>
        <v>838.11500000000001</v>
      </c>
      <c r="J13" s="6">
        <f>SUM(J3:J12)</f>
        <v>896.73099999999999</v>
      </c>
      <c r="K13" s="6">
        <f t="shared" ref="K13" si="28">SUM(K3:K12)</f>
        <v>813.721</v>
      </c>
      <c r="L13" s="6">
        <f>SUM(L3:L12)</f>
        <v>932.87800000000004</v>
      </c>
      <c r="M13" s="6">
        <f>SUM(M3:M12)</f>
        <v>940.65200000000004</v>
      </c>
      <c r="N13" s="6">
        <f t="shared" ref="N13:R13" si="29">SUM(N3:N12)</f>
        <v>936.2302000000002</v>
      </c>
      <c r="O13" s="6">
        <f t="shared" si="29"/>
        <v>852.99560000000019</v>
      </c>
      <c r="P13" s="6">
        <f t="shared" si="29"/>
        <v>931.75995499999999</v>
      </c>
      <c r="Q13" s="6">
        <f t="shared" si="29"/>
        <v>969.53443575000006</v>
      </c>
      <c r="R13" s="6">
        <f t="shared" si="29"/>
        <v>970.2754999875001</v>
      </c>
      <c r="W13" s="6">
        <f t="shared" ref="W13" si="30">SUM(W3:W12)</f>
        <v>3724.565490737501</v>
      </c>
      <c r="X13" s="6">
        <f t="shared" ref="X13" si="31">SUM(X3:X12)</f>
        <v>2910.6791116481249</v>
      </c>
      <c r="Y13" s="6">
        <f t="shared" ref="Y13" si="32">SUM(Y3:Y12)</f>
        <v>2920.591033527844</v>
      </c>
      <c r="Z13" s="6">
        <f t="shared" ref="Z13" si="33">SUM(Z3:Z12)</f>
        <v>3052.5177694051463</v>
      </c>
      <c r="AA13" s="6">
        <f t="shared" ref="AA13" si="34">SUM(AA3:AA12)</f>
        <v>3106.5711338738165</v>
      </c>
      <c r="AB13" s="6">
        <f t="shared" ref="AB13" si="35">SUM(AB3:AB12)</f>
        <v>2821.0528959983658</v>
      </c>
      <c r="AC13" s="6">
        <f t="shared" ref="AC13" si="36">SUM(AC3:AC12)</f>
        <v>2652.9352996568814</v>
      </c>
      <c r="AD13" s="6">
        <f t="shared" ref="AD13" si="37">SUM(AD3:AD12)</f>
        <v>2565.901378669128</v>
      </c>
      <c r="AE13" s="6">
        <f t="shared" ref="AE13" si="38">SUM(AE3:AE12)</f>
        <v>2535.8525176350286</v>
      </c>
      <c r="AF13" s="6">
        <f t="shared" ref="AF13" si="39">SUM(AF3:AF12)</f>
        <v>2546.6190635308199</v>
      </c>
      <c r="AG13" s="6">
        <f t="shared" ref="AG13" si="40">SUM(AG3:AG12)</f>
        <v>1470.9567785952186</v>
      </c>
      <c r="AH13" s="6">
        <f t="shared" ref="AH13" si="41">SUM(AH3:AH12)</f>
        <v>615.65862990263543</v>
      </c>
      <c r="AI13" s="6">
        <f t="shared" ref="AI13" si="42">SUM(AI3:AI12)</f>
        <v>421.96913250216232</v>
      </c>
    </row>
    <row r="14" spans="1:35" s="3" customFormat="1" x14ac:dyDescent="0.2">
      <c r="B14" s="3" t="s">
        <v>30</v>
      </c>
      <c r="C14" s="4"/>
      <c r="D14" s="4"/>
      <c r="E14" s="4"/>
      <c r="F14" s="4">
        <v>48.298000000000002</v>
      </c>
      <c r="G14" s="4">
        <v>38.192999999999998</v>
      </c>
      <c r="H14" s="4">
        <v>50.225999999999999</v>
      </c>
      <c r="I14" s="4">
        <v>58.872</v>
      </c>
      <c r="J14" s="4">
        <v>58.11</v>
      </c>
      <c r="K14" s="4">
        <v>48.206000000000003</v>
      </c>
      <c r="L14" s="4">
        <v>53.244999999999997</v>
      </c>
      <c r="M14" s="4">
        <v>57.103000000000002</v>
      </c>
      <c r="N14" s="3">
        <f t="shared" ref="N14:Q14" si="43">+N13*0.06</f>
        <v>56.173812000000012</v>
      </c>
      <c r="O14" s="3">
        <f t="shared" si="43"/>
        <v>51.179736000000013</v>
      </c>
      <c r="P14" s="3">
        <f t="shared" si="43"/>
        <v>55.905597299999997</v>
      </c>
      <c r="Q14" s="3">
        <f t="shared" si="43"/>
        <v>58.172066145000002</v>
      </c>
      <c r="R14" s="3">
        <f>+R13*0.06</f>
        <v>58.216529999250007</v>
      </c>
      <c r="W14" s="3">
        <f t="shared" si="4"/>
        <v>223.47392944425002</v>
      </c>
      <c r="X14" s="3">
        <f>+X13*0.06</f>
        <v>174.64074669888748</v>
      </c>
      <c r="Y14" s="3">
        <f t="shared" ref="Y14:AI14" si="44">+Y13*0.06</f>
        <v>175.23546201167065</v>
      </c>
      <c r="Z14" s="3">
        <f t="shared" si="44"/>
        <v>183.15106616430876</v>
      </c>
      <c r="AA14" s="3">
        <f t="shared" si="44"/>
        <v>186.39426803242898</v>
      </c>
      <c r="AB14" s="3">
        <f t="shared" si="44"/>
        <v>169.26317375990195</v>
      </c>
      <c r="AC14" s="3">
        <f t="shared" si="44"/>
        <v>159.17611797941288</v>
      </c>
      <c r="AD14" s="3">
        <f t="shared" si="44"/>
        <v>153.95408272014768</v>
      </c>
      <c r="AE14" s="3">
        <f t="shared" si="44"/>
        <v>152.1511510581017</v>
      </c>
      <c r="AF14" s="3">
        <f t="shared" si="44"/>
        <v>152.7971438118492</v>
      </c>
      <c r="AG14" s="3">
        <f t="shared" si="44"/>
        <v>88.257406715713117</v>
      </c>
      <c r="AH14" s="3">
        <f t="shared" si="44"/>
        <v>36.939517794158121</v>
      </c>
      <c r="AI14" s="3">
        <f t="shared" si="44"/>
        <v>25.318147950129738</v>
      </c>
    </row>
    <row r="15" spans="1:35" s="3" customFormat="1" x14ac:dyDescent="0.2">
      <c r="B15" s="3" t="s">
        <v>31</v>
      </c>
      <c r="C15" s="4"/>
      <c r="D15" s="4"/>
      <c r="E15" s="4"/>
      <c r="F15" s="4">
        <f>+F13-F14</f>
        <v>617.21899999999994</v>
      </c>
      <c r="G15" s="4">
        <f>+G13-G14</f>
        <v>569.38800000000003</v>
      </c>
      <c r="H15" s="4">
        <f>+H13-H14</f>
        <v>701.58500000000004</v>
      </c>
      <c r="I15" s="4">
        <f>+I13-I14</f>
        <v>779.24300000000005</v>
      </c>
      <c r="J15" s="4">
        <f>+J13-J14</f>
        <v>838.62099999999998</v>
      </c>
      <c r="K15" s="4">
        <f>+K13-K14</f>
        <v>765.51499999999999</v>
      </c>
      <c r="L15" s="4">
        <f>+L13-L14</f>
        <v>879.63300000000004</v>
      </c>
      <c r="M15" s="4">
        <f>+M13-M14</f>
        <v>883.54900000000009</v>
      </c>
      <c r="N15" s="4">
        <f t="shared" ref="N15:R15" si="45">+N13-N14</f>
        <v>880.0563880000002</v>
      </c>
      <c r="O15" s="4">
        <f t="shared" si="45"/>
        <v>801.81586400000015</v>
      </c>
      <c r="P15" s="4">
        <f t="shared" si="45"/>
        <v>875.85435770000004</v>
      </c>
      <c r="Q15" s="4">
        <f t="shared" si="45"/>
        <v>911.36236960500003</v>
      </c>
      <c r="R15" s="4">
        <f t="shared" si="45"/>
        <v>912.05896998825006</v>
      </c>
      <c r="W15" s="3">
        <f>+W13-W14</f>
        <v>3501.0915612932508</v>
      </c>
      <c r="X15" s="3">
        <f>+X13-X14</f>
        <v>2736.0383649492373</v>
      </c>
      <c r="Y15" s="3">
        <f t="shared" ref="Y15:AI15" si="46">+Y13-Y14</f>
        <v>2745.3555715161733</v>
      </c>
      <c r="Z15" s="3">
        <f t="shared" si="46"/>
        <v>2869.3667032408375</v>
      </c>
      <c r="AA15" s="3">
        <f t="shared" si="46"/>
        <v>2920.1768658413876</v>
      </c>
      <c r="AB15" s="3">
        <f t="shared" si="46"/>
        <v>2651.789722238464</v>
      </c>
      <c r="AC15" s="3">
        <f t="shared" si="46"/>
        <v>2493.7591816774684</v>
      </c>
      <c r="AD15" s="3">
        <f t="shared" si="46"/>
        <v>2411.9472959489804</v>
      </c>
      <c r="AE15" s="3">
        <f t="shared" si="46"/>
        <v>2383.7013665769268</v>
      </c>
      <c r="AF15" s="3">
        <f t="shared" si="46"/>
        <v>2393.8219197189705</v>
      </c>
      <c r="AG15" s="3">
        <f t="shared" si="46"/>
        <v>1382.6993718795054</v>
      </c>
      <c r="AH15" s="3">
        <f t="shared" si="46"/>
        <v>578.71911210847725</v>
      </c>
      <c r="AI15" s="3">
        <f t="shared" si="46"/>
        <v>396.65098455203258</v>
      </c>
    </row>
    <row r="16" spans="1:35" s="3" customFormat="1" x14ac:dyDescent="0.2">
      <c r="B16" s="3" t="s">
        <v>32</v>
      </c>
      <c r="C16" s="4"/>
      <c r="D16" s="4"/>
      <c r="E16" s="4"/>
      <c r="F16" s="4">
        <v>225.37799999999999</v>
      </c>
      <c r="G16" s="4">
        <v>228.4</v>
      </c>
      <c r="H16" s="4">
        <v>269.44</v>
      </c>
      <c r="I16" s="4">
        <v>278.55200000000002</v>
      </c>
      <c r="J16" s="4">
        <v>328.65600000000001</v>
      </c>
      <c r="K16" s="4">
        <v>258.70100000000002</v>
      </c>
      <c r="L16" s="4">
        <v>281.49299999999999</v>
      </c>
      <c r="M16" s="4">
        <v>274.74700000000001</v>
      </c>
      <c r="N16" s="4">
        <f>+N13*0.25</f>
        <v>234.05755000000005</v>
      </c>
      <c r="O16" s="4">
        <f t="shared" ref="O16:R16" si="47">+O13*0.25</f>
        <v>213.24890000000005</v>
      </c>
      <c r="P16" s="4">
        <f t="shared" si="47"/>
        <v>232.93998875</v>
      </c>
      <c r="Q16" s="4">
        <f t="shared" si="47"/>
        <v>242.38360893750001</v>
      </c>
      <c r="R16" s="4">
        <f t="shared" si="47"/>
        <v>242.56887499687502</v>
      </c>
      <c r="W16" s="3">
        <f t="shared" si="4"/>
        <v>931.14137268437514</v>
      </c>
      <c r="X16" s="3">
        <f>+X13*0.25</f>
        <v>727.66977791203124</v>
      </c>
      <c r="Y16" s="3">
        <f t="shared" ref="Y16:AI16" si="48">+Y13*0.25</f>
        <v>730.14775838196101</v>
      </c>
      <c r="Z16" s="3">
        <f t="shared" si="48"/>
        <v>763.12944235128657</v>
      </c>
      <c r="AA16" s="3">
        <f t="shared" si="48"/>
        <v>776.64278346845413</v>
      </c>
      <c r="AB16" s="3">
        <f t="shared" si="48"/>
        <v>705.26322399959145</v>
      </c>
      <c r="AC16" s="3">
        <f t="shared" si="48"/>
        <v>663.23382491422035</v>
      </c>
      <c r="AD16" s="3">
        <f t="shared" si="48"/>
        <v>641.475344667282</v>
      </c>
      <c r="AE16" s="3">
        <f t="shared" si="48"/>
        <v>633.96312940875714</v>
      </c>
      <c r="AF16" s="3">
        <f t="shared" si="48"/>
        <v>636.65476588270496</v>
      </c>
      <c r="AG16" s="3">
        <f t="shared" si="48"/>
        <v>367.73919464880464</v>
      </c>
      <c r="AH16" s="3">
        <f t="shared" si="48"/>
        <v>153.91465747565886</v>
      </c>
      <c r="AI16" s="3">
        <f t="shared" si="48"/>
        <v>105.49228312554058</v>
      </c>
    </row>
    <row r="17" spans="2:98" s="3" customFormat="1" x14ac:dyDescent="0.2">
      <c r="B17" s="3" t="s">
        <v>33</v>
      </c>
      <c r="C17" s="4"/>
      <c r="D17" s="4"/>
      <c r="E17" s="4"/>
      <c r="F17" s="4">
        <v>83.968000000000004</v>
      </c>
      <c r="G17" s="4">
        <v>67.930000000000007</v>
      </c>
      <c r="H17" s="4">
        <v>118.52500000000001</v>
      </c>
      <c r="I17" s="4">
        <v>124.47</v>
      </c>
      <c r="J17" s="4">
        <v>140.101</v>
      </c>
      <c r="K17" s="4">
        <v>116.459</v>
      </c>
      <c r="L17" s="4">
        <v>123.71899999999999</v>
      </c>
      <c r="M17" s="4">
        <v>120.80200000000001</v>
      </c>
      <c r="N17" s="4"/>
      <c r="O17" s="4"/>
      <c r="P17" s="4"/>
    </row>
    <row r="18" spans="2:98" s="3" customFormat="1" x14ac:dyDescent="0.2">
      <c r="B18" s="3" t="s">
        <v>34</v>
      </c>
      <c r="C18" s="4"/>
      <c r="D18" s="4"/>
      <c r="E18" s="4"/>
      <c r="F18" s="4">
        <f>+F16+F17</f>
        <v>309.346</v>
      </c>
      <c r="G18" s="4">
        <f>+G16+G17</f>
        <v>296.33000000000004</v>
      </c>
      <c r="H18" s="4">
        <f>+H16+H17</f>
        <v>387.96500000000003</v>
      </c>
      <c r="I18" s="4">
        <f>+I16+I17</f>
        <v>403.02200000000005</v>
      </c>
      <c r="J18" s="4">
        <f t="shared" ref="J18:M18" si="49">+J16+J17</f>
        <v>468.75700000000001</v>
      </c>
      <c r="K18" s="4">
        <f t="shared" si="49"/>
        <v>375.16</v>
      </c>
      <c r="L18" s="4">
        <f t="shared" si="49"/>
        <v>405.21199999999999</v>
      </c>
      <c r="M18" s="4">
        <f t="shared" si="49"/>
        <v>395.54900000000004</v>
      </c>
      <c r="N18" s="4">
        <f t="shared" ref="N18" si="50">+N16+N17</f>
        <v>234.05755000000005</v>
      </c>
      <c r="O18" s="4">
        <f t="shared" ref="O18" si="51">+O16+O17</f>
        <v>213.24890000000005</v>
      </c>
      <c r="P18" s="4">
        <f t="shared" ref="P18" si="52">+P16+P17</f>
        <v>232.93998875</v>
      </c>
      <c r="Q18" s="4">
        <f t="shared" ref="Q18" si="53">+Q16+Q17</f>
        <v>242.38360893750001</v>
      </c>
      <c r="R18" s="4">
        <f t="shared" ref="R18" si="54">+R16+R17</f>
        <v>242.56887499687502</v>
      </c>
      <c r="W18" s="4">
        <f t="shared" ref="W18" si="55">+W16+W17</f>
        <v>931.14137268437514</v>
      </c>
      <c r="X18" s="4">
        <f t="shared" ref="X18" si="56">+X16+X17</f>
        <v>727.66977791203124</v>
      </c>
      <c r="Y18" s="4">
        <f t="shared" ref="Y18" si="57">+Y16+Y17</f>
        <v>730.14775838196101</v>
      </c>
      <c r="Z18" s="4">
        <f t="shared" ref="Z18" si="58">+Z16+Z17</f>
        <v>763.12944235128657</v>
      </c>
      <c r="AA18" s="4">
        <f t="shared" ref="AA18" si="59">+AA16+AA17</f>
        <v>776.64278346845413</v>
      </c>
      <c r="AB18" s="4">
        <f t="shared" ref="AB18" si="60">+AB16+AB17</f>
        <v>705.26322399959145</v>
      </c>
      <c r="AC18" s="4">
        <f t="shared" ref="AC18" si="61">+AC16+AC17</f>
        <v>663.23382491422035</v>
      </c>
      <c r="AD18" s="4">
        <f t="shared" ref="AD18" si="62">+AD16+AD17</f>
        <v>641.475344667282</v>
      </c>
      <c r="AE18" s="4">
        <f t="shared" ref="AE18" si="63">+AE16+AE17</f>
        <v>633.96312940875714</v>
      </c>
      <c r="AF18" s="4">
        <f t="shared" ref="AF18" si="64">+AF16+AF17</f>
        <v>636.65476588270496</v>
      </c>
      <c r="AG18" s="4">
        <f t="shared" ref="AG18" si="65">+AG16+AG17</f>
        <v>367.73919464880464</v>
      </c>
      <c r="AH18" s="4">
        <f t="shared" ref="AH18" si="66">+AH16+AH17</f>
        <v>153.91465747565886</v>
      </c>
      <c r="AI18" s="4">
        <f t="shared" ref="AI18" si="67">+AI16+AI17</f>
        <v>105.49228312554058</v>
      </c>
    </row>
    <row r="19" spans="2:98" s="3" customFormat="1" x14ac:dyDescent="0.2">
      <c r="B19" s="3" t="s">
        <v>35</v>
      </c>
      <c r="C19" s="4"/>
      <c r="D19" s="4"/>
      <c r="E19" s="4"/>
      <c r="F19" s="4">
        <f>+F15-F18</f>
        <v>307.87299999999993</v>
      </c>
      <c r="G19" s="4">
        <f>+G15-G18</f>
        <v>273.05799999999999</v>
      </c>
      <c r="H19" s="4">
        <f>+H15-H18</f>
        <v>313.62</v>
      </c>
      <c r="I19" s="4">
        <f>+I15-I18</f>
        <v>376.221</v>
      </c>
      <c r="J19" s="4">
        <f t="shared" ref="J19:M19" si="68">+J15-J18</f>
        <v>369.86399999999998</v>
      </c>
      <c r="K19" s="4">
        <f t="shared" si="68"/>
        <v>390.35499999999996</v>
      </c>
      <c r="L19" s="4">
        <f t="shared" si="68"/>
        <v>474.42100000000005</v>
      </c>
      <c r="M19" s="4">
        <f t="shared" si="68"/>
        <v>488.00000000000006</v>
      </c>
      <c r="N19" s="4">
        <f t="shared" ref="N19" si="69">+N15-N18</f>
        <v>645.99883800000021</v>
      </c>
      <c r="O19" s="4">
        <f t="shared" ref="O19" si="70">+O15-O18</f>
        <v>588.5669640000001</v>
      </c>
      <c r="P19" s="4">
        <f t="shared" ref="P19" si="71">+P15-P18</f>
        <v>642.91436895000004</v>
      </c>
      <c r="Q19" s="4">
        <f t="shared" ref="Q19" si="72">+Q15-Q18</f>
        <v>668.97876066749996</v>
      </c>
      <c r="R19" s="4">
        <f t="shared" ref="R19" si="73">+R15-R18</f>
        <v>669.49009499137503</v>
      </c>
      <c r="W19" s="4">
        <f t="shared" ref="W19" si="74">+W15-W18</f>
        <v>2569.9501886088756</v>
      </c>
      <c r="X19" s="4">
        <f t="shared" ref="X19" si="75">+X15-X18</f>
        <v>2008.368587037206</v>
      </c>
      <c r="Y19" s="4">
        <f t="shared" ref="Y19" si="76">+Y15-Y18</f>
        <v>2015.2078131342123</v>
      </c>
      <c r="Z19" s="4">
        <f t="shared" ref="Z19" si="77">+Z15-Z18</f>
        <v>2106.2372608895512</v>
      </c>
      <c r="AA19" s="4">
        <f t="shared" ref="AA19" si="78">+AA15-AA18</f>
        <v>2143.5340823729334</v>
      </c>
      <c r="AB19" s="4">
        <f t="shared" ref="AB19" si="79">+AB15-AB18</f>
        <v>1946.5264982388726</v>
      </c>
      <c r="AC19" s="4">
        <f t="shared" ref="AC19" si="80">+AC15-AC18</f>
        <v>1830.5253567632481</v>
      </c>
      <c r="AD19" s="4">
        <f t="shared" ref="AD19" si="81">+AD15-AD18</f>
        <v>1770.4719512816982</v>
      </c>
      <c r="AE19" s="4">
        <f t="shared" ref="AE19" si="82">+AE15-AE18</f>
        <v>1749.7382371681697</v>
      </c>
      <c r="AF19" s="4">
        <f t="shared" ref="AF19" si="83">+AF15-AF18</f>
        <v>1757.1671538362657</v>
      </c>
      <c r="AG19" s="4">
        <f t="shared" ref="AG19" si="84">+AG15-AG18</f>
        <v>1014.9601772307008</v>
      </c>
      <c r="AH19" s="4">
        <f t="shared" ref="AH19" si="85">+AH15-AH18</f>
        <v>424.80445463281842</v>
      </c>
      <c r="AI19" s="4">
        <f t="shared" ref="AI19" si="86">+AI15-AI18</f>
        <v>291.15870142649203</v>
      </c>
    </row>
    <row r="20" spans="2:98" s="3" customFormat="1" x14ac:dyDescent="0.2">
      <c r="B20" s="3" t="s">
        <v>36</v>
      </c>
      <c r="C20" s="4"/>
      <c r="D20" s="4"/>
      <c r="E20" s="4"/>
      <c r="F20" s="4">
        <v>-11.526999999999999</v>
      </c>
      <c r="G20" s="4">
        <v>-11.688000000000001</v>
      </c>
      <c r="H20" s="4">
        <v>-47.097999999999999</v>
      </c>
      <c r="I20" s="4">
        <v>-65.326999999999998</v>
      </c>
      <c r="J20" s="4">
        <v>-61.997999999999998</v>
      </c>
      <c r="K20" s="4">
        <v>-58.515999999999998</v>
      </c>
      <c r="L20" s="4">
        <v>-57.616999999999997</v>
      </c>
      <c r="M20" s="4">
        <v>-65.981999999999999</v>
      </c>
      <c r="N20" s="4">
        <f>+M20</f>
        <v>-65.981999999999999</v>
      </c>
      <c r="O20" s="4">
        <f>+N20</f>
        <v>-65.981999999999999</v>
      </c>
      <c r="P20" s="4">
        <f>+O20</f>
        <v>-65.981999999999999</v>
      </c>
      <c r="Q20" s="3">
        <f>+P20</f>
        <v>-65.981999999999999</v>
      </c>
      <c r="R20" s="3">
        <f>+Q20</f>
        <v>-65.981999999999999</v>
      </c>
      <c r="W20" s="3">
        <f t="shared" ref="W20:W22" si="87">SUM(O20:R20)</f>
        <v>-263.928</v>
      </c>
      <c r="X20" s="3">
        <f>+W27*0.05</f>
        <v>-118.7433413691228</v>
      </c>
      <c r="Y20" s="3">
        <f t="shared" ref="Y20" si="88">+X27*0.05</f>
        <v>-33.71020531405906</v>
      </c>
      <c r="Z20" s="3">
        <f>+Y27*$AL$26</f>
        <v>22.182874815139137</v>
      </c>
      <c r="AA20" s="3">
        <f t="shared" ref="AA20:AI20" si="89">+Z27*$AL$26</f>
        <v>60.494437257823556</v>
      </c>
      <c r="AB20" s="3">
        <f t="shared" si="89"/>
        <v>100.16695061117719</v>
      </c>
      <c r="AC20" s="3">
        <f t="shared" si="89"/>
        <v>137.00743269047808</v>
      </c>
      <c r="AD20" s="3">
        <f t="shared" si="89"/>
        <v>172.42302290064515</v>
      </c>
      <c r="AE20" s="3">
        <f t="shared" si="89"/>
        <v>207.39513243592734</v>
      </c>
      <c r="AF20" s="3">
        <f t="shared" si="89"/>
        <v>242.62353308880108</v>
      </c>
      <c r="AG20" s="3">
        <f t="shared" si="89"/>
        <v>278.61976545345226</v>
      </c>
      <c r="AH20" s="3">
        <f t="shared" si="89"/>
        <v>301.90420442176702</v>
      </c>
      <c r="AI20" s="3">
        <f t="shared" si="89"/>
        <v>314.9849602847496</v>
      </c>
    </row>
    <row r="21" spans="2:98" s="3" customFormat="1" x14ac:dyDescent="0.2">
      <c r="B21" s="3" t="s">
        <v>37</v>
      </c>
      <c r="C21" s="4"/>
      <c r="D21" s="4"/>
      <c r="E21" s="4"/>
      <c r="F21" s="4">
        <f t="shared" ref="F21:L21" si="90">+F19+F20</f>
        <v>296.34599999999995</v>
      </c>
      <c r="G21" s="4">
        <f t="shared" si="90"/>
        <v>261.37</v>
      </c>
      <c r="H21" s="4">
        <f t="shared" si="90"/>
        <v>266.52199999999999</v>
      </c>
      <c r="I21" s="4">
        <f t="shared" si="90"/>
        <v>310.89400000000001</v>
      </c>
      <c r="J21" s="4">
        <f t="shared" si="90"/>
        <v>307.86599999999999</v>
      </c>
      <c r="K21" s="4">
        <f t="shared" si="90"/>
        <v>331.83899999999994</v>
      </c>
      <c r="L21" s="4">
        <f t="shared" si="90"/>
        <v>416.80400000000003</v>
      </c>
      <c r="M21" s="4">
        <f>+M19+M20</f>
        <v>422.01800000000003</v>
      </c>
      <c r="N21" s="4">
        <f t="shared" ref="N21:R21" si="91">+N19+N20</f>
        <v>580.01683800000023</v>
      </c>
      <c r="O21" s="4">
        <f t="shared" si="91"/>
        <v>522.58496400000013</v>
      </c>
      <c r="P21" s="4">
        <f t="shared" si="91"/>
        <v>576.93236895000007</v>
      </c>
      <c r="Q21" s="4">
        <f t="shared" si="91"/>
        <v>602.99676066749998</v>
      </c>
      <c r="R21" s="4">
        <f t="shared" si="91"/>
        <v>603.50809499137506</v>
      </c>
      <c r="W21" s="4">
        <f t="shared" ref="W21" si="92">+W19+W20</f>
        <v>2306.0221886088757</v>
      </c>
      <c r="X21" s="4">
        <f t="shared" ref="X21" si="93">+X19+X20</f>
        <v>1889.6252456680832</v>
      </c>
      <c r="Y21" s="4">
        <f t="shared" ref="Y21" si="94">+Y19+Y20</f>
        <v>1981.4976078201532</v>
      </c>
      <c r="Z21" s="4">
        <f t="shared" ref="Z21" si="95">+Z19+Z20</f>
        <v>2128.4201357046904</v>
      </c>
      <c r="AA21" s="4">
        <f t="shared" ref="AA21" si="96">+AA19+AA20</f>
        <v>2204.0285196307568</v>
      </c>
      <c r="AB21" s="4">
        <f t="shared" ref="AB21" si="97">+AB19+AB20</f>
        <v>2046.6934488500497</v>
      </c>
      <c r="AC21" s="4">
        <f t="shared" ref="AC21" si="98">+AC19+AC20</f>
        <v>1967.5327894537261</v>
      </c>
      <c r="AD21" s="4">
        <f t="shared" ref="AD21" si="99">+AD19+AD20</f>
        <v>1942.8949741823435</v>
      </c>
      <c r="AE21" s="4">
        <f t="shared" ref="AE21" si="100">+AE19+AE20</f>
        <v>1957.133369604097</v>
      </c>
      <c r="AF21" s="4">
        <f t="shared" ref="AF21" si="101">+AF19+AF20</f>
        <v>1999.7906869250669</v>
      </c>
      <c r="AG21" s="4">
        <f t="shared" ref="AG21" si="102">+AG19+AG20</f>
        <v>1293.5799426841531</v>
      </c>
      <c r="AH21" s="4">
        <f t="shared" ref="AH21" si="103">+AH19+AH20</f>
        <v>726.7086590545855</v>
      </c>
      <c r="AI21" s="4">
        <f t="shared" ref="AI21" si="104">+AI19+AI20</f>
        <v>606.14366171124163</v>
      </c>
    </row>
    <row r="22" spans="2:98" s="3" customFormat="1" x14ac:dyDescent="0.2">
      <c r="B22" s="3" t="s">
        <v>38</v>
      </c>
      <c r="C22" s="4"/>
      <c r="D22" s="4"/>
      <c r="E22" s="4"/>
      <c r="F22" s="4">
        <v>29.968</v>
      </c>
      <c r="G22" s="4">
        <v>37.658999999999999</v>
      </c>
      <c r="H22" s="4">
        <v>30.262</v>
      </c>
      <c r="I22" s="4">
        <v>43.588999999999999</v>
      </c>
      <c r="J22" s="4">
        <v>37.253999999999998</v>
      </c>
      <c r="K22" s="4">
        <v>55.222999999999999</v>
      </c>
      <c r="L22" s="4">
        <v>38.387</v>
      </c>
      <c r="M22" s="4">
        <v>44.386000000000003</v>
      </c>
      <c r="N22" s="4">
        <f>+N21*0.15</f>
        <v>87.002525700000035</v>
      </c>
      <c r="O22" s="4">
        <f t="shared" ref="O22:R22" si="105">+O21*0.15</f>
        <v>78.387744600000019</v>
      </c>
      <c r="P22" s="4">
        <f t="shared" si="105"/>
        <v>86.539855342500005</v>
      </c>
      <c r="Q22" s="4">
        <f t="shared" si="105"/>
        <v>90.449514100125</v>
      </c>
      <c r="R22" s="4">
        <f t="shared" si="105"/>
        <v>90.526214248706253</v>
      </c>
      <c r="W22" s="3">
        <f t="shared" si="87"/>
        <v>345.90332829133126</v>
      </c>
      <c r="X22" s="3">
        <f>+X21*0.1</f>
        <v>188.96252456680833</v>
      </c>
      <c r="Y22" s="3">
        <f t="shared" ref="Y22:AI22" si="106">+Y21*0.1</f>
        <v>198.14976078201533</v>
      </c>
      <c r="Z22" s="3">
        <f t="shared" si="106"/>
        <v>212.84201357046905</v>
      </c>
      <c r="AA22" s="3">
        <f t="shared" si="106"/>
        <v>220.4028519630757</v>
      </c>
      <c r="AB22" s="3">
        <f t="shared" si="106"/>
        <v>204.66934488500499</v>
      </c>
      <c r="AC22" s="3">
        <f t="shared" si="106"/>
        <v>196.75327894537261</v>
      </c>
      <c r="AD22" s="3">
        <f t="shared" si="106"/>
        <v>194.28949741823436</v>
      </c>
      <c r="AE22" s="3">
        <f t="shared" si="106"/>
        <v>195.71333696040972</v>
      </c>
      <c r="AF22" s="3">
        <f t="shared" si="106"/>
        <v>199.9790686925067</v>
      </c>
      <c r="AG22" s="3">
        <f t="shared" si="106"/>
        <v>129.35799426841533</v>
      </c>
      <c r="AH22" s="3">
        <f t="shared" si="106"/>
        <v>72.670865905458555</v>
      </c>
      <c r="AI22" s="3">
        <f t="shared" si="106"/>
        <v>60.614366171124168</v>
      </c>
    </row>
    <row r="23" spans="2:98" s="3" customFormat="1" x14ac:dyDescent="0.2">
      <c r="B23" s="3" t="s">
        <v>39</v>
      </c>
      <c r="C23" s="4"/>
      <c r="D23" s="4"/>
      <c r="E23" s="4"/>
      <c r="F23" s="4">
        <f t="shared" ref="F23:L23" si="107">+F21-F22</f>
        <v>266.37799999999993</v>
      </c>
      <c r="G23" s="4">
        <f t="shared" si="107"/>
        <v>223.71100000000001</v>
      </c>
      <c r="H23" s="4">
        <f t="shared" si="107"/>
        <v>236.26</v>
      </c>
      <c r="I23" s="4">
        <f t="shared" si="107"/>
        <v>267.30500000000001</v>
      </c>
      <c r="J23" s="4">
        <f t="shared" si="107"/>
        <v>270.61199999999997</v>
      </c>
      <c r="K23" s="4">
        <f t="shared" si="107"/>
        <v>276.61599999999993</v>
      </c>
      <c r="L23" s="4">
        <f t="shared" si="107"/>
        <v>378.41700000000003</v>
      </c>
      <c r="M23" s="4">
        <f>+M21-M22</f>
        <v>377.63200000000001</v>
      </c>
      <c r="N23" s="4">
        <f>+N21-N22</f>
        <v>493.0143123000002</v>
      </c>
      <c r="O23" s="4">
        <f t="shared" ref="O23:R23" si="108">+O21-O22</f>
        <v>444.19721940000011</v>
      </c>
      <c r="P23" s="4">
        <f t="shared" si="108"/>
        <v>490.39251360750006</v>
      </c>
      <c r="Q23" s="4">
        <f t="shared" si="108"/>
        <v>512.54724656737494</v>
      </c>
      <c r="R23" s="4">
        <f t="shared" si="108"/>
        <v>512.98188074266886</v>
      </c>
      <c r="W23" s="4">
        <f t="shared" ref="W23:X23" si="109">+W21-W22</f>
        <v>1960.1188603175444</v>
      </c>
      <c r="X23" s="4">
        <f t="shared" si="109"/>
        <v>1700.6627211012749</v>
      </c>
      <c r="Y23" s="4">
        <f t="shared" ref="Y23" si="110">+Y21-Y22</f>
        <v>1783.3478470381378</v>
      </c>
      <c r="Z23" s="4">
        <f t="shared" ref="Z23" si="111">+Z21-Z22</f>
        <v>1915.5781221342213</v>
      </c>
      <c r="AA23" s="4">
        <f t="shared" ref="AA23" si="112">+AA21-AA22</f>
        <v>1983.6256676676812</v>
      </c>
      <c r="AB23" s="4">
        <f t="shared" ref="AB23" si="113">+AB21-AB22</f>
        <v>1842.0241039650446</v>
      </c>
      <c r="AC23" s="4">
        <f t="shared" ref="AC23" si="114">+AC21-AC22</f>
        <v>1770.7795105083535</v>
      </c>
      <c r="AD23" s="4">
        <f t="shared" ref="AD23" si="115">+AD21-AD22</f>
        <v>1748.6054767641092</v>
      </c>
      <c r="AE23" s="4">
        <f t="shared" ref="AE23" si="116">+AE21-AE22</f>
        <v>1761.4200326436871</v>
      </c>
      <c r="AF23" s="4">
        <f t="shared" ref="AF23" si="117">+AF21-AF22</f>
        <v>1799.8116182325602</v>
      </c>
      <c r="AG23" s="4">
        <f t="shared" ref="AG23" si="118">+AG21-AG22</f>
        <v>1164.2219484157379</v>
      </c>
      <c r="AH23" s="4">
        <f t="shared" ref="AH23" si="119">+AH21-AH22</f>
        <v>654.03779314912697</v>
      </c>
      <c r="AI23" s="4">
        <f t="shared" ref="AI23" si="120">+AI21-AI22</f>
        <v>545.52929554011746</v>
      </c>
      <c r="AJ23" s="3">
        <f>+AI23*(1+$AL$25)</f>
        <v>518.25283076311155</v>
      </c>
      <c r="AK23" s="3">
        <f t="shared" ref="AK23:CT23" si="121">+AJ23*(1+$AL$25)</f>
        <v>492.34018922495596</v>
      </c>
      <c r="AL23" s="3">
        <f t="shared" si="121"/>
        <v>467.72317976370812</v>
      </c>
      <c r="AM23" s="3">
        <f t="shared" si="121"/>
        <v>444.33702077552272</v>
      </c>
      <c r="AN23" s="3">
        <f t="shared" si="121"/>
        <v>422.12016973674656</v>
      </c>
      <c r="AO23" s="3">
        <f t="shared" si="121"/>
        <v>401.01416124990919</v>
      </c>
      <c r="AP23" s="3">
        <f t="shared" si="121"/>
        <v>380.96345318741373</v>
      </c>
      <c r="AQ23" s="3">
        <f t="shared" si="121"/>
        <v>361.91528052804301</v>
      </c>
      <c r="AR23" s="3">
        <f t="shared" si="121"/>
        <v>343.81951650164086</v>
      </c>
      <c r="AS23" s="3">
        <f t="shared" si="121"/>
        <v>326.62854067655883</v>
      </c>
      <c r="AT23" s="3">
        <f t="shared" si="121"/>
        <v>310.29711364273089</v>
      </c>
      <c r="AU23" s="3">
        <f t="shared" si="121"/>
        <v>294.78225796059434</v>
      </c>
      <c r="AV23" s="3">
        <f t="shared" si="121"/>
        <v>280.04314506256463</v>
      </c>
      <c r="AW23" s="3">
        <f t="shared" si="121"/>
        <v>266.04098780943639</v>
      </c>
      <c r="AX23" s="3">
        <f t="shared" si="121"/>
        <v>252.73893841896455</v>
      </c>
      <c r="AY23" s="3">
        <f t="shared" si="121"/>
        <v>240.1019914980163</v>
      </c>
      <c r="AZ23" s="3">
        <f t="shared" si="121"/>
        <v>228.09689192311546</v>
      </c>
      <c r="BA23" s="3">
        <f t="shared" si="121"/>
        <v>216.69204732695968</v>
      </c>
      <c r="BB23" s="3">
        <f t="shared" si="121"/>
        <v>205.8574449606117</v>
      </c>
      <c r="BC23" s="3">
        <f t="shared" si="121"/>
        <v>195.56457271258111</v>
      </c>
      <c r="BD23" s="3">
        <f t="shared" si="121"/>
        <v>185.78634407695205</v>
      </c>
      <c r="BE23" s="3">
        <f t="shared" si="121"/>
        <v>176.49702687310443</v>
      </c>
      <c r="BF23" s="3">
        <f t="shared" si="121"/>
        <v>167.67217552944919</v>
      </c>
      <c r="BG23" s="3">
        <f t="shared" si="121"/>
        <v>159.28856675297672</v>
      </c>
      <c r="BH23" s="3">
        <f t="shared" si="121"/>
        <v>151.32413841532787</v>
      </c>
      <c r="BI23" s="3">
        <f t="shared" si="121"/>
        <v>143.75793149456146</v>
      </c>
      <c r="BJ23" s="3">
        <f t="shared" si="121"/>
        <v>136.57003491983338</v>
      </c>
      <c r="BK23" s="3">
        <f t="shared" si="121"/>
        <v>129.7415331738417</v>
      </c>
      <c r="BL23" s="3">
        <f t="shared" si="121"/>
        <v>123.25445651514961</v>
      </c>
      <c r="BM23" s="3">
        <f t="shared" si="121"/>
        <v>117.09173368939213</v>
      </c>
      <c r="BN23" s="3">
        <f t="shared" si="121"/>
        <v>111.23714700492252</v>
      </c>
      <c r="BO23" s="3">
        <f t="shared" si="121"/>
        <v>105.67528965467639</v>
      </c>
      <c r="BP23" s="3">
        <f t="shared" si="121"/>
        <v>100.39152517194256</v>
      </c>
      <c r="BQ23" s="3">
        <f t="shared" si="121"/>
        <v>95.371948913345435</v>
      </c>
      <c r="BR23" s="3">
        <f t="shared" si="121"/>
        <v>90.603351467678152</v>
      </c>
      <c r="BS23" s="3">
        <f t="shared" si="121"/>
        <v>86.073183894294246</v>
      </c>
      <c r="BT23" s="3">
        <f t="shared" si="121"/>
        <v>81.769524699579534</v>
      </c>
      <c r="BU23" s="3">
        <f t="shared" si="121"/>
        <v>77.681048464600551</v>
      </c>
      <c r="BV23" s="3">
        <f t="shared" si="121"/>
        <v>73.796996041370519</v>
      </c>
      <c r="BW23" s="3">
        <f t="shared" si="121"/>
        <v>70.107146239301997</v>
      </c>
      <c r="BX23" s="3">
        <f t="shared" si="121"/>
        <v>66.601788927336898</v>
      </c>
      <c r="BY23" s="3">
        <f t="shared" si="121"/>
        <v>63.271699480970049</v>
      </c>
      <c r="BZ23" s="3">
        <f t="shared" si="121"/>
        <v>60.108114506921545</v>
      </c>
      <c r="CA23" s="3">
        <f t="shared" si="121"/>
        <v>57.102708781575465</v>
      </c>
      <c r="CB23" s="3">
        <f t="shared" si="121"/>
        <v>54.247573342496686</v>
      </c>
      <c r="CC23" s="3">
        <f t="shared" si="121"/>
        <v>51.535194675371848</v>
      </c>
      <c r="CD23" s="3">
        <f t="shared" si="121"/>
        <v>48.958434941603251</v>
      </c>
      <c r="CE23" s="3">
        <f t="shared" si="121"/>
        <v>46.510513194523085</v>
      </c>
      <c r="CF23" s="3">
        <f t="shared" si="121"/>
        <v>44.184987534796932</v>
      </c>
      <c r="CG23" s="3">
        <f t="shared" si="121"/>
        <v>41.975738158057084</v>
      </c>
      <c r="CH23" s="3">
        <f t="shared" si="121"/>
        <v>39.876951250154228</v>
      </c>
      <c r="CI23" s="3">
        <f t="shared" si="121"/>
        <v>37.883103687646518</v>
      </c>
      <c r="CJ23" s="3">
        <f t="shared" si="121"/>
        <v>35.98894850326419</v>
      </c>
      <c r="CK23" s="3">
        <f t="shared" si="121"/>
        <v>34.189501078100982</v>
      </c>
      <c r="CL23" s="3">
        <f t="shared" si="121"/>
        <v>32.480026024195929</v>
      </c>
      <c r="CM23" s="3">
        <f t="shared" si="121"/>
        <v>30.856024722986131</v>
      </c>
      <c r="CN23" s="3">
        <f t="shared" si="121"/>
        <v>29.313223486836822</v>
      </c>
      <c r="CO23" s="3">
        <f t="shared" si="121"/>
        <v>27.847562312494979</v>
      </c>
      <c r="CP23" s="3">
        <f t="shared" si="121"/>
        <v>26.455184196870228</v>
      </c>
      <c r="CQ23" s="3">
        <f t="shared" si="121"/>
        <v>25.132424987026717</v>
      </c>
      <c r="CR23" s="3">
        <f t="shared" si="121"/>
        <v>23.87580373767538</v>
      </c>
      <c r="CS23" s="3">
        <f t="shared" si="121"/>
        <v>22.682013550791609</v>
      </c>
      <c r="CT23" s="3">
        <f t="shared" si="121"/>
        <v>21.547912873252027</v>
      </c>
    </row>
    <row r="24" spans="2:98" x14ac:dyDescent="0.2">
      <c r="B24" s="7" t="s">
        <v>40</v>
      </c>
      <c r="F24" s="9">
        <f>+F23/F25</f>
        <v>4.6590758036869895</v>
      </c>
      <c r="G24" s="9">
        <f>+G23/G25</f>
        <v>3.8311270186494957</v>
      </c>
      <c r="H24" s="9">
        <f>+H23/H25</f>
        <v>3.9742295787915487</v>
      </c>
      <c r="I24" s="9">
        <f>+I23/I25</f>
        <v>4.3617420533907714</v>
      </c>
      <c r="J24" s="9">
        <f>+J23/J25</f>
        <v>4.3999804887566452</v>
      </c>
      <c r="K24" s="9">
        <f>+K23/K25</f>
        <v>4.3972212949274319</v>
      </c>
      <c r="L24" s="9">
        <f>+L23/L25</f>
        <v>5.9658053633081627</v>
      </c>
      <c r="M24" s="9">
        <f>+M23/M25</f>
        <v>6.0146850362347699</v>
      </c>
      <c r="N24" s="9">
        <f t="shared" ref="N24:R24" si="122">+N23/N25</f>
        <v>7.8524219526957113</v>
      </c>
      <c r="O24" s="9">
        <f t="shared" si="122"/>
        <v>7.0748939937883275</v>
      </c>
      <c r="P24" s="9">
        <f t="shared" si="122"/>
        <v>7.8106635917416591</v>
      </c>
      <c r="Q24" s="9">
        <f t="shared" si="122"/>
        <v>8.163530247150991</v>
      </c>
      <c r="R24" s="9">
        <f t="shared" si="122"/>
        <v>8.170452826991621</v>
      </c>
      <c r="W24" s="21">
        <f>+W23/W25</f>
        <v>31.219540659672607</v>
      </c>
      <c r="X24" s="21">
        <f t="shared" ref="X24:AI24" si="123">+X23/X25</f>
        <v>27.087086423529108</v>
      </c>
      <c r="Y24" s="21">
        <f t="shared" si="123"/>
        <v>28.40404311600124</v>
      </c>
      <c r="Z24" s="21">
        <f t="shared" si="123"/>
        <v>30.510123789666661</v>
      </c>
      <c r="AA24" s="21">
        <f t="shared" si="123"/>
        <v>31.593942305768596</v>
      </c>
      <c r="AB24" s="21">
        <f t="shared" si="123"/>
        <v>29.338601639962487</v>
      </c>
      <c r="AC24" s="21">
        <f t="shared" si="123"/>
        <v>28.20386255488339</v>
      </c>
      <c r="AD24" s="21">
        <f t="shared" si="123"/>
        <v>27.8506884887172</v>
      </c>
      <c r="AE24" s="21">
        <f t="shared" si="123"/>
        <v>28.054790676812729</v>
      </c>
      <c r="AF24" s="21">
        <f t="shared" si="123"/>
        <v>28.666267710958994</v>
      </c>
      <c r="AG24" s="21">
        <f t="shared" si="123"/>
        <v>18.542995116918657</v>
      </c>
      <c r="AH24" s="21">
        <f t="shared" si="123"/>
        <v>10.417102702064618</v>
      </c>
      <c r="AI24" s="21">
        <f t="shared" si="123"/>
        <v>8.6888475836603885</v>
      </c>
    </row>
    <row r="25" spans="2:98" s="3" customFormat="1" x14ac:dyDescent="0.2">
      <c r="B25" s="3" t="s">
        <v>1</v>
      </c>
      <c r="C25" s="4"/>
      <c r="D25" s="4"/>
      <c r="E25" s="4"/>
      <c r="F25" s="4">
        <v>57.173999999999999</v>
      </c>
      <c r="G25" s="4">
        <v>58.393000000000001</v>
      </c>
      <c r="H25" s="4">
        <v>59.448</v>
      </c>
      <c r="I25" s="4">
        <v>61.283999999999999</v>
      </c>
      <c r="J25" s="4">
        <v>61.503</v>
      </c>
      <c r="K25" s="4">
        <v>62.906999999999996</v>
      </c>
      <c r="L25" s="4">
        <v>63.430999999999997</v>
      </c>
      <c r="M25" s="4">
        <v>62.784999999999997</v>
      </c>
      <c r="N25" s="4">
        <f>+M25</f>
        <v>62.784999999999997</v>
      </c>
      <c r="O25" s="4">
        <f t="shared" ref="O25:R25" si="124">+N25</f>
        <v>62.784999999999997</v>
      </c>
      <c r="P25" s="4">
        <f t="shared" si="124"/>
        <v>62.784999999999997</v>
      </c>
      <c r="Q25" s="4">
        <f t="shared" si="124"/>
        <v>62.784999999999997</v>
      </c>
      <c r="R25" s="4">
        <f t="shared" si="124"/>
        <v>62.784999999999997</v>
      </c>
      <c r="W25" s="3">
        <f>AVERAGE(O25:R25)</f>
        <v>62.784999999999997</v>
      </c>
      <c r="X25" s="3">
        <f>+W25</f>
        <v>62.784999999999997</v>
      </c>
      <c r="Y25" s="3">
        <f t="shared" ref="Y25:AI25" si="125">+X25</f>
        <v>62.784999999999997</v>
      </c>
      <c r="Z25" s="3">
        <f t="shared" si="125"/>
        <v>62.784999999999997</v>
      </c>
      <c r="AA25" s="3">
        <f t="shared" si="125"/>
        <v>62.784999999999997</v>
      </c>
      <c r="AB25" s="3">
        <f t="shared" si="125"/>
        <v>62.784999999999997</v>
      </c>
      <c r="AC25" s="3">
        <f t="shared" si="125"/>
        <v>62.784999999999997</v>
      </c>
      <c r="AD25" s="3">
        <f t="shared" si="125"/>
        <v>62.784999999999997</v>
      </c>
      <c r="AE25" s="3">
        <f t="shared" si="125"/>
        <v>62.784999999999997</v>
      </c>
      <c r="AF25" s="3">
        <f t="shared" si="125"/>
        <v>62.784999999999997</v>
      </c>
      <c r="AG25" s="3">
        <f t="shared" si="125"/>
        <v>62.784999999999997</v>
      </c>
      <c r="AH25" s="3">
        <f t="shared" si="125"/>
        <v>62.784999999999997</v>
      </c>
      <c r="AI25" s="3">
        <f t="shared" si="125"/>
        <v>62.784999999999997</v>
      </c>
      <c r="AK25" s="3" t="s">
        <v>108</v>
      </c>
      <c r="AL25" s="27">
        <v>-0.05</v>
      </c>
    </row>
    <row r="26" spans="2:98" x14ac:dyDescent="0.2">
      <c r="AK26" t="s">
        <v>107</v>
      </c>
      <c r="AL26" s="27">
        <v>0.02</v>
      </c>
    </row>
    <row r="27" spans="2:98" s="1" customFormat="1" x14ac:dyDescent="0.2">
      <c r="B27" s="1" t="s">
        <v>3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>
        <f>899-5727</f>
        <v>-4828</v>
      </c>
      <c r="N27" s="10">
        <f>+M27+N23</f>
        <v>-4334.9856877000002</v>
      </c>
      <c r="O27" s="10">
        <f t="shared" ref="O27:R27" si="126">+N27+O23</f>
        <v>-3890.7884683000002</v>
      </c>
      <c r="P27" s="10">
        <f t="shared" si="126"/>
        <v>-3400.3959546925003</v>
      </c>
      <c r="Q27" s="10">
        <f t="shared" si="126"/>
        <v>-2887.8487081251251</v>
      </c>
      <c r="R27" s="10">
        <f t="shared" si="126"/>
        <v>-2374.866827382456</v>
      </c>
      <c r="W27" s="1">
        <f>+R27</f>
        <v>-2374.866827382456</v>
      </c>
      <c r="X27" s="1">
        <f>+W27+X23</f>
        <v>-674.20410628118111</v>
      </c>
      <c r="Y27" s="1">
        <f t="shared" ref="Y27:AI27" si="127">+X27+Y23</f>
        <v>1109.1437407569567</v>
      </c>
      <c r="Z27" s="1">
        <f t="shared" si="127"/>
        <v>3024.7218628911778</v>
      </c>
      <c r="AA27" s="1">
        <f t="shared" si="127"/>
        <v>5008.347530558859</v>
      </c>
      <c r="AB27" s="1">
        <f t="shared" si="127"/>
        <v>6850.3716345239036</v>
      </c>
      <c r="AC27" s="1">
        <f t="shared" si="127"/>
        <v>8621.1511450322578</v>
      </c>
      <c r="AD27" s="1">
        <f t="shared" si="127"/>
        <v>10369.756621796367</v>
      </c>
      <c r="AE27" s="1">
        <f t="shared" si="127"/>
        <v>12131.176654440054</v>
      </c>
      <c r="AF27" s="1">
        <f t="shared" si="127"/>
        <v>13930.988272672614</v>
      </c>
      <c r="AG27" s="1">
        <f t="shared" si="127"/>
        <v>15095.210221088351</v>
      </c>
      <c r="AH27" s="1">
        <f t="shared" si="127"/>
        <v>15749.248014237479</v>
      </c>
      <c r="AI27" s="1">
        <f t="shared" si="127"/>
        <v>16294.777309777597</v>
      </c>
      <c r="AK27" s="1" t="s">
        <v>105</v>
      </c>
      <c r="AL27" s="27">
        <v>0.08</v>
      </c>
    </row>
    <row r="28" spans="2:98" x14ac:dyDescent="0.2">
      <c r="B28" t="s">
        <v>72</v>
      </c>
      <c r="F28" s="20">
        <f t="shared" ref="F28:M28" si="128">+F15/F13</f>
        <v>0.92742784932616296</v>
      </c>
      <c r="G28" s="20">
        <f t="shared" si="128"/>
        <v>0.93713924563144668</v>
      </c>
      <c r="H28" s="20">
        <f t="shared" si="128"/>
        <v>0.93319331587327137</v>
      </c>
      <c r="I28" s="20">
        <f t="shared" si="128"/>
        <v>0.92975665630611559</v>
      </c>
      <c r="J28" s="20">
        <f t="shared" si="128"/>
        <v>0.93519795791603055</v>
      </c>
      <c r="K28" s="20">
        <f t="shared" si="128"/>
        <v>0.94075856466774233</v>
      </c>
      <c r="L28" s="20">
        <f t="shared" si="128"/>
        <v>0.94292394075109498</v>
      </c>
      <c r="M28" s="20">
        <f>+M15/M13</f>
        <v>0.93929423421201474</v>
      </c>
      <c r="N28" s="20">
        <f t="shared" ref="N28:Q28" si="129">+N15/N13</f>
        <v>0.94000000000000006</v>
      </c>
      <c r="O28" s="20">
        <f t="shared" si="129"/>
        <v>0.94</v>
      </c>
      <c r="P28" s="20">
        <f t="shared" si="129"/>
        <v>0.94000000000000006</v>
      </c>
      <c r="Q28" s="20">
        <f t="shared" si="129"/>
        <v>0.94</v>
      </c>
      <c r="R28" s="20">
        <f>+R15/R13</f>
        <v>0.94</v>
      </c>
      <c r="AK28" t="s">
        <v>106</v>
      </c>
      <c r="AL28" s="1">
        <f>NPV(AL27,W23:CT23)+Main!K5-Main!K6</f>
        <v>9897.79688505169</v>
      </c>
    </row>
    <row r="29" spans="2:98" x14ac:dyDescent="0.2">
      <c r="AL29" s="21">
        <f>+AL28/Main!K3</f>
        <v>157.64588492556646</v>
      </c>
    </row>
  </sheetData>
  <hyperlinks>
    <hyperlink ref="A1" location="Main!A1" display="Main" xr:uid="{6F2D3B94-EC42-45A9-97E1-D3E623B3FF8A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9D8C-3D34-4DEF-904D-39A18D13C697}">
  <dimension ref="A1:C29"/>
  <sheetViews>
    <sheetView topLeftCell="A2" zoomScale="190" zoomScaleNormal="190" workbookViewId="0">
      <selection activeCell="C30" sqref="C30"/>
    </sheetView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8" t="s">
        <v>7</v>
      </c>
    </row>
    <row r="2" spans="1:3" x14ac:dyDescent="0.2">
      <c r="B2" t="s">
        <v>75</v>
      </c>
      <c r="C2" t="s">
        <v>22</v>
      </c>
    </row>
    <row r="3" spans="1:3" x14ac:dyDescent="0.2">
      <c r="B3" t="s">
        <v>86</v>
      </c>
      <c r="C3" t="s">
        <v>87</v>
      </c>
    </row>
    <row r="4" spans="1:3" x14ac:dyDescent="0.2">
      <c r="B4" t="s">
        <v>76</v>
      </c>
      <c r="C4" t="s">
        <v>77</v>
      </c>
    </row>
    <row r="5" spans="1:3" x14ac:dyDescent="0.2">
      <c r="C5" t="s">
        <v>78</v>
      </c>
    </row>
    <row r="6" spans="1:3" x14ac:dyDescent="0.2">
      <c r="C6" t="s">
        <v>79</v>
      </c>
    </row>
    <row r="7" spans="1:3" x14ac:dyDescent="0.2">
      <c r="C7" t="s">
        <v>80</v>
      </c>
    </row>
    <row r="8" spans="1:3" x14ac:dyDescent="0.2">
      <c r="C8" t="s">
        <v>81</v>
      </c>
    </row>
    <row r="9" spans="1:3" x14ac:dyDescent="0.2">
      <c r="C9" t="s">
        <v>82</v>
      </c>
    </row>
    <row r="10" spans="1:3" x14ac:dyDescent="0.2">
      <c r="C10" t="s">
        <v>83</v>
      </c>
    </row>
    <row r="11" spans="1:3" x14ac:dyDescent="0.2">
      <c r="C11" t="s">
        <v>84</v>
      </c>
    </row>
    <row r="12" spans="1:3" x14ac:dyDescent="0.2">
      <c r="C12" t="s">
        <v>85</v>
      </c>
    </row>
    <row r="13" spans="1:3" x14ac:dyDescent="0.2">
      <c r="C13" t="s">
        <v>88</v>
      </c>
    </row>
    <row r="14" spans="1:3" x14ac:dyDescent="0.2">
      <c r="C14" t="s">
        <v>89</v>
      </c>
    </row>
    <row r="15" spans="1:3" x14ac:dyDescent="0.2">
      <c r="C15" t="s">
        <v>90</v>
      </c>
    </row>
    <row r="16" spans="1:3" x14ac:dyDescent="0.2">
      <c r="C16" t="s">
        <v>91</v>
      </c>
    </row>
    <row r="17" spans="3:3" x14ac:dyDescent="0.2">
      <c r="C17" t="s">
        <v>92</v>
      </c>
    </row>
    <row r="18" spans="3:3" x14ac:dyDescent="0.2">
      <c r="C18" t="s">
        <v>93</v>
      </c>
    </row>
    <row r="19" spans="3:3" x14ac:dyDescent="0.2">
      <c r="C19" t="s">
        <v>94</v>
      </c>
    </row>
    <row r="20" spans="3:3" x14ac:dyDescent="0.2">
      <c r="C20" t="s">
        <v>95</v>
      </c>
    </row>
    <row r="21" spans="3:3" x14ac:dyDescent="0.2">
      <c r="C21" t="s">
        <v>96</v>
      </c>
    </row>
    <row r="22" spans="3:3" x14ac:dyDescent="0.2">
      <c r="C22" t="s">
        <v>97</v>
      </c>
    </row>
    <row r="23" spans="3:3" x14ac:dyDescent="0.2">
      <c r="C23" t="s">
        <v>98</v>
      </c>
    </row>
    <row r="24" spans="3:3" x14ac:dyDescent="0.2">
      <c r="C24" t="s">
        <v>99</v>
      </c>
    </row>
    <row r="25" spans="3:3" x14ac:dyDescent="0.2">
      <c r="C25" t="s">
        <v>100</v>
      </c>
    </row>
    <row r="26" spans="3:3" x14ac:dyDescent="0.2">
      <c r="C26" t="s">
        <v>101</v>
      </c>
    </row>
    <row r="27" spans="3:3" x14ac:dyDescent="0.2">
      <c r="C27" t="s">
        <v>102</v>
      </c>
    </row>
    <row r="28" spans="3:3" x14ac:dyDescent="0.2">
      <c r="C28" t="s">
        <v>103</v>
      </c>
    </row>
    <row r="29" spans="3:3" x14ac:dyDescent="0.2">
      <c r="C29" t="s">
        <v>104</v>
      </c>
    </row>
  </sheetData>
  <hyperlinks>
    <hyperlink ref="A1" location="Main!A1" display="Main" xr:uid="{2724D065-F033-4833-A2DC-365820F9E7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Epidiolex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2022-12-20T01:13:24Z</dcterms:created>
  <dcterms:modified xsi:type="dcterms:W3CDTF">2022-12-20T03:41:38Z</dcterms:modified>
</cp:coreProperties>
</file>