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4F0B0A02-D8B4-42BC-A53A-04490ADBDE0E}" xr6:coauthVersionLast="47" xr6:coauthVersionMax="47" xr10:uidLastSave="{00000000-0000-0000-0000-000000000000}"/>
  <bookViews>
    <workbookView xWindow="8220" yWindow="105" windowWidth="20745" windowHeight="14490" activeTab="1" xr2:uid="{55A27E74-966C-4880-AD63-AC8256DC275C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9" i="2" l="1"/>
  <c r="U39" i="2"/>
  <c r="V23" i="2"/>
  <c r="W25" i="2"/>
  <c r="W23" i="2"/>
  <c r="X33" i="2"/>
  <c r="W33" i="2"/>
  <c r="V21" i="2"/>
  <c r="V18" i="2"/>
  <c r="V22" i="2" s="1"/>
  <c r="V24" i="2" s="1"/>
  <c r="V26" i="2" s="1"/>
  <c r="V27" i="2" s="1"/>
  <c r="W21" i="2"/>
  <c r="W18" i="2"/>
  <c r="W34" i="2" s="1"/>
  <c r="I25" i="2"/>
  <c r="I23" i="2"/>
  <c r="I21" i="2"/>
  <c r="M23" i="2"/>
  <c r="I16" i="2"/>
  <c r="I18" i="2" s="1"/>
  <c r="I34" i="2" s="1"/>
  <c r="M16" i="2"/>
  <c r="M18" i="2" s="1"/>
  <c r="M34" i="2" s="1"/>
  <c r="X39" i="2"/>
  <c r="W39" i="2"/>
  <c r="Y39" i="2"/>
  <c r="Y33" i="2"/>
  <c r="X25" i="2"/>
  <c r="X23" i="2"/>
  <c r="Y25" i="2"/>
  <c r="Y23" i="2"/>
  <c r="Y21" i="2"/>
  <c r="X21" i="2"/>
  <c r="Y18" i="2"/>
  <c r="Y34" i="2" s="1"/>
  <c r="X18" i="2"/>
  <c r="X34" i="2" s="1"/>
  <c r="Z2" i="2"/>
  <c r="AA2" i="2" s="1"/>
  <c r="AB2" i="2" s="1"/>
  <c r="AC2" i="2" s="1"/>
  <c r="AD2" i="2" s="1"/>
  <c r="M5" i="1"/>
  <c r="M6" i="1"/>
  <c r="M4" i="1"/>
  <c r="J23" i="2"/>
  <c r="N23" i="2"/>
  <c r="L18" i="2"/>
  <c r="L34" i="2" s="1"/>
  <c r="K18" i="2"/>
  <c r="K34" i="2" s="1"/>
  <c r="M21" i="2"/>
  <c r="L21" i="2"/>
  <c r="K21" i="2"/>
  <c r="J21" i="2"/>
  <c r="N21" i="2"/>
  <c r="J16" i="2"/>
  <c r="J18" i="2" s="1"/>
  <c r="J34" i="2" s="1"/>
  <c r="N16" i="2"/>
  <c r="N18" i="2" s="1"/>
  <c r="N34" i="2" s="1"/>
  <c r="W22" i="2" l="1"/>
  <c r="W24" i="2" s="1"/>
  <c r="W26" i="2" s="1"/>
  <c r="W27" i="2" s="1"/>
  <c r="V34" i="2"/>
  <c r="M33" i="2"/>
  <c r="I22" i="2"/>
  <c r="I24" i="2" s="1"/>
  <c r="I26" i="2" s="1"/>
  <c r="I27" i="2" s="1"/>
  <c r="M22" i="2"/>
  <c r="M24" i="2" s="1"/>
  <c r="M26" i="2" s="1"/>
  <c r="M27" i="2" s="1"/>
  <c r="AE2" i="2"/>
  <c r="AF2" i="2" s="1"/>
  <c r="AG2" i="2" s="1"/>
  <c r="Y22" i="2"/>
  <c r="Y24" i="2" s="1"/>
  <c r="Y26" i="2" s="1"/>
  <c r="Y27" i="2" s="1"/>
  <c r="X22" i="2"/>
  <c r="X24" i="2" s="1"/>
  <c r="X26" i="2" s="1"/>
  <c r="X27" i="2" s="1"/>
  <c r="N33" i="2"/>
  <c r="K22" i="2"/>
  <c r="K24" i="2" s="1"/>
  <c r="K26" i="2" s="1"/>
  <c r="K27" i="2" s="1"/>
  <c r="L22" i="2"/>
  <c r="L24" i="2" s="1"/>
  <c r="L26" i="2" s="1"/>
  <c r="L27" i="2" s="1"/>
  <c r="M7" i="1"/>
  <c r="N22" i="2"/>
  <c r="N24" i="2" s="1"/>
  <c r="N26" i="2" s="1"/>
  <c r="N27" i="2" s="1"/>
  <c r="J22" i="2"/>
  <c r="J24" i="2" s="1"/>
  <c r="J26" i="2" s="1"/>
  <c r="J27" i="2" s="1"/>
</calcChain>
</file>

<file path=xl/sharedStrings.xml><?xml version="1.0" encoding="utf-8"?>
<sst xmlns="http://schemas.openxmlformats.org/spreadsheetml/2006/main" count="66" uniqueCount="63">
  <si>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</si>
  <si>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</si>
  <si>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</si>
  <si>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</si>
  <si>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</si>
  <si>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</si>
  <si>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</si>
  <si>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</si>
  <si>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</si>
  <si>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FQ120</t>
  </si>
  <si>
    <t>FQ220</t>
  </si>
  <si>
    <t>FQ320</t>
  </si>
  <si>
    <t>FQ420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</si>
  <si>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</si>
  <si>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</si>
  <si>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</si>
  <si>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</si>
  <si>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</si>
  <si>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</si>
  <si>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</si>
  <si>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</si>
  <si>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</si>
  <si>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</si>
  <si>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</si>
  <si>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Cardiac Rhythm</t>
  </si>
  <si>
    <t>Structural Heart</t>
  </si>
  <si>
    <t>Coronary/Peripheral</t>
  </si>
  <si>
    <t>Respiratory</t>
  </si>
  <si>
    <t>Surgical Innovations</t>
  </si>
  <si>
    <t>Diabetes</t>
  </si>
  <si>
    <t>Cranial/Spinal</t>
  </si>
  <si>
    <t>Specialty Therapies</t>
  </si>
  <si>
    <t>Neuromodulation</t>
  </si>
  <si>
    <t>Revenue Growth</t>
  </si>
  <si>
    <t>COGS</t>
  </si>
  <si>
    <t>OpEx</t>
  </si>
  <si>
    <t>OpInc</t>
  </si>
  <si>
    <t>Gross Profit</t>
  </si>
  <si>
    <t>SG&amp;A</t>
  </si>
  <si>
    <t>R&amp;D</t>
  </si>
  <si>
    <t>S/O</t>
  </si>
  <si>
    <t>EPS</t>
  </si>
  <si>
    <t>Net Income</t>
  </si>
  <si>
    <t>Taxes</t>
  </si>
  <si>
    <t>Pretax Income</t>
  </si>
  <si>
    <t>Q122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</si>
  <si>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</si>
  <si>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</si>
  <si>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</si>
  <si>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</si>
  <si>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</si>
  <si>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</si>
  <si>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</si>
  <si>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</si>
  <si>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</si>
  <si>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</si>
  <si>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Interest Income</t>
  </si>
  <si>
    <t>Gross Margin</t>
  </si>
  <si>
    <t>FY20</t>
  </si>
  <si>
    <t>CFFO</t>
  </si>
  <si>
    <t>CapEx</t>
  </si>
  <si>
    <t>FY19</t>
  </si>
  <si>
    <t>FY18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</si>
</sst>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9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76200</xdr:rowOff>
    </xdr:from>
    <xdr:to>
      <xdr:col>14</xdr:col>
      <xdr:colOff>47625</xdr:colOff>
      <xdr:row>50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DB4628-1E88-F735-EF28-4F344D6F5DE0}"/>
            </a:ext>
          </a:extLst>
        </xdr:cNvPr>
        <xdr:cNvCxnSpPr/>
      </xdr:nvCxnSpPr>
      <xdr:spPr>
        <a:xfrm>
          <a:off x="8658225" y="76200"/>
          <a:ext cx="0" cy="6419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0</xdr:row>
      <xdr:rowOff>0</xdr:rowOff>
    </xdr:from>
    <xdr:to>
      <xdr:col>25</xdr:col>
      <xdr:colOff>38100</xdr:colOff>
      <xdr:row>49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2E91BB9-5AEF-47D6-96EF-5502111A23DF}"/>
            </a:ext>
          </a:extLst>
        </xdr:cNvPr>
        <xdr:cNvCxnSpPr/>
      </xdr:nvCxnSpPr>
      <xdr:spPr>
        <a:xfrm>
          <a:off x="13744575" y="0"/>
          <a:ext cx="0" cy="803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5FB1-3F17-4F35-BF1A-82D16AB8E026}">
  <dimension ref="L2:N7"/>
  <sheetViews>
    <sheetView workbookViewId="0">
      <selection activeCell="M2" sqref="M2"/>
    </sheetView>
  </sheetViews>
  <sheetFormatPr defaultRowHeight="12.75" x14ac:dyDescent="0.2"/>
  <sheetData>
    <row r="2" spans="12:14" x14ac:dyDescent="0.2">
      <c r="L2" t="s">
        <v>0</v>
      </c>
      <c r="M2" s="1">
        <v>87.9</v>
      </c>
    </row>
    <row r="3" spans="12:14" x14ac:dyDescent="0.2">
      <c r="L3" t="s">
        <v>1</v>
      </c>
      <c r="M3" s="3">
        <v>1345</v>
      </c>
      <c r="N3" s="2" t="s">
        <v>45</v>
      </c>
    </row>
    <row r="4" spans="12:14" x14ac:dyDescent="0.2">
      <c r="L4" t="s">
        <v>2</v>
      </c>
      <c r="M4" s="3">
        <f>+M2*M3</f>
        <v>118225.50000000001</v>
      </c>
    </row>
    <row r="5" spans="12:14" x14ac:dyDescent="0.2">
      <c r="L5" t="s">
        <v>3</v>
      </c>
      <c r="M5" s="3">
        <f>3714+6859</f>
        <v>10573</v>
      </c>
      <c r="N5" s="2" t="s">
        <v>45</v>
      </c>
    </row>
    <row r="6" spans="12:14" x14ac:dyDescent="0.2">
      <c r="L6" t="s">
        <v>4</v>
      </c>
      <c r="M6" s="3">
        <f>20372+3742</f>
        <v>24114</v>
      </c>
      <c r="N6" s="2" t="s">
        <v>45</v>
      </c>
    </row>
    <row r="7" spans="12:14" x14ac:dyDescent="0.2">
      <c r="L7" t="s">
        <v>5</v>
      </c>
      <c r="M7" s="3">
        <f>+M4-M5+M6</f>
        <v>131766.5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6896-BB08-437B-B7AB-C645F67C99B8}">
  <dimension ref="A1:AH39"/>
  <sheetViews>
    <sheetView tabSelected="1" workbookViewId="0">
      <pane xSplit="2" ySplit="3" topLeftCell="J4" activePane="bottomRight" state="frozen"/>
      <selection pane="topRight" activeCell="C1" sqref="C1"/>
      <selection pane="bottomLeft" activeCell="A3" sqref="A3"/>
      <selection pane="bottomRight" activeCell="V7" sqref="V7"/>
    </sheetView>
  </sheetViews>
  <sheetFormatPr defaultRowHeight="12.75" x14ac:dyDescent="0.2"/>
  <cols>
    <col min="1" max="1" width="5" bestFit="1" customWidth="1"/>
    <col min="2" max="2" width="17.7109375" bestFit="1" customWidth="1"/>
    <col min="3" max="14" width="9.140625" style="2"/>
  </cols>
  <sheetData>
    <row r="1" spans="1:34" x14ac:dyDescent="0.2">
      <c r="A1" s="12" t="s">
        <v>6</v>
      </c>
    </row>
    <row r="2" spans="1:34" s="9" customFormat="1" x14ac:dyDescent="0.2">
      <c r="C2" s="10"/>
      <c r="D2" s="10"/>
      <c r="E2" s="10"/>
      <c r="F2" s="10"/>
      <c r="G2" s="10"/>
      <c r="H2" s="10"/>
      <c r="I2" s="10">
        <v>44225</v>
      </c>
      <c r="J2" s="10">
        <v>44316</v>
      </c>
      <c r="K2" s="10"/>
      <c r="L2" s="10"/>
      <c r="M2" s="10">
        <v>44589</v>
      </c>
      <c r="N2" s="10">
        <v>44680</v>
      </c>
      <c r="V2" s="9">
        <v>43581</v>
      </c>
      <c r="W2" s="9">
        <v>43945</v>
      </c>
      <c r="X2" s="9">
        <v>44315</v>
      </c>
      <c r="Y2" s="9">
        <v>44680</v>
      </c>
      <c r="Z2" s="9">
        <f>+Y2+365</f>
        <v>45045</v>
      </c>
      <c r="AA2" s="9">
        <f>+Z2+366</f>
        <v>45411</v>
      </c>
      <c r="AB2" s="9">
        <f t="shared" ref="AB2:AG2" si="0">+AA2+365</f>
        <v>45776</v>
      </c>
      <c r="AC2" s="9">
        <f t="shared" si="0"/>
        <v>46141</v>
      </c>
      <c r="AD2" s="9">
        <f t="shared" si="0"/>
        <v>46506</v>
      </c>
      <c r="AE2" s="9">
        <f>+AD2+366</f>
        <v>46872</v>
      </c>
      <c r="AF2" s="9">
        <f t="shared" si="0"/>
        <v>47237</v>
      </c>
      <c r="AG2" s="9">
        <f t="shared" si="0"/>
        <v>47602</v>
      </c>
    </row>
    <row r="3" spans="1:34" x14ac:dyDescent="0.2">
      <c r="C3" s="2" t="s">
        <v>9</v>
      </c>
      <c r="D3" s="2" t="s">
        <v>10</v>
      </c>
      <c r="E3" s="2" t="s">
        <v>11</v>
      </c>
      <c r="F3" s="2" t="s">
        <v>12</v>
      </c>
      <c r="G3" s="2" t="s">
        <v>8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U3" s="2" t="s">
        <v>62</v>
      </c>
      <c r="V3" s="2" t="s">
        <v>61</v>
      </c>
      <c r="W3" s="2" t="s">
        <v>58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51</v>
      </c>
      <c r="AD3" s="2" t="s">
        <v>52</v>
      </c>
      <c r="AE3" s="2" t="s">
        <v>53</v>
      </c>
      <c r="AF3" s="2" t="s">
        <v>54</v>
      </c>
      <c r="AG3" s="2" t="s">
        <v>55</v>
      </c>
      <c r="AH3" s="2"/>
    </row>
    <row r="4" spans="1:34" s="3" customFormat="1" x14ac:dyDescent="0.2">
      <c r="B4" s="3" t="s">
        <v>30</v>
      </c>
      <c r="C4" s="4"/>
      <c r="D4" s="4"/>
      <c r="E4" s="4"/>
      <c r="F4" s="4"/>
      <c r="G4" s="4"/>
      <c r="H4" s="4"/>
      <c r="I4" s="4">
        <v>1081</v>
      </c>
      <c r="J4" s="4">
        <v>1192</v>
      </c>
      <c r="K4" s="4"/>
      <c r="L4" s="4"/>
      <c r="M4" s="4">
        <v>1102</v>
      </c>
      <c r="N4" s="4">
        <v>1165</v>
      </c>
      <c r="O4" s="4"/>
      <c r="P4" s="4"/>
      <c r="Q4" s="4"/>
      <c r="R4" s="4"/>
    </row>
    <row r="5" spans="1:34" s="3" customFormat="1" x14ac:dyDescent="0.2">
      <c r="B5" s="3" t="s">
        <v>31</v>
      </c>
      <c r="C5" s="4"/>
      <c r="D5" s="4"/>
      <c r="E5" s="4"/>
      <c r="F5" s="4"/>
      <c r="G5" s="4"/>
      <c r="H5" s="4"/>
      <c r="I5" s="4">
        <v>618</v>
      </c>
      <c r="J5" s="4">
        <v>654</v>
      </c>
      <c r="K5" s="4"/>
      <c r="L5" s="4"/>
      <c r="M5" s="4">
        <v>633</v>
      </c>
      <c r="N5" s="4">
        <v>684</v>
      </c>
      <c r="O5" s="4"/>
      <c r="P5" s="4"/>
      <c r="Q5" s="4"/>
      <c r="R5" s="4"/>
    </row>
    <row r="6" spans="1:34" s="3" customFormat="1" x14ac:dyDescent="0.2">
      <c r="B6" s="3" t="s">
        <v>32</v>
      </c>
      <c r="C6" s="4"/>
      <c r="D6" s="4"/>
      <c r="E6" s="4"/>
      <c r="F6" s="4"/>
      <c r="G6" s="4"/>
      <c r="H6" s="4"/>
      <c r="I6" s="4">
        <v>426</v>
      </c>
      <c r="J6" s="4">
        <v>449</v>
      </c>
      <c r="K6" s="4"/>
      <c r="L6" s="4"/>
      <c r="M6" s="4">
        <v>409</v>
      </c>
      <c r="N6" s="4">
        <v>451</v>
      </c>
      <c r="O6" s="4"/>
      <c r="P6" s="4"/>
      <c r="Q6" s="4"/>
      <c r="R6" s="4"/>
    </row>
    <row r="7" spans="1:34" s="3" customForma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34" s="3" customFormat="1" x14ac:dyDescent="0.2">
      <c r="B8" s="3" t="s">
        <v>29</v>
      </c>
      <c r="C8" s="4"/>
      <c r="D8" s="4"/>
      <c r="E8" s="4"/>
      <c r="F8" s="4"/>
      <c r="G8" s="4"/>
      <c r="H8" s="4"/>
      <c r="I8" s="4">
        <v>630</v>
      </c>
      <c r="J8" s="4">
        <v>647</v>
      </c>
      <c r="K8" s="4"/>
      <c r="L8" s="4"/>
      <c r="M8" s="4">
        <v>584</v>
      </c>
      <c r="N8" s="4">
        <v>597</v>
      </c>
      <c r="O8" s="4"/>
      <c r="P8" s="4"/>
      <c r="Q8" s="4"/>
      <c r="R8" s="4"/>
    </row>
    <row r="9" spans="1:34" s="3" customForma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34" s="3" customFormat="1" x14ac:dyDescent="0.2">
      <c r="B10" s="3" t="s">
        <v>27</v>
      </c>
      <c r="C10" s="4"/>
      <c r="D10" s="4"/>
      <c r="E10" s="4"/>
      <c r="F10" s="4"/>
      <c r="G10" s="4"/>
      <c r="H10" s="4"/>
      <c r="I10" s="4">
        <v>890</v>
      </c>
      <c r="J10" s="4">
        <v>796</v>
      </c>
      <c r="K10" s="4"/>
      <c r="L10" s="4"/>
      <c r="M10" s="4">
        <v>771</v>
      </c>
      <c r="N10" s="4">
        <v>740</v>
      </c>
      <c r="O10" s="4"/>
      <c r="P10" s="4"/>
      <c r="Q10" s="4"/>
      <c r="R10" s="4"/>
    </row>
    <row r="11" spans="1:34" s="3" customFormat="1" x14ac:dyDescent="0.2">
      <c r="B11" s="3" t="s">
        <v>28</v>
      </c>
      <c r="C11" s="4"/>
      <c r="D11" s="4"/>
      <c r="E11" s="4"/>
      <c r="F11" s="4"/>
      <c r="G11" s="4"/>
      <c r="H11" s="4"/>
      <c r="I11" s="4">
        <v>1423</v>
      </c>
      <c r="J11" s="4">
        <v>1542</v>
      </c>
      <c r="K11" s="4"/>
      <c r="L11" s="4"/>
      <c r="M11" s="4">
        <v>1519</v>
      </c>
      <c r="N11" s="4">
        <v>1491</v>
      </c>
      <c r="O11" s="4"/>
      <c r="P11" s="4"/>
      <c r="Q11" s="4"/>
      <c r="R11" s="4"/>
    </row>
    <row r="12" spans="1:34" s="3" customForma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34" s="3" customFormat="1" x14ac:dyDescent="0.2">
      <c r="B13" s="3" t="s">
        <v>26</v>
      </c>
      <c r="C13" s="4"/>
      <c r="D13" s="4"/>
      <c r="E13" s="4"/>
      <c r="F13" s="4"/>
      <c r="G13" s="4"/>
      <c r="H13" s="4"/>
      <c r="I13" s="4">
        <v>605</v>
      </c>
      <c r="J13" s="4">
        <v>624</v>
      </c>
      <c r="K13" s="4"/>
      <c r="L13" s="4"/>
      <c r="M13" s="4">
        <v>603</v>
      </c>
      <c r="N13" s="4">
        <v>631</v>
      </c>
      <c r="O13" s="4"/>
      <c r="P13" s="4"/>
      <c r="Q13" s="4"/>
      <c r="R13" s="4"/>
    </row>
    <row r="14" spans="1:34" s="3" customFormat="1" x14ac:dyDescent="0.2">
      <c r="B14" s="3" t="s">
        <v>25</v>
      </c>
      <c r="C14" s="4"/>
      <c r="D14" s="4"/>
      <c r="E14" s="4"/>
      <c r="F14" s="4"/>
      <c r="G14" s="4"/>
      <c r="H14" s="4"/>
      <c r="I14" s="4">
        <v>730</v>
      </c>
      <c r="J14" s="4">
        <v>744</v>
      </c>
      <c r="K14" s="4"/>
      <c r="L14" s="4"/>
      <c r="M14" s="4">
        <v>740</v>
      </c>
      <c r="N14" s="4">
        <v>778</v>
      </c>
      <c r="O14" s="4"/>
      <c r="P14" s="4"/>
      <c r="Q14" s="4"/>
      <c r="R14" s="4"/>
    </row>
    <row r="15" spans="1:34" s="3" customFormat="1" x14ac:dyDescent="0.2">
      <c r="B15" s="3" t="s">
        <v>24</v>
      </c>
      <c r="C15" s="4"/>
      <c r="D15" s="4"/>
      <c r="E15" s="4"/>
      <c r="F15" s="4"/>
      <c r="G15" s="4"/>
      <c r="H15" s="4"/>
      <c r="I15" s="4">
        <v>1371</v>
      </c>
      <c r="J15" s="4">
        <v>1539</v>
      </c>
      <c r="K15" s="4"/>
      <c r="L15" s="4"/>
      <c r="M15" s="4">
        <v>1402</v>
      </c>
      <c r="N15" s="4">
        <v>1552</v>
      </c>
      <c r="O15" s="4"/>
      <c r="P15" s="4"/>
      <c r="Q15" s="4"/>
      <c r="R15" s="4"/>
    </row>
    <row r="16" spans="1:34" s="5" customFormat="1" x14ac:dyDescent="0.2">
      <c r="B16" s="5" t="s">
        <v>7</v>
      </c>
      <c r="C16" s="6"/>
      <c r="D16" s="6"/>
      <c r="E16" s="6"/>
      <c r="F16" s="6"/>
      <c r="G16" s="6"/>
      <c r="H16" s="6"/>
      <c r="I16" s="6">
        <f>SUM(I4:I15)</f>
        <v>7774</v>
      </c>
      <c r="J16" s="6">
        <f>SUM(J4:J15)</f>
        <v>8187</v>
      </c>
      <c r="K16" s="6"/>
      <c r="L16" s="6"/>
      <c r="M16" s="6">
        <f>SUM(M4:M15)</f>
        <v>7763</v>
      </c>
      <c r="N16" s="6">
        <f>SUM(N4:N15)</f>
        <v>8089</v>
      </c>
      <c r="V16" s="5">
        <v>30557</v>
      </c>
      <c r="W16" s="5">
        <v>28913</v>
      </c>
      <c r="X16" s="5">
        <v>30117</v>
      </c>
      <c r="Y16" s="5">
        <v>31686</v>
      </c>
    </row>
    <row r="17" spans="2:25" s="3" customFormat="1" x14ac:dyDescent="0.2">
      <c r="B17" s="3" t="s">
        <v>34</v>
      </c>
      <c r="C17" s="4"/>
      <c r="D17" s="4"/>
      <c r="E17" s="4"/>
      <c r="F17" s="4"/>
      <c r="G17" s="4"/>
      <c r="H17" s="4"/>
      <c r="I17" s="4">
        <v>2621</v>
      </c>
      <c r="J17" s="4">
        <v>2652</v>
      </c>
      <c r="K17" s="4"/>
      <c r="L17" s="4"/>
      <c r="M17" s="4">
        <v>2459</v>
      </c>
      <c r="N17" s="4">
        <v>2544</v>
      </c>
      <c r="V17" s="3">
        <v>9155</v>
      </c>
      <c r="W17" s="3">
        <v>9424</v>
      </c>
      <c r="X17" s="3">
        <v>10483</v>
      </c>
      <c r="Y17" s="3">
        <v>10145</v>
      </c>
    </row>
    <row r="18" spans="2:25" s="3" customFormat="1" x14ac:dyDescent="0.2">
      <c r="B18" s="3" t="s">
        <v>37</v>
      </c>
      <c r="C18" s="4"/>
      <c r="D18" s="4"/>
      <c r="E18" s="4"/>
      <c r="F18" s="4"/>
      <c r="G18" s="4"/>
      <c r="H18" s="4"/>
      <c r="I18" s="4">
        <f t="shared" ref="I18" si="1">+I16-I17</f>
        <v>5153</v>
      </c>
      <c r="J18" s="4">
        <f t="shared" ref="J18:M18" si="2">+J16-J17</f>
        <v>5535</v>
      </c>
      <c r="K18" s="4">
        <f t="shared" si="2"/>
        <v>0</v>
      </c>
      <c r="L18" s="4">
        <f t="shared" si="2"/>
        <v>0</v>
      </c>
      <c r="M18" s="4">
        <f t="shared" si="2"/>
        <v>5304</v>
      </c>
      <c r="N18" s="4">
        <f>+N16-N17</f>
        <v>5545</v>
      </c>
      <c r="V18" s="3">
        <f t="shared" ref="V18" si="3">+V16-V17</f>
        <v>21402</v>
      </c>
      <c r="W18" s="3">
        <f t="shared" ref="W18" si="4">+W16-W17</f>
        <v>19489</v>
      </c>
      <c r="X18" s="3">
        <f>+X16-X17</f>
        <v>19634</v>
      </c>
      <c r="Y18" s="3">
        <f>+Y16-Y17</f>
        <v>21541</v>
      </c>
    </row>
    <row r="19" spans="2:25" s="3" customFormat="1" x14ac:dyDescent="0.2">
      <c r="B19" s="3" t="s">
        <v>38</v>
      </c>
      <c r="C19" s="4"/>
      <c r="D19" s="4"/>
      <c r="E19" s="4"/>
      <c r="F19" s="4"/>
      <c r="G19" s="4"/>
      <c r="H19" s="4"/>
      <c r="I19" s="4">
        <v>2537</v>
      </c>
      <c r="J19" s="4">
        <v>2594</v>
      </c>
      <c r="K19" s="4"/>
      <c r="L19" s="4"/>
      <c r="M19" s="4">
        <v>2561</v>
      </c>
      <c r="N19" s="4">
        <v>2569</v>
      </c>
      <c r="V19" s="3">
        <v>10418</v>
      </c>
      <c r="W19" s="3">
        <v>10109</v>
      </c>
      <c r="X19" s="3">
        <v>10148</v>
      </c>
      <c r="Y19" s="3">
        <v>10292</v>
      </c>
    </row>
    <row r="20" spans="2:25" s="3" customFormat="1" x14ac:dyDescent="0.2">
      <c r="B20" s="3" t="s">
        <v>39</v>
      </c>
      <c r="C20" s="4"/>
      <c r="D20" s="4"/>
      <c r="E20" s="4"/>
      <c r="F20" s="4"/>
      <c r="G20" s="4"/>
      <c r="H20" s="4"/>
      <c r="I20" s="4">
        <v>601</v>
      </c>
      <c r="J20" s="4">
        <v>632</v>
      </c>
      <c r="K20" s="4"/>
      <c r="L20" s="4"/>
      <c r="M20" s="4">
        <v>668</v>
      </c>
      <c r="N20" s="4">
        <v>652</v>
      </c>
      <c r="V20" s="3">
        <v>2330</v>
      </c>
      <c r="W20" s="3">
        <v>2331</v>
      </c>
      <c r="X20" s="3">
        <v>2493</v>
      </c>
      <c r="Y20" s="3">
        <v>2746</v>
      </c>
    </row>
    <row r="21" spans="2:25" s="3" customFormat="1" x14ac:dyDescent="0.2">
      <c r="B21" s="3" t="s">
        <v>35</v>
      </c>
      <c r="C21" s="4"/>
      <c r="D21" s="4"/>
      <c r="E21" s="4"/>
      <c r="F21" s="4"/>
      <c r="G21" s="4"/>
      <c r="H21" s="4"/>
      <c r="I21" s="4">
        <f t="shared" ref="I21" si="5">+I19+I20</f>
        <v>3138</v>
      </c>
      <c r="J21" s="4">
        <f t="shared" ref="J21:M21" si="6">+J19+J20</f>
        <v>3226</v>
      </c>
      <c r="K21" s="4">
        <f t="shared" si="6"/>
        <v>0</v>
      </c>
      <c r="L21" s="4">
        <f t="shared" si="6"/>
        <v>0</v>
      </c>
      <c r="M21" s="4">
        <f t="shared" si="6"/>
        <v>3229</v>
      </c>
      <c r="N21" s="4">
        <f>+N19+N20</f>
        <v>3221</v>
      </c>
      <c r="V21" s="3">
        <f t="shared" ref="V21" si="7">+V19+V20</f>
        <v>12748</v>
      </c>
      <c r="W21" s="3">
        <f t="shared" ref="W21" si="8">+W19+W20</f>
        <v>12440</v>
      </c>
      <c r="X21" s="3">
        <f>+X19+X20</f>
        <v>12641</v>
      </c>
      <c r="Y21" s="3">
        <f t="shared" ref="Y21" si="9">+Y19+Y20</f>
        <v>13038</v>
      </c>
    </row>
    <row r="22" spans="2:25" s="3" customFormat="1" x14ac:dyDescent="0.2">
      <c r="B22" s="3" t="s">
        <v>36</v>
      </c>
      <c r="C22" s="4"/>
      <c r="D22" s="4"/>
      <c r="E22" s="4"/>
      <c r="F22" s="4"/>
      <c r="G22" s="4"/>
      <c r="H22" s="4"/>
      <c r="I22" s="4">
        <f t="shared" ref="I22" si="10">+I18-I21</f>
        <v>2015</v>
      </c>
      <c r="J22" s="4">
        <f t="shared" ref="J22:M22" si="11">+J18-J21</f>
        <v>2309</v>
      </c>
      <c r="K22" s="4">
        <f t="shared" si="11"/>
        <v>0</v>
      </c>
      <c r="L22" s="4">
        <f t="shared" si="11"/>
        <v>0</v>
      </c>
      <c r="M22" s="4">
        <f t="shared" si="11"/>
        <v>2075</v>
      </c>
      <c r="N22" s="4">
        <f>+N18-N21</f>
        <v>2324</v>
      </c>
      <c r="V22" s="3">
        <f t="shared" ref="V22" si="12">+V18-V21</f>
        <v>8654</v>
      </c>
      <c r="W22" s="3">
        <f t="shared" ref="W22" si="13">+W18-W21</f>
        <v>7049</v>
      </c>
      <c r="X22" s="3">
        <f>+X18-X21</f>
        <v>6993</v>
      </c>
      <c r="Y22" s="3">
        <f t="shared" ref="Y22" si="14">+Y18-Y21</f>
        <v>8503</v>
      </c>
    </row>
    <row r="23" spans="2:25" s="3" customFormat="1" x14ac:dyDescent="0.2">
      <c r="B23" s="3" t="s">
        <v>56</v>
      </c>
      <c r="C23" s="4"/>
      <c r="D23" s="4"/>
      <c r="E23" s="4"/>
      <c r="F23" s="4"/>
      <c r="G23" s="4"/>
      <c r="H23" s="4"/>
      <c r="I23" s="4">
        <f>-82+86-143</f>
        <v>-139</v>
      </c>
      <c r="J23" s="4">
        <f>-198+102-142</f>
        <v>-238</v>
      </c>
      <c r="K23" s="4"/>
      <c r="L23" s="4"/>
      <c r="M23" s="4">
        <f>63+67-137</f>
        <v>-7</v>
      </c>
      <c r="N23" s="4">
        <f>-143+74-143</f>
        <v>-212</v>
      </c>
      <c r="V23" s="3">
        <f>-258+373-1444</f>
        <v>-1329</v>
      </c>
      <c r="W23" s="3">
        <f>356-1092-41</f>
        <v>-777</v>
      </c>
      <c r="X23" s="3">
        <f>-315-336+925</f>
        <v>274</v>
      </c>
      <c r="Y23" s="3">
        <f>-862-318+553</f>
        <v>-627</v>
      </c>
    </row>
    <row r="24" spans="2:25" s="3" customFormat="1" x14ac:dyDescent="0.2">
      <c r="B24" s="3" t="s">
        <v>44</v>
      </c>
      <c r="C24" s="4"/>
      <c r="D24" s="4"/>
      <c r="E24" s="4"/>
      <c r="F24" s="4"/>
      <c r="G24" s="4"/>
      <c r="H24" s="4"/>
      <c r="I24" s="4">
        <f t="shared" ref="I24" si="15">+I22+I23</f>
        <v>1876</v>
      </c>
      <c r="J24" s="4">
        <f t="shared" ref="J24:M24" si="16">+J22+J23</f>
        <v>2071</v>
      </c>
      <c r="K24" s="4">
        <f t="shared" si="16"/>
        <v>0</v>
      </c>
      <c r="L24" s="4">
        <f t="shared" si="16"/>
        <v>0</v>
      </c>
      <c r="M24" s="4">
        <f t="shared" si="16"/>
        <v>2068</v>
      </c>
      <c r="N24" s="4">
        <f>+N22+N23</f>
        <v>2112</v>
      </c>
      <c r="V24" s="3">
        <f t="shared" ref="V24" si="17">+V22+V23</f>
        <v>7325</v>
      </c>
      <c r="W24" s="3">
        <f t="shared" ref="W24" si="18">+W22+W23</f>
        <v>6272</v>
      </c>
      <c r="X24" s="3">
        <f t="shared" ref="X24" si="19">+X22+X23</f>
        <v>7267</v>
      </c>
      <c r="Y24" s="3">
        <f>+Y22+Y23</f>
        <v>7876</v>
      </c>
    </row>
    <row r="25" spans="2:25" s="3" customFormat="1" x14ac:dyDescent="0.2">
      <c r="B25" s="3" t="s">
        <v>43</v>
      </c>
      <c r="C25" s="4"/>
      <c r="D25" s="4"/>
      <c r="E25" s="4"/>
      <c r="F25" s="4"/>
      <c r="G25" s="4"/>
      <c r="H25" s="4"/>
      <c r="I25" s="4">
        <f>-59-9</f>
        <v>-68</v>
      </c>
      <c r="J25" s="4">
        <v>206</v>
      </c>
      <c r="K25" s="4"/>
      <c r="L25" s="4"/>
      <c r="M25" s="4">
        <v>110</v>
      </c>
      <c r="N25" s="4">
        <v>116</v>
      </c>
      <c r="V25" s="3">
        <v>547</v>
      </c>
      <c r="W25" s="3">
        <f>751+17</f>
        <v>768</v>
      </c>
      <c r="X25" s="3">
        <f>265+24</f>
        <v>289</v>
      </c>
      <c r="Y25" s="3">
        <f>456+22</f>
        <v>478</v>
      </c>
    </row>
    <row r="26" spans="2:25" s="3" customFormat="1" x14ac:dyDescent="0.2">
      <c r="B26" s="3" t="s">
        <v>42</v>
      </c>
      <c r="C26" s="4"/>
      <c r="D26" s="4"/>
      <c r="E26" s="4"/>
      <c r="F26" s="4"/>
      <c r="G26" s="4"/>
      <c r="H26" s="4"/>
      <c r="I26" s="4">
        <f t="shared" ref="I26" si="20">+I24-I25</f>
        <v>1944</v>
      </c>
      <c r="J26" s="4">
        <f t="shared" ref="J26:M26" si="21">+J24-J25</f>
        <v>1865</v>
      </c>
      <c r="K26" s="4">
        <f t="shared" si="21"/>
        <v>0</v>
      </c>
      <c r="L26" s="4">
        <f t="shared" si="21"/>
        <v>0</v>
      </c>
      <c r="M26" s="4">
        <f t="shared" si="21"/>
        <v>1958</v>
      </c>
      <c r="N26" s="4">
        <f>+N24-N25</f>
        <v>1996</v>
      </c>
      <c r="V26" s="3">
        <f t="shared" ref="V26" si="22">+V24-V25</f>
        <v>6778</v>
      </c>
      <c r="W26" s="3">
        <f t="shared" ref="W26" si="23">+W24-W25</f>
        <v>5504</v>
      </c>
      <c r="X26" s="3">
        <f t="shared" ref="X26" si="24">+X24-X25</f>
        <v>6978</v>
      </c>
      <c r="Y26" s="3">
        <f>+Y24-Y25</f>
        <v>7398</v>
      </c>
    </row>
    <row r="27" spans="2:25" x14ac:dyDescent="0.2">
      <c r="B27" t="s">
        <v>41</v>
      </c>
      <c r="I27" s="8">
        <f t="shared" ref="I27" si="25">+I26/I28</f>
        <v>1.4336283185840708</v>
      </c>
      <c r="J27" s="8">
        <f t="shared" ref="J27:M27" si="26">+J26/J28</f>
        <v>1.3729387514723204</v>
      </c>
      <c r="K27" s="8" t="e">
        <f t="shared" si="26"/>
        <v>#DIV/0!</v>
      </c>
      <c r="L27" s="8" t="e">
        <f t="shared" si="26"/>
        <v>#DIV/0!</v>
      </c>
      <c r="M27" s="8">
        <f t="shared" si="26"/>
        <v>1.4500481374509369</v>
      </c>
      <c r="N27" s="8">
        <f>+N26/N28</f>
        <v>1.4841252137705405</v>
      </c>
      <c r="V27" s="1">
        <f t="shared" ref="V27" si="27">V26/V28</f>
        <v>4.9930018416206261</v>
      </c>
      <c r="W27" s="1">
        <f t="shared" ref="W27" si="28">W26/W28</f>
        <v>4.0737177114943384</v>
      </c>
      <c r="X27" s="1">
        <f t="shared" ref="X27" si="29">X26/X28</f>
        <v>5.153618906942393</v>
      </c>
      <c r="Y27" s="1">
        <f>Y26/Y28</f>
        <v>5.4743229243747225</v>
      </c>
    </row>
    <row r="28" spans="2:25" s="3" customFormat="1" x14ac:dyDescent="0.2">
      <c r="B28" s="3" t="s">
        <v>40</v>
      </c>
      <c r="C28" s="4"/>
      <c r="D28" s="4"/>
      <c r="E28" s="4"/>
      <c r="F28" s="4"/>
      <c r="G28" s="4"/>
      <c r="H28" s="4"/>
      <c r="I28" s="4">
        <v>1356</v>
      </c>
      <c r="J28" s="4">
        <v>1358.4</v>
      </c>
      <c r="K28" s="4"/>
      <c r="L28" s="4"/>
      <c r="M28" s="4">
        <v>1350.3</v>
      </c>
      <c r="N28" s="4">
        <v>1344.9</v>
      </c>
      <c r="V28" s="3">
        <v>1357.5</v>
      </c>
      <c r="W28" s="3">
        <v>1351.1</v>
      </c>
      <c r="X28" s="3">
        <v>1354</v>
      </c>
      <c r="Y28" s="3">
        <v>1351.4</v>
      </c>
    </row>
    <row r="33" spans="2:25" x14ac:dyDescent="0.2">
      <c r="B33" t="s">
        <v>33</v>
      </c>
      <c r="M33" s="7">
        <f t="shared" ref="M33" si="30">M16/I16-1</f>
        <v>-1.4149729868793148E-3</v>
      </c>
      <c r="N33" s="7">
        <f>N16/J16-1</f>
        <v>-1.1970196653230736E-2</v>
      </c>
      <c r="W33" s="11">
        <f t="shared" ref="W33:Y33" si="31">+W16/V16-1</f>
        <v>-5.380109303923819E-2</v>
      </c>
      <c r="X33" s="11">
        <f t="shared" si="31"/>
        <v>4.1642167882959269E-2</v>
      </c>
      <c r="Y33" s="11">
        <f>+Y16/X16-1</f>
        <v>5.2096822392668551E-2</v>
      </c>
    </row>
    <row r="34" spans="2:25" x14ac:dyDescent="0.2">
      <c r="B34" t="s">
        <v>57</v>
      </c>
      <c r="I34" s="7">
        <f t="shared" ref="I34:M34" si="32">+I18/I16</f>
        <v>0.66285052739902239</v>
      </c>
      <c r="J34" s="7">
        <f t="shared" si="32"/>
        <v>0.67607182117991937</v>
      </c>
      <c r="K34" s="7" t="e">
        <f t="shared" si="32"/>
        <v>#DIV/0!</v>
      </c>
      <c r="L34" s="7" t="e">
        <f t="shared" si="32"/>
        <v>#DIV/0!</v>
      </c>
      <c r="M34" s="7">
        <f t="shared" si="32"/>
        <v>0.68324101507149293</v>
      </c>
      <c r="N34" s="7">
        <f>+N18/N16</f>
        <v>0.68549882556558284</v>
      </c>
      <c r="V34" s="7">
        <f t="shared" ref="V34:Y34" si="33">+V18/V16</f>
        <v>0.70039598128088487</v>
      </c>
      <c r="W34" s="7">
        <f t="shared" si="33"/>
        <v>0.67405665271677095</v>
      </c>
      <c r="X34" s="7">
        <f t="shared" si="33"/>
        <v>0.6519241624331773</v>
      </c>
      <c r="Y34" s="7">
        <f t="shared" si="33"/>
        <v>0.67982705295714196</v>
      </c>
    </row>
    <row r="37" spans="2:25" s="3" customFormat="1" x14ac:dyDescent="0.2">
      <c r="B37" s="3" t="s">
        <v>59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U37" s="3">
        <v>4684</v>
      </c>
      <c r="V37" s="3">
        <v>7007</v>
      </c>
      <c r="W37" s="3">
        <v>7234</v>
      </c>
      <c r="X37" s="3">
        <v>6240</v>
      </c>
      <c r="Y37" s="3">
        <v>7346</v>
      </c>
    </row>
    <row r="38" spans="2:25" x14ac:dyDescent="0.2">
      <c r="B38" t="s">
        <v>60</v>
      </c>
      <c r="U38" s="3">
        <v>1068</v>
      </c>
      <c r="V38" s="3">
        <v>1134</v>
      </c>
      <c r="W38" s="3">
        <v>1213</v>
      </c>
      <c r="X38" s="3">
        <v>1355</v>
      </c>
      <c r="Y38" s="3">
        <v>1368</v>
      </c>
    </row>
    <row r="39" spans="2:25" x14ac:dyDescent="0.2">
      <c r="B39" t="s">
        <v>59</v>
      </c>
      <c r="U39" s="3">
        <f t="shared" ref="U39" si="34">+U37-U38</f>
        <v>3616</v>
      </c>
      <c r="V39" s="3">
        <f t="shared" ref="V39" si="35">+V37-V38</f>
        <v>5873</v>
      </c>
      <c r="W39" s="3">
        <f t="shared" ref="W39:X39" si="36">+W37-W38</f>
        <v>6021</v>
      </c>
      <c r="X39" s="3">
        <f t="shared" si="36"/>
        <v>4885</v>
      </c>
      <c r="Y39" s="3">
        <f>+Y37-Y38</f>
        <v>5978</v>
      </c>
    </row>
  </sheetData>
  <phoneticPr fontId="2" type="noConversion"/>
  <hyperlinks>
    <hyperlink ref="A1" location="Main!A1" display="Main" xr:uid="{90480B88-3CC0-44D2-A4AE-B92D3A2B01C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2022-07-19T12:40:47Z</dcterms:created>
  <dcterms:modified xsi:type="dcterms:W3CDTF">2022-07-19T13:19:49Z</dcterms:modified>
</cp:coreProperties>
</file>