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353FAB0B-0F34-480C-AC0F-00E3C6BFF327}" xr6:coauthVersionLast="47" xr6:coauthVersionMax="47" xr10:uidLastSave="{00000000-0000-0000-0000-000000000000}"/>
  <bookViews>
    <workbookView xWindow="5925" yWindow="360" windowWidth="33330" windowHeight="20340" activeTab="1" xr2:uid="{409249CC-86EB-47D2-8A0E-5D085FBE782F}"/>
  </bookViews>
  <sheets>
    <sheet name="Main" sheetId="1" r:id="rId1"/>
    <sheet name="Model" sheetId="2" r:id="rId2"/>
    <sheet name="Ingrezza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2" i="2" l="1"/>
  <c r="M25" i="2"/>
  <c r="AL6" i="2"/>
  <c r="AK6" i="2"/>
  <c r="AJ6" i="2"/>
  <c r="AI6" i="2"/>
  <c r="AH6" i="2"/>
  <c r="AG6" i="2"/>
  <c r="AA5" i="2"/>
  <c r="AB5" i="2"/>
  <c r="W2" i="2"/>
  <c r="X2" i="2" s="1"/>
  <c r="Y2" i="2" s="1"/>
  <c r="Z2" i="2" s="1"/>
  <c r="AA2" i="2" s="1"/>
  <c r="AB2" i="2" s="1"/>
  <c r="AC2" i="2" s="1"/>
  <c r="AD2" i="2" s="1"/>
  <c r="AE2" i="2" s="1"/>
  <c r="AF2" i="2" s="1"/>
  <c r="AG2" i="2" s="1"/>
  <c r="AH2" i="2" s="1"/>
  <c r="AI2" i="2" s="1"/>
  <c r="AJ2" i="2" s="1"/>
  <c r="AK2" i="2" s="1"/>
  <c r="AL2" i="2" s="1"/>
  <c r="AM2" i="2" s="1"/>
  <c r="AN2" i="2" s="1"/>
  <c r="AO2" i="2" s="1"/>
  <c r="AP2" i="2" s="1"/>
  <c r="AQ2" i="2" s="1"/>
  <c r="AR2" i="2" s="1"/>
  <c r="AS2" i="2" s="1"/>
  <c r="AT2" i="2" s="1"/>
  <c r="AU2" i="2" s="1"/>
  <c r="O11" i="2"/>
  <c r="O12" i="2" s="1"/>
  <c r="O14" i="2"/>
  <c r="AC14" i="2" s="1"/>
  <c r="O19" i="2"/>
  <c r="AC19" i="2" s="1"/>
  <c r="AD19" i="2" s="1"/>
  <c r="AE19" i="2" s="1"/>
  <c r="AF19" i="2" s="1"/>
  <c r="O6" i="2"/>
  <c r="O5" i="2"/>
  <c r="AC5" i="2" s="1"/>
  <c r="N21" i="2"/>
  <c r="N7" i="2"/>
  <c r="N9" i="2" s="1"/>
  <c r="C12" i="2"/>
  <c r="C7" i="2"/>
  <c r="C9" i="2" s="1"/>
  <c r="H21" i="2"/>
  <c r="D12" i="2"/>
  <c r="D7" i="2"/>
  <c r="D9" i="2" s="1"/>
  <c r="M21" i="2"/>
  <c r="L21" i="2"/>
  <c r="K21" i="2"/>
  <c r="J21" i="2"/>
  <c r="I21" i="2"/>
  <c r="E12" i="2"/>
  <c r="E7" i="2"/>
  <c r="E9" i="2" s="1"/>
  <c r="F12" i="2"/>
  <c r="F7" i="2"/>
  <c r="F9" i="2" s="1"/>
  <c r="F23" i="2" s="1"/>
  <c r="J12" i="2"/>
  <c r="J7" i="2"/>
  <c r="J9" i="2" s="1"/>
  <c r="J13" i="2" s="1"/>
  <c r="J15" i="2" s="1"/>
  <c r="J17" i="2" s="1"/>
  <c r="J18" i="2" s="1"/>
  <c r="G12" i="2"/>
  <c r="G7" i="2"/>
  <c r="G9" i="2" s="1"/>
  <c r="K12" i="2"/>
  <c r="K7" i="2"/>
  <c r="K9" i="2" s="1"/>
  <c r="K13" i="2" s="1"/>
  <c r="K15" i="2" s="1"/>
  <c r="K17" i="2" s="1"/>
  <c r="K18" i="2" s="1"/>
  <c r="H7" i="2"/>
  <c r="H12" i="2"/>
  <c r="H9" i="2"/>
  <c r="H23" i="2" s="1"/>
  <c r="L12" i="2"/>
  <c r="L7" i="2"/>
  <c r="L9" i="2" s="1"/>
  <c r="L23" i="2" s="1"/>
  <c r="I12" i="2"/>
  <c r="M12" i="2"/>
  <c r="M7" i="2"/>
  <c r="M9" i="2" s="1"/>
  <c r="I7" i="2"/>
  <c r="I9" i="2" s="1"/>
  <c r="I23" i="2" s="1"/>
  <c r="L7" i="1"/>
  <c r="L5" i="1"/>
  <c r="L4" i="1"/>
  <c r="N13" i="2" l="1"/>
  <c r="O7" i="2"/>
  <c r="O9" i="2" s="1"/>
  <c r="AB21" i="2"/>
  <c r="K23" i="2"/>
  <c r="AD5" i="2"/>
  <c r="AC21" i="2"/>
  <c r="O21" i="2"/>
  <c r="G13" i="2"/>
  <c r="G15" i="2" s="1"/>
  <c r="G17" i="2" s="1"/>
  <c r="G18" i="2" s="1"/>
  <c r="AC11" i="2"/>
  <c r="AF6" i="2"/>
  <c r="AE6" i="2"/>
  <c r="AD6" i="2"/>
  <c r="O8" i="2"/>
  <c r="O13" i="2"/>
  <c r="AC6" i="2"/>
  <c r="AC7" i="2" s="1"/>
  <c r="AD7" i="2"/>
  <c r="AC8" i="2"/>
  <c r="AD21" i="2"/>
  <c r="AD8" i="2"/>
  <c r="AD9" i="2" s="1"/>
  <c r="AE5" i="2"/>
  <c r="AG19" i="2"/>
  <c r="O23" i="2"/>
  <c r="C23" i="2"/>
  <c r="C13" i="2"/>
  <c r="C15" i="2" s="1"/>
  <c r="C17" i="2" s="1"/>
  <c r="C18" i="2" s="1"/>
  <c r="M23" i="2"/>
  <c r="M13" i="2"/>
  <c r="M15" i="2" s="1"/>
  <c r="M17" i="2" s="1"/>
  <c r="M18" i="2" s="1"/>
  <c r="I13" i="2"/>
  <c r="I15" i="2" s="1"/>
  <c r="I17" i="2" s="1"/>
  <c r="I18" i="2" s="1"/>
  <c r="J23" i="2"/>
  <c r="G23" i="2"/>
  <c r="D23" i="2"/>
  <c r="D13" i="2"/>
  <c r="D15" i="2" s="1"/>
  <c r="D17" i="2" s="1"/>
  <c r="D18" i="2" s="1"/>
  <c r="E23" i="2"/>
  <c r="E13" i="2"/>
  <c r="E15" i="2" s="1"/>
  <c r="E17" i="2" s="1"/>
  <c r="E18" i="2" s="1"/>
  <c r="F13" i="2"/>
  <c r="F15" i="2" s="1"/>
  <c r="F17" i="2" s="1"/>
  <c r="F18" i="2" s="1"/>
  <c r="H13" i="2"/>
  <c r="H15" i="2" s="1"/>
  <c r="H17" i="2" s="1"/>
  <c r="H18" i="2" s="1"/>
  <c r="L13" i="2"/>
  <c r="L15" i="2" s="1"/>
  <c r="L17" i="2" s="1"/>
  <c r="L18" i="2" s="1"/>
  <c r="AC9" i="2" l="1"/>
  <c r="AC12" i="2"/>
  <c r="AD11" i="2"/>
  <c r="AC23" i="2"/>
  <c r="AC13" i="2"/>
  <c r="AC15" i="2" s="1"/>
  <c r="AC16" i="2" s="1"/>
  <c r="AC17" i="2" s="1"/>
  <c r="AC18" i="2" s="1"/>
  <c r="N23" i="2"/>
  <c r="AD23" i="2"/>
  <c r="AE7" i="2"/>
  <c r="AF5" i="2"/>
  <c r="AE21" i="2"/>
  <c r="AH19" i="2"/>
  <c r="AE11" i="2" l="1"/>
  <c r="AD12" i="2"/>
  <c r="AD13" i="2" s="1"/>
  <c r="AG5" i="2"/>
  <c r="AF21" i="2"/>
  <c r="AF7" i="2"/>
  <c r="AE8" i="2"/>
  <c r="AE9" i="2" s="1"/>
  <c r="AI19" i="2"/>
  <c r="AE12" i="2" l="1"/>
  <c r="AE13" i="2" s="1"/>
  <c r="AF11" i="2"/>
  <c r="AE23" i="2"/>
  <c r="AF8" i="2"/>
  <c r="AF9" i="2" s="1"/>
  <c r="AH5" i="2"/>
  <c r="AG21" i="2"/>
  <c r="AG7" i="2"/>
  <c r="AG8" i="2" s="1"/>
  <c r="AG9" i="2" s="1"/>
  <c r="AJ19" i="2"/>
  <c r="AF12" i="2" l="1"/>
  <c r="AF13" i="2" s="1"/>
  <c r="AG11" i="2"/>
  <c r="AF23" i="2"/>
  <c r="AG23" i="2"/>
  <c r="AH7" i="2"/>
  <c r="AH8" i="2" s="1"/>
  <c r="AH9" i="2" s="1"/>
  <c r="AH21" i="2"/>
  <c r="AI5" i="2"/>
  <c r="AK19" i="2"/>
  <c r="AH11" i="2" l="1"/>
  <c r="AG12" i="2"/>
  <c r="AG13" i="2" s="1"/>
  <c r="AJ5" i="2"/>
  <c r="AI21" i="2"/>
  <c r="AI7" i="2"/>
  <c r="AI8" i="2" s="1"/>
  <c r="AI9" i="2" s="1"/>
  <c r="AH23" i="2"/>
  <c r="AL19" i="2"/>
  <c r="AH12" i="2" l="1"/>
  <c r="AH13" i="2" s="1"/>
  <c r="AI11" i="2"/>
  <c r="AI23" i="2"/>
  <c r="AK5" i="2"/>
  <c r="AJ7" i="2"/>
  <c r="AJ8" i="2" s="1"/>
  <c r="AJ9" i="2" s="1"/>
  <c r="AJ21" i="2"/>
  <c r="AI12" i="2" l="1"/>
  <c r="AI13" i="2" s="1"/>
  <c r="AJ11" i="2"/>
  <c r="AJ23" i="2"/>
  <c r="AL5" i="2"/>
  <c r="AK21" i="2"/>
  <c r="AK7" i="2"/>
  <c r="AK8" i="2" s="1"/>
  <c r="AK9" i="2" s="1"/>
  <c r="AJ12" i="2" l="1"/>
  <c r="AJ13" i="2" s="1"/>
  <c r="AK11" i="2"/>
  <c r="AK23" i="2"/>
  <c r="AL21" i="2"/>
  <c r="AL7" i="2"/>
  <c r="AL8" i="2" s="1"/>
  <c r="AL9" i="2" s="1"/>
  <c r="AL11" i="2" l="1"/>
  <c r="AL12" i="2" s="1"/>
  <c r="AK12" i="2"/>
  <c r="AK13" i="2" s="1"/>
  <c r="AL13" i="2"/>
  <c r="AL23" i="2"/>
  <c r="N15" i="2" l="1"/>
  <c r="N17" i="2" s="1"/>
  <c r="O15" i="2"/>
  <c r="O16" i="2" s="1"/>
  <c r="N18" i="2" l="1"/>
  <c r="O17" i="2"/>
  <c r="O18" i="2" s="1"/>
  <c r="AC25" i="2" l="1"/>
  <c r="AD14" i="2" s="1"/>
  <c r="AD15" i="2" s="1"/>
  <c r="AD16" i="2" s="1"/>
  <c r="AD17" i="2" s="1"/>
  <c r="AD25" i="2" s="1"/>
  <c r="AE14" i="2" l="1"/>
  <c r="AE15" i="2" s="1"/>
  <c r="AE16" i="2" s="1"/>
  <c r="AE17" i="2" s="1"/>
  <c r="AE18" i="2" s="1"/>
  <c r="AD18" i="2"/>
  <c r="AE25" i="2" l="1"/>
  <c r="AF14" i="2" s="1"/>
  <c r="AF15" i="2" s="1"/>
  <c r="AF16" i="2" s="1"/>
  <c r="AF17" i="2" s="1"/>
  <c r="AF25" i="2" s="1"/>
  <c r="AG14" i="2" l="1"/>
  <c r="AG15" i="2" s="1"/>
  <c r="AF18" i="2"/>
  <c r="AG16" i="2" l="1"/>
  <c r="AG17" i="2" s="1"/>
  <c r="AG18" i="2" l="1"/>
  <c r="AG25" i="2"/>
  <c r="AH14" i="2" l="1"/>
  <c r="AH15" i="2" s="1"/>
  <c r="AH16" i="2" l="1"/>
  <c r="AH17" i="2"/>
  <c r="AH18" i="2" l="1"/>
  <c r="AH25" i="2"/>
  <c r="AI14" i="2" l="1"/>
  <c r="AI15" i="2" s="1"/>
  <c r="AI16" i="2" l="1"/>
  <c r="AI17" i="2" s="1"/>
  <c r="AI18" i="2" l="1"/>
  <c r="AI25" i="2"/>
  <c r="AJ14" i="2" l="1"/>
  <c r="AJ15" i="2" s="1"/>
  <c r="AJ16" i="2" s="1"/>
  <c r="AJ17" i="2" s="1"/>
  <c r="AJ18" i="2" s="1"/>
  <c r="AJ25" i="2" l="1"/>
  <c r="AK14" i="2" l="1"/>
  <c r="AK15" i="2" s="1"/>
  <c r="AK16" i="2" s="1"/>
  <c r="AK17" i="2" s="1"/>
  <c r="AK18" i="2" s="1"/>
  <c r="AK25" i="2"/>
  <c r="AL14" i="2" l="1"/>
  <c r="AL15" i="2" s="1"/>
  <c r="AL16" i="2" s="1"/>
  <c r="AL17" i="2" s="1"/>
  <c r="AL25" i="2" s="1"/>
  <c r="AL18" i="2" l="1"/>
  <c r="AS24" i="2"/>
  <c r="AS25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tc={3069B2B6-6AE1-4411-A9B6-C363B5550C85}</author>
  </authors>
  <commentList>
    <comment ref="AC4" authorId="0" shapeId="0" xr:uid="{3069B2B6-6AE1-4411-A9B6-C363B5550C85}">
      <text>
        <t>[Threaded comment]
Your version of Excel allows you to read this threaded comment; however, any edits to it will get removed if the file is opened in a newer version of Excel. Learn more: https://go.microsoft.com/fwlink/?linkid=870924
Comment:
    Q3 guidance: 1400-1425</t>
      </text>
    </comment>
  </commentList>
</comments>
</file>

<file path=xl/sharedStrings.xml><?xml version="1.0" encoding="utf-8"?>
<sst xmlns="http://schemas.openxmlformats.org/spreadsheetml/2006/main" count="111" uniqueCount="93">
  <si>
    <t>Price</t>
  </si>
  <si>
    <t>Shares</t>
  </si>
  <si>
    <t>MC</t>
  </si>
  <si>
    <t>Cash</t>
  </si>
  <si>
    <t>Debt</t>
  </si>
  <si>
    <t>EV</t>
  </si>
  <si>
    <t>Q222</t>
  </si>
  <si>
    <t>Main</t>
  </si>
  <si>
    <t>Revenue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</si>
  <si>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</si>
  <si>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</si>
  <si>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</si>
  <si>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</si>
  <si>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</si>
  <si>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</si>
  <si>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</si>
  <si>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</si>
  <si>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</si>
  <si>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Q322</t>
  </si>
  <si>
    <t>Q422</t>
  </si>
  <si>
    <t>Product</t>
  </si>
  <si>
    <t>Collab</t>
  </si>
  <si>
    <t>Brand</t>
  </si>
  <si>
    <t>Ingrezza (valbenazine)</t>
  </si>
  <si>
    <t>Indication</t>
  </si>
  <si>
    <t>TD</t>
  </si>
  <si>
    <t>Ongentys (opicapone)</t>
  </si>
  <si>
    <t>Parkinson's</t>
  </si>
  <si>
    <t>Ingrezza</t>
  </si>
  <si>
    <t>CEO</t>
  </si>
  <si>
    <t>Kevin Gorman</t>
  </si>
  <si>
    <t>Ingrezza Rx</t>
  </si>
  <si>
    <t>IP</t>
  </si>
  <si>
    <t>Economics</t>
  </si>
  <si>
    <t>Mitsubishi Tanabe in Japan</t>
  </si>
  <si>
    <t>NBI-1117568</t>
  </si>
  <si>
    <t>Schizophrenia</t>
  </si>
  <si>
    <t>MOA</t>
  </si>
  <si>
    <t>VMAT2</t>
  </si>
  <si>
    <t>COGS</t>
  </si>
  <si>
    <t>Gross Profit</t>
  </si>
  <si>
    <t>OpEx</t>
  </si>
  <si>
    <t>OpInc</t>
  </si>
  <si>
    <t>R&amp;D</t>
  </si>
  <si>
    <t>SG&amp;A</t>
  </si>
  <si>
    <t>Interest</t>
  </si>
  <si>
    <t>Pretax</t>
  </si>
  <si>
    <t>Taxes</t>
  </si>
  <si>
    <t>Net Income</t>
  </si>
  <si>
    <t>EPS</t>
  </si>
  <si>
    <t>NBI-827104</t>
  </si>
  <si>
    <t>IDIA</t>
  </si>
  <si>
    <t>Epilepsy</t>
  </si>
  <si>
    <t>T-type Ca channel blocker</t>
  </si>
  <si>
    <t>M4 agonist</t>
  </si>
  <si>
    <t>Sosei</t>
  </si>
  <si>
    <t>NBI-1070770</t>
  </si>
  <si>
    <t>Psychiatric</t>
  </si>
  <si>
    <t>crinecerfont</t>
  </si>
  <si>
    <t>CRF1 antagonist</t>
  </si>
  <si>
    <t>CAH</t>
  </si>
  <si>
    <t>Approved</t>
  </si>
  <si>
    <t>Phase</t>
  </si>
  <si>
    <t>I</t>
  </si>
  <si>
    <t>III</t>
  </si>
  <si>
    <t>II</t>
  </si>
  <si>
    <t>NBI-1065846</t>
  </si>
  <si>
    <t>GPR139 agonist</t>
  </si>
  <si>
    <t>MDD</t>
  </si>
  <si>
    <t>NBI-1065845</t>
  </si>
  <si>
    <t>AMPA</t>
  </si>
  <si>
    <t>TAK</t>
  </si>
  <si>
    <t>NBI-921352</t>
  </si>
  <si>
    <t>Nav1.6</t>
  </si>
  <si>
    <t>XENE</t>
  </si>
  <si>
    <t>Ingrezza y/y</t>
  </si>
  <si>
    <t>Gross Margin</t>
  </si>
  <si>
    <t>Q419</t>
  </si>
  <si>
    <t>Generic</t>
  </si>
  <si>
    <t>valbenazine</t>
  </si>
  <si>
    <t>Tardive Dyskinesia</t>
  </si>
  <si>
    <t>VMAT2 inhibitor</t>
  </si>
  <si>
    <t>8357697 - MOU for hyperkinetic disorder - expires 11/08/2027</t>
  </si>
  <si>
    <t>NPV</t>
  </si>
  <si>
    <t>Discount</t>
  </si>
  <si>
    <t>Share</t>
  </si>
  <si>
    <t>ROIC</t>
  </si>
  <si>
    <t>8038627 - COM - expires 2031 (adjusted for H-W)</t>
  </si>
  <si>
    <t>12/6/22: NBI-827104 "STEAMBOAT" study fails</t>
  </si>
  <si>
    <t>Q123</t>
  </si>
  <si>
    <t>Q223</t>
  </si>
  <si>
    <t>Q323</t>
  </si>
  <si>
    <t>Q423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</si>
</sst>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1">
    <xf numFmtId="0" fontId="0" fillId="0" borderId="0" xfId="0"/>
    <xf numFmtId="4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/>
    <xf numFmtId="4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9" fontId="0" fillId="0" borderId="0" xfId="0" applyNumberFormat="1" applyAlignment="1">
      <alignment horizontal="right"/>
    </xf>
    <xf numFmtId="9" fontId="0" fillId="0" borderId="0" xfId="0" applyNumberFormat="1"/>
    <xf numFmtId="0" fontId="2" fillId="0" borderId="0" xfId="1"/>
    <xf numFmtId="0" fontId="2" fillId="0" borderId="1" xfId="1" applyBorder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15040</xdr:colOff>
      <xdr:row>0</xdr:row>
      <xdr:rowOff>0</xdr:rowOff>
    </xdr:from>
    <xdr:to>
      <xdr:col>14</xdr:col>
      <xdr:colOff>15040</xdr:colOff>
      <xdr:row>34</xdr:row>
      <xdr:rowOff>140368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23A3322E-D197-A03F-2D9F-49C281DED272}"/>
            </a:ext>
          </a:extLst>
        </xdr:cNvPr>
        <xdr:cNvCxnSpPr/>
      </xdr:nvCxnSpPr>
      <xdr:spPr>
        <a:xfrm>
          <a:off x="8567487" y="0"/>
          <a:ext cx="0" cy="559468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55145</xdr:colOff>
      <xdr:row>0</xdr:row>
      <xdr:rowOff>0</xdr:rowOff>
    </xdr:from>
    <xdr:to>
      <xdr:col>28</xdr:col>
      <xdr:colOff>55145</xdr:colOff>
      <xdr:row>34</xdr:row>
      <xdr:rowOff>140368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3D7B373B-A381-4163-A44A-2D59B1DF6CAC}"/>
            </a:ext>
          </a:extLst>
        </xdr:cNvPr>
        <xdr:cNvCxnSpPr/>
      </xdr:nvCxnSpPr>
      <xdr:spPr>
        <a:xfrm>
          <a:off x="14723645" y="0"/>
          <a:ext cx="0" cy="559468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45E69EB5-F007-4D3F-81A1-66A29F1E36ED}" userId="9ffda80931a57275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C4" dT="2023-01-04T02:46:47.21" personId="{45E69EB5-F007-4D3F-81A1-66A29F1E36ED}" id="{3069B2B6-6AE1-4411-A9B6-C363B5550C85}">
    <text>Q3 guidance: 1400-1425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2A1F6-F911-40A6-8644-267FAD055F12}">
  <dimension ref="B2:M15"/>
  <sheetViews>
    <sheetView zoomScale="175" zoomScaleNormal="175" workbookViewId="0">
      <selection activeCell="F16" sqref="F16"/>
    </sheetView>
  </sheetViews>
  <sheetFormatPr defaultRowHeight="12.75" x14ac:dyDescent="0.2"/>
  <cols>
    <col min="1" max="1" width="4.7109375" customWidth="1"/>
    <col min="2" max="2" width="20.5703125" customWidth="1"/>
    <col min="3" max="3" width="13.28515625" customWidth="1"/>
    <col min="4" max="4" width="15.28515625" customWidth="1"/>
    <col min="6" max="6" width="12.7109375" customWidth="1"/>
  </cols>
  <sheetData>
    <row r="2" spans="2:13" x14ac:dyDescent="0.2">
      <c r="B2" s="13" t="s">
        <v>22</v>
      </c>
      <c r="C2" s="14" t="s">
        <v>24</v>
      </c>
      <c r="D2" s="14" t="s">
        <v>37</v>
      </c>
      <c r="E2" s="14" t="s">
        <v>61</v>
      </c>
      <c r="F2" s="14" t="s">
        <v>33</v>
      </c>
      <c r="G2" s="15" t="s">
        <v>32</v>
      </c>
      <c r="K2" t="s">
        <v>0</v>
      </c>
      <c r="L2" s="1">
        <v>109.54</v>
      </c>
    </row>
    <row r="3" spans="2:13" x14ac:dyDescent="0.2">
      <c r="B3" s="19" t="s">
        <v>23</v>
      </c>
      <c r="C3" t="s">
        <v>25</v>
      </c>
      <c r="D3" t="s">
        <v>38</v>
      </c>
      <c r="E3" s="20">
        <v>42836</v>
      </c>
      <c r="F3" t="s">
        <v>34</v>
      </c>
      <c r="G3" s="9"/>
      <c r="K3" t="s">
        <v>1</v>
      </c>
      <c r="L3" s="3">
        <v>95.639320999999995</v>
      </c>
      <c r="M3" s="2" t="s">
        <v>6</v>
      </c>
    </row>
    <row r="4" spans="2:13" x14ac:dyDescent="0.2">
      <c r="B4" s="8" t="s">
        <v>26</v>
      </c>
      <c r="C4" t="s">
        <v>27</v>
      </c>
      <c r="G4" s="9"/>
      <c r="K4" t="s">
        <v>2</v>
      </c>
      <c r="L4" s="3">
        <f>+L2*L3</f>
        <v>10476.331222340001</v>
      </c>
    </row>
    <row r="5" spans="2:13" x14ac:dyDescent="0.2">
      <c r="B5" s="13"/>
      <c r="C5" s="14"/>
      <c r="D5" s="14"/>
      <c r="E5" s="14" t="s">
        <v>62</v>
      </c>
      <c r="F5" s="14"/>
      <c r="G5" s="15"/>
      <c r="K5" t="s">
        <v>3</v>
      </c>
      <c r="L5" s="3">
        <f>163.3+485+405.2+83.8</f>
        <v>1137.3</v>
      </c>
      <c r="M5" s="2" t="s">
        <v>6</v>
      </c>
    </row>
    <row r="6" spans="2:13" x14ac:dyDescent="0.2">
      <c r="B6" s="8" t="s">
        <v>35</v>
      </c>
      <c r="C6" t="s">
        <v>36</v>
      </c>
      <c r="D6" t="s">
        <v>54</v>
      </c>
      <c r="E6" t="s">
        <v>63</v>
      </c>
      <c r="F6" t="s">
        <v>55</v>
      </c>
      <c r="G6" s="9"/>
      <c r="K6" t="s">
        <v>4</v>
      </c>
      <c r="L6" s="3">
        <v>169</v>
      </c>
      <c r="M6" s="2" t="s">
        <v>6</v>
      </c>
    </row>
    <row r="7" spans="2:13" x14ac:dyDescent="0.2">
      <c r="B7" s="8" t="s">
        <v>50</v>
      </c>
      <c r="C7" t="s">
        <v>52</v>
      </c>
      <c r="D7" t="s">
        <v>53</v>
      </c>
      <c r="E7" t="s">
        <v>65</v>
      </c>
      <c r="F7" t="s">
        <v>51</v>
      </c>
      <c r="G7" s="9"/>
      <c r="K7" t="s">
        <v>5</v>
      </c>
      <c r="L7" s="3">
        <f>+L4-L5+L6</f>
        <v>9508.0312223400015</v>
      </c>
    </row>
    <row r="8" spans="2:13" x14ac:dyDescent="0.2">
      <c r="B8" s="8" t="s">
        <v>56</v>
      </c>
      <c r="C8" t="s">
        <v>57</v>
      </c>
      <c r="E8" t="s">
        <v>63</v>
      </c>
      <c r="G8" s="9"/>
    </row>
    <row r="9" spans="2:13" x14ac:dyDescent="0.2">
      <c r="B9" s="8" t="s">
        <v>58</v>
      </c>
      <c r="C9" t="s">
        <v>60</v>
      </c>
      <c r="D9" t="s">
        <v>59</v>
      </c>
      <c r="E9" t="s">
        <v>64</v>
      </c>
      <c r="G9" s="9"/>
      <c r="K9" t="s">
        <v>29</v>
      </c>
      <c r="L9" t="s">
        <v>30</v>
      </c>
    </row>
    <row r="10" spans="2:13" x14ac:dyDescent="0.2">
      <c r="B10" s="8" t="s">
        <v>66</v>
      </c>
      <c r="C10" t="s">
        <v>68</v>
      </c>
      <c r="D10" t="s">
        <v>67</v>
      </c>
      <c r="E10" t="s">
        <v>65</v>
      </c>
      <c r="F10" t="s">
        <v>71</v>
      </c>
      <c r="G10" s="9"/>
    </row>
    <row r="11" spans="2:13" x14ac:dyDescent="0.2">
      <c r="B11" s="8" t="s">
        <v>69</v>
      </c>
      <c r="C11" t="s">
        <v>68</v>
      </c>
      <c r="D11" t="s">
        <v>70</v>
      </c>
      <c r="E11" t="s">
        <v>65</v>
      </c>
      <c r="F11" t="s">
        <v>71</v>
      </c>
      <c r="G11" s="9"/>
    </row>
    <row r="12" spans="2:13" x14ac:dyDescent="0.2">
      <c r="B12" s="10" t="s">
        <v>72</v>
      </c>
      <c r="C12" s="11" t="s">
        <v>52</v>
      </c>
      <c r="D12" s="11" t="s">
        <v>73</v>
      </c>
      <c r="E12" s="11" t="s">
        <v>65</v>
      </c>
      <c r="F12" s="11" t="s">
        <v>74</v>
      </c>
      <c r="G12" s="12"/>
    </row>
    <row r="15" spans="2:13" x14ac:dyDescent="0.2">
      <c r="F15" t="s">
        <v>88</v>
      </c>
    </row>
  </sheetData>
  <hyperlinks>
    <hyperlink ref="B3" location="Ingrezza!A1" display="Ingrezza (valbenazine)" xr:uid="{A3DCB05F-467A-49D9-BDFF-0F9C96F16A9F}"/>
  </hyperlink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2B0C7-1B6F-4C96-9B91-E9D8930F8C52}">
  <dimension ref="A1:AU26"/>
  <sheetViews>
    <sheetView tabSelected="1" zoomScale="190" zoomScaleNormal="190" workbookViewId="0">
      <pane xSplit="2" ySplit="2" topLeftCell="J3" activePane="bottomRight" state="frozen"/>
      <selection pane="topRight" activeCell="C1" sqref="C1"/>
      <selection pane="bottomLeft" activeCell="A3" sqref="A3"/>
      <selection pane="bottomRight" activeCell="O3" sqref="O3"/>
    </sheetView>
  </sheetViews>
  <sheetFormatPr defaultRowHeight="12.75" x14ac:dyDescent="0.2"/>
  <cols>
    <col min="1" max="1" width="5" bestFit="1" customWidth="1"/>
    <col min="2" max="2" width="13.140625" customWidth="1"/>
    <col min="3" max="19" width="9.140625" style="2"/>
    <col min="45" max="45" width="11" bestFit="1" customWidth="1"/>
  </cols>
  <sheetData>
    <row r="1" spans="1:47" x14ac:dyDescent="0.2">
      <c r="A1" t="s">
        <v>7</v>
      </c>
    </row>
    <row r="2" spans="1:47" x14ac:dyDescent="0.2">
      <c r="C2" s="2" t="s">
        <v>77</v>
      </c>
      <c r="D2" s="2" t="s">
        <v>9</v>
      </c>
      <c r="E2" s="2" t="s">
        <v>10</v>
      </c>
      <c r="F2" s="2" t="s">
        <v>11</v>
      </c>
      <c r="G2" s="2" t="s">
        <v>12</v>
      </c>
      <c r="H2" s="2" t="s">
        <v>13</v>
      </c>
      <c r="I2" s="2" t="s">
        <v>14</v>
      </c>
      <c r="J2" s="2" t="s">
        <v>15</v>
      </c>
      <c r="K2" s="2" t="s">
        <v>16</v>
      </c>
      <c r="L2" s="2" t="s">
        <v>17</v>
      </c>
      <c r="M2" s="2" t="s">
        <v>6</v>
      </c>
      <c r="N2" s="2" t="s">
        <v>18</v>
      </c>
      <c r="O2" s="2" t="s">
        <v>19</v>
      </c>
      <c r="P2" s="2" t="s">
        <v>89</v>
      </c>
      <c r="Q2" s="2" t="s">
        <v>90</v>
      </c>
      <c r="R2" s="2" t="s">
        <v>91</v>
      </c>
      <c r="S2" s="2" t="s">
        <v>92</v>
      </c>
      <c r="V2">
        <v>2015</v>
      </c>
      <c r="W2">
        <f>+V2+1</f>
        <v>2016</v>
      </c>
      <c r="X2">
        <f t="shared" ref="X2:AU2" si="0">+W2+1</f>
        <v>2017</v>
      </c>
      <c r="Y2">
        <f t="shared" si="0"/>
        <v>2018</v>
      </c>
      <c r="Z2">
        <f t="shared" si="0"/>
        <v>2019</v>
      </c>
      <c r="AA2">
        <f t="shared" si="0"/>
        <v>2020</v>
      </c>
      <c r="AB2">
        <f t="shared" si="0"/>
        <v>2021</v>
      </c>
      <c r="AC2">
        <f t="shared" si="0"/>
        <v>2022</v>
      </c>
      <c r="AD2">
        <f t="shared" si="0"/>
        <v>2023</v>
      </c>
      <c r="AE2">
        <f t="shared" si="0"/>
        <v>2024</v>
      </c>
      <c r="AF2">
        <f t="shared" si="0"/>
        <v>2025</v>
      </c>
      <c r="AG2">
        <f t="shared" si="0"/>
        <v>2026</v>
      </c>
      <c r="AH2">
        <f t="shared" si="0"/>
        <v>2027</v>
      </c>
      <c r="AI2">
        <f t="shared" si="0"/>
        <v>2028</v>
      </c>
      <c r="AJ2">
        <f t="shared" si="0"/>
        <v>2029</v>
      </c>
      <c r="AK2">
        <f t="shared" si="0"/>
        <v>2030</v>
      </c>
      <c r="AL2">
        <f t="shared" si="0"/>
        <v>2031</v>
      </c>
      <c r="AM2">
        <f t="shared" si="0"/>
        <v>2032</v>
      </c>
      <c r="AN2">
        <f t="shared" si="0"/>
        <v>2033</v>
      </c>
      <c r="AO2">
        <f t="shared" si="0"/>
        <v>2034</v>
      </c>
      <c r="AP2">
        <f t="shared" si="0"/>
        <v>2035</v>
      </c>
      <c r="AQ2">
        <f t="shared" si="0"/>
        <v>2036</v>
      </c>
      <c r="AR2">
        <f t="shared" si="0"/>
        <v>2037</v>
      </c>
      <c r="AS2">
        <f t="shared" si="0"/>
        <v>2038</v>
      </c>
      <c r="AT2">
        <f t="shared" si="0"/>
        <v>2039</v>
      </c>
      <c r="AU2">
        <f t="shared" si="0"/>
        <v>2040</v>
      </c>
    </row>
    <row r="3" spans="1:47" x14ac:dyDescent="0.2">
      <c r="B3" t="s">
        <v>31</v>
      </c>
      <c r="N3" s="2">
        <v>68600</v>
      </c>
    </row>
    <row r="4" spans="1:47" x14ac:dyDescent="0.2">
      <c r="B4" t="s">
        <v>28</v>
      </c>
      <c r="J4" s="5"/>
      <c r="K4" s="5"/>
      <c r="L4" s="2">
        <v>303</v>
      </c>
      <c r="M4" s="2">
        <v>350</v>
      </c>
      <c r="N4" s="2">
        <v>376</v>
      </c>
    </row>
    <row r="5" spans="1:47" s="3" customFormat="1" x14ac:dyDescent="0.2">
      <c r="B5" s="3" t="s">
        <v>20</v>
      </c>
      <c r="C5" s="5">
        <v>237.9</v>
      </c>
      <c r="D5" s="5">
        <v>231.1</v>
      </c>
      <c r="E5" s="5">
        <v>267.60000000000002</v>
      </c>
      <c r="F5" s="5">
        <v>254.1</v>
      </c>
      <c r="G5" s="5">
        <v>241.3</v>
      </c>
      <c r="H5" s="5">
        <v>231</v>
      </c>
      <c r="I5" s="5">
        <v>266.8</v>
      </c>
      <c r="J5" s="5">
        <v>288.8</v>
      </c>
      <c r="K5" s="5">
        <v>303.5</v>
      </c>
      <c r="L5" s="5">
        <v>305</v>
      </c>
      <c r="M5" s="5">
        <v>352</v>
      </c>
      <c r="N5" s="5">
        <v>379.3</v>
      </c>
      <c r="O5" s="5">
        <f>+K5*1.2</f>
        <v>364.2</v>
      </c>
      <c r="P5" s="5"/>
      <c r="Q5" s="5"/>
      <c r="R5" s="5"/>
      <c r="S5" s="5"/>
      <c r="AA5" s="3">
        <f>SUM(D5:G5)</f>
        <v>994.10000000000014</v>
      </c>
      <c r="AB5" s="3">
        <f>SUM(H5:K5)</f>
        <v>1090.0999999999999</v>
      </c>
      <c r="AC5" s="3">
        <f>SUM(L5:O5)</f>
        <v>1400.5</v>
      </c>
      <c r="AD5" s="3">
        <f>+AC5*1.1</f>
        <v>1540.5500000000002</v>
      </c>
      <c r="AE5" s="3">
        <f t="shared" ref="AE5" si="1">+AD5*1.1</f>
        <v>1694.6050000000002</v>
      </c>
      <c r="AF5" s="3">
        <f>+AE5*1.05</f>
        <v>1779.3352500000003</v>
      </c>
      <c r="AG5" s="3">
        <f>+AF5*1.05</f>
        <v>1868.3020125000005</v>
      </c>
      <c r="AH5" s="3">
        <f t="shared" ref="AH5:AI5" si="2">+AG5*1.05</f>
        <v>1961.7171131250007</v>
      </c>
      <c r="AI5" s="3">
        <f t="shared" si="2"/>
        <v>2059.8029687812509</v>
      </c>
      <c r="AJ5" s="3">
        <f>+AI5*1.01</f>
        <v>2080.4009984690633</v>
      </c>
      <c r="AK5" s="3">
        <f t="shared" ref="AK5:AL5" si="3">+AJ5*1.01</f>
        <v>2101.2050084537541</v>
      </c>
      <c r="AL5" s="3">
        <f t="shared" si="3"/>
        <v>2122.2170585382914</v>
      </c>
    </row>
    <row r="6" spans="1:47" s="3" customFormat="1" x14ac:dyDescent="0.2">
      <c r="B6" s="3" t="s">
        <v>21</v>
      </c>
      <c r="C6" s="5">
        <v>6.2</v>
      </c>
      <c r="D6" s="5">
        <v>6</v>
      </c>
      <c r="E6" s="5">
        <v>34.799999999999997</v>
      </c>
      <c r="F6" s="5">
        <v>4.4000000000000004</v>
      </c>
      <c r="G6" s="5">
        <v>6.6</v>
      </c>
      <c r="H6" s="5">
        <v>5.6</v>
      </c>
      <c r="I6" s="5">
        <v>22.1</v>
      </c>
      <c r="J6" s="5">
        <v>7.2</v>
      </c>
      <c r="K6" s="5">
        <v>8.5</v>
      </c>
      <c r="L6" s="5">
        <v>5.6</v>
      </c>
      <c r="M6" s="5">
        <v>26.2</v>
      </c>
      <c r="N6" s="5">
        <v>8.6</v>
      </c>
      <c r="O6" s="5">
        <f>AVERAGE(K6:N6)</f>
        <v>12.225</v>
      </c>
      <c r="P6" s="5"/>
      <c r="Q6" s="5"/>
      <c r="R6" s="5"/>
      <c r="S6" s="5"/>
      <c r="AC6" s="3">
        <f>SUM(L6:O6)</f>
        <v>52.625</v>
      </c>
      <c r="AD6" s="3">
        <f>SUM(M6:T6)</f>
        <v>47.024999999999999</v>
      </c>
      <c r="AE6" s="3">
        <f>SUM(N6:U6)</f>
        <v>20.824999999999999</v>
      </c>
      <c r="AF6" s="3">
        <f>SUM(O6:V6)</f>
        <v>12.225</v>
      </c>
      <c r="AG6" s="3">
        <f t="shared" ref="AG6" si="4">SUM(T6:W6)</f>
        <v>0</v>
      </c>
      <c r="AH6" s="3">
        <f t="shared" ref="AH6" si="5">SUM(U6:X6)</f>
        <v>0</v>
      </c>
      <c r="AI6" s="3">
        <f t="shared" ref="AI6" si="6">SUM(V6:Y6)</f>
        <v>0</v>
      </c>
      <c r="AJ6" s="3">
        <f t="shared" ref="AJ6" si="7">SUM(W6:Z6)</f>
        <v>0</v>
      </c>
      <c r="AK6" s="3">
        <f t="shared" ref="AK6" si="8">SUM(X6:AA6)</f>
        <v>0</v>
      </c>
      <c r="AL6" s="3">
        <f t="shared" ref="AL6" si="9">SUM(Y6:AB6)</f>
        <v>0</v>
      </c>
    </row>
    <row r="7" spans="1:47" s="6" customFormat="1" x14ac:dyDescent="0.2">
      <c r="B7" s="6" t="s">
        <v>8</v>
      </c>
      <c r="C7" s="7">
        <f t="shared" ref="C7" si="10">+C5+C6</f>
        <v>244.1</v>
      </c>
      <c r="D7" s="7">
        <f t="shared" ref="D7" si="11">+D5+D6</f>
        <v>237.1</v>
      </c>
      <c r="E7" s="7">
        <f t="shared" ref="E7" si="12">+E5+E6</f>
        <v>302.40000000000003</v>
      </c>
      <c r="F7" s="7">
        <f>+F5+F6</f>
        <v>258.5</v>
      </c>
      <c r="G7" s="7">
        <f>+G5+G6</f>
        <v>247.9</v>
      </c>
      <c r="H7" s="7">
        <f>+H5+H6</f>
        <v>236.6</v>
      </c>
      <c r="I7" s="7">
        <f>+I5+I6</f>
        <v>288.90000000000003</v>
      </c>
      <c r="J7" s="7">
        <f t="shared" ref="J7" si="13">+J5+J6</f>
        <v>296</v>
      </c>
      <c r="K7" s="7">
        <f>+K5+K6</f>
        <v>312</v>
      </c>
      <c r="L7" s="7">
        <f>+L5+L6</f>
        <v>310.60000000000002</v>
      </c>
      <c r="M7" s="7">
        <f>+M5+M6</f>
        <v>378.2</v>
      </c>
      <c r="N7" s="7">
        <f t="shared" ref="N7:O7" si="14">+N5+N6</f>
        <v>387.90000000000003</v>
      </c>
      <c r="O7" s="7">
        <f t="shared" si="14"/>
        <v>376.42500000000001</v>
      </c>
      <c r="P7" s="7"/>
      <c r="Q7" s="7"/>
      <c r="R7" s="7"/>
      <c r="S7" s="7"/>
      <c r="AC7" s="6">
        <f>+AC5+AC6</f>
        <v>1453.125</v>
      </c>
      <c r="AD7" s="6">
        <f t="shared" ref="AD7:AG7" si="15">+AD5+AD6</f>
        <v>1587.5750000000003</v>
      </c>
      <c r="AE7" s="6">
        <f t="shared" si="15"/>
        <v>1715.4300000000003</v>
      </c>
      <c r="AF7" s="6">
        <f t="shared" si="15"/>
        <v>1791.5602500000002</v>
      </c>
      <c r="AG7" s="6">
        <f t="shared" si="15"/>
        <v>1868.3020125000005</v>
      </c>
      <c r="AH7" s="6">
        <f t="shared" ref="AH7" si="16">+AH5+AH6</f>
        <v>1961.7171131250007</v>
      </c>
      <c r="AI7" s="6">
        <f t="shared" ref="AI7" si="17">+AI5+AI6</f>
        <v>2059.8029687812509</v>
      </c>
      <c r="AJ7" s="6">
        <f t="shared" ref="AJ7" si="18">+AJ5+AJ6</f>
        <v>2080.4009984690633</v>
      </c>
      <c r="AK7" s="6">
        <f t="shared" ref="AK7" si="19">+AK5+AK6</f>
        <v>2101.2050084537541</v>
      </c>
      <c r="AL7" s="6">
        <f t="shared" ref="AL7" si="20">+AL5+AL6</f>
        <v>2122.2170585382914</v>
      </c>
    </row>
    <row r="8" spans="1:47" s="3" customFormat="1" x14ac:dyDescent="0.2">
      <c r="B8" s="3" t="s">
        <v>39</v>
      </c>
      <c r="C8" s="5">
        <v>2.5</v>
      </c>
      <c r="D8" s="5">
        <v>2.1</v>
      </c>
      <c r="E8" s="5">
        <v>2.4</v>
      </c>
      <c r="F8" s="5">
        <v>2.9</v>
      </c>
      <c r="G8" s="5">
        <v>2.9</v>
      </c>
      <c r="H8" s="5">
        <v>2.9</v>
      </c>
      <c r="I8" s="5">
        <v>3.1</v>
      </c>
      <c r="J8" s="5">
        <v>4.2</v>
      </c>
      <c r="K8" s="5">
        <v>4.0999999999999996</v>
      </c>
      <c r="L8" s="5">
        <v>4.5999999999999996</v>
      </c>
      <c r="M8" s="5">
        <v>4.8</v>
      </c>
      <c r="N8" s="5">
        <v>6.1</v>
      </c>
      <c r="O8" s="5">
        <f>+O7-O9</f>
        <v>3.7642500000000041</v>
      </c>
      <c r="P8" s="5"/>
      <c r="Q8" s="5"/>
      <c r="R8" s="5"/>
      <c r="S8" s="5"/>
      <c r="AC8" s="3">
        <f>SUM(L8:O8)</f>
        <v>19.264250000000004</v>
      </c>
      <c r="AD8" s="3">
        <f>+AD7*0.01</f>
        <v>15.875750000000004</v>
      </c>
      <c r="AE8" s="3">
        <f t="shared" ref="AE8:AG8" si="21">+AE7*0.01</f>
        <v>17.154300000000003</v>
      </c>
      <c r="AF8" s="3">
        <f t="shared" si="21"/>
        <v>17.915602500000002</v>
      </c>
      <c r="AG8" s="3">
        <f t="shared" si="21"/>
        <v>18.683020125000006</v>
      </c>
      <c r="AH8" s="3">
        <f t="shared" ref="AH8" si="22">+AH7*0.01</f>
        <v>19.617171131250007</v>
      </c>
      <c r="AI8" s="3">
        <f t="shared" ref="AI8" si="23">+AI7*0.01</f>
        <v>20.59802968781251</v>
      </c>
      <c r="AJ8" s="3">
        <f t="shared" ref="AJ8" si="24">+AJ7*0.01</f>
        <v>20.804009984690634</v>
      </c>
      <c r="AK8" s="3">
        <f t="shared" ref="AK8" si="25">+AK7*0.01</f>
        <v>21.012050084537542</v>
      </c>
      <c r="AL8" s="3">
        <f t="shared" ref="AL8" si="26">+AL7*0.01</f>
        <v>21.222170585382916</v>
      </c>
    </row>
    <row r="9" spans="1:47" s="3" customFormat="1" x14ac:dyDescent="0.2">
      <c r="B9" s="3" t="s">
        <v>40</v>
      </c>
      <c r="C9" s="5">
        <f t="shared" ref="C9" si="27">+C7-C8</f>
        <v>241.6</v>
      </c>
      <c r="D9" s="5">
        <f t="shared" ref="D9" si="28">+D7-D8</f>
        <v>235</v>
      </c>
      <c r="E9" s="5">
        <f t="shared" ref="E9" si="29">+E7-E8</f>
        <v>300.00000000000006</v>
      </c>
      <c r="F9" s="5">
        <f>+F7-F8</f>
        <v>255.6</v>
      </c>
      <c r="G9" s="5">
        <f>+G7-G8</f>
        <v>245</v>
      </c>
      <c r="H9" s="5">
        <f>+H7-H8</f>
        <v>233.7</v>
      </c>
      <c r="I9" s="5">
        <f>+I7-I8</f>
        <v>285.8</v>
      </c>
      <c r="J9" s="5">
        <f t="shared" ref="J9" si="30">+J7-J8</f>
        <v>291.8</v>
      </c>
      <c r="K9" s="5">
        <f>+K7-K8</f>
        <v>307.89999999999998</v>
      </c>
      <c r="L9" s="5">
        <f>+L7-L8</f>
        <v>306</v>
      </c>
      <c r="M9" s="5">
        <f>+M7-M8</f>
        <v>373.4</v>
      </c>
      <c r="N9" s="5">
        <f>+N7-N8</f>
        <v>381.8</v>
      </c>
      <c r="O9" s="5">
        <f>+O7*0.99</f>
        <v>372.66075000000001</v>
      </c>
      <c r="P9" s="5"/>
      <c r="Q9" s="5"/>
      <c r="R9" s="5"/>
      <c r="S9" s="5"/>
      <c r="AC9" s="3">
        <f>+AC7-AC8</f>
        <v>1433.8607500000001</v>
      </c>
      <c r="AD9" s="3">
        <f t="shared" ref="AD9:AG9" si="31">+AD7-AD8</f>
        <v>1571.6992500000003</v>
      </c>
      <c r="AE9" s="3">
        <f t="shared" si="31"/>
        <v>1698.2757000000004</v>
      </c>
      <c r="AF9" s="3">
        <f t="shared" si="31"/>
        <v>1773.6446475000002</v>
      </c>
      <c r="AG9" s="3">
        <f t="shared" si="31"/>
        <v>1849.6189923750005</v>
      </c>
      <c r="AH9" s="3">
        <f t="shared" ref="AH9" si="32">+AH7-AH8</f>
        <v>1942.0999419937507</v>
      </c>
      <c r="AI9" s="3">
        <f t="shared" ref="AI9" si="33">+AI7-AI8</f>
        <v>2039.2049390934385</v>
      </c>
      <c r="AJ9" s="3">
        <f t="shared" ref="AJ9" si="34">+AJ7-AJ8</f>
        <v>2059.5969884843726</v>
      </c>
      <c r="AK9" s="3">
        <f t="shared" ref="AK9" si="35">+AK7-AK8</f>
        <v>2080.1929583692167</v>
      </c>
      <c r="AL9" s="3">
        <f t="shared" ref="AL9" si="36">+AL7-AL8</f>
        <v>2100.9948879529084</v>
      </c>
    </row>
    <row r="10" spans="1:47" s="3" customFormat="1" x14ac:dyDescent="0.2">
      <c r="B10" s="3" t="s">
        <v>43</v>
      </c>
      <c r="C10" s="5">
        <v>55.3</v>
      </c>
      <c r="D10" s="5">
        <v>58.3</v>
      </c>
      <c r="E10" s="5">
        <v>80.900000000000006</v>
      </c>
      <c r="F10" s="5">
        <v>69.099999999999994</v>
      </c>
      <c r="G10" s="5">
        <v>66.7</v>
      </c>
      <c r="H10" s="5">
        <v>73.2</v>
      </c>
      <c r="I10" s="5">
        <v>74.8</v>
      </c>
      <c r="J10" s="5">
        <v>92.7</v>
      </c>
      <c r="K10" s="5">
        <v>87.4</v>
      </c>
      <c r="L10" s="5">
        <v>102.2</v>
      </c>
      <c r="M10" s="5">
        <v>135.9</v>
      </c>
      <c r="N10" s="5">
        <v>107.7</v>
      </c>
      <c r="O10" s="5"/>
      <c r="P10" s="5"/>
      <c r="Q10" s="5"/>
      <c r="R10" s="5"/>
      <c r="S10" s="5"/>
    </row>
    <row r="11" spans="1:47" s="3" customFormat="1" x14ac:dyDescent="0.2">
      <c r="B11" s="3" t="s">
        <v>44</v>
      </c>
      <c r="C11" s="5">
        <v>101.3</v>
      </c>
      <c r="D11" s="5">
        <v>117.8</v>
      </c>
      <c r="E11" s="5">
        <v>96.5</v>
      </c>
      <c r="F11" s="5">
        <v>112.5</v>
      </c>
      <c r="G11" s="5">
        <v>106.5</v>
      </c>
      <c r="H11" s="5">
        <v>129</v>
      </c>
      <c r="I11" s="5">
        <v>143.19999999999999</v>
      </c>
      <c r="J11" s="5">
        <v>154.6</v>
      </c>
      <c r="K11" s="5">
        <v>156.5</v>
      </c>
      <c r="L11" s="5">
        <v>200.7</v>
      </c>
      <c r="M11" s="5">
        <v>182.8</v>
      </c>
      <c r="N11" s="5">
        <v>186.3</v>
      </c>
      <c r="O11" s="5">
        <f>AVERAGE(M11:N11)</f>
        <v>184.55</v>
      </c>
      <c r="P11" s="5"/>
      <c r="Q11" s="5"/>
      <c r="R11" s="5"/>
      <c r="S11" s="5"/>
      <c r="AC11" s="3">
        <f>SUM(L11:O11)</f>
        <v>754.34999999999991</v>
      </c>
      <c r="AD11" s="3">
        <f>+AC11*0.5</f>
        <v>377.17499999999995</v>
      </c>
      <c r="AE11" s="3">
        <f>+AD11*0.9</f>
        <v>339.45749999999998</v>
      </c>
      <c r="AF11" s="3">
        <f>+AE11*0.9</f>
        <v>305.51175000000001</v>
      </c>
      <c r="AG11" s="3">
        <f>+AF11</f>
        <v>305.51175000000001</v>
      </c>
      <c r="AH11" s="3">
        <f t="shared" ref="AH11:AI11" si="37">+AG11</f>
        <v>305.51175000000001</v>
      </c>
      <c r="AI11" s="3">
        <f t="shared" si="37"/>
        <v>305.51175000000001</v>
      </c>
      <c r="AJ11" s="3">
        <f t="shared" ref="AJ11:AL11" si="38">+AI11</f>
        <v>305.51175000000001</v>
      </c>
      <c r="AK11" s="3">
        <f t="shared" si="38"/>
        <v>305.51175000000001</v>
      </c>
      <c r="AL11" s="3">
        <f t="shared" si="38"/>
        <v>305.51175000000001</v>
      </c>
    </row>
    <row r="12" spans="1:47" s="3" customFormat="1" x14ac:dyDescent="0.2">
      <c r="B12" s="3" t="s">
        <v>41</v>
      </c>
      <c r="C12" s="5">
        <f t="shared" ref="C12" si="39">+C10+C11</f>
        <v>156.6</v>
      </c>
      <c r="D12" s="5">
        <f t="shared" ref="D12" si="40">+D10+D11</f>
        <v>176.1</v>
      </c>
      <c r="E12" s="5">
        <f t="shared" ref="E12" si="41">+E10+E11</f>
        <v>177.4</v>
      </c>
      <c r="F12" s="5">
        <f>+F10+F11</f>
        <v>181.6</v>
      </c>
      <c r="G12" s="5">
        <f>+G10+G11</f>
        <v>173.2</v>
      </c>
      <c r="H12" s="5">
        <f>+H10+H11</f>
        <v>202.2</v>
      </c>
      <c r="I12" s="5">
        <f>+I10+I11</f>
        <v>218</v>
      </c>
      <c r="J12" s="5">
        <f t="shared" ref="J12" si="42">+J10+J11</f>
        <v>247.3</v>
      </c>
      <c r="K12" s="5">
        <f>+K10+K11</f>
        <v>243.9</v>
      </c>
      <c r="L12" s="5">
        <f>+L10+L11</f>
        <v>302.89999999999998</v>
      </c>
      <c r="M12" s="5">
        <f>+M10+M11</f>
        <v>318.70000000000005</v>
      </c>
      <c r="N12" s="5">
        <f>+N10+N11</f>
        <v>294</v>
      </c>
      <c r="O12" s="5">
        <f t="shared" ref="O12" si="43">+O10+O11</f>
        <v>184.55</v>
      </c>
      <c r="P12" s="5"/>
      <c r="Q12" s="5"/>
      <c r="R12" s="5"/>
      <c r="S12" s="5"/>
      <c r="AC12" s="3">
        <f>+AC10+AC11</f>
        <v>754.34999999999991</v>
      </c>
      <c r="AD12" s="3">
        <f t="shared" ref="AD12:AG12" si="44">+AD10+AD11</f>
        <v>377.17499999999995</v>
      </c>
      <c r="AE12" s="3">
        <f t="shared" si="44"/>
        <v>339.45749999999998</v>
      </c>
      <c r="AF12" s="3">
        <f t="shared" si="44"/>
        <v>305.51175000000001</v>
      </c>
      <c r="AG12" s="3">
        <f t="shared" si="44"/>
        <v>305.51175000000001</v>
      </c>
      <c r="AH12" s="3">
        <f t="shared" ref="AH12" si="45">+AH10+AH11</f>
        <v>305.51175000000001</v>
      </c>
      <c r="AI12" s="3">
        <f t="shared" ref="AI12" si="46">+AI10+AI11</f>
        <v>305.51175000000001</v>
      </c>
      <c r="AJ12" s="3">
        <f t="shared" ref="AJ12" si="47">+AJ10+AJ11</f>
        <v>305.51175000000001</v>
      </c>
      <c r="AK12" s="3">
        <f t="shared" ref="AK12" si="48">+AK10+AK11</f>
        <v>305.51175000000001</v>
      </c>
      <c r="AL12" s="3">
        <f t="shared" ref="AL12" si="49">+AL10+AL11</f>
        <v>305.51175000000001</v>
      </c>
    </row>
    <row r="13" spans="1:47" s="3" customFormat="1" x14ac:dyDescent="0.2">
      <c r="B13" s="3" t="s">
        <v>42</v>
      </c>
      <c r="C13" s="5">
        <f t="shared" ref="C13" si="50">+C9-C12</f>
        <v>85</v>
      </c>
      <c r="D13" s="5">
        <f t="shared" ref="D13" si="51">+D9-D12</f>
        <v>58.900000000000006</v>
      </c>
      <c r="E13" s="5">
        <f t="shared" ref="E13" si="52">+E9-E12</f>
        <v>122.60000000000005</v>
      </c>
      <c r="F13" s="5">
        <f>+F9-F12</f>
        <v>74</v>
      </c>
      <c r="G13" s="5">
        <f>+G9-G12</f>
        <v>71.800000000000011</v>
      </c>
      <c r="H13" s="5">
        <f>+H9-H12</f>
        <v>31.5</v>
      </c>
      <c r="I13" s="5">
        <f>+I9-I12</f>
        <v>67.800000000000011</v>
      </c>
      <c r="J13" s="5">
        <f t="shared" ref="J13" si="53">+J9-J12</f>
        <v>44.5</v>
      </c>
      <c r="K13" s="5">
        <f>+K9-K12</f>
        <v>63.999999999999972</v>
      </c>
      <c r="L13" s="5">
        <f>+L9-L12</f>
        <v>3.1000000000000227</v>
      </c>
      <c r="M13" s="5">
        <f>+M9-M12</f>
        <v>54.699999999999932</v>
      </c>
      <c r="N13" s="5">
        <f>+N9-N12</f>
        <v>87.800000000000011</v>
      </c>
      <c r="O13" s="5">
        <f t="shared" ref="O13" si="54">+O9-O12</f>
        <v>188.11075</v>
      </c>
      <c r="P13" s="5"/>
      <c r="Q13" s="5"/>
      <c r="R13" s="5"/>
      <c r="S13" s="5"/>
      <c r="AC13" s="3">
        <f>+AC9-AC12</f>
        <v>679.51075000000014</v>
      </c>
      <c r="AD13" s="3">
        <f t="shared" ref="AD13:AG13" si="55">+AD9-AD12</f>
        <v>1194.5242500000004</v>
      </c>
      <c r="AE13" s="3">
        <f t="shared" si="55"/>
        <v>1358.8182000000004</v>
      </c>
      <c r="AF13" s="3">
        <f t="shared" si="55"/>
        <v>1468.1328975000001</v>
      </c>
      <c r="AG13" s="3">
        <f t="shared" si="55"/>
        <v>1544.1072423750006</v>
      </c>
      <c r="AH13" s="3">
        <f t="shared" ref="AH13" si="56">+AH9-AH12</f>
        <v>1636.5881919937506</v>
      </c>
      <c r="AI13" s="3">
        <f t="shared" ref="AI13" si="57">+AI9-AI12</f>
        <v>1733.6931890934384</v>
      </c>
      <c r="AJ13" s="3">
        <f t="shared" ref="AJ13" si="58">+AJ9-AJ12</f>
        <v>1754.0852384843724</v>
      </c>
      <c r="AK13" s="3">
        <f t="shared" ref="AK13" si="59">+AK9-AK12</f>
        <v>1774.6812083692166</v>
      </c>
      <c r="AL13" s="3">
        <f t="shared" ref="AL13" si="60">+AL9-AL12</f>
        <v>1795.4831379529082</v>
      </c>
    </row>
    <row r="14" spans="1:47" s="3" customFormat="1" x14ac:dyDescent="0.2">
      <c r="B14" s="3" t="s">
        <v>45</v>
      </c>
      <c r="C14" s="5">
        <v>-8.1999999999999993</v>
      </c>
      <c r="D14" s="5">
        <v>-8.1999999999999993</v>
      </c>
      <c r="E14" s="5">
        <v>-8.3000000000000007</v>
      </c>
      <c r="F14" s="5">
        <v>-8.5</v>
      </c>
      <c r="G14" s="5">
        <v>-7.8</v>
      </c>
      <c r="H14" s="5">
        <v>-6.4</v>
      </c>
      <c r="I14" s="5">
        <v>-6.2</v>
      </c>
      <c r="J14" s="5">
        <v>-6.6</v>
      </c>
      <c r="K14" s="5">
        <v>-6.6</v>
      </c>
      <c r="L14" s="5">
        <v>-2.6</v>
      </c>
      <c r="M14" s="5">
        <v>-2.2000000000000002</v>
      </c>
      <c r="N14" s="5">
        <v>-1.2</v>
      </c>
      <c r="O14" s="5">
        <f>SUM(K14:N14)</f>
        <v>-12.599999999999998</v>
      </c>
      <c r="P14" s="5"/>
      <c r="Q14" s="5"/>
      <c r="R14" s="5"/>
      <c r="S14" s="5"/>
      <c r="AC14" s="3">
        <f>AVERAGE(L14:O14)</f>
        <v>-4.6499999999999995</v>
      </c>
      <c r="AD14" s="3">
        <f>+AC25*$AS$26</f>
        <v>0</v>
      </c>
      <c r="AE14" s="3">
        <f t="shared" ref="AE14:AL14" si="61">+AD25*$AS$26</f>
        <v>28.668582000000008</v>
      </c>
      <c r="AF14" s="3">
        <f t="shared" si="61"/>
        <v>61.968264768000004</v>
      </c>
      <c r="AG14" s="3">
        <f t="shared" si="61"/>
        <v>98.690692662431999</v>
      </c>
      <c r="AH14" s="3">
        <f t="shared" si="61"/>
        <v>138.11784310333039</v>
      </c>
      <c r="AI14" s="3">
        <f t="shared" si="61"/>
        <v>180.71078794566034</v>
      </c>
      <c r="AJ14" s="3">
        <f t="shared" si="61"/>
        <v>226.65648339459869</v>
      </c>
      <c r="AK14" s="3">
        <f t="shared" si="61"/>
        <v>274.194284719694</v>
      </c>
      <c r="AL14" s="3">
        <f t="shared" si="61"/>
        <v>323.36729655382788</v>
      </c>
    </row>
    <row r="15" spans="1:47" s="3" customFormat="1" x14ac:dyDescent="0.2">
      <c r="B15" s="3" t="s">
        <v>46</v>
      </c>
      <c r="C15" s="5">
        <f t="shared" ref="C15" si="62">+C13+C14</f>
        <v>76.8</v>
      </c>
      <c r="D15" s="5">
        <f t="shared" ref="D15" si="63">+D13+D14</f>
        <v>50.7</v>
      </c>
      <c r="E15" s="5">
        <f t="shared" ref="E15" si="64">+E13+E14</f>
        <v>114.30000000000005</v>
      </c>
      <c r="F15" s="5">
        <f>+F13+F14</f>
        <v>65.5</v>
      </c>
      <c r="G15" s="5">
        <f>+G13+G14</f>
        <v>64.000000000000014</v>
      </c>
      <c r="H15" s="5">
        <f>+H13+H14</f>
        <v>25.1</v>
      </c>
      <c r="I15" s="5">
        <f>+I13+I14</f>
        <v>61.600000000000009</v>
      </c>
      <c r="J15" s="5">
        <f t="shared" ref="J15" si="65">+J13+J14</f>
        <v>37.9</v>
      </c>
      <c r="K15" s="5">
        <f>+K13+K14</f>
        <v>57.39999999999997</v>
      </c>
      <c r="L15" s="5">
        <f>+L13+L14</f>
        <v>0.50000000000002265</v>
      </c>
      <c r="M15" s="5">
        <f>+M13+M14</f>
        <v>52.499999999999929</v>
      </c>
      <c r="N15" s="5">
        <f t="shared" ref="N15:O15" si="66">+N13+N14</f>
        <v>86.600000000000009</v>
      </c>
      <c r="O15" s="5">
        <f t="shared" si="66"/>
        <v>175.51075</v>
      </c>
      <c r="P15" s="5"/>
      <c r="Q15" s="5"/>
      <c r="R15" s="5"/>
      <c r="S15" s="5"/>
      <c r="AC15" s="3">
        <f>+AC13+AC14</f>
        <v>674.86075000000017</v>
      </c>
      <c r="AD15" s="3">
        <f t="shared" ref="AD15:AL15" si="67">+AD13+AD14</f>
        <v>1194.5242500000004</v>
      </c>
      <c r="AE15" s="3">
        <f t="shared" si="67"/>
        <v>1387.4867820000004</v>
      </c>
      <c r="AF15" s="3">
        <f t="shared" si="67"/>
        <v>1530.1011622680001</v>
      </c>
      <c r="AG15" s="3">
        <f t="shared" si="67"/>
        <v>1642.7979350374326</v>
      </c>
      <c r="AH15" s="3">
        <f t="shared" si="67"/>
        <v>1774.706035097081</v>
      </c>
      <c r="AI15" s="3">
        <f t="shared" si="67"/>
        <v>1914.4039770390987</v>
      </c>
      <c r="AJ15" s="3">
        <f t="shared" si="67"/>
        <v>1980.741721878971</v>
      </c>
      <c r="AK15" s="3">
        <f t="shared" si="67"/>
        <v>2048.8754930889108</v>
      </c>
      <c r="AL15" s="3">
        <f t="shared" si="67"/>
        <v>2118.8504345067363</v>
      </c>
    </row>
    <row r="16" spans="1:47" s="3" customFormat="1" x14ac:dyDescent="0.2">
      <c r="B16" s="3" t="s">
        <v>47</v>
      </c>
      <c r="C16" s="5">
        <v>4.5999999999999996</v>
      </c>
      <c r="D16" s="5">
        <v>1.5</v>
      </c>
      <c r="E16" s="5">
        <v>3.6</v>
      </c>
      <c r="F16" s="5">
        <v>0</v>
      </c>
      <c r="G16" s="5">
        <v>0</v>
      </c>
      <c r="H16" s="5">
        <v>0</v>
      </c>
      <c r="I16" s="5">
        <v>15.2</v>
      </c>
      <c r="J16" s="5">
        <v>0</v>
      </c>
      <c r="K16" s="5">
        <v>0</v>
      </c>
      <c r="L16" s="5">
        <v>7.5</v>
      </c>
      <c r="M16" s="5">
        <v>0</v>
      </c>
      <c r="N16" s="5">
        <v>29.4</v>
      </c>
      <c r="O16" s="5">
        <f>+O15*0.2</f>
        <v>35.102150000000002</v>
      </c>
      <c r="P16" s="5"/>
      <c r="Q16" s="5"/>
      <c r="R16" s="5"/>
      <c r="S16" s="5"/>
      <c r="AC16" s="3">
        <f>+AC15*0.2</f>
        <v>134.97215000000003</v>
      </c>
      <c r="AD16" s="3">
        <f t="shared" ref="AD16:AL16" si="68">+AD15*0.2</f>
        <v>238.9048500000001</v>
      </c>
      <c r="AE16" s="3">
        <f t="shared" si="68"/>
        <v>277.49735640000011</v>
      </c>
      <c r="AF16" s="3">
        <f t="shared" si="68"/>
        <v>306.02023245360004</v>
      </c>
      <c r="AG16" s="3">
        <f t="shared" si="68"/>
        <v>328.55958700748653</v>
      </c>
      <c r="AH16" s="3">
        <f t="shared" si="68"/>
        <v>354.9412070194162</v>
      </c>
      <c r="AI16" s="3">
        <f t="shared" si="68"/>
        <v>382.88079540781973</v>
      </c>
      <c r="AJ16" s="3">
        <f t="shared" si="68"/>
        <v>396.14834437579424</v>
      </c>
      <c r="AK16" s="3">
        <f t="shared" si="68"/>
        <v>409.77509861778219</v>
      </c>
      <c r="AL16" s="3">
        <f t="shared" si="68"/>
        <v>423.77008690134727</v>
      </c>
    </row>
    <row r="17" spans="2:45" x14ac:dyDescent="0.2">
      <c r="B17" s="3" t="s">
        <v>48</v>
      </c>
      <c r="C17" s="5">
        <f t="shared" ref="C17" si="69">+C15-C16</f>
        <v>72.2</v>
      </c>
      <c r="D17" s="5">
        <f t="shared" ref="D17" si="70">+D15-D16</f>
        <v>49.2</v>
      </c>
      <c r="E17" s="5">
        <f t="shared" ref="E17" si="71">+E15-E16</f>
        <v>110.70000000000006</v>
      </c>
      <c r="F17" s="5">
        <f>+F15-F16</f>
        <v>65.5</v>
      </c>
      <c r="G17" s="5">
        <f>+G15-G16</f>
        <v>64.000000000000014</v>
      </c>
      <c r="H17" s="5">
        <f>+H15-H16</f>
        <v>25.1</v>
      </c>
      <c r="I17" s="5">
        <f>+I15-I16</f>
        <v>46.400000000000006</v>
      </c>
      <c r="J17" s="5">
        <f t="shared" ref="J17" si="72">+J15-J16</f>
        <v>37.9</v>
      </c>
      <c r="K17" s="5">
        <f>+K15-K16</f>
        <v>57.39999999999997</v>
      </c>
      <c r="L17" s="5">
        <f>+L15-L16</f>
        <v>-6.9999999999999769</v>
      </c>
      <c r="M17" s="5">
        <f>+M15-M16</f>
        <v>52.499999999999929</v>
      </c>
      <c r="N17" s="5">
        <f t="shared" ref="N17:O17" si="73">+N15-N16</f>
        <v>57.20000000000001</v>
      </c>
      <c r="O17" s="5">
        <f t="shared" si="73"/>
        <v>140.40860000000001</v>
      </c>
      <c r="P17" s="5"/>
      <c r="Q17" s="5"/>
      <c r="R17" s="5"/>
      <c r="S17" s="5"/>
      <c r="AC17" s="3">
        <f>+AC15-AC16</f>
        <v>539.88860000000011</v>
      </c>
      <c r="AD17" s="3">
        <f t="shared" ref="AD17:AL17" si="74">+AD15-AD16</f>
        <v>955.61940000000027</v>
      </c>
      <c r="AE17" s="3">
        <f t="shared" si="74"/>
        <v>1109.9894256000002</v>
      </c>
      <c r="AF17" s="3">
        <f t="shared" si="74"/>
        <v>1224.0809298144</v>
      </c>
      <c r="AG17" s="3">
        <f t="shared" si="74"/>
        <v>1314.2383480299461</v>
      </c>
      <c r="AH17" s="3">
        <f t="shared" si="74"/>
        <v>1419.7648280776648</v>
      </c>
      <c r="AI17" s="3">
        <f t="shared" si="74"/>
        <v>1531.5231816312789</v>
      </c>
      <c r="AJ17" s="3">
        <f t="shared" si="74"/>
        <v>1584.5933775031767</v>
      </c>
      <c r="AK17" s="3">
        <f t="shared" si="74"/>
        <v>1639.1003944711288</v>
      </c>
      <c r="AL17" s="3">
        <f t="shared" si="74"/>
        <v>1695.0803476053891</v>
      </c>
      <c r="AM17" s="3"/>
      <c r="AN17" s="3"/>
      <c r="AO17" s="3"/>
      <c r="AP17" s="3"/>
    </row>
    <row r="18" spans="2:45" x14ac:dyDescent="0.2">
      <c r="B18" s="3" t="s">
        <v>49</v>
      </c>
      <c r="C18" s="4">
        <f t="shared" ref="C18" si="75">+C17/C19</f>
        <v>0.74279835390946503</v>
      </c>
      <c r="D18" s="4">
        <f t="shared" ref="D18" si="76">+D17/D19</f>
        <v>0.5072164948453608</v>
      </c>
      <c r="E18" s="4">
        <f t="shared" ref="E18" si="77">+E17/E19</f>
        <v>1.1272912423625261</v>
      </c>
      <c r="F18" s="4">
        <f>+F17/F19</f>
        <v>0.70203644158628087</v>
      </c>
      <c r="G18" s="4">
        <f>+G17/G19</f>
        <v>0.65843621399176966</v>
      </c>
      <c r="H18" s="4">
        <f>+H17/H19</f>
        <v>0.25560081466395113</v>
      </c>
      <c r="I18" s="4">
        <f>+I17/I19</f>
        <v>0.47492323439099288</v>
      </c>
      <c r="J18" s="4">
        <f t="shared" ref="J18" si="78">+J17/J19</f>
        <v>0.38792221084953937</v>
      </c>
      <c r="K18" s="4">
        <f>+K17/K19</f>
        <v>0.60484720758693322</v>
      </c>
      <c r="L18" s="4">
        <f>+L17/L19</f>
        <v>-7.172131147540961E-2</v>
      </c>
      <c r="M18" s="4">
        <f>+M17/M19</f>
        <v>0.54916317991631725</v>
      </c>
      <c r="N18" s="4">
        <f>+N17/N19</f>
        <v>0.57777777777777783</v>
      </c>
      <c r="O18" s="4">
        <f>+O17/O19</f>
        <v>1.4182686868686869</v>
      </c>
      <c r="P18" s="4"/>
      <c r="Q18" s="4"/>
      <c r="R18" s="4"/>
      <c r="S18" s="4"/>
      <c r="AC18" s="1">
        <f>+AC17/AC19</f>
        <v>5.5203333333333342</v>
      </c>
      <c r="AD18" s="1">
        <f>+AD17/AD19</f>
        <v>9.771159509202457</v>
      </c>
      <c r="AE18" s="1">
        <f t="shared" ref="AE18:AL18" si="79">+AE17/AE19</f>
        <v>11.349585128834358</v>
      </c>
      <c r="AF18" s="1">
        <f t="shared" si="79"/>
        <v>12.516164926527606</v>
      </c>
      <c r="AG18" s="1">
        <f t="shared" si="79"/>
        <v>13.438019918506606</v>
      </c>
      <c r="AH18" s="1">
        <f t="shared" si="79"/>
        <v>14.517022781980213</v>
      </c>
      <c r="AI18" s="1">
        <f t="shared" si="79"/>
        <v>15.65974623344866</v>
      </c>
      <c r="AJ18" s="1">
        <f t="shared" si="79"/>
        <v>16.202386273038616</v>
      </c>
      <c r="AK18" s="1">
        <f t="shared" si="79"/>
        <v>16.759717734878617</v>
      </c>
      <c r="AL18" s="1">
        <f t="shared" si="79"/>
        <v>17.332109893715636</v>
      </c>
      <c r="AM18" s="1"/>
      <c r="AN18" s="1"/>
      <c r="AO18" s="1"/>
      <c r="AP18" s="1"/>
    </row>
    <row r="19" spans="2:45" s="3" customFormat="1" x14ac:dyDescent="0.2">
      <c r="B19" s="3" t="s">
        <v>1</v>
      </c>
      <c r="C19" s="5">
        <v>97.2</v>
      </c>
      <c r="D19" s="5">
        <v>97</v>
      </c>
      <c r="E19" s="5">
        <v>98.2</v>
      </c>
      <c r="F19" s="5">
        <v>93.3</v>
      </c>
      <c r="G19" s="5">
        <v>97.2</v>
      </c>
      <c r="H19" s="5">
        <v>98.2</v>
      </c>
      <c r="I19" s="5">
        <v>97.7</v>
      </c>
      <c r="J19" s="5">
        <v>97.7</v>
      </c>
      <c r="K19" s="5">
        <v>94.9</v>
      </c>
      <c r="L19" s="5">
        <v>97.6</v>
      </c>
      <c r="M19" s="5">
        <v>95.6</v>
      </c>
      <c r="N19" s="5">
        <v>99</v>
      </c>
      <c r="O19" s="5">
        <f>+N19</f>
        <v>99</v>
      </c>
      <c r="P19" s="5"/>
      <c r="Q19" s="5"/>
      <c r="R19" s="5"/>
      <c r="S19" s="5"/>
      <c r="AC19" s="3">
        <f>AVERAGE(L19:O19)</f>
        <v>97.8</v>
      </c>
      <c r="AD19" s="3">
        <f>+AC19</f>
        <v>97.8</v>
      </c>
      <c r="AE19" s="3">
        <f t="shared" ref="AE19:AL19" si="80">+AD19</f>
        <v>97.8</v>
      </c>
      <c r="AF19" s="3">
        <f t="shared" si="80"/>
        <v>97.8</v>
      </c>
      <c r="AG19" s="3">
        <f t="shared" si="80"/>
        <v>97.8</v>
      </c>
      <c r="AH19" s="3">
        <f t="shared" si="80"/>
        <v>97.8</v>
      </c>
      <c r="AI19" s="3">
        <f t="shared" si="80"/>
        <v>97.8</v>
      </c>
      <c r="AJ19" s="3">
        <f t="shared" si="80"/>
        <v>97.8</v>
      </c>
      <c r="AK19" s="3">
        <f t="shared" si="80"/>
        <v>97.8</v>
      </c>
      <c r="AL19" s="3">
        <f t="shared" si="80"/>
        <v>97.8</v>
      </c>
    </row>
    <row r="21" spans="2:45" x14ac:dyDescent="0.2">
      <c r="B21" s="3" t="s">
        <v>75</v>
      </c>
      <c r="H21" s="16">
        <f t="shared" ref="H21:M21" si="81">+H5/D5-1</f>
        <v>-4.3271311120729461E-4</v>
      </c>
      <c r="I21" s="16">
        <f t="shared" si="81"/>
        <v>-2.989536621823663E-3</v>
      </c>
      <c r="J21" s="16">
        <f t="shared" si="81"/>
        <v>0.13656040928768198</v>
      </c>
      <c r="K21" s="16">
        <f t="shared" si="81"/>
        <v>0.25777041027766256</v>
      </c>
      <c r="L21" s="16">
        <f t="shared" si="81"/>
        <v>0.32034632034632038</v>
      </c>
      <c r="M21" s="16">
        <f t="shared" si="81"/>
        <v>0.31934032983508231</v>
      </c>
      <c r="N21" s="16">
        <f t="shared" ref="N21:O21" si="82">+N5/J5-1</f>
        <v>0.31336565096952906</v>
      </c>
      <c r="O21" s="16">
        <f t="shared" si="82"/>
        <v>0.19999999999999996</v>
      </c>
      <c r="P21" s="16"/>
      <c r="Q21" s="16"/>
      <c r="R21" s="16"/>
      <c r="S21" s="16"/>
      <c r="AB21" s="17">
        <f>+AB5/AA5-1</f>
        <v>9.6569761593400916E-2</v>
      </c>
      <c r="AC21" s="17">
        <f>+AC5/AB5-1</f>
        <v>0.28474451885148166</v>
      </c>
      <c r="AD21" s="17">
        <f>+AD5/AC5-1</f>
        <v>0.10000000000000009</v>
      </c>
      <c r="AE21" s="17">
        <f t="shared" ref="AE21:AL21" si="83">+AE5/AD5-1</f>
        <v>0.10000000000000009</v>
      </c>
      <c r="AF21" s="17">
        <f t="shared" si="83"/>
        <v>5.0000000000000044E-2</v>
      </c>
      <c r="AG21" s="17">
        <f t="shared" si="83"/>
        <v>5.0000000000000044E-2</v>
      </c>
      <c r="AH21" s="17">
        <f t="shared" si="83"/>
        <v>5.0000000000000044E-2</v>
      </c>
      <c r="AI21" s="17">
        <f t="shared" si="83"/>
        <v>5.0000000000000044E-2</v>
      </c>
      <c r="AJ21" s="17">
        <f t="shared" si="83"/>
        <v>1.0000000000000009E-2</v>
      </c>
      <c r="AK21" s="17">
        <f t="shared" si="83"/>
        <v>1.0000000000000009E-2</v>
      </c>
      <c r="AL21" s="17">
        <f t="shared" si="83"/>
        <v>1.0000000000000009E-2</v>
      </c>
      <c r="AM21" s="17"/>
      <c r="AN21" s="17"/>
      <c r="AO21" s="17"/>
      <c r="AP21" s="17"/>
    </row>
    <row r="23" spans="2:45" x14ac:dyDescent="0.2">
      <c r="B23" s="3" t="s">
        <v>76</v>
      </c>
      <c r="C23" s="16">
        <f t="shared" ref="C23" si="84">C9/C7</f>
        <v>0.98975829578041785</v>
      </c>
      <c r="D23" s="16">
        <f t="shared" ref="D23" si="85">D9/D7</f>
        <v>0.99114297764656267</v>
      </c>
      <c r="E23" s="16">
        <f t="shared" ref="E23" si="86">E9/E7</f>
        <v>0.99206349206349209</v>
      </c>
      <c r="F23" s="16">
        <f t="shared" ref="F23:M23" si="87">F9/F7</f>
        <v>0.98878143133462282</v>
      </c>
      <c r="G23" s="16">
        <f t="shared" si="87"/>
        <v>0.98830173457039128</v>
      </c>
      <c r="H23" s="16">
        <f t="shared" si="87"/>
        <v>0.98774302620456467</v>
      </c>
      <c r="I23" s="16">
        <f t="shared" si="87"/>
        <v>0.98926964347525093</v>
      </c>
      <c r="J23" s="16">
        <f t="shared" si="87"/>
        <v>0.9858108108108109</v>
      </c>
      <c r="K23" s="16">
        <f t="shared" si="87"/>
        <v>0.98685897435897429</v>
      </c>
      <c r="L23" s="16">
        <f t="shared" si="87"/>
        <v>0.98518995492594974</v>
      </c>
      <c r="M23" s="16">
        <f t="shared" si="87"/>
        <v>0.98730830248545742</v>
      </c>
      <c r="N23" s="16">
        <f t="shared" ref="N23:O23" si="88">N9/N7</f>
        <v>0.98427429749935547</v>
      </c>
      <c r="O23" s="16">
        <f t="shared" si="88"/>
        <v>0.99</v>
      </c>
      <c r="P23" s="16"/>
      <c r="Q23" s="16"/>
      <c r="R23" s="16"/>
      <c r="S23" s="16"/>
      <c r="AC23" s="16">
        <f t="shared" ref="AC23:AL23" si="89">AC9/AC7</f>
        <v>0.98674288172043012</v>
      </c>
      <c r="AD23" s="16">
        <f t="shared" si="89"/>
        <v>0.9900000000000001</v>
      </c>
      <c r="AE23" s="16">
        <f t="shared" si="89"/>
        <v>0.9900000000000001</v>
      </c>
      <c r="AF23" s="16">
        <f t="shared" si="89"/>
        <v>0.99</v>
      </c>
      <c r="AG23" s="16">
        <f t="shared" si="89"/>
        <v>0.99</v>
      </c>
      <c r="AH23" s="16">
        <f t="shared" si="89"/>
        <v>0.99</v>
      </c>
      <c r="AI23" s="16">
        <f t="shared" si="89"/>
        <v>0.99</v>
      </c>
      <c r="AJ23" s="16">
        <f t="shared" si="89"/>
        <v>0.99</v>
      </c>
      <c r="AK23" s="16">
        <f t="shared" si="89"/>
        <v>0.9900000000000001</v>
      </c>
      <c r="AL23" s="16">
        <f t="shared" si="89"/>
        <v>0.98999999999999988</v>
      </c>
      <c r="AM23" s="16"/>
      <c r="AN23" s="16"/>
      <c r="AO23" s="16"/>
      <c r="AP23" s="16"/>
      <c r="AR23" t="s">
        <v>84</v>
      </c>
      <c r="AS23" s="17">
        <v>0.08</v>
      </c>
    </row>
    <row r="24" spans="2:45" x14ac:dyDescent="0.2">
      <c r="AR24" t="s">
        <v>83</v>
      </c>
      <c r="AS24" s="3">
        <f>NPV(AS23,AD17:AP17)+Main!L5-Main!L6</f>
        <v>9331.9887582974225</v>
      </c>
    </row>
    <row r="25" spans="2:45" x14ac:dyDescent="0.2">
      <c r="B25" t="s">
        <v>3</v>
      </c>
      <c r="M25" s="2">
        <f>1137-169</f>
        <v>968</v>
      </c>
      <c r="N25" s="5"/>
      <c r="O25" s="5"/>
      <c r="P25" s="5"/>
      <c r="Q25" s="5"/>
      <c r="R25" s="5"/>
      <c r="S25" s="5"/>
      <c r="AC25" s="3">
        <f>+O25</f>
        <v>0</v>
      </c>
      <c r="AD25" s="3">
        <f>+AC25+AD17</f>
        <v>955.61940000000027</v>
      </c>
      <c r="AE25" s="3">
        <f t="shared" ref="AE25:AL25" si="90">+AD25+AE17</f>
        <v>2065.6088256000003</v>
      </c>
      <c r="AF25" s="3">
        <f t="shared" si="90"/>
        <v>3289.6897554144002</v>
      </c>
      <c r="AG25" s="3">
        <f t="shared" si="90"/>
        <v>4603.9281034443466</v>
      </c>
      <c r="AH25" s="3">
        <f t="shared" si="90"/>
        <v>6023.6929315220113</v>
      </c>
      <c r="AI25" s="3">
        <f t="shared" si="90"/>
        <v>7555.2161131532903</v>
      </c>
      <c r="AJ25" s="3">
        <f t="shared" si="90"/>
        <v>9139.8094906564675</v>
      </c>
      <c r="AK25" s="3">
        <f t="shared" si="90"/>
        <v>10778.909885127596</v>
      </c>
      <c r="AL25" s="3">
        <f t="shared" si="90"/>
        <v>12473.990232732986</v>
      </c>
      <c r="AM25" s="3"/>
      <c r="AN25" s="3"/>
      <c r="AO25" s="3"/>
      <c r="AP25" s="3"/>
      <c r="AR25" t="s">
        <v>85</v>
      </c>
      <c r="AS25" s="1">
        <f>AS24/Main!L3</f>
        <v>97.57481191546124</v>
      </c>
    </row>
    <row r="26" spans="2:45" x14ac:dyDescent="0.2">
      <c r="AR26" t="s">
        <v>86</v>
      </c>
      <c r="AS26" s="17">
        <v>0.03</v>
      </c>
    </row>
  </sheetData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4248D-D5A5-4F71-9210-08718D86A5A2}">
  <dimension ref="A1:C7"/>
  <sheetViews>
    <sheetView zoomScale="175" zoomScaleNormal="175" workbookViewId="0">
      <selection activeCell="C8" sqref="C8"/>
    </sheetView>
  </sheetViews>
  <sheetFormatPr defaultRowHeight="12.75" x14ac:dyDescent="0.2"/>
  <cols>
    <col min="1" max="1" width="5" bestFit="1" customWidth="1"/>
  </cols>
  <sheetData>
    <row r="1" spans="1:3" x14ac:dyDescent="0.2">
      <c r="A1" s="18" t="s">
        <v>7</v>
      </c>
    </row>
    <row r="2" spans="1:3" x14ac:dyDescent="0.2">
      <c r="B2" t="s">
        <v>22</v>
      </c>
      <c r="C2" t="s">
        <v>28</v>
      </c>
    </row>
    <row r="3" spans="1:3" x14ac:dyDescent="0.2">
      <c r="B3" t="s">
        <v>78</v>
      </c>
      <c r="C3" t="s">
        <v>79</v>
      </c>
    </row>
    <row r="4" spans="1:3" x14ac:dyDescent="0.2">
      <c r="B4" t="s">
        <v>24</v>
      </c>
      <c r="C4" t="s">
        <v>80</v>
      </c>
    </row>
    <row r="5" spans="1:3" x14ac:dyDescent="0.2">
      <c r="B5" t="s">
        <v>37</v>
      </c>
      <c r="C5" t="s">
        <v>81</v>
      </c>
    </row>
    <row r="6" spans="1:3" x14ac:dyDescent="0.2">
      <c r="B6" t="s">
        <v>32</v>
      </c>
      <c r="C6" t="s">
        <v>82</v>
      </c>
    </row>
    <row r="7" spans="1:3" x14ac:dyDescent="0.2">
      <c r="C7" t="s">
        <v>87</v>
      </c>
    </row>
  </sheetData>
  <hyperlinks>
    <hyperlink ref="A1" location="Main!A1" display="Main" xr:uid="{738B9C3C-07B1-41C3-84F3-F8473D8F0C9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Model</vt:lpstr>
      <vt:lpstr>Ingrezza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2022-10-14T17:50:27Z</dcterms:created>
  <dcterms:modified xsi:type="dcterms:W3CDTF">2023-01-04T02:47:37Z</dcterms:modified>
</cp:coreProperties>
</file>