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38288F1-F82A-4D71-8F55-7A3BF75FDEED}" xr6:coauthVersionLast="47" xr6:coauthVersionMax="47" xr10:uidLastSave="{00000000-0000-0000-0000-000000000000}"/>
  <bookViews>
    <workbookView xWindow="9270" yWindow="7395" windowWidth="21420" windowHeight="13530" activeTab="1" xr2:uid="{00000000-000D-0000-FFFF-FFFF00000000}"/>
  </bookViews>
  <sheets>
    <sheet name="Main" sheetId="25" r:id="rId1"/>
    <sheet name="Model" sheetId="6" r:id="rId2"/>
    <sheet name="Type 2 Diabetes" sheetId="29" r:id="rId3"/>
    <sheet name="Victoza" sheetId="26" r:id="rId4"/>
    <sheet name="NovoLog" sheetId="27" r:id="rId5"/>
    <sheet name="Levemir" sheetId="28" r:id="rId6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Model!$A$2:$CH$47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1" i="6" l="1"/>
  <c r="BJ26" i="6"/>
  <c r="BJ27" i="6"/>
  <c r="BN12" i="6"/>
  <c r="BM12" i="6"/>
  <c r="BL12" i="6"/>
  <c r="BK12" i="6"/>
  <c r="BJ12" i="6"/>
  <c r="BI12" i="6"/>
  <c r="BH12" i="6"/>
  <c r="BG12" i="6"/>
  <c r="BF12" i="6"/>
  <c r="BJ10" i="6"/>
  <c r="BI70" i="6"/>
  <c r="BI85" i="6"/>
  <c r="BI82" i="6"/>
  <c r="BI81" i="6"/>
  <c r="BI80" i="6"/>
  <c r="BI87" i="6" s="1"/>
  <c r="BI71" i="6"/>
  <c r="BI78" i="6" s="1"/>
  <c r="BI73" i="6"/>
  <c r="BI72" i="6"/>
  <c r="BI42" i="6"/>
  <c r="BI53" i="6"/>
  <c r="BI52" i="6"/>
  <c r="BI51" i="6"/>
  <c r="BI27" i="6"/>
  <c r="BI26" i="6"/>
  <c r="BI10" i="6"/>
  <c r="BI54" i="6" s="1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I33" i="6"/>
  <c r="CI39" i="6" s="1"/>
  <c r="CI43" i="6" s="1"/>
  <c r="CI45" i="6" s="1"/>
  <c r="CI42" i="6"/>
  <c r="CH42" i="6"/>
  <c r="CG42" i="6"/>
  <c r="CI38" i="6"/>
  <c r="CH38" i="6"/>
  <c r="CG38" i="6"/>
  <c r="CG33" i="6"/>
  <c r="CH33" i="6"/>
  <c r="CO49" i="6"/>
  <c r="CN49" i="6"/>
  <c r="CM49" i="6"/>
  <c r="CL49" i="6"/>
  <c r="CK49" i="6"/>
  <c r="CJ49" i="6"/>
  <c r="CI49" i="6"/>
  <c r="CH49" i="6"/>
  <c r="CG49" i="6"/>
  <c r="CE38" i="6"/>
  <c r="CD38" i="6"/>
  <c r="CE42" i="6"/>
  <c r="CD42" i="6"/>
  <c r="CC42" i="6"/>
  <c r="CN38" i="6"/>
  <c r="CP55" i="6"/>
  <c r="CO55" i="6"/>
  <c r="CN55" i="6"/>
  <c r="CM55" i="6"/>
  <c r="CL55" i="6"/>
  <c r="CK55" i="6"/>
  <c r="CJ55" i="6"/>
  <c r="CA31" i="6"/>
  <c r="CD31" i="6"/>
  <c r="CD33" i="6" s="1"/>
  <c r="CD39" i="6" s="1"/>
  <c r="CE31" i="6"/>
  <c r="CF49" i="6" s="1"/>
  <c r="CA30" i="6"/>
  <c r="CA29" i="6"/>
  <c r="CA28" i="6"/>
  <c r="CA23" i="6"/>
  <c r="CA21" i="6"/>
  <c r="CA17" i="6"/>
  <c r="CA11" i="6"/>
  <c r="CA10" i="6"/>
  <c r="CB14" i="6"/>
  <c r="CC29" i="6"/>
  <c r="CC21" i="6"/>
  <c r="CC17" i="6"/>
  <c r="CC11" i="6"/>
  <c r="CC14" i="6"/>
  <c r="BB53" i="6"/>
  <c r="BB52" i="6"/>
  <c r="BB51" i="6"/>
  <c r="AX38" i="6"/>
  <c r="AX39" i="6" s="1"/>
  <c r="AX43" i="6" s="1"/>
  <c r="AX27" i="6"/>
  <c r="AX10" i="6"/>
  <c r="AX12" i="6" s="1"/>
  <c r="AX31" i="6" s="1"/>
  <c r="AX57" i="6" s="1"/>
  <c r="AW31" i="6"/>
  <c r="AV31" i="6"/>
  <c r="AU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53" i="6"/>
  <c r="BG53" i="6"/>
  <c r="BF53" i="6"/>
  <c r="BE53" i="6"/>
  <c r="BD53" i="6"/>
  <c r="BG51" i="6"/>
  <c r="BF51" i="6"/>
  <c r="BE51" i="6"/>
  <c r="BD51" i="6"/>
  <c r="BH51" i="6"/>
  <c r="BK25" i="6"/>
  <c r="BN25" i="6"/>
  <c r="BM25" i="6"/>
  <c r="BL25" i="6"/>
  <c r="BK24" i="6"/>
  <c r="BN24" i="6"/>
  <c r="BM24" i="6"/>
  <c r="BL24" i="6"/>
  <c r="BL23" i="6"/>
  <c r="BK23" i="6"/>
  <c r="BN23" i="6"/>
  <c r="BM23" i="6"/>
  <c r="BK21" i="6"/>
  <c r="BN21" i="6"/>
  <c r="BM21" i="6"/>
  <c r="BL21" i="6"/>
  <c r="BL19" i="6"/>
  <c r="BL53" i="6" s="1"/>
  <c r="BK19" i="6"/>
  <c r="BK53" i="6" s="1"/>
  <c r="BN19" i="6"/>
  <c r="BN53" i="6" s="1"/>
  <c r="BK18" i="6"/>
  <c r="BL18" i="6" s="1"/>
  <c r="BM18" i="6" s="1"/>
  <c r="BN18" i="6" s="1"/>
  <c r="BL16" i="6"/>
  <c r="BL51" i="6" s="1"/>
  <c r="BK16" i="6"/>
  <c r="BK51" i="6" s="1"/>
  <c r="BN16" i="6"/>
  <c r="BN51" i="6" s="1"/>
  <c r="BN15" i="6"/>
  <c r="BM15" i="6"/>
  <c r="BL15" i="6"/>
  <c r="BK15" i="6"/>
  <c r="BK14" i="6"/>
  <c r="BM14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M27" i="6" s="1"/>
  <c r="BE26" i="6"/>
  <c r="BM26" i="6" s="1"/>
  <c r="BE10" i="6"/>
  <c r="BE12" i="6" s="1"/>
  <c r="BG10" i="6"/>
  <c r="BF10" i="6"/>
  <c r="BF27" i="6"/>
  <c r="BN27" i="6" s="1"/>
  <c r="BF26" i="6"/>
  <c r="CN10" i="6"/>
  <c r="CN12" i="6" s="1"/>
  <c r="CM10" i="6"/>
  <c r="CM12" i="6" s="1"/>
  <c r="CN39" i="6"/>
  <c r="CM38" i="6"/>
  <c r="CM39" i="6" s="1"/>
  <c r="CL38" i="6"/>
  <c r="CL39" i="6" s="1"/>
  <c r="CK38" i="6"/>
  <c r="CK39" i="6" s="1"/>
  <c r="CJ38" i="6"/>
  <c r="CJ39" i="6" s="1"/>
  <c r="CI2" i="6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BG52" i="6"/>
  <c r="BG27" i="6"/>
  <c r="BK27" i="6" s="1"/>
  <c r="BC27" i="6"/>
  <c r="BC26" i="6"/>
  <c r="BG26" i="6"/>
  <c r="BK26" i="6" s="1"/>
  <c r="AB38" i="6"/>
  <c r="AB39" i="6" s="1"/>
  <c r="AB43" i="6" s="1"/>
  <c r="BN26" i="6" l="1"/>
  <c r="CE33" i="6"/>
  <c r="CE39" i="6" s="1"/>
  <c r="CE49" i="6"/>
  <c r="CI55" i="6"/>
  <c r="BB54" i="6"/>
  <c r="AZ58" i="6"/>
  <c r="BA31" i="6"/>
  <c r="BA32" i="6" s="1"/>
  <c r="AX58" i="6"/>
  <c r="AX45" i="6"/>
  <c r="AX46" i="6" s="1"/>
  <c r="AX32" i="6"/>
  <c r="BA58" i="6"/>
  <c r="BB58" i="6"/>
  <c r="BJ37" i="6"/>
  <c r="BK37" i="6" s="1"/>
  <c r="BL37" i="6" s="1"/>
  <c r="BD57" i="6"/>
  <c r="AX55" i="6"/>
  <c r="AX56" i="6"/>
  <c r="AY58" i="6"/>
  <c r="BJ42" i="6"/>
  <c r="BM19" i="6"/>
  <c r="BM53" i="6" s="1"/>
  <c r="BA57" i="6"/>
  <c r="BA56" i="6"/>
  <c r="BA55" i="6"/>
  <c r="BJ52" i="6"/>
  <c r="BJ53" i="6"/>
  <c r="BL27" i="6"/>
  <c r="AZ31" i="6"/>
  <c r="AZ57" i="6" s="1"/>
  <c r="BC43" i="6"/>
  <c r="AY31" i="6"/>
  <c r="AY57" i="6" s="1"/>
  <c r="BF58" i="6"/>
  <c r="BF45" i="6"/>
  <c r="BF46" i="6" s="1"/>
  <c r="BE45" i="6"/>
  <c r="BE46" i="6" s="1"/>
  <c r="BG58" i="6"/>
  <c r="BC45" i="6"/>
  <c r="BC46" i="6" s="1"/>
  <c r="BC58" i="6"/>
  <c r="BL26" i="6"/>
  <c r="BJ51" i="6"/>
  <c r="BG31" i="6"/>
  <c r="BG57" i="6" s="1"/>
  <c r="BE31" i="6"/>
  <c r="BK52" i="6"/>
  <c r="BJ54" i="6"/>
  <c r="BM16" i="6"/>
  <c r="BM51" i="6" s="1"/>
  <c r="BB31" i="6"/>
  <c r="BH54" i="6"/>
  <c r="BF31" i="6"/>
  <c r="BL14" i="6"/>
  <c r="BL52" i="6" s="1"/>
  <c r="BG54" i="6"/>
  <c r="BN14" i="6"/>
  <c r="BN52" i="6" s="1"/>
  <c r="BC54" i="6"/>
  <c r="BD54" i="6"/>
  <c r="BC31" i="6"/>
  <c r="BC57" i="6" s="1"/>
  <c r="BE54" i="6"/>
  <c r="BF54" i="6"/>
  <c r="BD33" i="6"/>
  <c r="BD49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B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C28" i="6" s="1"/>
  <c r="N23" i="6"/>
  <c r="CC23" i="6" s="1"/>
  <c r="O45" i="6"/>
  <c r="O46" i="6" s="1"/>
  <c r="O42" i="6"/>
  <c r="O38" i="6"/>
  <c r="O39" i="6" s="1"/>
  <c r="L42" i="6"/>
  <c r="M42" i="6"/>
  <c r="N42" i="6" s="1"/>
  <c r="K30" i="6"/>
  <c r="CC30" i="6" s="1"/>
  <c r="N36" i="6"/>
  <c r="N35" i="6"/>
  <c r="K38" i="6"/>
  <c r="K39" i="6" s="1"/>
  <c r="K43" i="6" s="1"/>
  <c r="J29" i="6"/>
  <c r="J28" i="6"/>
  <c r="CB28" i="6" s="1"/>
  <c r="J23" i="6"/>
  <c r="CB23" i="6" s="1"/>
  <c r="J21" i="6"/>
  <c r="CB21" i="6" s="1"/>
  <c r="J11" i="6"/>
  <c r="CB11" i="6" s="1"/>
  <c r="J10" i="6"/>
  <c r="CB10" i="6" s="1"/>
  <c r="CB36" i="6"/>
  <c r="CB35" i="6"/>
  <c r="CB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T38" i="6"/>
  <c r="BT42" i="6" s="1"/>
  <c r="BT44" i="6" s="1"/>
  <c r="BS38" i="6"/>
  <c r="BS42" i="6" s="1"/>
  <c r="BS44" i="6" s="1"/>
  <c r="BU38" i="6"/>
  <c r="BU42" i="6" s="1"/>
  <c r="BU44" i="6" s="1"/>
  <c r="BR33" i="6"/>
  <c r="BR38" i="6" s="1"/>
  <c r="BR42" i="6" s="1"/>
  <c r="BR44" i="6" s="1"/>
  <c r="BV39" i="6"/>
  <c r="BV40" i="6"/>
  <c r="BV41" i="6"/>
  <c r="BW39" i="6"/>
  <c r="BW40" i="6"/>
  <c r="BW41" i="6"/>
  <c r="BS32" i="6"/>
  <c r="BT32" i="6"/>
  <c r="BU32" i="6"/>
  <c r="BQ33" i="6"/>
  <c r="BQ38" i="6" s="1"/>
  <c r="BQ42" i="6" s="1"/>
  <c r="BQ44" i="6" s="1"/>
  <c r="BU49" i="6"/>
  <c r="BT49" i="6"/>
  <c r="BS49" i="6"/>
  <c r="BR49" i="6"/>
  <c r="BV49" i="6"/>
  <c r="N34" i="6"/>
  <c r="M38" i="6"/>
  <c r="M39" i="6" s="1"/>
  <c r="N37" i="6"/>
  <c r="L38" i="6"/>
  <c r="L39" i="6" s="1"/>
  <c r="BJ49" i="6" l="1"/>
  <c r="CB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D45" i="6"/>
  <c r="BD46" i="6" s="1"/>
  <c r="BH31" i="6"/>
  <c r="BL54" i="6"/>
  <c r="BF49" i="6"/>
  <c r="BM52" i="6"/>
  <c r="BL31" i="6"/>
  <c r="BL49" i="6" s="1"/>
  <c r="BK31" i="6"/>
  <c r="BK49" i="6" s="1"/>
  <c r="BK54" i="6"/>
  <c r="BI31" i="6"/>
  <c r="BN54" i="6"/>
  <c r="BN31" i="6"/>
  <c r="BN49" i="6" s="1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W42" i="6"/>
  <c r="BW44" i="6" s="1"/>
  <c r="BW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B38" i="6"/>
  <c r="G49" i="6"/>
  <c r="D32" i="6"/>
  <c r="M43" i="6"/>
  <c r="M45" i="6" s="1"/>
  <c r="H49" i="6"/>
  <c r="N38" i="6"/>
  <c r="I55" i="6"/>
  <c r="I59" i="6"/>
  <c r="I49" i="6"/>
  <c r="M3" i="6"/>
  <c r="BV42" i="6"/>
  <c r="BV44" i="6" s="1"/>
  <c r="H59" i="6"/>
  <c r="C55" i="6"/>
  <c r="C32" i="6"/>
  <c r="BU47" i="6"/>
  <c r="BU45" i="6"/>
  <c r="BQ45" i="6"/>
  <c r="BQ47" i="6"/>
  <c r="BS47" i="6"/>
  <c r="BS45" i="6"/>
  <c r="BT45" i="6"/>
  <c r="BT47" i="6"/>
  <c r="BR45" i="6"/>
  <c r="BR47" i="6"/>
  <c r="K58" i="6"/>
  <c r="K45" i="6"/>
  <c r="K46" i="6" s="1"/>
  <c r="K59" i="6" s="1"/>
  <c r="H32" i="6"/>
  <c r="CC38" i="6"/>
  <c r="BI57" i="6" l="1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35" i="6"/>
  <c r="BK57" i="6" s="1"/>
  <c r="BN34" i="6"/>
  <c r="BN35" i="6"/>
  <c r="BN57" i="6" s="1"/>
  <c r="BJ38" i="6"/>
  <c r="BJ39" i="6" s="1"/>
  <c r="BJ43" i="6" s="1"/>
  <c r="BJ44" i="6" s="1"/>
  <c r="BJ58" i="6" s="1"/>
  <c r="BL38" i="6"/>
  <c r="BL56" i="6"/>
  <c r="BJ55" i="6"/>
  <c r="BN56" i="6"/>
  <c r="BN38" i="6"/>
  <c r="BK56" i="6"/>
  <c r="BK38" i="6"/>
  <c r="BL33" i="6"/>
  <c r="BJ32" i="6"/>
  <c r="BN33" i="6"/>
  <c r="BN32" i="6" s="1"/>
  <c r="BK33" i="6"/>
  <c r="BK32" i="6"/>
  <c r="BH33" i="6"/>
  <c r="BH39" i="6" s="1"/>
  <c r="BH43" i="6" s="1"/>
  <c r="BH49" i="6"/>
  <c r="BH55" i="6"/>
  <c r="BM54" i="6"/>
  <c r="BM31" i="6"/>
  <c r="BM49" i="6" s="1"/>
  <c r="L58" i="6"/>
  <c r="L49" i="6"/>
  <c r="L32" i="6"/>
  <c r="CB32" i="6"/>
  <c r="J55" i="6"/>
  <c r="K55" i="6"/>
  <c r="J49" i="6"/>
  <c r="O49" i="6"/>
  <c r="K32" i="6"/>
  <c r="M58" i="6"/>
  <c r="N3" i="6"/>
  <c r="N10" i="6" s="1"/>
  <c r="N31" i="6" s="1"/>
  <c r="M10" i="6"/>
  <c r="CC10" i="6" s="1"/>
  <c r="CC31" i="6" s="1"/>
  <c r="M46" i="6"/>
  <c r="M59" i="6" s="1"/>
  <c r="BV47" i="6"/>
  <c r="CC33" i="6" l="1"/>
  <c r="CD49" i="6"/>
  <c r="BI38" i="6"/>
  <c r="BI39" i="6" s="1"/>
  <c r="BI43" i="6" s="1"/>
  <c r="BI58" i="6" s="1"/>
  <c r="BM34" i="6"/>
  <c r="BM56" i="6" s="1"/>
  <c r="BM35" i="6"/>
  <c r="BM57" i="6" s="1"/>
  <c r="BL39" i="6"/>
  <c r="BL43" i="6" s="1"/>
  <c r="BN39" i="6"/>
  <c r="BN43" i="6" s="1"/>
  <c r="BN44" i="6" s="1"/>
  <c r="BN58" i="6" s="1"/>
  <c r="BK39" i="6"/>
  <c r="BK43" i="6" s="1"/>
  <c r="BK44" i="6" s="1"/>
  <c r="BK58" i="6" s="1"/>
  <c r="BL32" i="6"/>
  <c r="BM38" i="6"/>
  <c r="BN55" i="6"/>
  <c r="BK55" i="6"/>
  <c r="BL55" i="6"/>
  <c r="BM33" i="6"/>
  <c r="BH45" i="6"/>
  <c r="BH46" i="6" s="1"/>
  <c r="BH58" i="6"/>
  <c r="BJ45" i="6"/>
  <c r="BJ46" i="6" s="1"/>
  <c r="BL44" i="6"/>
  <c r="BL58" i="6" s="1"/>
  <c r="BM55" i="6"/>
  <c r="CB33" i="6"/>
  <c r="CB55" i="6" s="1"/>
  <c r="M31" i="6"/>
  <c r="N49" i="6"/>
  <c r="N33" i="6"/>
  <c r="CF38" i="6"/>
  <c r="BM39" i="6" l="1"/>
  <c r="BM43" i="6" s="1"/>
  <c r="BM44" i="6" s="1"/>
  <c r="BM58" i="6" s="1"/>
  <c r="CB39" i="6"/>
  <c r="CB43" i="6" s="1"/>
  <c r="CB44" i="6" s="1"/>
  <c r="CB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C49" i="6"/>
  <c r="BM45" i="6" l="1"/>
  <c r="BM46" i="6" s="1"/>
  <c r="CC39" i="6"/>
  <c r="CC43" i="6" s="1"/>
  <c r="N44" i="6"/>
  <c r="N45" i="6" s="1"/>
  <c r="CC55" i="6" l="1"/>
  <c r="CD55" i="6"/>
  <c r="N46" i="6"/>
  <c r="N59" i="6" s="1"/>
  <c r="CC45" i="6"/>
  <c r="CC46" i="6" s="1"/>
  <c r="N58" i="6"/>
  <c r="CE55" i="6" l="1"/>
  <c r="CD43" i="6"/>
  <c r="CD45" i="6" l="1"/>
  <c r="CD46" i="6" s="1"/>
  <c r="CF55" i="6"/>
  <c r="CF39" i="6"/>
  <c r="CG55" i="6" l="1"/>
  <c r="CG39" i="6"/>
  <c r="CG43" i="6" s="1"/>
  <c r="CE43" i="6"/>
  <c r="CE45" i="6" s="1"/>
  <c r="CE46" i="6" s="1"/>
  <c r="CF43" i="6" l="1"/>
  <c r="CF45" i="6" s="1"/>
  <c r="CH39" i="6"/>
  <c r="CH43" i="6" s="1"/>
  <c r="CH55" i="6"/>
  <c r="CG45" i="6" l="1"/>
  <c r="CH45" i="6" s="1"/>
  <c r="CO45" i="6" l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CZ51" i="6" l="1"/>
  <c r="CZ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</authors>
  <commentList>
    <comment ref="BS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T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U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</commentList>
</comments>
</file>

<file path=xl/sharedStrings.xml><?xml version="1.0" encoding="utf-8"?>
<sst xmlns="http://schemas.openxmlformats.org/spreadsheetml/2006/main" count="277" uniqueCount="228">
  <si>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</si>
  <si>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</si>
  <si>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</si>
  <si>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</si>
  <si>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</si>
  <si>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</si>
  <si>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</si>
  <si>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</si>
  <si>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</si>
  <si>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</si>
  <si>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</si>
  <si>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</si>
  <si>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</si>
  <si>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</si>
  <si>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</si>
  <si>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</si>
  <si>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</si>
  <si>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</si>
  <si>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</si>
  <si>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</si>
  <si>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</si>
  <si>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</si>
  <si>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</si>
  <si>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</si>
  <si>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</si>
  <si>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</si>
  <si>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</si>
  <si>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</si>
  <si>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</si>
  <si>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</si>
  <si>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</si>
  <si>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</si>
  <si>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</si>
  <si>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</si>
  <si>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</si>
  <si>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</si>
  <si>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</si>
  <si>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</si>
  <si>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NN9535 (semaglutide)</t>
  </si>
  <si>
    <t>III</t>
  </si>
  <si>
    <t>QW SC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</si>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</sst>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5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73479</xdr:colOff>
      <xdr:row>0</xdr:row>
      <xdr:rowOff>0</xdr:rowOff>
    </xdr:from>
    <xdr:to>
      <xdr:col>62</xdr:col>
      <xdr:colOff>73479</xdr:colOff>
      <xdr:row>87</xdr:row>
      <xdr:rowOff>78925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29356050" y="0"/>
          <a:ext cx="0" cy="1428478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69397</xdr:colOff>
      <xdr:row>0</xdr:row>
      <xdr:rowOff>0</xdr:rowOff>
    </xdr:from>
    <xdr:to>
      <xdr:col>92</xdr:col>
      <xdr:colOff>69397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928120" y="5442177"/>
          <a:ext cx="10884354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zoomScale="145" zoomScaleNormal="145" workbookViewId="0">
      <selection activeCell="C12" sqref="C12"/>
    </sheetView>
  </sheetViews>
  <sheetFormatPr defaultRowHeight="12.75" x14ac:dyDescent="0.2"/>
  <cols>
    <col min="1" max="1" width="3.28515625" style="24" customWidth="1"/>
    <col min="2" max="2" width="41.5703125" style="24" bestFit="1" customWidth="1"/>
    <col min="3" max="3" width="25.5703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10" style="24" customWidth="1"/>
    <col min="11" max="11" width="7.7109375" style="24" customWidth="1"/>
    <col min="12" max="16384" width="9.140625" style="24"/>
  </cols>
  <sheetData>
    <row r="2" spans="2:11" x14ac:dyDescent="0.2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771.2</v>
      </c>
    </row>
    <row r="3" spans="2:11" x14ac:dyDescent="0.2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2268.5</v>
      </c>
      <c r="K3" s="29" t="s">
        <v>120</v>
      </c>
    </row>
    <row r="4" spans="2:11" x14ac:dyDescent="0.2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1749467.2000000002</v>
      </c>
    </row>
    <row r="5" spans="2:11" x14ac:dyDescent="0.2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120</v>
      </c>
    </row>
    <row r="6" spans="2:11" x14ac:dyDescent="0.2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120</v>
      </c>
    </row>
    <row r="7" spans="2:11" x14ac:dyDescent="0.2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1738030.2000000002</v>
      </c>
    </row>
    <row r="8" spans="2:11" x14ac:dyDescent="0.2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 x14ac:dyDescent="0.2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 x14ac:dyDescent="0.2">
      <c r="B10" s="19" t="s">
        <v>188</v>
      </c>
      <c r="E10" s="20"/>
      <c r="F10" s="26"/>
      <c r="G10" s="27"/>
      <c r="J10" s="25"/>
    </row>
    <row r="11" spans="2:11" x14ac:dyDescent="0.2">
      <c r="B11" s="19" t="s">
        <v>189</v>
      </c>
      <c r="E11" s="20"/>
      <c r="F11" s="26"/>
      <c r="G11" s="27"/>
      <c r="J11" s="25"/>
    </row>
    <row r="12" spans="2:11" x14ac:dyDescent="0.2">
      <c r="B12" s="19" t="s">
        <v>183</v>
      </c>
      <c r="E12" s="20"/>
      <c r="F12" s="26"/>
      <c r="G12" s="27"/>
      <c r="J12" s="25"/>
    </row>
    <row r="13" spans="2:11" x14ac:dyDescent="0.2">
      <c r="B13" s="19" t="s">
        <v>28</v>
      </c>
      <c r="C13" s="26" t="s">
        <v>29</v>
      </c>
      <c r="D13" s="26" t="s">
        <v>30</v>
      </c>
      <c r="E13" s="26"/>
      <c r="F13" s="26"/>
      <c r="G13" s="30"/>
      <c r="J13" s="28"/>
    </row>
    <row r="14" spans="2:11" x14ac:dyDescent="0.2">
      <c r="B14" s="21"/>
      <c r="C14" s="22"/>
      <c r="D14" s="22"/>
      <c r="E14" s="22" t="s">
        <v>31</v>
      </c>
      <c r="F14" s="22"/>
      <c r="G14" s="23"/>
    </row>
    <row r="15" spans="2:11" x14ac:dyDescent="0.2">
      <c r="B15" s="19" t="s">
        <v>32</v>
      </c>
      <c r="C15" s="26" t="s">
        <v>8</v>
      </c>
      <c r="D15" s="26" t="s">
        <v>33</v>
      </c>
      <c r="E15" s="26" t="s">
        <v>34</v>
      </c>
      <c r="F15" s="26"/>
      <c r="G15" s="30"/>
    </row>
    <row r="16" spans="2:11" x14ac:dyDescent="0.2">
      <c r="B16" s="19" t="s">
        <v>35</v>
      </c>
      <c r="C16" s="26" t="s">
        <v>36</v>
      </c>
      <c r="D16" s="26" t="s">
        <v>37</v>
      </c>
      <c r="E16" s="26" t="s">
        <v>34</v>
      </c>
      <c r="F16" s="26"/>
      <c r="G16" s="30"/>
    </row>
    <row r="17" spans="2:7" x14ac:dyDescent="0.2">
      <c r="B17" s="19" t="s">
        <v>38</v>
      </c>
      <c r="C17" s="26" t="s">
        <v>8</v>
      </c>
      <c r="D17" s="26" t="s">
        <v>18</v>
      </c>
      <c r="E17" s="26" t="s">
        <v>39</v>
      </c>
      <c r="F17" s="26" t="s">
        <v>40</v>
      </c>
      <c r="G17" s="30"/>
    </row>
    <row r="18" spans="2:7" x14ac:dyDescent="0.2">
      <c r="B18" s="19" t="s">
        <v>41</v>
      </c>
      <c r="C18" s="26" t="s">
        <v>42</v>
      </c>
      <c r="D18" s="26" t="s">
        <v>43</v>
      </c>
      <c r="E18" s="26" t="s">
        <v>39</v>
      </c>
      <c r="F18" s="26"/>
      <c r="G18" s="30"/>
    </row>
    <row r="19" spans="2:7" x14ac:dyDescent="0.2">
      <c r="B19" s="19" t="s">
        <v>44</v>
      </c>
      <c r="C19" s="26" t="s">
        <v>45</v>
      </c>
      <c r="D19" s="26" t="s">
        <v>46</v>
      </c>
      <c r="E19" s="26" t="s">
        <v>47</v>
      </c>
      <c r="F19" s="26"/>
      <c r="G19" s="30"/>
    </row>
    <row r="20" spans="2:7" x14ac:dyDescent="0.2">
      <c r="B20" s="19" t="s">
        <v>48</v>
      </c>
      <c r="C20" s="26" t="s">
        <v>49</v>
      </c>
      <c r="D20" s="26" t="s">
        <v>50</v>
      </c>
      <c r="E20" s="26" t="s">
        <v>47</v>
      </c>
      <c r="F20" s="26"/>
      <c r="G20" s="30"/>
    </row>
    <row r="21" spans="2:7" x14ac:dyDescent="0.2">
      <c r="B21" s="19" t="s">
        <v>51</v>
      </c>
      <c r="C21" s="26" t="s">
        <v>52</v>
      </c>
      <c r="E21" s="26"/>
      <c r="F21" s="26"/>
      <c r="G21" s="30"/>
    </row>
    <row r="22" spans="2:7" x14ac:dyDescent="0.2">
      <c r="B22" s="19" t="s">
        <v>53</v>
      </c>
      <c r="C22" s="26" t="s">
        <v>54</v>
      </c>
      <c r="D22" s="26" t="s">
        <v>37</v>
      </c>
      <c r="E22" s="26" t="s">
        <v>39</v>
      </c>
      <c r="F22" s="26"/>
      <c r="G22" s="30"/>
    </row>
    <row r="23" spans="2:7" x14ac:dyDescent="0.2">
      <c r="B23" s="19" t="s">
        <v>55</v>
      </c>
      <c r="C23" s="26" t="s">
        <v>56</v>
      </c>
      <c r="D23" s="26" t="s">
        <v>37</v>
      </c>
      <c r="E23" s="26" t="s">
        <v>47</v>
      </c>
      <c r="F23" s="26"/>
      <c r="G23" s="30"/>
    </row>
    <row r="24" spans="2:7" x14ac:dyDescent="0.2">
      <c r="B24" s="31" t="s">
        <v>57</v>
      </c>
      <c r="C24" s="32" t="s">
        <v>8</v>
      </c>
      <c r="D24" s="32" t="s">
        <v>58</v>
      </c>
      <c r="E24" s="32" t="s">
        <v>59</v>
      </c>
      <c r="F24" s="33"/>
      <c r="G24" s="34"/>
    </row>
    <row r="26" spans="2:7" x14ac:dyDescent="0.2">
      <c r="B26" s="24" t="s">
        <v>60</v>
      </c>
      <c r="E26" s="24" t="s">
        <v>61</v>
      </c>
    </row>
    <row r="27" spans="2:7" x14ac:dyDescent="0.2">
      <c r="E27" s="24" t="s">
        <v>226</v>
      </c>
      <c r="F27" s="14"/>
    </row>
    <row r="28" spans="2:7" x14ac:dyDescent="0.2">
      <c r="E28" s="24" t="s">
        <v>227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7"/>
  <sheetViews>
    <sheetView tabSelected="1" zoomScale="175" zoomScaleNormal="175" workbookViewId="0">
      <pane xSplit="2" ySplit="2" topLeftCell="BE22" activePane="bottomRight" state="frozen"/>
      <selection pane="topRight" activeCell="C1" sqref="C1"/>
      <selection pane="bottomLeft" activeCell="A3" sqref="A3"/>
      <selection pane="bottomRight" activeCell="BJ32" sqref="BJ32"/>
    </sheetView>
  </sheetViews>
  <sheetFormatPr defaultRowHeight="12.75" customHeight="1" x14ac:dyDescent="0.2"/>
  <cols>
    <col min="1" max="1" width="5" style="5" bestFit="1" customWidth="1"/>
    <col min="2" max="2" width="19.140625" style="18" customWidth="1"/>
    <col min="3" max="56" width="6.85546875" style="6" customWidth="1"/>
    <col min="57" max="66" width="7.85546875" style="6" customWidth="1"/>
    <col min="67" max="67" width="6.85546875" style="6" customWidth="1"/>
    <col min="68" max="75" width="7.140625" style="6" bestFit="1" customWidth="1"/>
    <col min="76" max="76" width="7.7109375" style="6" customWidth="1"/>
    <col min="77" max="78" width="7.5703125" style="6" bestFit="1" customWidth="1"/>
    <col min="79" max="86" width="7.7109375" style="6" customWidth="1"/>
    <col min="87" max="92" width="7.7109375" style="7" customWidth="1"/>
    <col min="93" max="16384" width="9.140625" style="7"/>
  </cols>
  <sheetData>
    <row r="1" spans="1:138" ht="12.75" customHeight="1" x14ac:dyDescent="0.2">
      <c r="A1" s="16" t="s">
        <v>62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</row>
    <row r="2" spans="1:138" ht="12.75" customHeight="1" x14ac:dyDescent="0.2">
      <c r="A2" s="41"/>
      <c r="B2" s="36"/>
      <c r="C2" s="42" t="s">
        <v>63</v>
      </c>
      <c r="D2" s="42" t="s">
        <v>64</v>
      </c>
      <c r="E2" s="42" t="s">
        <v>65</v>
      </c>
      <c r="F2" s="42" t="s">
        <v>66</v>
      </c>
      <c r="G2" s="42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2" t="s">
        <v>77</v>
      </c>
      <c r="R2" s="42" t="s">
        <v>78</v>
      </c>
      <c r="S2" s="42" t="s">
        <v>79</v>
      </c>
      <c r="T2" s="42" t="s">
        <v>80</v>
      </c>
      <c r="U2" s="42" t="s">
        <v>81</v>
      </c>
      <c r="V2" s="42" t="s">
        <v>82</v>
      </c>
      <c r="W2" s="42" t="s">
        <v>83</v>
      </c>
      <c r="X2" s="42" t="s">
        <v>84</v>
      </c>
      <c r="Y2" s="42" t="s">
        <v>85</v>
      </c>
      <c r="Z2" s="42" t="s">
        <v>86</v>
      </c>
      <c r="AA2" s="42" t="s">
        <v>87</v>
      </c>
      <c r="AB2" s="42" t="s">
        <v>12</v>
      </c>
      <c r="AC2" s="42" t="s">
        <v>88</v>
      </c>
      <c r="AD2" s="42" t="s">
        <v>89</v>
      </c>
      <c r="AE2" s="42" t="s">
        <v>90</v>
      </c>
      <c r="AF2" s="42" t="s">
        <v>91</v>
      </c>
      <c r="AG2" s="42" t="s">
        <v>92</v>
      </c>
      <c r="AH2" s="42" t="s">
        <v>93</v>
      </c>
      <c r="AI2" s="42" t="s">
        <v>94</v>
      </c>
      <c r="AJ2" s="42" t="s">
        <v>95</v>
      </c>
      <c r="AK2" s="42" t="s">
        <v>96</v>
      </c>
      <c r="AL2" s="42" t="s">
        <v>97</v>
      </c>
      <c r="AM2" s="42" t="s">
        <v>98</v>
      </c>
      <c r="AN2" s="42" t="s">
        <v>99</v>
      </c>
      <c r="AO2" s="42" t="s">
        <v>100</v>
      </c>
      <c r="AP2" s="42" t="s">
        <v>101</v>
      </c>
      <c r="AQ2" s="42" t="s">
        <v>102</v>
      </c>
      <c r="AR2" s="42" t="s">
        <v>103</v>
      </c>
      <c r="AS2" s="42" t="s">
        <v>104</v>
      </c>
      <c r="AT2" s="42" t="s">
        <v>105</v>
      </c>
      <c r="AU2" s="42" t="s">
        <v>106</v>
      </c>
      <c r="AV2" s="42" t="s">
        <v>107</v>
      </c>
      <c r="AW2" s="42" t="s">
        <v>108</v>
      </c>
      <c r="AX2" s="42" t="s">
        <v>109</v>
      </c>
      <c r="AY2" s="42" t="s">
        <v>110</v>
      </c>
      <c r="AZ2" s="42" t="s">
        <v>111</v>
      </c>
      <c r="BA2" s="42" t="s">
        <v>112</v>
      </c>
      <c r="BB2" s="42" t="s">
        <v>113</v>
      </c>
      <c r="BC2" s="42" t="s">
        <v>114</v>
      </c>
      <c r="BD2" s="42" t="s">
        <v>115</v>
      </c>
      <c r="BE2" s="42" t="s">
        <v>116</v>
      </c>
      <c r="BF2" s="42" t="s">
        <v>117</v>
      </c>
      <c r="BG2" s="42" t="s">
        <v>118</v>
      </c>
      <c r="BH2" s="42" t="s">
        <v>119</v>
      </c>
      <c r="BI2" s="42" t="s">
        <v>120</v>
      </c>
      <c r="BJ2" s="42" t="s">
        <v>121</v>
      </c>
      <c r="BK2" s="42" t="s">
        <v>198</v>
      </c>
      <c r="BL2" s="42" t="s">
        <v>199</v>
      </c>
      <c r="BM2" s="42" t="s">
        <v>200</v>
      </c>
      <c r="BN2" s="42" t="s">
        <v>201</v>
      </c>
      <c r="BO2" s="42"/>
      <c r="BP2" s="43"/>
      <c r="BQ2" s="42" t="s">
        <v>122</v>
      </c>
      <c r="BR2" s="42" t="s">
        <v>123</v>
      </c>
      <c r="BS2" s="42" t="s">
        <v>124</v>
      </c>
      <c r="BT2" s="42" t="s">
        <v>125</v>
      </c>
      <c r="BU2" s="42" t="s">
        <v>126</v>
      </c>
      <c r="BV2" s="42" t="s">
        <v>127</v>
      </c>
      <c r="BW2" s="42" t="s">
        <v>128</v>
      </c>
      <c r="BX2" s="42">
        <v>2005</v>
      </c>
      <c r="BY2" s="42">
        <v>2006</v>
      </c>
      <c r="BZ2" s="42">
        <v>2007</v>
      </c>
      <c r="CA2" s="42">
        <v>2008</v>
      </c>
      <c r="CB2" s="42">
        <v>2009</v>
      </c>
      <c r="CC2" s="42">
        <v>2010</v>
      </c>
      <c r="CD2" s="42">
        <v>2011</v>
      </c>
      <c r="CE2" s="42">
        <v>2012</v>
      </c>
      <c r="CF2" s="42">
        <v>2013</v>
      </c>
      <c r="CG2" s="42">
        <v>2014</v>
      </c>
      <c r="CH2" s="42">
        <v>2015</v>
      </c>
      <c r="CI2" s="60">
        <f>+CH2+1</f>
        <v>2016</v>
      </c>
      <c r="CJ2" s="60">
        <f t="shared" ref="CJ2:CW2" si="0">+CI2+1</f>
        <v>2017</v>
      </c>
      <c r="CK2" s="60">
        <f t="shared" si="0"/>
        <v>2018</v>
      </c>
      <c r="CL2" s="60">
        <f t="shared" si="0"/>
        <v>2019</v>
      </c>
      <c r="CM2" s="60">
        <f t="shared" si="0"/>
        <v>2020</v>
      </c>
      <c r="CN2" s="60">
        <f t="shared" si="0"/>
        <v>2021</v>
      </c>
      <c r="CO2" s="58">
        <f t="shared" si="0"/>
        <v>2022</v>
      </c>
      <c r="CP2" s="58">
        <f t="shared" si="0"/>
        <v>2023</v>
      </c>
      <c r="CQ2" s="58">
        <f t="shared" si="0"/>
        <v>2024</v>
      </c>
      <c r="CR2" s="58">
        <f t="shared" si="0"/>
        <v>2025</v>
      </c>
      <c r="CS2" s="58">
        <f t="shared" si="0"/>
        <v>2026</v>
      </c>
      <c r="CT2" s="58">
        <f t="shared" si="0"/>
        <v>2027</v>
      </c>
      <c r="CU2" s="58">
        <f t="shared" si="0"/>
        <v>2028</v>
      </c>
      <c r="CV2" s="58">
        <f t="shared" si="0"/>
        <v>2029</v>
      </c>
      <c r="CW2" s="58">
        <f t="shared" si="0"/>
        <v>2030</v>
      </c>
      <c r="CX2" s="58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</row>
    <row r="3" spans="1:138" s="17" customFormat="1" ht="12.75" customHeight="1" x14ac:dyDescent="0.2">
      <c r="A3" s="35"/>
      <c r="B3" s="35" t="s">
        <v>129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>
        <v>3966</v>
      </c>
      <c r="BK3" s="44"/>
      <c r="BL3" s="44"/>
      <c r="BM3" s="44"/>
      <c r="BN3" s="44"/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6"/>
      <c r="CJ3" s="46"/>
      <c r="CK3" s="46"/>
      <c r="CL3" s="46"/>
      <c r="CM3" s="46">
        <v>16928</v>
      </c>
      <c r="CN3" s="46">
        <v>15939</v>
      </c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 spans="1:138" s="17" customFormat="1" ht="12.75" customHeight="1" x14ac:dyDescent="0.2">
      <c r="A4" s="35"/>
      <c r="B4" s="35" t="s">
        <v>186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>
        <v>505</v>
      </c>
      <c r="BK4" s="44"/>
      <c r="BL4" s="44"/>
      <c r="BM4" s="44"/>
      <c r="BN4" s="44"/>
      <c r="BO4" s="44"/>
      <c r="BP4" s="45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6"/>
      <c r="CJ4" s="46"/>
      <c r="CK4" s="46"/>
      <c r="CL4" s="46"/>
      <c r="CM4" s="46">
        <v>1385</v>
      </c>
      <c r="CN4" s="46">
        <v>1748</v>
      </c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 spans="1:138" s="17" customFormat="1" ht="12.75" customHeight="1" x14ac:dyDescent="0.2">
      <c r="A5" s="35"/>
      <c r="B5" s="35" t="s">
        <v>130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>
        <v>1613</v>
      </c>
      <c r="BK5" s="44"/>
      <c r="BL5" s="44"/>
      <c r="BM5" s="44"/>
      <c r="BN5" s="44"/>
      <c r="BO5" s="44"/>
      <c r="BP5" s="45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6"/>
      <c r="CJ5" s="46"/>
      <c r="CK5" s="46"/>
      <c r="CL5" s="46"/>
      <c r="CM5" s="46">
        <v>9634</v>
      </c>
      <c r="CN5" s="46">
        <v>9492</v>
      </c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 spans="1:138" s="17" customFormat="1" ht="12.75" customHeight="1" x14ac:dyDescent="0.2">
      <c r="A6" s="35"/>
      <c r="B6" s="35" t="s">
        <v>187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>
        <v>730</v>
      </c>
      <c r="BK6" s="44"/>
      <c r="BL6" s="44"/>
      <c r="BM6" s="44"/>
      <c r="BN6" s="44"/>
      <c r="BO6" s="44"/>
      <c r="BP6" s="45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6"/>
      <c r="CJ6" s="46"/>
      <c r="CK6" s="46"/>
      <c r="CL6" s="46"/>
      <c r="CM6" s="46">
        <v>1291</v>
      </c>
      <c r="CN6" s="46">
        <v>1711</v>
      </c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 spans="1:138" s="17" customFormat="1" ht="12.75" customHeight="1" x14ac:dyDescent="0.2">
      <c r="A7" s="35"/>
      <c r="B7" s="35" t="s">
        <v>131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>
        <v>2247</v>
      </c>
      <c r="BK7" s="44"/>
      <c r="BL7" s="44"/>
      <c r="BM7" s="44"/>
      <c r="BN7" s="44"/>
      <c r="BO7" s="44"/>
      <c r="BP7" s="45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6"/>
      <c r="CJ7" s="46"/>
      <c r="CK7" s="46"/>
      <c r="CL7" s="46"/>
      <c r="CM7" s="46">
        <v>8968</v>
      </c>
      <c r="CN7" s="46">
        <v>9729</v>
      </c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 spans="1:138" s="17" customFormat="1" ht="12.75" customHeight="1" x14ac:dyDescent="0.2">
      <c r="A8" s="35"/>
      <c r="B8" s="35" t="s">
        <v>132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>
        <v>959</v>
      </c>
      <c r="BK8" s="44"/>
      <c r="BL8" s="44"/>
      <c r="BM8" s="44"/>
      <c r="BN8" s="44"/>
      <c r="BO8" s="44"/>
      <c r="BP8" s="45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6"/>
      <c r="CJ8" s="46"/>
      <c r="CK8" s="46"/>
      <c r="CL8" s="46"/>
      <c r="CM8" s="46">
        <v>7027</v>
      </c>
      <c r="CN8" s="46">
        <v>5678</v>
      </c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 spans="1:138" s="17" customFormat="1" ht="12.75" customHeight="1" x14ac:dyDescent="0.2">
      <c r="A9" s="35"/>
      <c r="B9" s="35" t="s">
        <v>185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>
        <v>696</v>
      </c>
      <c r="BK9" s="44"/>
      <c r="BL9" s="44"/>
      <c r="BM9" s="44"/>
      <c r="BN9" s="44"/>
      <c r="BO9" s="44"/>
      <c r="BP9" s="45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6"/>
      <c r="CJ9" s="46"/>
      <c r="CK9" s="46"/>
      <c r="CL9" s="46"/>
      <c r="CM9" s="46">
        <v>2444</v>
      </c>
      <c r="CN9" s="46">
        <v>2657</v>
      </c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 spans="1:138" s="17" customFormat="1" ht="12.75" customHeight="1" x14ac:dyDescent="0.2">
      <c r="A10" s="35"/>
      <c r="B10" s="35" t="s">
        <v>133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1">SUM(P3:P8)</f>
        <v>0</v>
      </c>
      <c r="Q10" s="44">
        <f t="shared" si="1"/>
        <v>0</v>
      </c>
      <c r="R10" s="44">
        <f t="shared" si="1"/>
        <v>0</v>
      </c>
      <c r="S10" s="44">
        <f t="shared" si="1"/>
        <v>0</v>
      </c>
      <c r="T10" s="44">
        <f t="shared" si="1"/>
        <v>0</v>
      </c>
      <c r="U10" s="44">
        <f t="shared" si="1"/>
        <v>0</v>
      </c>
      <c r="V10" s="44">
        <f t="shared" si="1"/>
        <v>0</v>
      </c>
      <c r="W10" s="44">
        <f t="shared" si="1"/>
        <v>9</v>
      </c>
      <c r="X10" s="44">
        <f t="shared" si="1"/>
        <v>24</v>
      </c>
      <c r="Y10" s="44">
        <f t="shared" si="1"/>
        <v>42</v>
      </c>
      <c r="Z10" s="44">
        <f t="shared" si="1"/>
        <v>68</v>
      </c>
      <c r="AA10" s="44">
        <f t="shared" si="1"/>
        <v>9457</v>
      </c>
      <c r="AB10" s="44">
        <f t="shared" si="1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>
        <f t="shared" ref="AX10:BJ10" si="2">SUM(AX3:AX9)</f>
        <v>12703</v>
      </c>
      <c r="AY10" s="44">
        <f t="shared" si="2"/>
        <v>13227</v>
      </c>
      <c r="AZ10" s="44">
        <f t="shared" si="2"/>
        <v>11292</v>
      </c>
      <c r="BA10" s="44">
        <f t="shared" si="2"/>
        <v>11209</v>
      </c>
      <c r="BB10" s="44">
        <f t="shared" si="2"/>
        <v>11949</v>
      </c>
      <c r="BC10" s="44">
        <f t="shared" si="2"/>
        <v>12331</v>
      </c>
      <c r="BD10" s="44">
        <f t="shared" si="2"/>
        <v>11116</v>
      </c>
      <c r="BE10" s="44">
        <f t="shared" si="2"/>
        <v>11619</v>
      </c>
      <c r="BF10" s="44">
        <f t="shared" si="2"/>
        <v>11888</v>
      </c>
      <c r="BG10" s="44">
        <f t="shared" si="2"/>
        <v>12650</v>
      </c>
      <c r="BH10" s="44">
        <f t="shared" si="2"/>
        <v>10492</v>
      </c>
      <c r="BI10" s="44">
        <f t="shared" si="2"/>
        <v>10908</v>
      </c>
      <c r="BJ10" s="44">
        <f t="shared" si="2"/>
        <v>10716</v>
      </c>
      <c r="BK10" s="44"/>
      <c r="BL10" s="44"/>
      <c r="BM10" s="44"/>
      <c r="BN10" s="44"/>
      <c r="BO10" s="44"/>
      <c r="BP10" s="45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>
        <f>SUM(C10:F10)</f>
        <v>17317</v>
      </c>
      <c r="CB10" s="44">
        <f t="shared" ref="CB10:CB11" si="3">SUM(G10:J10)</f>
        <v>21471</v>
      </c>
      <c r="CC10" s="44">
        <f t="shared" ref="CC10:CC11" si="4">SUM(K10:N10)</f>
        <v>26601</v>
      </c>
      <c r="CD10" s="44">
        <v>28765</v>
      </c>
      <c r="CE10" s="44">
        <v>34821</v>
      </c>
      <c r="CF10" s="44"/>
      <c r="CG10" s="44"/>
      <c r="CH10" s="44"/>
      <c r="CI10" s="46"/>
      <c r="CJ10" s="46"/>
      <c r="CK10" s="46"/>
      <c r="CL10" s="46"/>
      <c r="CM10" s="46">
        <f>SUM(CM3:CM9)</f>
        <v>47677</v>
      </c>
      <c r="CN10" s="46">
        <f>SUM(CN3:CN9)</f>
        <v>46954</v>
      </c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 spans="1:138" ht="12.75" customHeight="1" x14ac:dyDescent="0.2">
      <c r="A11" s="41"/>
      <c r="B11" s="47" t="s">
        <v>134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>
        <v>1970</v>
      </c>
      <c r="BK11" s="44"/>
      <c r="BL11" s="44"/>
      <c r="BM11" s="44"/>
      <c r="BN11" s="44"/>
      <c r="BO11" s="44"/>
      <c r="BP11" s="43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4">
        <f t="shared" ref="CA11:CA30" si="5">SUM(C11:F11)</f>
        <v>11804</v>
      </c>
      <c r="CB11" s="44">
        <f t="shared" si="3"/>
        <v>11315</v>
      </c>
      <c r="CC11" s="44">
        <f t="shared" si="4"/>
        <v>11827</v>
      </c>
      <c r="CD11" s="44">
        <v>10785</v>
      </c>
      <c r="CE11" s="44">
        <v>11302</v>
      </c>
      <c r="CF11" s="42"/>
      <c r="CG11" s="42"/>
      <c r="CH11" s="42"/>
      <c r="CI11" s="40"/>
      <c r="CJ11" s="46"/>
      <c r="CK11" s="46"/>
      <c r="CL11" s="46"/>
      <c r="CM11" s="46">
        <v>8873</v>
      </c>
      <c r="CN11" s="46">
        <v>9052</v>
      </c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</row>
    <row r="12" spans="1:138" ht="12.75" customHeight="1" x14ac:dyDescent="0.2">
      <c r="A12" s="41"/>
      <c r="B12" s="47" t="s">
        <v>196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>
        <f t="shared" ref="AX12:BJ12" si="6">+AX11+AX10</f>
        <v>14907</v>
      </c>
      <c r="AY12" s="44">
        <f t="shared" si="6"/>
        <v>15914</v>
      </c>
      <c r="AZ12" s="44">
        <f t="shared" si="6"/>
        <v>13606</v>
      </c>
      <c r="BA12" s="44">
        <f t="shared" si="6"/>
        <v>13403</v>
      </c>
      <c r="BB12" s="44">
        <f t="shared" si="6"/>
        <v>13627</v>
      </c>
      <c r="BC12" s="44">
        <f t="shared" si="6"/>
        <v>14866</v>
      </c>
      <c r="BD12" s="44">
        <f t="shared" si="6"/>
        <v>13157</v>
      </c>
      <c r="BE12" s="44">
        <f t="shared" si="6"/>
        <v>14010</v>
      </c>
      <c r="BF12" s="44">
        <f>+BF11+BF10</f>
        <v>13973</v>
      </c>
      <c r="BG12" s="44">
        <f>+BG11+BG10</f>
        <v>14962</v>
      </c>
      <c r="BH12" s="44">
        <f>+BH11+BH10</f>
        <v>12343</v>
      </c>
      <c r="BI12" s="44">
        <f>+BI11+BI10</f>
        <v>12961</v>
      </c>
      <c r="BJ12" s="44">
        <f>+BJ11+BJ10</f>
        <v>12686</v>
      </c>
      <c r="BK12" s="44">
        <f>+BG12*0.95</f>
        <v>14213.9</v>
      </c>
      <c r="BL12" s="44">
        <f>+BH12*0.95</f>
        <v>11725.849999999999</v>
      </c>
      <c r="BM12" s="44">
        <f>+BI12*0.95</f>
        <v>12312.949999999999</v>
      </c>
      <c r="BN12" s="44">
        <f>+BJ12*0.95</f>
        <v>12051.699999999999</v>
      </c>
      <c r="BO12" s="44"/>
      <c r="BP12" s="43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4"/>
      <c r="CB12" s="44"/>
      <c r="CC12" s="44"/>
      <c r="CD12" s="42"/>
      <c r="CE12" s="42"/>
      <c r="CF12" s="42"/>
      <c r="CG12" s="42"/>
      <c r="CH12" s="42"/>
      <c r="CI12" s="40"/>
      <c r="CJ12" s="46"/>
      <c r="CK12" s="46"/>
      <c r="CL12" s="46"/>
      <c r="CM12" s="46">
        <f>CM11+CM10</f>
        <v>56550</v>
      </c>
      <c r="CN12" s="46">
        <f>CN11+CN10</f>
        <v>56006</v>
      </c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</row>
    <row r="13" spans="1:138" ht="12.75" customHeight="1" x14ac:dyDescent="0.2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3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4"/>
      <c r="CB13" s="44"/>
      <c r="CC13" s="44"/>
      <c r="CD13" s="42"/>
      <c r="CE13" s="42"/>
      <c r="CF13" s="42"/>
      <c r="CG13" s="42"/>
      <c r="CH13" s="42"/>
      <c r="CI13" s="40"/>
      <c r="CJ13" s="46"/>
      <c r="CK13" s="46"/>
      <c r="CL13" s="46"/>
      <c r="CM13" s="46"/>
      <c r="CN13" s="46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</row>
    <row r="14" spans="1:138" ht="12.75" customHeight="1" x14ac:dyDescent="0.2">
      <c r="A14" s="41"/>
      <c r="B14" s="47" t="s">
        <v>135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v>3323</v>
      </c>
      <c r="BK14" s="44">
        <f t="shared" ref="BJ14:BN14" si="7">+BG14*0.9</f>
        <v>2989.8</v>
      </c>
      <c r="BL14" s="44">
        <f t="shared" si="7"/>
        <v>2439</v>
      </c>
      <c r="BM14" s="44">
        <f t="shared" si="7"/>
        <v>2670.3</v>
      </c>
      <c r="BN14" s="44">
        <f t="shared" si="7"/>
        <v>2990.7000000000003</v>
      </c>
      <c r="BO14" s="44"/>
      <c r="BP14" s="43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4">
        <v>0</v>
      </c>
      <c r="CB14" s="44">
        <f>SUM(G14:J14)</f>
        <v>87</v>
      </c>
      <c r="CC14" s="44">
        <f>SUM(K14:N14)</f>
        <v>2317</v>
      </c>
      <c r="CD14" s="44">
        <v>5991</v>
      </c>
      <c r="CE14" s="44">
        <v>9495</v>
      </c>
      <c r="CF14" s="42"/>
      <c r="CG14" s="42"/>
      <c r="CH14" s="42"/>
      <c r="CI14" s="40"/>
      <c r="CJ14" s="46"/>
      <c r="CK14" s="46"/>
      <c r="CL14" s="46"/>
      <c r="CM14" s="46">
        <v>18747</v>
      </c>
      <c r="CN14" s="46">
        <v>15054</v>
      </c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</row>
    <row r="15" spans="1:138" ht="12.75" customHeight="1" x14ac:dyDescent="0.2">
      <c r="A15" s="41"/>
      <c r="B15" s="47" t="s">
        <v>183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v>4053</v>
      </c>
      <c r="BK15" s="44">
        <f t="shared" ref="BK15:BN15" si="8">+BG15*1.5</f>
        <v>3094.5</v>
      </c>
      <c r="BL15" s="44">
        <f t="shared" si="8"/>
        <v>3258</v>
      </c>
      <c r="BM15" s="44">
        <f t="shared" si="8"/>
        <v>4516.5</v>
      </c>
      <c r="BN15" s="44">
        <f t="shared" si="8"/>
        <v>6079.5</v>
      </c>
      <c r="BO15" s="44"/>
      <c r="BP15" s="43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4"/>
      <c r="CB15" s="44"/>
      <c r="CC15" s="44"/>
      <c r="CD15" s="42"/>
      <c r="CE15" s="42"/>
      <c r="CF15" s="42"/>
      <c r="CG15" s="42"/>
      <c r="CH15" s="42"/>
      <c r="CI15" s="40"/>
      <c r="CJ15" s="46"/>
      <c r="CK15" s="46"/>
      <c r="CL15" s="46"/>
      <c r="CM15" s="46">
        <v>1873</v>
      </c>
      <c r="CN15" s="46">
        <v>4838</v>
      </c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</row>
    <row r="16" spans="1:138" ht="12.75" customHeight="1" x14ac:dyDescent="0.2">
      <c r="A16" s="41"/>
      <c r="B16" s="47" t="s">
        <v>184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v>16976</v>
      </c>
      <c r="BK16" s="44">
        <f>+BG16*1.4</f>
        <v>16849</v>
      </c>
      <c r="BL16" s="44">
        <f>+BH16*1.3</f>
        <v>18653.7</v>
      </c>
      <c r="BM16" s="44">
        <f>+BI16*1.3</f>
        <v>21307</v>
      </c>
      <c r="BN16" s="44">
        <f>+BJ16*1.3</f>
        <v>22068.799999999999</v>
      </c>
      <c r="BO16" s="44"/>
      <c r="BP16" s="43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4"/>
      <c r="CB16" s="44"/>
      <c r="CC16" s="44"/>
      <c r="CD16" s="42"/>
      <c r="CE16" s="42"/>
      <c r="CF16" s="42"/>
      <c r="CG16" s="42"/>
      <c r="CH16" s="42"/>
      <c r="CI16" s="40"/>
      <c r="CJ16" s="46"/>
      <c r="CK16" s="46"/>
      <c r="CL16" s="46"/>
      <c r="CM16" s="46">
        <v>21211</v>
      </c>
      <c r="CN16" s="46">
        <v>33705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</row>
    <row r="17" spans="1:138" ht="12.75" customHeight="1" x14ac:dyDescent="0.2">
      <c r="A17" s="41"/>
      <c r="B17" s="47" t="s">
        <v>136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3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4">
        <f t="shared" si="5"/>
        <v>1844</v>
      </c>
      <c r="CB17" s="44">
        <f t="shared" ref="CB17:CB28" si="9">SUM(G17:J17)</f>
        <v>2064</v>
      </c>
      <c r="CC17" s="44">
        <f>SUM(K17:N17)</f>
        <v>2214</v>
      </c>
      <c r="CD17" s="44">
        <v>2309</v>
      </c>
      <c r="CE17" s="44">
        <v>2511</v>
      </c>
      <c r="CF17" s="42"/>
      <c r="CG17" s="42"/>
      <c r="CH17" s="42"/>
      <c r="CI17" s="40"/>
      <c r="CJ17" s="46"/>
      <c r="CK17" s="46"/>
      <c r="CL17" s="46"/>
      <c r="CM17" s="46"/>
      <c r="CN17" s="46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</row>
    <row r="18" spans="1:138" ht="12.75" customHeight="1" x14ac:dyDescent="0.2">
      <c r="A18" s="41"/>
      <c r="B18" s="47" t="s">
        <v>188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v>2446</v>
      </c>
      <c r="BK18" s="44">
        <f t="shared" ref="BJ18:BN18" si="10">+BJ18+500</f>
        <v>2946</v>
      </c>
      <c r="BL18" s="44">
        <f t="shared" si="10"/>
        <v>3446</v>
      </c>
      <c r="BM18" s="44">
        <f t="shared" si="10"/>
        <v>3946</v>
      </c>
      <c r="BN18" s="44">
        <f t="shared" si="10"/>
        <v>4446</v>
      </c>
      <c r="BO18" s="44"/>
      <c r="BP18" s="43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4"/>
      <c r="CB18" s="44"/>
      <c r="CC18" s="44"/>
      <c r="CD18" s="42"/>
      <c r="CE18" s="42"/>
      <c r="CF18" s="42"/>
      <c r="CG18" s="42"/>
      <c r="CH18" s="42"/>
      <c r="CI18" s="40"/>
      <c r="CJ18" s="46"/>
      <c r="CK18" s="46"/>
      <c r="CL18" s="46"/>
      <c r="CM18" s="46">
        <v>5608</v>
      </c>
      <c r="CN18" s="46">
        <v>8400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</row>
    <row r="19" spans="1:138" ht="12.75" customHeight="1" x14ac:dyDescent="0.2">
      <c r="A19" s="41"/>
      <c r="B19" s="47" t="s">
        <v>189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v>3042</v>
      </c>
      <c r="BK19" s="44">
        <f t="shared" ref="BJ19:BN19" si="11">+BG19*1.1</f>
        <v>2197.8000000000002</v>
      </c>
      <c r="BL19" s="44">
        <f t="shared" si="11"/>
        <v>2708.2000000000003</v>
      </c>
      <c r="BM19" s="44">
        <f t="shared" si="11"/>
        <v>3491.4</v>
      </c>
      <c r="BN19" s="44">
        <f t="shared" si="11"/>
        <v>3346.2000000000003</v>
      </c>
      <c r="BO19" s="44"/>
      <c r="BP19" s="43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4"/>
      <c r="CB19" s="44"/>
      <c r="CC19" s="44"/>
      <c r="CD19" s="42"/>
      <c r="CE19" s="42"/>
      <c r="CF19" s="42"/>
      <c r="CG19" s="42"/>
      <c r="CH19" s="42"/>
      <c r="CI19" s="40"/>
      <c r="CJ19" s="46"/>
      <c r="CK19" s="46"/>
      <c r="CL19" s="46"/>
      <c r="CM19" s="46"/>
      <c r="CN19" s="46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</row>
    <row r="20" spans="1:138" ht="12.75" customHeight="1" x14ac:dyDescent="0.2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3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4"/>
      <c r="CB20" s="44"/>
      <c r="CC20" s="44"/>
      <c r="CD20" s="42"/>
      <c r="CE20" s="42"/>
      <c r="CF20" s="42"/>
      <c r="CG20" s="42"/>
      <c r="CH20" s="42"/>
      <c r="CI20" s="40"/>
      <c r="CJ20" s="46"/>
      <c r="CK20" s="46"/>
      <c r="CL20" s="46"/>
      <c r="CM20" s="46"/>
      <c r="CN20" s="46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</row>
    <row r="21" spans="1:138" ht="12.75" customHeight="1" x14ac:dyDescent="0.2">
      <c r="A21" s="41"/>
      <c r="B21" s="47" t="s">
        <v>137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v>713</v>
      </c>
      <c r="BK21" s="44">
        <f t="shared" ref="BJ21:BN21" si="12">+BG21*0.9</f>
        <v>795.6</v>
      </c>
      <c r="BL21" s="44">
        <f t="shared" si="12"/>
        <v>747</v>
      </c>
      <c r="BM21" s="44">
        <f t="shared" si="12"/>
        <v>718.2</v>
      </c>
      <c r="BN21" s="44">
        <f t="shared" si="12"/>
        <v>641.70000000000005</v>
      </c>
      <c r="BO21" s="44"/>
      <c r="BP21" s="43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4">
        <f t="shared" si="5"/>
        <v>2391</v>
      </c>
      <c r="CB21" s="44">
        <f t="shared" si="9"/>
        <v>2652</v>
      </c>
      <c r="CC21" s="44">
        <f>SUM(K21:N21)</f>
        <v>2751</v>
      </c>
      <c r="CD21" s="44">
        <v>2575</v>
      </c>
      <c r="CE21" s="44">
        <v>2758</v>
      </c>
      <c r="CF21" s="42"/>
      <c r="CG21" s="42"/>
      <c r="CH21" s="42"/>
      <c r="CI21" s="40"/>
      <c r="CJ21" s="46"/>
      <c r="CK21" s="46"/>
      <c r="CL21" s="46"/>
      <c r="CM21" s="46">
        <v>4031</v>
      </c>
      <c r="CN21" s="46">
        <v>3594</v>
      </c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</row>
    <row r="22" spans="1:138" ht="12.75" customHeight="1" x14ac:dyDescent="0.2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3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4"/>
      <c r="CB22" s="44"/>
      <c r="CC22" s="44"/>
      <c r="CD22" s="42"/>
      <c r="CE22" s="42"/>
      <c r="CF22" s="42"/>
      <c r="CG22" s="42"/>
      <c r="CH22" s="42"/>
      <c r="CI22" s="40"/>
      <c r="CJ22" s="46"/>
      <c r="CK22" s="46"/>
      <c r="CL22" s="46"/>
      <c r="CM22" s="46"/>
      <c r="CN22" s="46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</row>
    <row r="23" spans="1:138" ht="12.75" customHeight="1" x14ac:dyDescent="0.2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v>1911</v>
      </c>
      <c r="BK23" s="44">
        <f t="shared" ref="BK23:BK27" si="13">+BG23*0.9</f>
        <v>2043.9</v>
      </c>
      <c r="BL23" s="44">
        <f t="shared" ref="BL23:BL27" si="14">+BH23*0.9</f>
        <v>1816.2</v>
      </c>
      <c r="BM23" s="44">
        <f t="shared" ref="BM23:BM27" si="15">+BI23*0.9</f>
        <v>1897.2</v>
      </c>
      <c r="BN23" s="44">
        <f t="shared" ref="BN23:BN27" si="16">+BJ23*0.9</f>
        <v>1719.9</v>
      </c>
      <c r="BO23" s="44"/>
      <c r="BP23" s="43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4">
        <f t="shared" si="5"/>
        <v>6396</v>
      </c>
      <c r="CB23" s="44">
        <f t="shared" si="9"/>
        <v>7072</v>
      </c>
      <c r="CC23" s="44">
        <f>SUM(K23:N23)</f>
        <v>8030</v>
      </c>
      <c r="CD23" s="44">
        <v>8347</v>
      </c>
      <c r="CE23" s="44">
        <v>8933</v>
      </c>
      <c r="CF23" s="42"/>
      <c r="CG23" s="42"/>
      <c r="CH23" s="42"/>
      <c r="CI23" s="40"/>
      <c r="CJ23" s="46"/>
      <c r="CK23" s="46"/>
      <c r="CL23" s="46"/>
      <c r="CM23" s="46">
        <v>7203</v>
      </c>
      <c r="CN23" s="46">
        <v>7221</v>
      </c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</row>
    <row r="24" spans="1:138" ht="12.75" customHeight="1" x14ac:dyDescent="0.2">
      <c r="A24" s="41"/>
      <c r="B24" s="47" t="s">
        <v>190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v>642</v>
      </c>
      <c r="BK24" s="44">
        <f t="shared" si="13"/>
        <v>508.5</v>
      </c>
      <c r="BL24" s="44">
        <f t="shared" si="14"/>
        <v>557.1</v>
      </c>
      <c r="BM24" s="44">
        <f t="shared" si="15"/>
        <v>460.8</v>
      </c>
      <c r="BN24" s="44">
        <f t="shared" si="16"/>
        <v>577.80000000000007</v>
      </c>
      <c r="BO24" s="44"/>
      <c r="BP24" s="43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4"/>
      <c r="CB24" s="44"/>
      <c r="CC24" s="44"/>
      <c r="CD24" s="42"/>
      <c r="CE24" s="42"/>
      <c r="CF24" s="42"/>
      <c r="CG24" s="42"/>
      <c r="CH24" s="42"/>
      <c r="CI24" s="40"/>
      <c r="CJ24" s="46"/>
      <c r="CK24" s="46"/>
      <c r="CL24" s="46"/>
      <c r="CM24" s="46">
        <v>1713</v>
      </c>
      <c r="CN24" s="46">
        <v>2112</v>
      </c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</row>
    <row r="25" spans="1:138" ht="12.75" customHeight="1" x14ac:dyDescent="0.2">
      <c r="A25" s="41"/>
      <c r="B25" s="47" t="s">
        <v>191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v>226</v>
      </c>
      <c r="BK25" s="44">
        <f t="shared" si="13"/>
        <v>159.30000000000001</v>
      </c>
      <c r="BL25" s="44">
        <f t="shared" si="14"/>
        <v>145.80000000000001</v>
      </c>
      <c r="BM25" s="44">
        <f t="shared" si="15"/>
        <v>174.6</v>
      </c>
      <c r="BN25" s="44">
        <f t="shared" si="16"/>
        <v>203.4</v>
      </c>
      <c r="BO25" s="44"/>
      <c r="BP25" s="43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4"/>
      <c r="CB25" s="44"/>
      <c r="CC25" s="44"/>
      <c r="CD25" s="42"/>
      <c r="CE25" s="42"/>
      <c r="CF25" s="42"/>
      <c r="CG25" s="42"/>
      <c r="CH25" s="42"/>
      <c r="CI25" s="40"/>
      <c r="CJ25" s="46"/>
      <c r="CK25" s="46"/>
      <c r="CL25" s="46"/>
      <c r="CM25" s="46">
        <v>518</v>
      </c>
      <c r="CN25" s="46">
        <v>637</v>
      </c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</row>
    <row r="26" spans="1:138" ht="12.75" customHeight="1" x14ac:dyDescent="0.2">
      <c r="A26" s="41"/>
      <c r="B26" s="47" t="s">
        <v>192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>2881-BJ25-BJ24-BJ23</f>
        <v>102</v>
      </c>
      <c r="BK26" s="44">
        <f t="shared" si="13"/>
        <v>57.6</v>
      </c>
      <c r="BL26" s="44">
        <f t="shared" si="14"/>
        <v>57.6</v>
      </c>
      <c r="BM26" s="44">
        <f t="shared" si="15"/>
        <v>63.9</v>
      </c>
      <c r="BN26" s="44">
        <f t="shared" si="16"/>
        <v>91.8</v>
      </c>
      <c r="BO26" s="44"/>
      <c r="BP26" s="43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4"/>
      <c r="CB26" s="44"/>
      <c r="CC26" s="44"/>
      <c r="CD26" s="42"/>
      <c r="CE26" s="42"/>
      <c r="CF26" s="42"/>
      <c r="CG26" s="42"/>
      <c r="CH26" s="42"/>
      <c r="CI26" s="40"/>
      <c r="CJ26" s="46"/>
      <c r="CK26" s="46"/>
      <c r="CL26" s="46"/>
      <c r="CM26" s="46"/>
      <c r="CN26" s="46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</row>
    <row r="27" spans="1:138" ht="12.75" customHeight="1" x14ac:dyDescent="0.2">
      <c r="A27" s="41"/>
      <c r="B27" s="47" t="s">
        <v>193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>370+1602</f>
        <v>1972</v>
      </c>
      <c r="BK27" s="44">
        <f t="shared" si="13"/>
        <v>2057.4</v>
      </c>
      <c r="BL27" s="44">
        <f t="shared" si="14"/>
        <v>2119.5</v>
      </c>
      <c r="BM27" s="44">
        <f t="shared" si="15"/>
        <v>2000.7</v>
      </c>
      <c r="BN27" s="44">
        <f t="shared" si="16"/>
        <v>1774.8</v>
      </c>
      <c r="BO27" s="44"/>
      <c r="BP27" s="43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4"/>
      <c r="CB27" s="44"/>
      <c r="CC27" s="44"/>
      <c r="CD27" s="42"/>
      <c r="CE27" s="42"/>
      <c r="CF27" s="42"/>
      <c r="CG27" s="42"/>
      <c r="CH27" s="42"/>
      <c r="CI27" s="40"/>
      <c r="CJ27" s="46"/>
      <c r="CK27" s="46"/>
      <c r="CL27" s="46"/>
      <c r="CM27" s="46">
        <v>7707</v>
      </c>
      <c r="CN27" s="46">
        <v>7303</v>
      </c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</row>
    <row r="28" spans="1:138" ht="12.75" customHeight="1" x14ac:dyDescent="0.2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3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4">
        <f t="shared" si="5"/>
        <v>3865</v>
      </c>
      <c r="CB28" s="44">
        <f t="shared" si="9"/>
        <v>4401</v>
      </c>
      <c r="CC28" s="44">
        <f t="shared" ref="CC28:CC30" si="17">SUM(K28:N28)</f>
        <v>4803</v>
      </c>
      <c r="CD28" s="44">
        <v>5047</v>
      </c>
      <c r="CE28" s="44">
        <v>5698</v>
      </c>
      <c r="CF28" s="42"/>
      <c r="CG28" s="42"/>
      <c r="CH28" s="42"/>
      <c r="CI28" s="40"/>
      <c r="CJ28" s="46"/>
      <c r="CK28" s="46"/>
      <c r="CL28" s="46"/>
      <c r="CM28" s="46"/>
      <c r="CN28" s="46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</row>
    <row r="29" spans="1:138" ht="12.75" customHeight="1" x14ac:dyDescent="0.2">
      <c r="A29" s="41"/>
      <c r="B29" s="47" t="s">
        <v>138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3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4">
        <f t="shared" si="5"/>
        <v>1612</v>
      </c>
      <c r="CB29" s="44">
        <v>1744</v>
      </c>
      <c r="CC29" s="44">
        <f t="shared" si="17"/>
        <v>1892</v>
      </c>
      <c r="CD29" s="44">
        <v>2054</v>
      </c>
      <c r="CE29" s="44">
        <v>2163</v>
      </c>
      <c r="CF29" s="42"/>
      <c r="CG29" s="42"/>
      <c r="CH29" s="42"/>
      <c r="CI29" s="40"/>
      <c r="CJ29" s="46"/>
      <c r="CK29" s="46"/>
      <c r="CL29" s="46"/>
      <c r="CM29" s="46"/>
      <c r="CN29" s="46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</row>
    <row r="30" spans="1:138" ht="12.75" customHeight="1" x14ac:dyDescent="0.2">
      <c r="A30" s="41"/>
      <c r="B30" s="47" t="s">
        <v>139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3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4">
        <f t="shared" si="5"/>
        <v>324</v>
      </c>
      <c r="CB30" s="44">
        <v>359</v>
      </c>
      <c r="CC30" s="44">
        <f t="shared" si="17"/>
        <v>341</v>
      </c>
      <c r="CD30" s="44">
        <v>473</v>
      </c>
      <c r="CE30" s="42">
        <v>345</v>
      </c>
      <c r="CF30" s="42"/>
      <c r="CG30" s="42"/>
      <c r="CH30" s="42"/>
      <c r="CI30" s="40"/>
      <c r="CJ30" s="46"/>
      <c r="CK30" s="46"/>
      <c r="CL30" s="46"/>
      <c r="CM30" s="46">
        <v>1557</v>
      </c>
      <c r="CN30" s="46">
        <v>1683</v>
      </c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</row>
    <row r="31" spans="1:138" s="12" customFormat="1" ht="12.75" customHeight="1" x14ac:dyDescent="0.2">
      <c r="A31" s="8"/>
      <c r="B31" s="9" t="s">
        <v>211</v>
      </c>
      <c r="C31" s="15">
        <f t="shared" ref="C31:O31" si="18">SUM(C10:C30)</f>
        <v>10614</v>
      </c>
      <c r="D31" s="15">
        <f t="shared" si="18"/>
        <v>11110</v>
      </c>
      <c r="E31" s="15">
        <f t="shared" si="18"/>
        <v>11246</v>
      </c>
      <c r="F31" s="15">
        <f t="shared" si="18"/>
        <v>12583</v>
      </c>
      <c r="G31" s="15">
        <f t="shared" si="18"/>
        <v>12498</v>
      </c>
      <c r="H31" s="15">
        <f t="shared" si="18"/>
        <v>13001</v>
      </c>
      <c r="I31" s="15">
        <f t="shared" si="18"/>
        <v>12545</v>
      </c>
      <c r="J31" s="15">
        <f t="shared" si="18"/>
        <v>13121</v>
      </c>
      <c r="K31" s="15">
        <f t="shared" si="18"/>
        <v>13674</v>
      </c>
      <c r="L31" s="15">
        <f t="shared" si="18"/>
        <v>15394</v>
      </c>
      <c r="M31" s="15">
        <f t="shared" si="18"/>
        <v>15584</v>
      </c>
      <c r="N31" s="15">
        <f t="shared" si="18"/>
        <v>16124</v>
      </c>
      <c r="O31" s="15">
        <f t="shared" si="18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T31" si="19">SUM(AC10:AC30)</f>
        <v>0</v>
      </c>
      <c r="AD31" s="15">
        <f t="shared" si="19"/>
        <v>0</v>
      </c>
      <c r="AE31" s="15">
        <f t="shared" si="19"/>
        <v>24929</v>
      </c>
      <c r="AF31" s="15">
        <f t="shared" si="19"/>
        <v>26729</v>
      </c>
      <c r="AG31" s="15">
        <f t="shared" si="19"/>
        <v>26416</v>
      </c>
      <c r="AH31" s="15">
        <f t="shared" si="19"/>
        <v>28415</v>
      </c>
      <c r="AI31" s="15">
        <f t="shared" si="19"/>
        <v>26586</v>
      </c>
      <c r="AJ31" s="15">
        <f t="shared" si="19"/>
        <v>26476</v>
      </c>
      <c r="AK31" s="15">
        <f t="shared" si="19"/>
        <v>26394</v>
      </c>
      <c r="AL31" s="15">
        <f t="shared" si="19"/>
        <v>27865</v>
      </c>
      <c r="AM31" s="15">
        <f t="shared" si="19"/>
        <v>0</v>
      </c>
      <c r="AN31" s="15">
        <f t="shared" si="19"/>
        <v>0</v>
      </c>
      <c r="AO31" s="15">
        <f t="shared" si="19"/>
        <v>0</v>
      </c>
      <c r="AP31" s="15">
        <f t="shared" si="19"/>
        <v>0</v>
      </c>
      <c r="AQ31" s="15">
        <f t="shared" si="19"/>
        <v>0</v>
      </c>
      <c r="AR31" s="15">
        <f t="shared" si="19"/>
        <v>0</v>
      </c>
      <c r="AS31" s="15">
        <f t="shared" si="19"/>
        <v>0</v>
      </c>
      <c r="AT31" s="15">
        <f t="shared" si="19"/>
        <v>0</v>
      </c>
      <c r="AU31" s="15">
        <f t="shared" ref="AU31:BN31" si="20">SUM(AU12:AU27)</f>
        <v>0</v>
      </c>
      <c r="AV31" s="15">
        <f t="shared" si="20"/>
        <v>0</v>
      </c>
      <c r="AW31" s="15">
        <f t="shared" si="20"/>
        <v>0</v>
      </c>
      <c r="AX31" s="15">
        <f t="shared" si="20"/>
        <v>32417</v>
      </c>
      <c r="AY31" s="15">
        <f t="shared" si="20"/>
        <v>33875</v>
      </c>
      <c r="AZ31" s="15">
        <f t="shared" si="20"/>
        <v>30006</v>
      </c>
      <c r="BA31" s="15">
        <f t="shared" si="20"/>
        <v>30927</v>
      </c>
      <c r="BB31" s="15">
        <f t="shared" si="20"/>
        <v>32138</v>
      </c>
      <c r="BC31" s="15">
        <f t="shared" si="20"/>
        <v>33804</v>
      </c>
      <c r="BD31" s="15">
        <f t="shared" si="20"/>
        <v>33041</v>
      </c>
      <c r="BE31" s="15">
        <f t="shared" si="20"/>
        <v>35622</v>
      </c>
      <c r="BF31" s="15">
        <f t="shared" si="20"/>
        <v>38333</v>
      </c>
      <c r="BG31" s="15">
        <f t="shared" si="20"/>
        <v>42031</v>
      </c>
      <c r="BH31" s="15">
        <f t="shared" si="20"/>
        <v>41265</v>
      </c>
      <c r="BI31" s="15">
        <f t="shared" si="20"/>
        <v>45566</v>
      </c>
      <c r="BJ31" s="15">
        <f>SUM(BJ12:BJ27)</f>
        <v>48092</v>
      </c>
      <c r="BK31" s="15">
        <f t="shared" si="20"/>
        <v>47913.3</v>
      </c>
      <c r="BL31" s="15">
        <f t="shared" si="20"/>
        <v>47673.95</v>
      </c>
      <c r="BM31" s="15">
        <f t="shared" si="20"/>
        <v>53559.549999999996</v>
      </c>
      <c r="BN31" s="15">
        <f t="shared" si="20"/>
        <v>55992.3</v>
      </c>
      <c r="BO31" s="15"/>
      <c r="BP31" s="13"/>
      <c r="BQ31" s="13">
        <v>13647</v>
      </c>
      <c r="BR31" s="13">
        <v>16423</v>
      </c>
      <c r="BS31" s="13">
        <v>20485</v>
      </c>
      <c r="BT31" s="13">
        <v>23385</v>
      </c>
      <c r="BU31" s="13">
        <v>24866</v>
      </c>
      <c r="BV31" s="13"/>
      <c r="BW31" s="13"/>
      <c r="BX31" s="13"/>
      <c r="BY31" s="13"/>
      <c r="BZ31" s="13"/>
      <c r="CA31" s="13">
        <f>SUM(CA10:CA30)</f>
        <v>45553</v>
      </c>
      <c r="CB31" s="13">
        <f>SUM(CB10:CB30)</f>
        <v>51165</v>
      </c>
      <c r="CC31" s="13">
        <f>SUM(CC10:CC30)</f>
        <v>60776</v>
      </c>
      <c r="CD31" s="13">
        <f>SUM(CD10:CD30)</f>
        <v>66346</v>
      </c>
      <c r="CE31" s="13">
        <f>SUM(CE10:CE30)</f>
        <v>78026</v>
      </c>
      <c r="CF31" s="13">
        <v>83572</v>
      </c>
      <c r="CG31" s="13">
        <v>88806</v>
      </c>
      <c r="CH31" s="59">
        <v>107927</v>
      </c>
      <c r="CI31" s="59">
        <v>111780</v>
      </c>
      <c r="CJ31" s="59">
        <v>111696</v>
      </c>
      <c r="CK31" s="59">
        <v>111831</v>
      </c>
      <c r="CL31" s="59">
        <v>122021</v>
      </c>
      <c r="CM31" s="59">
        <v>126946</v>
      </c>
      <c r="CN31" s="59">
        <v>140800</v>
      </c>
    </row>
    <row r="32" spans="1:138" ht="12.75" customHeight="1" x14ac:dyDescent="0.2">
      <c r="A32" s="41"/>
      <c r="B32" s="47" t="s">
        <v>140</v>
      </c>
      <c r="C32" s="44">
        <f t="shared" ref="C32:J32" si="21">C31-C33</f>
        <v>2413</v>
      </c>
      <c r="D32" s="44">
        <f t="shared" si="21"/>
        <v>2554</v>
      </c>
      <c r="E32" s="44">
        <f t="shared" si="21"/>
        <v>2606</v>
      </c>
      <c r="F32" s="44">
        <f t="shared" si="21"/>
        <v>2536</v>
      </c>
      <c r="G32" s="44">
        <f t="shared" si="21"/>
        <v>2508</v>
      </c>
      <c r="H32" s="44">
        <f t="shared" si="21"/>
        <v>2610</v>
      </c>
      <c r="I32" s="44">
        <f t="shared" si="21"/>
        <v>2713</v>
      </c>
      <c r="J32" s="44">
        <f t="shared" si="21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22">AY31-AY33</f>
        <v>5386</v>
      </c>
      <c r="AZ32" s="44">
        <f t="shared" si="22"/>
        <v>4772</v>
      </c>
      <c r="BA32" s="44">
        <f t="shared" si="22"/>
        <v>5155</v>
      </c>
      <c r="BB32" s="44">
        <f t="shared" si="22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23">+BJ31-BJ33</f>
        <v>7213.8000000000029</v>
      </c>
      <c r="BK32" s="44">
        <f t="shared" si="23"/>
        <v>6707.862000000001</v>
      </c>
      <c r="BL32" s="44">
        <f t="shared" si="23"/>
        <v>6674.3530000000028</v>
      </c>
      <c r="BM32" s="44">
        <f t="shared" si="23"/>
        <v>6962.7414999999964</v>
      </c>
      <c r="BN32" s="44">
        <f t="shared" si="23"/>
        <v>7278.9990000000034</v>
      </c>
      <c r="BO32" s="44"/>
      <c r="BP32" s="44"/>
      <c r="BQ32" s="44">
        <v>-3751</v>
      </c>
      <c r="BR32" s="44">
        <v>-4227</v>
      </c>
      <c r="BS32" s="44">
        <f>BS33-BS31</f>
        <v>-5016</v>
      </c>
      <c r="BT32" s="44">
        <f>BT33-BT31</f>
        <v>-6036</v>
      </c>
      <c r="BU32" s="44">
        <f>BU33-BU31</f>
        <v>-6598</v>
      </c>
      <c r="BV32" s="44"/>
      <c r="BW32" s="44"/>
      <c r="BX32" s="44"/>
      <c r="BY32" s="44"/>
      <c r="BZ32" s="44"/>
      <c r="CA32" s="44"/>
      <c r="CB32" s="44">
        <f>SUM(G32:J32)</f>
        <v>10525</v>
      </c>
      <c r="CC32" s="44">
        <v>11680</v>
      </c>
      <c r="CD32" s="44">
        <v>12589</v>
      </c>
      <c r="CE32" s="44">
        <v>13465</v>
      </c>
      <c r="CF32" s="44"/>
      <c r="CG32" s="44">
        <v>14562</v>
      </c>
      <c r="CH32" s="44">
        <v>16188</v>
      </c>
      <c r="CI32" s="46">
        <v>17183</v>
      </c>
      <c r="CJ32" s="46"/>
      <c r="CK32" s="46"/>
      <c r="CL32" s="46"/>
      <c r="CM32" s="46"/>
      <c r="CN32" s="46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</row>
    <row r="33" spans="1:138" ht="12.75" customHeight="1" x14ac:dyDescent="0.2">
      <c r="A33" s="41"/>
      <c r="B33" s="47" t="s">
        <v>141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24">+BJ31*0.85</f>
        <v>40878.199999999997</v>
      </c>
      <c r="BK33" s="44">
        <f>+BK31*0.86</f>
        <v>41205.438000000002</v>
      </c>
      <c r="BL33" s="44">
        <f>+BL31*0.86</f>
        <v>40999.596999999994</v>
      </c>
      <c r="BM33" s="44">
        <f>+BM31*0.87</f>
        <v>46596.808499999999</v>
      </c>
      <c r="BN33" s="44">
        <f>+BN31*0.87</f>
        <v>48713.300999999999</v>
      </c>
      <c r="BO33" s="44"/>
      <c r="BP33" s="44"/>
      <c r="BQ33" s="44">
        <f>BQ31+BQ32</f>
        <v>9896</v>
      </c>
      <c r="BR33" s="44">
        <f>BR31+BR32</f>
        <v>12196</v>
      </c>
      <c r="BS33" s="44">
        <v>15469</v>
      </c>
      <c r="BT33" s="44">
        <v>17349</v>
      </c>
      <c r="BU33" s="44">
        <v>18268</v>
      </c>
      <c r="BV33" s="44"/>
      <c r="BW33" s="44"/>
      <c r="BX33" s="44"/>
      <c r="BY33" s="44"/>
      <c r="BZ33" s="44"/>
      <c r="CA33" s="44"/>
      <c r="CB33" s="44">
        <f>CB31-CB32</f>
        <v>40640</v>
      </c>
      <c r="CC33" s="44">
        <f>+CC31-CC32</f>
        <v>49096</v>
      </c>
      <c r="CD33" s="44">
        <f>+CD31-CD32</f>
        <v>53757</v>
      </c>
      <c r="CE33" s="44">
        <f>+CE31-CE32</f>
        <v>64561</v>
      </c>
      <c r="CF33" s="44"/>
      <c r="CG33" s="44">
        <f>+CG31-CG32</f>
        <v>74244</v>
      </c>
      <c r="CH33" s="44">
        <f>+CH31-CH32</f>
        <v>91739</v>
      </c>
      <c r="CI33" s="46">
        <f>+CI31-CI32</f>
        <v>94597</v>
      </c>
      <c r="CJ33" s="46">
        <v>94064</v>
      </c>
      <c r="CK33" s="46">
        <v>94214</v>
      </c>
      <c r="CL33" s="46">
        <v>101933</v>
      </c>
      <c r="CM33" s="46">
        <v>106014</v>
      </c>
      <c r="CN33" s="46">
        <v>117142</v>
      </c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</row>
    <row r="34" spans="1:138" ht="12.75" customHeight="1" x14ac:dyDescent="0.2">
      <c r="A34" s="41"/>
      <c r="B34" s="47" t="s">
        <v>142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14427.6</v>
      </c>
      <c r="BK34" s="44">
        <f>+BK31*0.24</f>
        <v>11499.192000000001</v>
      </c>
      <c r="BL34" s="44">
        <f>+BL31*0.24</f>
        <v>11441.748</v>
      </c>
      <c r="BM34" s="44">
        <f>+BM31*0.26</f>
        <v>13925.483</v>
      </c>
      <c r="BN34" s="44">
        <f>+BN31*0.3</f>
        <v>16797.689999999999</v>
      </c>
      <c r="BO34" s="44"/>
      <c r="BP34" s="44"/>
      <c r="BQ34" s="44">
        <v>-4212</v>
      </c>
      <c r="BR34" s="44">
        <v>-4812</v>
      </c>
      <c r="BS34" s="44">
        <v>-6013</v>
      </c>
      <c r="BT34" s="44">
        <v>-6951</v>
      </c>
      <c r="BU34" s="44">
        <v>-7187</v>
      </c>
      <c r="BV34" s="44"/>
      <c r="BW34" s="44"/>
      <c r="BX34" s="44"/>
      <c r="BY34" s="44"/>
      <c r="BZ34" s="44"/>
      <c r="CA34" s="44"/>
      <c r="CB34" s="44">
        <f>SUM(G34:J34)</f>
        <v>15420</v>
      </c>
      <c r="CC34" s="44">
        <v>18195</v>
      </c>
      <c r="CD34" s="44">
        <v>19004</v>
      </c>
      <c r="CE34" s="44">
        <v>21544</v>
      </c>
      <c r="CF34" s="44"/>
      <c r="CG34" s="44">
        <v>23223</v>
      </c>
      <c r="CH34" s="44">
        <v>28312</v>
      </c>
      <c r="CI34" s="46">
        <v>28377</v>
      </c>
      <c r="CJ34" s="46">
        <v>28340</v>
      </c>
      <c r="CK34" s="46">
        <v>29397</v>
      </c>
      <c r="CL34" s="46">
        <v>31823</v>
      </c>
      <c r="CM34" s="46">
        <v>32928</v>
      </c>
      <c r="CN34" s="46">
        <v>37008</v>
      </c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</row>
    <row r="35" spans="1:138" ht="12.75" customHeight="1" x14ac:dyDescent="0.2">
      <c r="A35" s="41"/>
      <c r="B35" s="47" t="s">
        <v>143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25">+BJ31*0.11</f>
        <v>5290.12</v>
      </c>
      <c r="BK35" s="44">
        <f t="shared" si="25"/>
        <v>5270.4630000000006</v>
      </c>
      <c r="BL35" s="44">
        <f t="shared" si="25"/>
        <v>5244.1345000000001</v>
      </c>
      <c r="BM35" s="44">
        <f t="shared" si="25"/>
        <v>5891.5504999999994</v>
      </c>
      <c r="BN35" s="44">
        <f t="shared" si="25"/>
        <v>6159.1530000000002</v>
      </c>
      <c r="BO35" s="44"/>
      <c r="BP35" s="44"/>
      <c r="BQ35" s="44">
        <v>-2795</v>
      </c>
      <c r="BR35" s="44">
        <v>-2748</v>
      </c>
      <c r="BS35" s="44">
        <v>-3407</v>
      </c>
      <c r="BT35" s="44">
        <v>-3872</v>
      </c>
      <c r="BU35" s="44">
        <v>-3952</v>
      </c>
      <c r="BV35" s="44"/>
      <c r="BW35" s="44"/>
      <c r="BX35" s="44"/>
      <c r="BY35" s="44"/>
      <c r="BZ35" s="44"/>
      <c r="CA35" s="44"/>
      <c r="CB35" s="44">
        <f>SUM(G35:J35)</f>
        <v>7864</v>
      </c>
      <c r="CC35" s="44">
        <v>9602</v>
      </c>
      <c r="CD35" s="44">
        <v>9628</v>
      </c>
      <c r="CE35" s="44">
        <v>10897</v>
      </c>
      <c r="CF35" s="44"/>
      <c r="CG35" s="44">
        <v>13762</v>
      </c>
      <c r="CH35" s="44">
        <v>13608</v>
      </c>
      <c r="CI35" s="46">
        <v>14563</v>
      </c>
      <c r="CJ35" s="46">
        <v>14014</v>
      </c>
      <c r="CK35" s="46">
        <v>14805</v>
      </c>
      <c r="CL35" s="46">
        <v>14220</v>
      </c>
      <c r="CM35" s="46">
        <v>15462</v>
      </c>
      <c r="CN35" s="46">
        <v>17772</v>
      </c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</row>
    <row r="36" spans="1:138" ht="12.75" customHeight="1" x14ac:dyDescent="0.2">
      <c r="A36" s="41"/>
      <c r="B36" s="47" t="s">
        <v>203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26">+BF36*1.01</f>
        <v>1201.9000000000001</v>
      </c>
      <c r="BK36" s="44">
        <f t="shared" si="26"/>
        <v>979.7</v>
      </c>
      <c r="BL36" s="44">
        <f t="shared" si="26"/>
        <v>1000.91</v>
      </c>
      <c r="BM36" s="44">
        <f t="shared" si="26"/>
        <v>1169.58</v>
      </c>
      <c r="BN36" s="44">
        <f t="shared" si="26"/>
        <v>1213.9190000000001</v>
      </c>
      <c r="BO36" s="44"/>
      <c r="BP36" s="44"/>
      <c r="BQ36" s="44">
        <v>-1397</v>
      </c>
      <c r="BR36" s="44">
        <v>-1721</v>
      </c>
      <c r="BS36" s="44">
        <v>-1917</v>
      </c>
      <c r="BT36" s="44">
        <v>-1931</v>
      </c>
      <c r="BU36" s="44">
        <v>-1960</v>
      </c>
      <c r="BV36" s="44"/>
      <c r="BW36" s="44"/>
      <c r="BX36" s="44"/>
      <c r="BY36" s="44"/>
      <c r="BZ36" s="44"/>
      <c r="CA36" s="44"/>
      <c r="CB36" s="44">
        <f>SUM(G36:J36)</f>
        <v>2764</v>
      </c>
      <c r="CC36" s="44">
        <v>3065</v>
      </c>
      <c r="CD36" s="44">
        <v>3245</v>
      </c>
      <c r="CE36" s="44">
        <v>3312</v>
      </c>
      <c r="CF36" s="44"/>
      <c r="CG36" s="44">
        <v>3537</v>
      </c>
      <c r="CH36" s="44">
        <v>3857</v>
      </c>
      <c r="CI36" s="46">
        <v>3962</v>
      </c>
      <c r="CJ36" s="46">
        <v>3784</v>
      </c>
      <c r="CK36" s="46">
        <v>3916</v>
      </c>
      <c r="CL36" s="46">
        <v>4007</v>
      </c>
      <c r="CM36" s="46">
        <v>3958</v>
      </c>
      <c r="CN36" s="46">
        <v>4050</v>
      </c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</row>
    <row r="37" spans="1:138" ht="12.75" customHeight="1" x14ac:dyDescent="0.2">
      <c r="A37" s="41"/>
      <c r="B37" s="47" t="s">
        <v>139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27">AVERAGE(BF37:BI37)</f>
        <v>-149.25</v>
      </c>
      <c r="BK37" s="44">
        <f t="shared" si="27"/>
        <v>-187.5625</v>
      </c>
      <c r="BL37" s="44">
        <f t="shared" si="27"/>
        <v>-136.453125</v>
      </c>
      <c r="BM37" s="44">
        <f t="shared" si="27"/>
        <v>-133.31640625</v>
      </c>
      <c r="BN37" s="44">
        <f t="shared" si="27"/>
        <v>-151.6455078125</v>
      </c>
      <c r="BO37" s="44"/>
      <c r="BP37" s="44"/>
      <c r="BQ37" s="44">
        <v>1441</v>
      </c>
      <c r="BR37" s="44">
        <v>612</v>
      </c>
      <c r="BS37" s="44">
        <v>571</v>
      </c>
      <c r="BT37" s="44">
        <v>815</v>
      </c>
      <c r="BU37" s="44">
        <v>758</v>
      </c>
      <c r="BV37" s="44"/>
      <c r="BW37" s="44"/>
      <c r="BX37" s="44"/>
      <c r="BY37" s="44"/>
      <c r="BZ37" s="44"/>
      <c r="CA37" s="44"/>
      <c r="CB37" s="44"/>
      <c r="CC37" s="44">
        <v>-657</v>
      </c>
      <c r="CD37" s="44">
        <v>-494</v>
      </c>
      <c r="CE37" s="44">
        <v>-666</v>
      </c>
      <c r="CF37" s="44"/>
      <c r="CG37" s="44">
        <v>-770</v>
      </c>
      <c r="CH37" s="44">
        <v>-3482</v>
      </c>
      <c r="CI37" s="46">
        <v>-737</v>
      </c>
      <c r="CJ37" s="46"/>
      <c r="CK37" s="46"/>
      <c r="CL37" s="46"/>
      <c r="CM37" s="46"/>
      <c r="CN37" s="46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</row>
    <row r="38" spans="1:138" ht="12.75" customHeight="1" x14ac:dyDescent="0.2">
      <c r="A38" s="41"/>
      <c r="B38" s="47" t="s">
        <v>144</v>
      </c>
      <c r="C38" s="44">
        <f t="shared" ref="C38:K38" si="28">SUM(C34:C36)-C37</f>
        <v>5152</v>
      </c>
      <c r="D38" s="44">
        <f t="shared" si="28"/>
        <v>5555</v>
      </c>
      <c r="E38" s="44">
        <f t="shared" si="28"/>
        <v>5366</v>
      </c>
      <c r="F38" s="44">
        <f t="shared" si="28"/>
        <v>6673</v>
      </c>
      <c r="G38" s="44">
        <f t="shared" si="28"/>
        <v>6180</v>
      </c>
      <c r="H38" s="44">
        <f t="shared" si="28"/>
        <v>6301</v>
      </c>
      <c r="I38" s="44">
        <f t="shared" si="28"/>
        <v>6018</v>
      </c>
      <c r="J38" s="44">
        <f t="shared" si="28"/>
        <v>7208</v>
      </c>
      <c r="K38" s="44">
        <f t="shared" si="28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29">SUM(AX34:AX37)</f>
        <v>15112</v>
      </c>
      <c r="AY38" s="44">
        <f t="shared" si="29"/>
        <v>12187</v>
      </c>
      <c r="AZ38" s="44">
        <f t="shared" si="29"/>
        <v>11396</v>
      </c>
      <c r="BA38" s="44">
        <f t="shared" si="29"/>
        <v>12964</v>
      </c>
      <c r="BB38" s="44">
        <f t="shared" si="29"/>
        <v>15341</v>
      </c>
      <c r="BC38" s="44">
        <f t="shared" ref="BC38:BH38" si="30">SUM(BC34:BC37)</f>
        <v>13011</v>
      </c>
      <c r="BD38" s="44">
        <f t="shared" si="30"/>
        <v>12715</v>
      </c>
      <c r="BE38" s="44">
        <f t="shared" si="30"/>
        <v>14314</v>
      </c>
      <c r="BF38" s="44">
        <f t="shared" si="30"/>
        <v>18458</v>
      </c>
      <c r="BG38" s="44">
        <f t="shared" si="30"/>
        <v>15967</v>
      </c>
      <c r="BH38" s="44">
        <f t="shared" si="30"/>
        <v>16805</v>
      </c>
      <c r="BI38" s="44">
        <f t="shared" ref="BI38:BN38" si="31">SUM(BI34:BI37)</f>
        <v>18182</v>
      </c>
      <c r="BJ38" s="44">
        <f t="shared" si="31"/>
        <v>20770.370000000003</v>
      </c>
      <c r="BK38" s="44">
        <f t="shared" si="31"/>
        <v>17561.792500000003</v>
      </c>
      <c r="BL38" s="44">
        <f t="shared" si="31"/>
        <v>17550.339375</v>
      </c>
      <c r="BM38" s="44">
        <f t="shared" si="31"/>
        <v>20853.297093749999</v>
      </c>
      <c r="BN38" s="44">
        <f t="shared" si="31"/>
        <v>24019.116492187502</v>
      </c>
      <c r="BO38" s="44"/>
      <c r="BP38" s="44"/>
      <c r="BQ38" s="44">
        <f>BQ33+SUM(BQ34:BQ37)</f>
        <v>2933</v>
      </c>
      <c r="BR38" s="44">
        <f>BR33+SUM(BR34:BR37)</f>
        <v>3527</v>
      </c>
      <c r="BS38" s="44">
        <f>BS33+SUM(BS34:BS37)</f>
        <v>4703</v>
      </c>
      <c r="BT38" s="44">
        <f>BT33+SUM(BT34:BT37)</f>
        <v>5410</v>
      </c>
      <c r="BU38" s="44">
        <f>BU33+SUM(BU34:BU37)</f>
        <v>5927</v>
      </c>
      <c r="BV38" s="44"/>
      <c r="BW38" s="44"/>
      <c r="BX38" s="44"/>
      <c r="BY38" s="44"/>
      <c r="BZ38" s="44"/>
      <c r="CA38" s="44"/>
      <c r="CB38" s="44">
        <f>SUM(CB34:CB36)</f>
        <v>26048</v>
      </c>
      <c r="CC38" s="44">
        <f>SUM(CC34:CC37)</f>
        <v>30205</v>
      </c>
      <c r="CD38" s="44">
        <f>SUM(CD34:CD37)</f>
        <v>31383</v>
      </c>
      <c r="CE38" s="44">
        <f>SUM(CE34:CE37)</f>
        <v>35087</v>
      </c>
      <c r="CF38" s="44">
        <f>SUM(CF34:CF36)</f>
        <v>0</v>
      </c>
      <c r="CG38" s="44">
        <f>SUM(CG34:CG37)</f>
        <v>39752</v>
      </c>
      <c r="CH38" s="44">
        <f>SUM(CH34:CH37)</f>
        <v>42295</v>
      </c>
      <c r="CI38" s="44">
        <f>SUM(CI34:CI37)</f>
        <v>46165</v>
      </c>
      <c r="CJ38" s="46">
        <f>SUM(CJ34:CJ36)</f>
        <v>46138</v>
      </c>
      <c r="CK38" s="46">
        <f t="shared" ref="CK38:CM38" si="32">SUM(CK34:CK36)</f>
        <v>48118</v>
      </c>
      <c r="CL38" s="46">
        <f t="shared" si="32"/>
        <v>50050</v>
      </c>
      <c r="CM38" s="46">
        <f t="shared" si="32"/>
        <v>52348</v>
      </c>
      <c r="CN38" s="46">
        <f>SUM(CN34:CN36)</f>
        <v>58830</v>
      </c>
      <c r="CO38" s="46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</row>
    <row r="39" spans="1:138" ht="12.75" customHeight="1" x14ac:dyDescent="0.2">
      <c r="A39" s="41"/>
      <c r="B39" s="47" t="s">
        <v>204</v>
      </c>
      <c r="C39" s="44">
        <f t="shared" ref="C39:K39" si="33">C33-C38</f>
        <v>3049</v>
      </c>
      <c r="D39" s="44">
        <f t="shared" si="33"/>
        <v>3001</v>
      </c>
      <c r="E39" s="44">
        <f t="shared" si="33"/>
        <v>3274</v>
      </c>
      <c r="F39" s="44">
        <f t="shared" si="33"/>
        <v>3374</v>
      </c>
      <c r="G39" s="44">
        <f t="shared" si="33"/>
        <v>3810</v>
      </c>
      <c r="H39" s="44">
        <f t="shared" si="33"/>
        <v>4090</v>
      </c>
      <c r="I39" s="44">
        <f t="shared" si="33"/>
        <v>3814</v>
      </c>
      <c r="J39" s="44">
        <f t="shared" si="33"/>
        <v>3219</v>
      </c>
      <c r="K39" s="44">
        <f t="shared" si="33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34">AX33-AX38</f>
        <v>11873</v>
      </c>
      <c r="AY39" s="44">
        <f t="shared" si="34"/>
        <v>16302</v>
      </c>
      <c r="AZ39" s="44">
        <f t="shared" si="34"/>
        <v>13838</v>
      </c>
      <c r="BA39" s="44">
        <f t="shared" si="34"/>
        <v>12808</v>
      </c>
      <c r="BB39" s="44">
        <f t="shared" si="34"/>
        <v>11178</v>
      </c>
      <c r="BC39" s="44">
        <f t="shared" ref="BC39:BH39" si="35">BC33-BC38</f>
        <v>14982</v>
      </c>
      <c r="BD39" s="44">
        <f t="shared" si="35"/>
        <v>14779</v>
      </c>
      <c r="BE39" s="44">
        <f t="shared" si="35"/>
        <v>15249</v>
      </c>
      <c r="BF39" s="44">
        <f t="shared" si="35"/>
        <v>13634</v>
      </c>
      <c r="BG39" s="44">
        <f t="shared" si="35"/>
        <v>19147</v>
      </c>
      <c r="BH39" s="44">
        <f t="shared" si="35"/>
        <v>18391</v>
      </c>
      <c r="BI39" s="44">
        <f t="shared" ref="BI39:BN39" si="36">BI33-BI38</f>
        <v>20184</v>
      </c>
      <c r="BJ39" s="44">
        <f t="shared" si="36"/>
        <v>20107.829999999994</v>
      </c>
      <c r="BK39" s="44">
        <f t="shared" si="36"/>
        <v>23643.645499999999</v>
      </c>
      <c r="BL39" s="44">
        <f t="shared" si="36"/>
        <v>23449.257624999995</v>
      </c>
      <c r="BM39" s="44">
        <f t="shared" si="36"/>
        <v>25743.51140625</v>
      </c>
      <c r="BN39" s="44">
        <f t="shared" si="36"/>
        <v>24694.184507812497</v>
      </c>
      <c r="BO39" s="44"/>
      <c r="BP39" s="44"/>
      <c r="BQ39" s="44">
        <v>-26</v>
      </c>
      <c r="BR39" s="44">
        <v>2</v>
      </c>
      <c r="BS39" s="44">
        <v>3</v>
      </c>
      <c r="BT39" s="44">
        <v>49</v>
      </c>
      <c r="BU39" s="44">
        <v>27</v>
      </c>
      <c r="BV39" s="44">
        <f>-63-41-45+78+9-2-2+7</f>
        <v>-59</v>
      </c>
      <c r="BW39" s="44">
        <f>-38-44+7-32-31+4+5+12</f>
        <v>-117</v>
      </c>
      <c r="BX39" s="44"/>
      <c r="BY39" s="44"/>
      <c r="BZ39" s="44"/>
      <c r="CA39" s="44"/>
      <c r="CB39" s="44">
        <f t="shared" ref="CB39:CI39" si="37">CB33-CB38</f>
        <v>14592</v>
      </c>
      <c r="CC39" s="44">
        <f t="shared" si="37"/>
        <v>18891</v>
      </c>
      <c r="CD39" s="44">
        <f>CD33-CD38</f>
        <v>22374</v>
      </c>
      <c r="CE39" s="44">
        <f>CE33-CE38</f>
        <v>29474</v>
      </c>
      <c r="CF39" s="44">
        <f t="shared" si="37"/>
        <v>0</v>
      </c>
      <c r="CG39" s="44">
        <f t="shared" si="37"/>
        <v>34492</v>
      </c>
      <c r="CH39" s="44">
        <f t="shared" si="37"/>
        <v>49444</v>
      </c>
      <c r="CI39" s="44">
        <f t="shared" si="37"/>
        <v>48432</v>
      </c>
      <c r="CJ39" s="46">
        <f>CJ33-CJ38</f>
        <v>47926</v>
      </c>
      <c r="CK39" s="46">
        <f t="shared" ref="CK39:CN39" si="38">CK33-CK38</f>
        <v>46096</v>
      </c>
      <c r="CL39" s="46">
        <f t="shared" si="38"/>
        <v>51883</v>
      </c>
      <c r="CM39" s="46">
        <f t="shared" si="38"/>
        <v>53666</v>
      </c>
      <c r="CN39" s="46">
        <f t="shared" si="38"/>
        <v>58312</v>
      </c>
      <c r="CO39" s="46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</row>
    <row r="40" spans="1:138" ht="12.75" customHeight="1" x14ac:dyDescent="0.2">
      <c r="A40" s="41"/>
      <c r="B40" s="47" t="s">
        <v>207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>
        <v>379</v>
      </c>
      <c r="BR40" s="44">
        <v>218</v>
      </c>
      <c r="BS40" s="44">
        <v>539</v>
      </c>
      <c r="BT40" s="44">
        <v>368</v>
      </c>
      <c r="BU40" s="44">
        <v>555</v>
      </c>
      <c r="BV40" s="44">
        <f>421+446+177+438</f>
        <v>1482</v>
      </c>
      <c r="BW40" s="44">
        <f>178+104+125+491</f>
        <v>898</v>
      </c>
      <c r="BX40" s="38"/>
      <c r="BY40" s="38"/>
      <c r="BZ40" s="38"/>
      <c r="CA40" s="38"/>
      <c r="CB40" s="38"/>
      <c r="CC40" s="44"/>
      <c r="CD40" s="38"/>
      <c r="CE40" s="38"/>
      <c r="CF40" s="44"/>
      <c r="CG40" s="44"/>
      <c r="CH40" s="44"/>
      <c r="CI40" s="46"/>
      <c r="CJ40" s="46"/>
      <c r="CK40" s="46"/>
      <c r="CL40" s="46"/>
      <c r="CM40" s="46"/>
      <c r="CN40" s="46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</row>
    <row r="41" spans="1:138" ht="12.75" customHeight="1" x14ac:dyDescent="0.2">
      <c r="A41" s="41"/>
      <c r="B41" s="47" t="s">
        <v>145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>
        <v>-110</v>
      </c>
      <c r="BR41" s="44">
        <v>-398</v>
      </c>
      <c r="BS41" s="44">
        <v>-361</v>
      </c>
      <c r="BT41" s="44">
        <v>-132</v>
      </c>
      <c r="BU41" s="44">
        <v>-181</v>
      </c>
      <c r="BV41" s="44">
        <f>-133-116-103-117</f>
        <v>-469</v>
      </c>
      <c r="BW41" s="44">
        <f>-22-44-52-186</f>
        <v>-304</v>
      </c>
      <c r="BX41" s="38"/>
      <c r="BY41" s="38"/>
      <c r="BZ41" s="38"/>
      <c r="CA41" s="38"/>
      <c r="CB41" s="38"/>
      <c r="CC41" s="44"/>
      <c r="CD41" s="44"/>
      <c r="CE41" s="44"/>
      <c r="CF41" s="44"/>
      <c r="CG41" s="44"/>
      <c r="CH41" s="44"/>
      <c r="CI41" s="46"/>
      <c r="CJ41" s="46"/>
      <c r="CK41" s="46"/>
      <c r="CL41" s="46"/>
      <c r="CM41" s="46"/>
      <c r="CN41" s="46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</row>
    <row r="42" spans="1:138" ht="12.75" customHeight="1" x14ac:dyDescent="0.2">
      <c r="A42" s="41"/>
      <c r="B42" s="47" t="s">
        <v>146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39">AVERAGE(BF42:BI42)</f>
        <v>1374.25</v>
      </c>
      <c r="BK42" s="44">
        <f t="shared" si="39"/>
        <v>1587.5625</v>
      </c>
      <c r="BL42" s="44">
        <f t="shared" si="39"/>
        <v>1677.453125</v>
      </c>
      <c r="BM42" s="44">
        <f t="shared" si="39"/>
        <v>1697.81640625</v>
      </c>
      <c r="BN42" s="44">
        <f t="shared" si="39"/>
        <v>1584.2705078125</v>
      </c>
      <c r="BO42" s="44"/>
      <c r="BP42" s="44"/>
      <c r="BQ42" s="44">
        <f t="shared" ref="BQ42:BW42" si="40">BQ38+SUM(BQ39:BQ41)</f>
        <v>3176</v>
      </c>
      <c r="BR42" s="44">
        <f t="shared" si="40"/>
        <v>3349</v>
      </c>
      <c r="BS42" s="44">
        <f t="shared" si="40"/>
        <v>4884</v>
      </c>
      <c r="BT42" s="44">
        <f t="shared" si="40"/>
        <v>5695</v>
      </c>
      <c r="BU42" s="44">
        <f t="shared" si="40"/>
        <v>6328</v>
      </c>
      <c r="BV42" s="44">
        <f t="shared" si="40"/>
        <v>954</v>
      </c>
      <c r="BW42" s="44">
        <f t="shared" si="40"/>
        <v>477</v>
      </c>
      <c r="BX42" s="38"/>
      <c r="BY42" s="38"/>
      <c r="BZ42" s="38"/>
      <c r="CA42" s="38"/>
      <c r="CB42" s="38"/>
      <c r="CC42" s="44">
        <f>1452-2057</f>
        <v>-605</v>
      </c>
      <c r="CD42" s="44">
        <f>514-963</f>
        <v>-449</v>
      </c>
      <c r="CE42" s="44">
        <f>125-1788</f>
        <v>-1663</v>
      </c>
      <c r="CF42" s="44"/>
      <c r="CG42" s="44">
        <f>167-563</f>
        <v>-396</v>
      </c>
      <c r="CH42" s="44">
        <f>85-6046</f>
        <v>-5961</v>
      </c>
      <c r="CI42" s="46">
        <f>92-726</f>
        <v>-634</v>
      </c>
      <c r="CJ42" s="46"/>
      <c r="CK42" s="46"/>
      <c r="CL42" s="46"/>
      <c r="CM42" s="46"/>
      <c r="CN42" s="46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</row>
    <row r="43" spans="1:138" ht="12.75" customHeight="1" x14ac:dyDescent="0.2">
      <c r="A43" s="41"/>
      <c r="B43" s="47" t="s">
        <v>205</v>
      </c>
      <c r="C43" s="44">
        <f t="shared" ref="C43:O43" si="41">SUM(C39:C42)</f>
        <v>3824</v>
      </c>
      <c r="D43" s="44">
        <f t="shared" si="41"/>
        <v>3406</v>
      </c>
      <c r="E43" s="44">
        <f t="shared" si="41"/>
        <v>3588</v>
      </c>
      <c r="F43" s="44">
        <f t="shared" si="41"/>
        <v>3070</v>
      </c>
      <c r="G43" s="44">
        <f t="shared" si="41"/>
        <v>3505</v>
      </c>
      <c r="H43" s="44">
        <f t="shared" si="41"/>
        <v>3884</v>
      </c>
      <c r="I43" s="44">
        <f t="shared" si="41"/>
        <v>3607</v>
      </c>
      <c r="J43" s="44">
        <f t="shared" si="41"/>
        <v>2992</v>
      </c>
      <c r="K43" s="44">
        <f t="shared" si="41"/>
        <v>4317</v>
      </c>
      <c r="L43" s="44">
        <f t="shared" si="41"/>
        <v>4608</v>
      </c>
      <c r="M43" s="44">
        <f t="shared" si="41"/>
        <v>4656</v>
      </c>
      <c r="N43" s="44">
        <f t="shared" si="41"/>
        <v>4907.2000000000007</v>
      </c>
      <c r="O43" s="44">
        <f t="shared" si="41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42">AX39-AX42</f>
        <v>11079</v>
      </c>
      <c r="AY43" s="44">
        <f t="shared" si="42"/>
        <v>15021</v>
      </c>
      <c r="AZ43" s="44">
        <f t="shared" si="42"/>
        <v>13416</v>
      </c>
      <c r="BA43" s="44">
        <f t="shared" si="42"/>
        <v>12691</v>
      </c>
      <c r="BB43" s="44">
        <f t="shared" si="42"/>
        <v>12002</v>
      </c>
      <c r="BC43" s="44">
        <f>BC39-BC42</f>
        <v>15938</v>
      </c>
      <c r="BD43" s="44">
        <f>BD39-BD42</f>
        <v>14917</v>
      </c>
      <c r="BE43" s="44">
        <f t="shared" ref="BE43:BN43" si="43">BE39-BE42</f>
        <v>15112</v>
      </c>
      <c r="BF43" s="44">
        <f t="shared" si="43"/>
        <v>13113</v>
      </c>
      <c r="BG43" s="44">
        <f t="shared" si="43"/>
        <v>17919</v>
      </c>
      <c r="BH43" s="44">
        <f t="shared" si="43"/>
        <v>16795</v>
      </c>
      <c r="BI43" s="44">
        <f t="shared" si="43"/>
        <v>18032</v>
      </c>
      <c r="BJ43" s="44">
        <f t="shared" si="43"/>
        <v>18733.579999999994</v>
      </c>
      <c r="BK43" s="44">
        <f t="shared" si="43"/>
        <v>22056.082999999999</v>
      </c>
      <c r="BL43" s="44">
        <f t="shared" si="43"/>
        <v>21771.804499999995</v>
      </c>
      <c r="BM43" s="44">
        <f t="shared" si="43"/>
        <v>24045.695</v>
      </c>
      <c r="BN43" s="44">
        <f t="shared" si="43"/>
        <v>23109.913999999997</v>
      </c>
      <c r="BO43" s="44"/>
      <c r="BP43" s="44"/>
      <c r="BQ43" s="44">
        <v>-1160</v>
      </c>
      <c r="BR43" s="44">
        <v>-1348</v>
      </c>
      <c r="BS43" s="44">
        <v>-1730</v>
      </c>
      <c r="BT43" s="44">
        <v>-2075</v>
      </c>
      <c r="BU43" s="44">
        <v>-2212</v>
      </c>
      <c r="BV43" s="44"/>
      <c r="BW43" s="44"/>
      <c r="BX43" s="44"/>
      <c r="BY43" s="44"/>
      <c r="BZ43" s="44"/>
      <c r="CA43" s="44"/>
      <c r="CB43" s="44">
        <f t="shared" ref="CB43:CF43" si="44">CB39+SUM(CB40:CB42)</f>
        <v>14592</v>
      </c>
      <c r="CC43" s="44">
        <f t="shared" si="44"/>
        <v>18286</v>
      </c>
      <c r="CD43" s="44">
        <f t="shared" si="44"/>
        <v>21925</v>
      </c>
      <c r="CE43" s="44">
        <f t="shared" si="44"/>
        <v>27811</v>
      </c>
      <c r="CF43" s="44">
        <f t="shared" si="44"/>
        <v>0</v>
      </c>
      <c r="CG43" s="44">
        <f>CG39+SUM(CG40:CG42)</f>
        <v>34096</v>
      </c>
      <c r="CH43" s="44">
        <f>CH39+SUM(CH40:CH42)</f>
        <v>43483</v>
      </c>
      <c r="CI43" s="44">
        <f>CI39+SUM(CI40:CI42)</f>
        <v>47798</v>
      </c>
      <c r="CJ43" s="46"/>
      <c r="CK43" s="46"/>
      <c r="CL43" s="46"/>
      <c r="CM43" s="46"/>
      <c r="CN43" s="46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</row>
    <row r="44" spans="1:138" ht="12.75" customHeight="1" x14ac:dyDescent="0.2">
      <c r="A44" s="41"/>
      <c r="B44" s="47" t="s">
        <v>210</v>
      </c>
      <c r="C44" s="44">
        <f t="shared" ref="C44:J44" si="45">C43-C45</f>
        <v>1644</v>
      </c>
      <c r="D44" s="44">
        <f t="shared" si="45"/>
        <v>935</v>
      </c>
      <c r="E44" s="44">
        <f t="shared" si="45"/>
        <v>924</v>
      </c>
      <c r="F44" s="44">
        <f t="shared" si="45"/>
        <v>740</v>
      </c>
      <c r="G44" s="44">
        <f t="shared" si="45"/>
        <v>806</v>
      </c>
      <c r="H44" s="44">
        <f t="shared" si="45"/>
        <v>893</v>
      </c>
      <c r="I44" s="44">
        <f t="shared" si="45"/>
        <v>852</v>
      </c>
      <c r="J44" s="44">
        <f t="shared" si="45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46">+BJ43*0.2</f>
        <v>3746.715999999999</v>
      </c>
      <c r="BK44" s="44">
        <f t="shared" si="46"/>
        <v>4411.2165999999997</v>
      </c>
      <c r="BL44" s="44">
        <f t="shared" si="46"/>
        <v>4354.3608999999988</v>
      </c>
      <c r="BM44" s="44">
        <f t="shared" si="46"/>
        <v>4809.1390000000001</v>
      </c>
      <c r="BN44" s="44">
        <f t="shared" si="46"/>
        <v>4621.9827999999998</v>
      </c>
      <c r="BO44" s="44"/>
      <c r="BP44" s="44"/>
      <c r="BQ44" s="44">
        <f t="shared" ref="BQ44:BW44" si="47">BQ42+BQ43</f>
        <v>2016</v>
      </c>
      <c r="BR44" s="44">
        <f t="shared" si="47"/>
        <v>2001</v>
      </c>
      <c r="BS44" s="44">
        <f t="shared" si="47"/>
        <v>3154</v>
      </c>
      <c r="BT44" s="44">
        <f t="shared" si="47"/>
        <v>3620</v>
      </c>
      <c r="BU44" s="44">
        <f t="shared" si="47"/>
        <v>4116</v>
      </c>
      <c r="BV44" s="44">
        <f t="shared" si="47"/>
        <v>954</v>
      </c>
      <c r="BW44" s="44">
        <f t="shared" si="47"/>
        <v>477</v>
      </c>
      <c r="BX44" s="38"/>
      <c r="BY44" s="38"/>
      <c r="BZ44" s="38"/>
      <c r="CA44" s="38"/>
      <c r="CB44" s="44">
        <f>+CB43*0.35</f>
        <v>5107.2</v>
      </c>
      <c r="CC44" s="44">
        <v>3883</v>
      </c>
      <c r="CD44" s="44">
        <v>4828</v>
      </c>
      <c r="CE44" s="44">
        <v>6379</v>
      </c>
      <c r="CF44" s="44"/>
      <c r="CG44" s="44">
        <v>7615</v>
      </c>
      <c r="CH44" s="44">
        <v>8623</v>
      </c>
      <c r="CI44" s="46">
        <v>9873</v>
      </c>
      <c r="CJ44" s="46"/>
      <c r="CK44" s="46"/>
      <c r="CL44" s="46"/>
      <c r="CM44" s="46"/>
      <c r="CN44" s="46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</row>
    <row r="45" spans="1:138" ht="12.75" customHeight="1" x14ac:dyDescent="0.2">
      <c r="A45" s="41"/>
      <c r="B45" s="47" t="s">
        <v>206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48">AX43-AX44</f>
        <v>8717</v>
      </c>
      <c r="AY45" s="44">
        <f t="shared" si="48"/>
        <v>11897</v>
      </c>
      <c r="AZ45" s="44">
        <f t="shared" si="48"/>
        <v>10625</v>
      </c>
      <c r="BA45" s="44">
        <f t="shared" si="48"/>
        <v>10298</v>
      </c>
      <c r="BB45" s="44">
        <f t="shared" si="48"/>
        <v>9318</v>
      </c>
      <c r="BC45" s="44">
        <f>BC43-BC44</f>
        <v>12623</v>
      </c>
      <c r="BD45" s="44">
        <f>BD43-BD44</f>
        <v>12123</v>
      </c>
      <c r="BE45" s="44">
        <f t="shared" ref="BE45:BG45" si="49">BE43-BE44</f>
        <v>12119</v>
      </c>
      <c r="BF45" s="44">
        <f t="shared" si="49"/>
        <v>10892</v>
      </c>
      <c r="BG45" s="44">
        <f t="shared" si="49"/>
        <v>14210</v>
      </c>
      <c r="BH45" s="44">
        <f>BH43-BH44</f>
        <v>13318</v>
      </c>
      <c r="BI45" s="44">
        <f t="shared" ref="BI45:BN45" si="50">BI43-BI44</f>
        <v>14405</v>
      </c>
      <c r="BJ45" s="44">
        <f t="shared" si="50"/>
        <v>14986.863999999996</v>
      </c>
      <c r="BK45" s="44">
        <f t="shared" si="50"/>
        <v>17644.866399999999</v>
      </c>
      <c r="BL45" s="44">
        <f t="shared" si="50"/>
        <v>17417.443599999995</v>
      </c>
      <c r="BM45" s="44">
        <f t="shared" si="50"/>
        <v>19236.556</v>
      </c>
      <c r="BN45" s="44">
        <f t="shared" si="50"/>
        <v>18487.931199999999</v>
      </c>
      <c r="BO45" s="44"/>
      <c r="BP45" s="44"/>
      <c r="BQ45" s="11">
        <f t="shared" ref="BQ45:BU45" si="51">BQ44/BQ46</f>
        <v>5.4339622641509431</v>
      </c>
      <c r="BR45" s="11">
        <f t="shared" si="51"/>
        <v>5.5909784351966199</v>
      </c>
      <c r="BS45" s="11">
        <f t="shared" si="51"/>
        <v>9.0298275927642493</v>
      </c>
      <c r="BT45" s="11">
        <f t="shared" si="51"/>
        <v>10.449736117774917</v>
      </c>
      <c r="BU45" s="11">
        <f t="shared" si="51"/>
        <v>11.849703476124272</v>
      </c>
      <c r="BV45" s="11"/>
      <c r="BW45" s="11"/>
      <c r="BX45" s="44"/>
      <c r="BY45" s="44"/>
      <c r="BZ45" s="44"/>
      <c r="CA45" s="44"/>
      <c r="CB45" s="44">
        <f t="shared" ref="CB45:CI45" si="52">CB43-CB44</f>
        <v>9484.7999999999993</v>
      </c>
      <c r="CC45" s="44">
        <f>CC43-CC44</f>
        <v>14403</v>
      </c>
      <c r="CD45" s="44">
        <f t="shared" si="52"/>
        <v>17097</v>
      </c>
      <c r="CE45" s="44">
        <f t="shared" si="52"/>
        <v>21432</v>
      </c>
      <c r="CF45" s="44">
        <f t="shared" si="52"/>
        <v>0</v>
      </c>
      <c r="CG45" s="44">
        <f t="shared" si="52"/>
        <v>26481</v>
      </c>
      <c r="CH45" s="44">
        <f t="shared" si="52"/>
        <v>34860</v>
      </c>
      <c r="CI45" s="44">
        <f t="shared" si="52"/>
        <v>37925</v>
      </c>
      <c r="CJ45" s="46"/>
      <c r="CK45" s="46"/>
      <c r="CL45" s="46"/>
      <c r="CM45" s="46"/>
      <c r="CN45" s="46"/>
      <c r="CO45" s="46">
        <f t="shared" ref="CO45:DN45" si="53">CN45*(1+$CZ$49)</f>
        <v>0</v>
      </c>
      <c r="CP45" s="46">
        <f t="shared" si="53"/>
        <v>0</v>
      </c>
      <c r="CQ45" s="46">
        <f t="shared" si="53"/>
        <v>0</v>
      </c>
      <c r="CR45" s="46">
        <f t="shared" si="53"/>
        <v>0</v>
      </c>
      <c r="CS45" s="46">
        <f t="shared" si="53"/>
        <v>0</v>
      </c>
      <c r="CT45" s="46">
        <f t="shared" si="53"/>
        <v>0</v>
      </c>
      <c r="CU45" s="46">
        <f t="shared" si="53"/>
        <v>0</v>
      </c>
      <c r="CV45" s="46">
        <f t="shared" si="53"/>
        <v>0</v>
      </c>
      <c r="CW45" s="46">
        <f t="shared" si="53"/>
        <v>0</v>
      </c>
      <c r="CX45" s="46">
        <f t="shared" si="53"/>
        <v>0</v>
      </c>
      <c r="CY45" s="46">
        <f t="shared" si="53"/>
        <v>0</v>
      </c>
      <c r="CZ45" s="46">
        <f t="shared" si="53"/>
        <v>0</v>
      </c>
      <c r="DA45" s="46">
        <f t="shared" si="53"/>
        <v>0</v>
      </c>
      <c r="DB45" s="46">
        <f t="shared" si="53"/>
        <v>0</v>
      </c>
      <c r="DC45" s="46">
        <f t="shared" si="53"/>
        <v>0</v>
      </c>
      <c r="DD45" s="46">
        <f t="shared" si="53"/>
        <v>0</v>
      </c>
      <c r="DE45" s="46">
        <f t="shared" si="53"/>
        <v>0</v>
      </c>
      <c r="DF45" s="46">
        <f t="shared" si="53"/>
        <v>0</v>
      </c>
      <c r="DG45" s="46">
        <f t="shared" si="53"/>
        <v>0</v>
      </c>
      <c r="DH45" s="46">
        <f t="shared" si="53"/>
        <v>0</v>
      </c>
      <c r="DI45" s="46">
        <f t="shared" si="53"/>
        <v>0</v>
      </c>
      <c r="DJ45" s="46">
        <f t="shared" si="53"/>
        <v>0</v>
      </c>
      <c r="DK45" s="46">
        <f t="shared" si="53"/>
        <v>0</v>
      </c>
      <c r="DL45" s="46">
        <f t="shared" si="53"/>
        <v>0</v>
      </c>
      <c r="DM45" s="46">
        <f t="shared" si="53"/>
        <v>0</v>
      </c>
      <c r="DN45" s="46">
        <f t="shared" si="53"/>
        <v>0</v>
      </c>
      <c r="DO45" s="46">
        <f t="shared" ref="DO45:EH45" si="54">DN45*(1+$CZ$49)</f>
        <v>0</v>
      </c>
      <c r="DP45" s="46">
        <f t="shared" si="54"/>
        <v>0</v>
      </c>
      <c r="DQ45" s="46">
        <f t="shared" si="54"/>
        <v>0</v>
      </c>
      <c r="DR45" s="46">
        <f t="shared" si="54"/>
        <v>0</v>
      </c>
      <c r="DS45" s="46">
        <f t="shared" si="54"/>
        <v>0</v>
      </c>
      <c r="DT45" s="46">
        <f t="shared" si="54"/>
        <v>0</v>
      </c>
      <c r="DU45" s="46">
        <f t="shared" si="54"/>
        <v>0</v>
      </c>
      <c r="DV45" s="46">
        <f t="shared" si="54"/>
        <v>0</v>
      </c>
      <c r="DW45" s="46">
        <f t="shared" si="54"/>
        <v>0</v>
      </c>
      <c r="DX45" s="46">
        <f t="shared" si="54"/>
        <v>0</v>
      </c>
      <c r="DY45" s="46">
        <f t="shared" si="54"/>
        <v>0</v>
      </c>
      <c r="DZ45" s="46">
        <f t="shared" si="54"/>
        <v>0</v>
      </c>
      <c r="EA45" s="46">
        <f t="shared" si="54"/>
        <v>0</v>
      </c>
      <c r="EB45" s="46">
        <f t="shared" si="54"/>
        <v>0</v>
      </c>
      <c r="EC45" s="46">
        <f t="shared" si="54"/>
        <v>0</v>
      </c>
      <c r="ED45" s="46">
        <f t="shared" si="54"/>
        <v>0</v>
      </c>
      <c r="EE45" s="46">
        <f t="shared" si="54"/>
        <v>0</v>
      </c>
      <c r="EF45" s="46">
        <f t="shared" si="54"/>
        <v>0</v>
      </c>
      <c r="EG45" s="46">
        <f t="shared" si="54"/>
        <v>0</v>
      </c>
      <c r="EH45" s="46">
        <f t="shared" si="54"/>
        <v>0</v>
      </c>
    </row>
    <row r="46" spans="1:138" s="12" customFormat="1" ht="12.75" customHeight="1" x14ac:dyDescent="0.2">
      <c r="A46" s="8"/>
      <c r="B46" s="9" t="s">
        <v>147</v>
      </c>
      <c r="C46" s="11">
        <f t="shared" ref="C46:J46" si="55">C45/C47</f>
        <v>3.4807600191601473</v>
      </c>
      <c r="D46" s="11">
        <f t="shared" si="55"/>
        <v>3.994503718073068</v>
      </c>
      <c r="E46" s="11">
        <f t="shared" si="55"/>
        <v>4.3359375</v>
      </c>
      <c r="F46" s="11">
        <f t="shared" si="55"/>
        <v>3.7923177083333335</v>
      </c>
      <c r="G46" s="11">
        <f t="shared" si="55"/>
        <v>4.4050922147870084</v>
      </c>
      <c r="H46" s="11">
        <f t="shared" si="55"/>
        <v>4.9202171409771349</v>
      </c>
      <c r="I46" s="11">
        <f t="shared" si="55"/>
        <v>4.5809777186564684</v>
      </c>
      <c r="J46" s="11">
        <f t="shared" si="55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56">AX45/AX47</f>
        <v>3.6884864384547029</v>
      </c>
      <c r="AY46" s="11">
        <f t="shared" si="56"/>
        <v>5.0522337353490743</v>
      </c>
      <c r="AZ46" s="11">
        <f t="shared" si="56"/>
        <v>4.5311100686596442</v>
      </c>
      <c r="BA46" s="11">
        <f t="shared" si="56"/>
        <v>4.4100895036615135</v>
      </c>
      <c r="BB46" s="11">
        <f t="shared" si="56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57">BE45/BE47</f>
        <v>5.2753232055021106</v>
      </c>
      <c r="BF46" s="11">
        <f t="shared" si="57"/>
        <v>4.7550860036671621</v>
      </c>
      <c r="BG46" s="11">
        <f t="shared" si="57"/>
        <v>6.223448517496605</v>
      </c>
      <c r="BH46" s="11">
        <f>BH45/BH47</f>
        <v>5.8512367646412722</v>
      </c>
      <c r="BI46" s="11">
        <f t="shared" ref="BI46:BN46" si="58">BI45/BI47</f>
        <v>6.3500110204981262</v>
      </c>
      <c r="BJ46" s="11">
        <f t="shared" si="58"/>
        <v>6.6065082653735931</v>
      </c>
      <c r="BK46" s="11">
        <f t="shared" si="58"/>
        <v>7.7782086841525233</v>
      </c>
      <c r="BL46" s="11">
        <f t="shared" si="58"/>
        <v>7.6779561824994467</v>
      </c>
      <c r="BM46" s="11">
        <f t="shared" si="58"/>
        <v>8.4798571743442803</v>
      </c>
      <c r="BN46" s="11">
        <f t="shared" si="58"/>
        <v>8.1498484461097629</v>
      </c>
      <c r="BO46" s="11"/>
      <c r="BP46" s="10"/>
      <c r="BQ46" s="44">
        <v>371</v>
      </c>
      <c r="BR46" s="44">
        <v>357.89800000000002</v>
      </c>
      <c r="BS46" s="44">
        <v>349.28684602210484</v>
      </c>
      <c r="BT46" s="44">
        <v>346.42023101831342</v>
      </c>
      <c r="BU46" s="44">
        <v>347.35046394141801</v>
      </c>
      <c r="BV46" s="44"/>
      <c r="BW46" s="44"/>
      <c r="BX46" s="10"/>
      <c r="BY46" s="10"/>
      <c r="BZ46" s="10"/>
      <c r="CA46" s="10"/>
      <c r="CB46" s="10"/>
      <c r="CC46" s="11">
        <f t="shared" ref="CC46:CE46" si="59">CC45/CC47</f>
        <v>24.600453988798879</v>
      </c>
      <c r="CD46" s="11">
        <f t="shared" si="59"/>
        <v>29.987792300730359</v>
      </c>
      <c r="CE46" s="11">
        <f t="shared" si="59"/>
        <v>38.849452931835813</v>
      </c>
      <c r="CF46" s="11"/>
      <c r="CG46" s="11"/>
      <c r="CH46" s="11"/>
    </row>
    <row r="47" spans="1:138" ht="12.75" customHeight="1" x14ac:dyDescent="0.2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60">+BI47</f>
        <v>2268.5</v>
      </c>
      <c r="BK47" s="44">
        <f t="shared" si="60"/>
        <v>2268.5</v>
      </c>
      <c r="BL47" s="44">
        <f t="shared" si="60"/>
        <v>2268.5</v>
      </c>
      <c r="BM47" s="44">
        <f t="shared" si="60"/>
        <v>2268.5</v>
      </c>
      <c r="BN47" s="44">
        <f t="shared" si="60"/>
        <v>2268.5</v>
      </c>
      <c r="BO47" s="44"/>
      <c r="BP47" s="48"/>
      <c r="BQ47" s="44">
        <f>BQ44</f>
        <v>2016</v>
      </c>
      <c r="BR47" s="44">
        <f t="shared" ref="BR47:BW47" si="61">BR44</f>
        <v>2001</v>
      </c>
      <c r="BS47" s="44">
        <f t="shared" si="61"/>
        <v>3154</v>
      </c>
      <c r="BT47" s="44">
        <f t="shared" si="61"/>
        <v>3620</v>
      </c>
      <c r="BU47" s="44">
        <f t="shared" si="61"/>
        <v>4116</v>
      </c>
      <c r="BV47" s="44">
        <f t="shared" si="61"/>
        <v>954</v>
      </c>
      <c r="BW47" s="44">
        <f t="shared" si="61"/>
        <v>477</v>
      </c>
      <c r="BX47" s="44"/>
      <c r="BY47" s="44"/>
      <c r="BZ47" s="44"/>
      <c r="CA47" s="44"/>
      <c r="CB47" s="44"/>
      <c r="CC47" s="44">
        <v>585.47699999999998</v>
      </c>
      <c r="CD47" s="44">
        <v>570.13199999999995</v>
      </c>
      <c r="CE47" s="44">
        <v>551.66800000000001</v>
      </c>
      <c r="CF47" s="44"/>
      <c r="CG47" s="44">
        <v>2630.2179999999998</v>
      </c>
      <c r="CH47" s="44">
        <v>2577.6979999999999</v>
      </c>
      <c r="CI47" s="46">
        <v>2534.7289999999998</v>
      </c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</row>
    <row r="48" spans="1:138" s="5" customFormat="1" ht="12.75" customHeight="1" x14ac:dyDescent="0.2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</row>
    <row r="49" spans="2:138" ht="12.75" customHeight="1" x14ac:dyDescent="0.2">
      <c r="B49" s="47" t="s">
        <v>151</v>
      </c>
      <c r="C49" s="53"/>
      <c r="D49" s="53"/>
      <c r="E49" s="53"/>
      <c r="F49" s="53"/>
      <c r="G49" s="54">
        <f t="shared" ref="G49:O49" si="62">G31/C31-1</f>
        <v>0.17750141322781232</v>
      </c>
      <c r="H49" s="54">
        <f t="shared" si="62"/>
        <v>0.17020702070207028</v>
      </c>
      <c r="I49" s="54">
        <f t="shared" si="62"/>
        <v>0.11550773608394094</v>
      </c>
      <c r="J49" s="54">
        <f t="shared" si="62"/>
        <v>4.2756099499324574E-2</v>
      </c>
      <c r="K49" s="54">
        <f t="shared" si="62"/>
        <v>9.4095055208833323E-2</v>
      </c>
      <c r="L49" s="54">
        <f t="shared" si="62"/>
        <v>0.18406276440273817</v>
      </c>
      <c r="M49" s="54">
        <f t="shared" si="62"/>
        <v>0.24224790753288161</v>
      </c>
      <c r="N49" s="54">
        <f t="shared" si="62"/>
        <v>0.22886975078119054</v>
      </c>
      <c r="O49" s="54">
        <f t="shared" si="62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>
        <f t="shared" ref="BB49:BH49" si="63">BB31/AX31-1</f>
        <v>-8.6065953049325739E-3</v>
      </c>
      <c r="BC49" s="54">
        <f t="shared" si="63"/>
        <v>-2.0959409594095701E-3</v>
      </c>
      <c r="BD49" s="54">
        <f t="shared" si="63"/>
        <v>0.10114643737919082</v>
      </c>
      <c r="BE49" s="54">
        <f t="shared" si="63"/>
        <v>0.15180909884566884</v>
      </c>
      <c r="BF49" s="54">
        <f t="shared" si="63"/>
        <v>0.19276246188312895</v>
      </c>
      <c r="BG49" s="54">
        <f t="shared" si="63"/>
        <v>0.24337356525854936</v>
      </c>
      <c r="BH49" s="54">
        <f t="shared" si="63"/>
        <v>0.24890287824218404</v>
      </c>
      <c r="BI49" s="54">
        <f t="shared" ref="BI49:BN49" si="64">BI31/BE31-1</f>
        <v>0.27915333221043181</v>
      </c>
      <c r="BJ49" s="54">
        <f t="shared" si="64"/>
        <v>0.2545848224767171</v>
      </c>
      <c r="BK49" s="54">
        <f t="shared" si="64"/>
        <v>0.13995146439532724</v>
      </c>
      <c r="BL49" s="54">
        <f t="shared" si="64"/>
        <v>0.15531200775475584</v>
      </c>
      <c r="BM49" s="54">
        <f t="shared" si="64"/>
        <v>0.17542795066496941</v>
      </c>
      <c r="BN49" s="54">
        <f t="shared" si="64"/>
        <v>0.16427472344672722</v>
      </c>
      <c r="BO49" s="54"/>
      <c r="BP49" s="53"/>
      <c r="BQ49" s="53"/>
      <c r="BR49" s="55">
        <f>BR31/BQ31-1</f>
        <v>0.20341466989081858</v>
      </c>
      <c r="BS49" s="55">
        <f>BS31/BR31-1</f>
        <v>0.24733605309626738</v>
      </c>
      <c r="BT49" s="55">
        <f>BT31/BS31-1</f>
        <v>0.14156700024408098</v>
      </c>
      <c r="BU49" s="55">
        <f>BU31/BT31-1</f>
        <v>6.333119521060504E-2</v>
      </c>
      <c r="BV49" s="55">
        <f>BV31/BU31-1</f>
        <v>-1</v>
      </c>
      <c r="BW49" s="55"/>
      <c r="BX49" s="55"/>
      <c r="BY49" s="55"/>
      <c r="BZ49" s="55"/>
      <c r="CA49" s="55"/>
      <c r="CB49" s="55"/>
      <c r="CC49" s="55">
        <f t="shared" ref="CC49:CO49" si="65">CC31/CB31-1</f>
        <v>0.18784325222319942</v>
      </c>
      <c r="CD49" s="55">
        <f t="shared" si="65"/>
        <v>9.164801895485053E-2</v>
      </c>
      <c r="CE49" s="55">
        <f t="shared" si="65"/>
        <v>0.17604678503602322</v>
      </c>
      <c r="CF49" s="55">
        <f t="shared" si="65"/>
        <v>7.1078871145515699E-2</v>
      </c>
      <c r="CG49" s="55">
        <f t="shared" si="65"/>
        <v>6.262863159910026E-2</v>
      </c>
      <c r="CH49" s="55">
        <f t="shared" si="65"/>
        <v>0.21531202846654507</v>
      </c>
      <c r="CI49" s="55">
        <f t="shared" si="65"/>
        <v>3.5700056519684553E-2</v>
      </c>
      <c r="CJ49" s="55">
        <f t="shared" si="65"/>
        <v>-7.5147611379500212E-4</v>
      </c>
      <c r="CK49" s="55">
        <f t="shared" si="65"/>
        <v>1.208637730984119E-3</v>
      </c>
      <c r="CL49" s="55">
        <f t="shared" si="65"/>
        <v>9.1119635879139071E-2</v>
      </c>
      <c r="CM49" s="55">
        <f t="shared" si="65"/>
        <v>4.0361904918005953E-2</v>
      </c>
      <c r="CN49" s="55">
        <f t="shared" si="65"/>
        <v>0.10913301718841084</v>
      </c>
      <c r="CO49" s="55">
        <f t="shared" si="65"/>
        <v>-1</v>
      </c>
      <c r="CP49" s="40"/>
      <c r="CQ49" s="40"/>
      <c r="CR49" s="40"/>
      <c r="CS49" s="40"/>
      <c r="CT49" s="40"/>
      <c r="CU49" s="40"/>
      <c r="CV49" s="40"/>
      <c r="CW49" s="40"/>
      <c r="CX49" s="40"/>
      <c r="CY49" s="49" t="s">
        <v>148</v>
      </c>
      <c r="CZ49" s="50">
        <v>0.02</v>
      </c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</row>
    <row r="50" spans="2:138" ht="12.75" customHeight="1" x14ac:dyDescent="0.2">
      <c r="B50" s="47" t="s">
        <v>152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3"/>
      <c r="BQ50" s="53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 t="s">
        <v>153</v>
      </c>
      <c r="CD50" s="55"/>
      <c r="CE50" s="55"/>
      <c r="CF50" s="55"/>
      <c r="CG50" s="55"/>
      <c r="CH50" s="55"/>
      <c r="CI50" s="40"/>
      <c r="CJ50" s="40"/>
      <c r="CK50" s="37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9" t="s">
        <v>149</v>
      </c>
      <c r="CZ50" s="50">
        <v>0.1</v>
      </c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</row>
    <row r="51" spans="2:138" ht="12.75" customHeight="1" x14ac:dyDescent="0.2">
      <c r="B51" s="47" t="s">
        <v>194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>
        <f t="shared" ref="BB51:BN51" si="66">BB16/AX16-1</f>
        <v>0.41764032073310431</v>
      </c>
      <c r="BC51" s="54">
        <f t="shared" si="66"/>
        <v>0.40105152471083061</v>
      </c>
      <c r="BD51" s="54">
        <f t="shared" si="66"/>
        <v>0.53742762613730366</v>
      </c>
      <c r="BE51" s="54">
        <f t="shared" si="66"/>
        <v>0.63696612665684826</v>
      </c>
      <c r="BF51" s="54">
        <f t="shared" si="66"/>
        <v>0.73173884938590827</v>
      </c>
      <c r="BG51" s="54">
        <f t="shared" si="66"/>
        <v>0.80651456019213441</v>
      </c>
      <c r="BH51" s="54">
        <f t="shared" si="66"/>
        <v>0.9299260255548083</v>
      </c>
      <c r="BI51" s="54">
        <f>BI16/BE16-1</f>
        <v>0.84322986954565904</v>
      </c>
      <c r="BJ51" s="54">
        <f t="shared" si="66"/>
        <v>0.58417319895483399</v>
      </c>
      <c r="BK51" s="54">
        <f t="shared" si="66"/>
        <v>0.39999999999999991</v>
      </c>
      <c r="BL51" s="54">
        <f t="shared" si="66"/>
        <v>0.30000000000000004</v>
      </c>
      <c r="BM51" s="54">
        <f t="shared" si="66"/>
        <v>0.30000000000000004</v>
      </c>
      <c r="BN51" s="54">
        <f t="shared" si="66"/>
        <v>0.30000000000000004</v>
      </c>
      <c r="BO51" s="54"/>
      <c r="BP51" s="53"/>
      <c r="BQ51" s="5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40"/>
      <c r="CJ51" s="40"/>
      <c r="CK51" s="37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9" t="s">
        <v>150</v>
      </c>
      <c r="CZ51" s="46">
        <f>NPV(CZ50,CE45:ES45)+CD45+Main!J5-Main!J6</f>
        <v>115271.49383735584</v>
      </c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</row>
    <row r="52" spans="2:138" ht="12.75" customHeight="1" x14ac:dyDescent="0.2">
      <c r="B52" s="47" t="s">
        <v>195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>
        <f t="shared" ref="BB52:BN52" si="67">SUM(BB14:BB19)/SUM(AX14:AX19)-1</f>
        <v>0.15421707873049262</v>
      </c>
      <c r="BC52" s="54">
        <f t="shared" si="67"/>
        <v>0.11244806094182835</v>
      </c>
      <c r="BD52" s="54">
        <f t="shared" si="67"/>
        <v>0.31081710612130808</v>
      </c>
      <c r="BE52" s="54">
        <f t="shared" si="67"/>
        <v>0.35507548586204019</v>
      </c>
      <c r="BF52" s="54">
        <f t="shared" si="67"/>
        <v>0.43038359285985561</v>
      </c>
      <c r="BG52" s="54">
        <f t="shared" si="67"/>
        <v>0.62026301455139676</v>
      </c>
      <c r="BH52" s="54">
        <f t="shared" si="67"/>
        <v>0.62584405430378842</v>
      </c>
      <c r="BI52" s="54">
        <f>SUM(BI14:BI19)/SUM(BE14:BE19)-1</f>
        <v>0.64341991874923066</v>
      </c>
      <c r="BJ52" s="54">
        <f t="shared" si="67"/>
        <v>0.58462110349954854</v>
      </c>
      <c r="BK52" s="54">
        <f t="shared" si="67"/>
        <v>0.34843434828546727</v>
      </c>
      <c r="BL52" s="54">
        <f t="shared" si="67"/>
        <v>0.33360584069248933</v>
      </c>
      <c r="BM52" s="54">
        <f t="shared" si="67"/>
        <v>0.34578823176897999</v>
      </c>
      <c r="BN52" s="54">
        <f t="shared" si="67"/>
        <v>0.30466487935656827</v>
      </c>
      <c r="BO52" s="54"/>
      <c r="BP52" s="53"/>
      <c r="BQ52" s="5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40"/>
      <c r="CJ52" s="40"/>
      <c r="CK52" s="37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37" t="s">
        <v>150</v>
      </c>
      <c r="CZ52" s="52">
        <f>CZ51/Main!$J$3</f>
        <v>50.813971275008086</v>
      </c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</row>
    <row r="53" spans="2:138" ht="12.75" customHeight="1" x14ac:dyDescent="0.2">
      <c r="B53" s="47" t="s">
        <v>202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>
        <f t="shared" ref="BB53:BN53" si="68">BB19/AX19-1</f>
        <v>-0.11445012787723785</v>
      </c>
      <c r="BC53" s="54">
        <f t="shared" si="68"/>
        <v>-1.6487000634115456E-2</v>
      </c>
      <c r="BD53" s="54">
        <f t="shared" si="68"/>
        <v>0.52293577981651373</v>
      </c>
      <c r="BE53" s="54">
        <f t="shared" si="68"/>
        <v>0.79222720478325859</v>
      </c>
      <c r="BF53" s="54">
        <f t="shared" si="68"/>
        <v>0.77545126353790605</v>
      </c>
      <c r="BG53" s="54">
        <f t="shared" si="68"/>
        <v>0.28820116054158618</v>
      </c>
      <c r="BH53" s="54">
        <f t="shared" si="68"/>
        <v>0.23594377510040165</v>
      </c>
      <c r="BI53" s="54">
        <f>BI19/BE19-1</f>
        <v>0.32360300250208507</v>
      </c>
      <c r="BJ53" s="54">
        <f t="shared" si="68"/>
        <v>0.23708824725498179</v>
      </c>
      <c r="BK53" s="54">
        <f t="shared" si="68"/>
        <v>0.10000000000000009</v>
      </c>
      <c r="BL53" s="54">
        <f t="shared" si="68"/>
        <v>0.10000000000000009</v>
      </c>
      <c r="BM53" s="54">
        <f t="shared" si="68"/>
        <v>0.10000000000000009</v>
      </c>
      <c r="BN53" s="54">
        <f t="shared" si="68"/>
        <v>0.10000000000000009</v>
      </c>
      <c r="BO53" s="54"/>
      <c r="BP53" s="53"/>
      <c r="BQ53" s="5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40"/>
      <c r="CJ53" s="40"/>
      <c r="CK53" s="37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37"/>
      <c r="CZ53" s="52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</row>
    <row r="54" spans="2:138" ht="12.75" customHeight="1" x14ac:dyDescent="0.2">
      <c r="B54" s="47" t="s">
        <v>197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>
        <f t="shared" ref="BB54:BN54" si="69">BB12/AX12-1</f>
        <v>-8.5865700677534074E-2</v>
      </c>
      <c r="BC54" s="54">
        <f t="shared" si="69"/>
        <v>-6.5853965062209419E-2</v>
      </c>
      <c r="BD54" s="54">
        <f t="shared" si="69"/>
        <v>-3.3000146993973245E-2</v>
      </c>
      <c r="BE54" s="54">
        <f t="shared" si="69"/>
        <v>4.5288368275759217E-2</v>
      </c>
      <c r="BF54" s="54">
        <f t="shared" si="69"/>
        <v>2.5390768327584912E-2</v>
      </c>
      <c r="BG54" s="54">
        <f t="shared" si="69"/>
        <v>6.4576886855913784E-3</v>
      </c>
      <c r="BH54" s="54">
        <f t="shared" si="69"/>
        <v>-6.1868207038078604E-2</v>
      </c>
      <c r="BI54" s="54">
        <f>BI12/BE12-1</f>
        <v>-7.487508922198427E-2</v>
      </c>
      <c r="BJ54" s="54">
        <f t="shared" si="69"/>
        <v>-9.2106204823588333E-2</v>
      </c>
      <c r="BK54" s="54">
        <f t="shared" si="69"/>
        <v>-5.0000000000000044E-2</v>
      </c>
      <c r="BL54" s="54">
        <f t="shared" si="69"/>
        <v>-5.0000000000000155E-2</v>
      </c>
      <c r="BM54" s="54">
        <f t="shared" si="69"/>
        <v>-5.0000000000000044E-2</v>
      </c>
      <c r="BN54" s="54">
        <f t="shared" si="69"/>
        <v>-5.0000000000000044E-2</v>
      </c>
      <c r="BO54" s="54"/>
      <c r="BP54" s="53"/>
      <c r="BQ54" s="5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40"/>
      <c r="CJ54" s="40"/>
      <c r="CK54" s="37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37"/>
      <c r="CZ54" s="52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</row>
    <row r="55" spans="2:138" ht="12.75" customHeight="1" x14ac:dyDescent="0.2">
      <c r="B55" s="37" t="s">
        <v>154</v>
      </c>
      <c r="C55" s="56">
        <f t="shared" ref="C55:N55" si="70">C33/C31</f>
        <v>0.77265875259091765</v>
      </c>
      <c r="D55" s="56">
        <f t="shared" si="70"/>
        <v>0.77011701170117008</v>
      </c>
      <c r="E55" s="56">
        <f t="shared" si="70"/>
        <v>0.76827316379157029</v>
      </c>
      <c r="F55" s="56">
        <f t="shared" si="70"/>
        <v>0.79845823730429943</v>
      </c>
      <c r="G55" s="56">
        <f t="shared" si="70"/>
        <v>0.79932789246279401</v>
      </c>
      <c r="H55" s="56">
        <f t="shared" si="70"/>
        <v>0.79924621182985922</v>
      </c>
      <c r="I55" s="56">
        <f t="shared" si="70"/>
        <v>0.78373854125149467</v>
      </c>
      <c r="J55" s="56">
        <f t="shared" si="70"/>
        <v>0.79468028351497599</v>
      </c>
      <c r="K55" s="56">
        <f t="shared" si="70"/>
        <v>0.80327629077080587</v>
      </c>
      <c r="L55" s="56">
        <f t="shared" si="70"/>
        <v>0.80713264908405868</v>
      </c>
      <c r="M55" s="56">
        <f t="shared" si="70"/>
        <v>0.8116016427104723</v>
      </c>
      <c r="N55" s="56">
        <f t="shared" si="70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71">AX33/AX31</f>
        <v>0.83243359965450225</v>
      </c>
      <c r="AY55" s="56">
        <f t="shared" ref="AY55:BB55" si="72">AY33/AY31</f>
        <v>0.84100369003690034</v>
      </c>
      <c r="AZ55" s="56">
        <f t="shared" si="72"/>
        <v>0.84096514030527225</v>
      </c>
      <c r="BA55" s="56">
        <f t="shared" si="72"/>
        <v>0.83331716623015484</v>
      </c>
      <c r="BB55" s="56">
        <f t="shared" si="72"/>
        <v>0.8251602464372394</v>
      </c>
      <c r="BC55" s="56">
        <f t="shared" ref="BC55:BF55" si="73">BC33/BC31</f>
        <v>0.82809726659566918</v>
      </c>
      <c r="BD55" s="56">
        <f t="shared" si="73"/>
        <v>0.83211767198329345</v>
      </c>
      <c r="BE55" s="56">
        <f t="shared" si="73"/>
        <v>0.82990848352141933</v>
      </c>
      <c r="BF55" s="56">
        <f t="shared" si="73"/>
        <v>0.83718988860772703</v>
      </c>
      <c r="BG55" s="56">
        <f>BG33/BG31</f>
        <v>0.83543099141110133</v>
      </c>
      <c r="BH55" s="56">
        <f t="shared" ref="BH55:BN55" si="74">BH33/BH31</f>
        <v>0.85292620865139945</v>
      </c>
      <c r="BI55" s="56">
        <f>BI33/BI31</f>
        <v>0.8419874467804942</v>
      </c>
      <c r="BJ55" s="56">
        <f t="shared" si="74"/>
        <v>0.85</v>
      </c>
      <c r="BK55" s="56">
        <f t="shared" si="74"/>
        <v>0.86</v>
      </c>
      <c r="BL55" s="56">
        <f t="shared" si="74"/>
        <v>0.86</v>
      </c>
      <c r="BM55" s="56">
        <f t="shared" si="74"/>
        <v>0.87000000000000011</v>
      </c>
      <c r="BN55" s="56">
        <f t="shared" si="74"/>
        <v>0.87</v>
      </c>
      <c r="BO55" s="56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56">
        <f t="shared" ref="CB55:CP55" si="75">CB33/CB31</f>
        <v>0.79429297371249874</v>
      </c>
      <c r="CC55" s="56">
        <f t="shared" si="75"/>
        <v>0.80781887587205481</v>
      </c>
      <c r="CD55" s="56">
        <f t="shared" si="75"/>
        <v>0.81025231362855332</v>
      </c>
      <c r="CE55" s="56">
        <f t="shared" si="75"/>
        <v>0.82742931843231748</v>
      </c>
      <c r="CF55" s="56">
        <f t="shared" si="75"/>
        <v>0</v>
      </c>
      <c r="CG55" s="56">
        <f t="shared" si="75"/>
        <v>0.83602459293290998</v>
      </c>
      <c r="CH55" s="56">
        <f t="shared" si="75"/>
        <v>0.85000972879816916</v>
      </c>
      <c r="CI55" s="56">
        <f t="shared" si="75"/>
        <v>0.84627840400787258</v>
      </c>
      <c r="CJ55" s="56">
        <f t="shared" si="75"/>
        <v>0.84214295946139517</v>
      </c>
      <c r="CK55" s="56">
        <f t="shared" si="75"/>
        <v>0.84246765208215968</v>
      </c>
      <c r="CL55" s="56">
        <f t="shared" si="75"/>
        <v>0.8353725997983954</v>
      </c>
      <c r="CM55" s="56">
        <f t="shared" si="75"/>
        <v>0.83511099207537065</v>
      </c>
      <c r="CN55" s="56">
        <f t="shared" si="75"/>
        <v>0.83197443181818187</v>
      </c>
      <c r="CO55" s="56" t="e">
        <f t="shared" si="75"/>
        <v>#DIV/0!</v>
      </c>
      <c r="CP55" s="56" t="e">
        <f t="shared" si="75"/>
        <v>#DIV/0!</v>
      </c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</row>
    <row r="56" spans="2:138" ht="12.75" customHeight="1" x14ac:dyDescent="0.2">
      <c r="B56" s="37" t="s">
        <v>208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76">+AX34/AX31</f>
        <v>0.29416664095999012</v>
      </c>
      <c r="AY56" s="56">
        <f t="shared" ref="AY56:BB56" si="77">+AY34/AY31</f>
        <v>0.22405904059040591</v>
      </c>
      <c r="AZ56" s="56">
        <f t="shared" si="77"/>
        <v>0.24655068986202761</v>
      </c>
      <c r="BA56" s="56">
        <f t="shared" si="77"/>
        <v>0.26429980276134124</v>
      </c>
      <c r="BB56" s="56">
        <f t="shared" si="77"/>
        <v>0.30387703030680191</v>
      </c>
      <c r="BC56" s="56">
        <f>+BC34/BC31</f>
        <v>0.24423145189918352</v>
      </c>
      <c r="BD56" s="56">
        <f t="shared" ref="BD56:BN56" si="78">+BD34/BD31</f>
        <v>0.24215368784237765</v>
      </c>
      <c r="BE56" s="56">
        <f t="shared" si="78"/>
        <v>0.25599348717084947</v>
      </c>
      <c r="BF56" s="56">
        <f t="shared" si="78"/>
        <v>0.30344611692275586</v>
      </c>
      <c r="BG56" s="56">
        <f t="shared" si="78"/>
        <v>0.24227355999143491</v>
      </c>
      <c r="BH56" s="56">
        <f t="shared" si="78"/>
        <v>0.26269235429540772</v>
      </c>
      <c r="BI56" s="56">
        <f>+BI34/BI31</f>
        <v>0.25130579818285564</v>
      </c>
      <c r="BJ56" s="56">
        <f t="shared" si="78"/>
        <v>0.3</v>
      </c>
      <c r="BK56" s="56">
        <f t="shared" si="78"/>
        <v>0.24</v>
      </c>
      <c r="BL56" s="56">
        <f t="shared" si="78"/>
        <v>0.24000000000000002</v>
      </c>
      <c r="BM56" s="56">
        <f t="shared" si="78"/>
        <v>0.26</v>
      </c>
      <c r="BN56" s="56">
        <f t="shared" si="78"/>
        <v>0.29999999999999993</v>
      </c>
      <c r="BO56" s="56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56"/>
      <c r="CC56" s="56"/>
      <c r="CD56" s="56"/>
      <c r="CE56" s="56"/>
      <c r="CF56" s="56"/>
      <c r="CG56" s="56"/>
      <c r="CH56" s="56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</row>
    <row r="57" spans="2:138" ht="12.75" customHeight="1" x14ac:dyDescent="0.2">
      <c r="B57" s="37" t="s">
        <v>209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79">+AX35/AX31</f>
        <v>0.13523768393127064</v>
      </c>
      <c r="AY57" s="56">
        <f>+AY35/AY31</f>
        <v>0.11149815498154982</v>
      </c>
      <c r="AZ57" s="56">
        <f t="shared" ref="AZ57:BN57" si="80">+AZ35/AZ31</f>
        <v>0.10967806438712258</v>
      </c>
      <c r="BA57" s="56">
        <f t="shared" si="80"/>
        <v>0.12645908106185533</v>
      </c>
      <c r="BB57" s="56">
        <f t="shared" si="80"/>
        <v>0.13949218993092288</v>
      </c>
      <c r="BC57" s="56">
        <f t="shared" si="80"/>
        <v>0.11667258312625725</v>
      </c>
      <c r="BD57" s="56">
        <f t="shared" si="80"/>
        <v>0.11936684725038589</v>
      </c>
      <c r="BE57" s="56">
        <f t="shared" si="80"/>
        <v>0.11936443770703498</v>
      </c>
      <c r="BF57" s="56">
        <f t="shared" si="80"/>
        <v>0.14692301672188454</v>
      </c>
      <c r="BG57" s="56">
        <f t="shared" si="80"/>
        <v>0.12386095976779044</v>
      </c>
      <c r="BH57" s="56">
        <f t="shared" si="80"/>
        <v>0.124148794377802</v>
      </c>
      <c r="BI57" s="56">
        <f>+BI35/BI31</f>
        <v>0.12362287670631611</v>
      </c>
      <c r="BJ57" s="56">
        <f t="shared" si="80"/>
        <v>0.11</v>
      </c>
      <c r="BK57" s="56">
        <f t="shared" si="80"/>
        <v>0.11</v>
      </c>
      <c r="BL57" s="56">
        <f t="shared" si="80"/>
        <v>0.11000000000000001</v>
      </c>
      <c r="BM57" s="56">
        <f t="shared" si="80"/>
        <v>0.11</v>
      </c>
      <c r="BN57" s="56">
        <f t="shared" si="80"/>
        <v>0.11</v>
      </c>
      <c r="BO57" s="56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56"/>
      <c r="CC57" s="56"/>
      <c r="CD57" s="56"/>
      <c r="CE57" s="56"/>
      <c r="CF57" s="56"/>
      <c r="CG57" s="56"/>
      <c r="CH57" s="56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</row>
    <row r="58" spans="2:138" ht="12.75" customHeight="1" x14ac:dyDescent="0.2">
      <c r="B58" s="37" t="s">
        <v>155</v>
      </c>
      <c r="C58" s="56">
        <f>C44/C43</f>
        <v>0.42991631799163182</v>
      </c>
      <c r="D58" s="56">
        <f t="shared" ref="D58:M58" si="81">D44/D43</f>
        <v>0.27451556077510275</v>
      </c>
      <c r="E58" s="56">
        <f t="shared" si="81"/>
        <v>0.25752508361204013</v>
      </c>
      <c r="F58" s="56">
        <f t="shared" si="81"/>
        <v>0.24104234527687296</v>
      </c>
      <c r="G58" s="56">
        <f t="shared" si="81"/>
        <v>0.22995720399429387</v>
      </c>
      <c r="H58" s="56">
        <f t="shared" si="81"/>
        <v>0.22991761071060762</v>
      </c>
      <c r="I58" s="56">
        <f t="shared" si="81"/>
        <v>0.23620737454948712</v>
      </c>
      <c r="J58" s="56">
        <f t="shared" si="81"/>
        <v>0.22359625668449198</v>
      </c>
      <c r="K58" s="56">
        <f t="shared" si="81"/>
        <v>0.23002084781097984</v>
      </c>
      <c r="L58" s="56">
        <f t="shared" si="81"/>
        <v>0.23003472222222221</v>
      </c>
      <c r="M58" s="56">
        <f t="shared" si="81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82">+AX44/AX43</f>
        <v>0.21319613683545446</v>
      </c>
      <c r="AY58" s="56">
        <f t="shared" ref="AY58:BB58" si="83">+AY44/AY43</f>
        <v>0.20797550096531522</v>
      </c>
      <c r="AZ58" s="56">
        <f t="shared" si="83"/>
        <v>0.20803518187239117</v>
      </c>
      <c r="BA58" s="56">
        <f t="shared" si="83"/>
        <v>0.18855882121188244</v>
      </c>
      <c r="BB58" s="56">
        <f t="shared" si="83"/>
        <v>0.22362939510081653</v>
      </c>
      <c r="BC58" s="56">
        <f t="shared" ref="BC58:BG58" si="84">+BC44/BC43</f>
        <v>0.20799347471451876</v>
      </c>
      <c r="BD58" s="56">
        <f t="shared" si="84"/>
        <v>0.18730307702621171</v>
      </c>
      <c r="BE58" s="56">
        <f t="shared" si="84"/>
        <v>0.19805452620434091</v>
      </c>
      <c r="BF58" s="56">
        <f t="shared" si="84"/>
        <v>0.16937390375962785</v>
      </c>
      <c r="BG58" s="56">
        <f t="shared" si="84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85">+BJ44/BJ43</f>
        <v>0.2</v>
      </c>
      <c r="BK58" s="56">
        <f t="shared" si="85"/>
        <v>0.2</v>
      </c>
      <c r="BL58" s="56">
        <f t="shared" si="85"/>
        <v>0.19999999999999998</v>
      </c>
      <c r="BM58" s="56">
        <f t="shared" si="85"/>
        <v>0.2</v>
      </c>
      <c r="BN58" s="56">
        <f t="shared" si="85"/>
        <v>0.2</v>
      </c>
      <c r="BO58" s="56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</row>
    <row r="59" spans="2:138" ht="12.75" customHeight="1" x14ac:dyDescent="0.2">
      <c r="B59" s="37" t="s">
        <v>156</v>
      </c>
      <c r="C59" s="39"/>
      <c r="D59" s="39"/>
      <c r="E59" s="39"/>
      <c r="F59" s="39"/>
      <c r="G59" s="56">
        <f t="shared" ref="G59:N59" si="86">+G46/C46-1</f>
        <v>0.26555470372527656</v>
      </c>
      <c r="H59" s="56">
        <f t="shared" si="86"/>
        <v>0.2317467921523495</v>
      </c>
      <c r="I59" s="56">
        <f t="shared" si="86"/>
        <v>5.6513780158608862E-2</v>
      </c>
      <c r="J59" s="56">
        <f t="shared" si="86"/>
        <v>2.9156860030458143E-2</v>
      </c>
      <c r="K59" s="56">
        <f t="shared" si="86"/>
        <v>0.27248103257280354</v>
      </c>
      <c r="L59" s="56">
        <f t="shared" si="86"/>
        <v>0.2244971740943098</v>
      </c>
      <c r="M59" s="56">
        <f t="shared" si="86"/>
        <v>0.34395333855076848</v>
      </c>
      <c r="N59" s="56">
        <f t="shared" si="86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</row>
    <row r="61" spans="2:138" ht="12.75" customHeight="1" x14ac:dyDescent="0.2">
      <c r="B61" s="37" t="s">
        <v>157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</row>
    <row r="63" spans="2:138" ht="12.75" customHeight="1" x14ac:dyDescent="0.2">
      <c r="B63" s="37" t="s">
        <v>158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</row>
    <row r="64" spans="2:138" ht="12.75" customHeight="1" x14ac:dyDescent="0.2">
      <c r="B64" s="37" t="s">
        <v>159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</row>
    <row r="65" spans="2:138" ht="12.75" customHeight="1" x14ac:dyDescent="0.2">
      <c r="B65" s="37" t="s">
        <v>160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</row>
    <row r="66" spans="2:138" ht="12.75" customHeight="1" x14ac:dyDescent="0.2">
      <c r="B66" s="37" t="s">
        <v>161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</row>
    <row r="68" spans="2:138" ht="12.75" customHeight="1" x14ac:dyDescent="0.2">
      <c r="B68" s="37" t="s">
        <v>162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57">
        <v>27068</v>
      </c>
      <c r="CB68" s="57">
        <v>29329</v>
      </c>
      <c r="CC68" s="57">
        <v>30483</v>
      </c>
      <c r="CD68" s="57">
        <v>32632</v>
      </c>
      <c r="CE68" s="57">
        <v>34731</v>
      </c>
      <c r="CF68" s="57">
        <v>38436</v>
      </c>
      <c r="CG68" s="57">
        <v>41450</v>
      </c>
      <c r="CH68" s="57">
        <v>41222</v>
      </c>
      <c r="CI68" s="46">
        <v>42446</v>
      </c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</row>
    <row r="70" spans="2:138" ht="12.75" customHeight="1" x14ac:dyDescent="0.2">
      <c r="B70" s="37" t="s">
        <v>225</v>
      </c>
      <c r="BI70" s="64">
        <f>+BI71-BI80</f>
        <v>11437</v>
      </c>
    </row>
    <row r="71" spans="2:138" ht="12.75" customHeight="1" x14ac:dyDescent="0.2">
      <c r="B71" s="37" t="s">
        <v>212</v>
      </c>
      <c r="BI71" s="64">
        <f>28465+5277+9008+781+458</f>
        <v>43989</v>
      </c>
    </row>
    <row r="72" spans="2:138" ht="12.75" customHeight="1" x14ac:dyDescent="0.2">
      <c r="B72" s="37" t="s">
        <v>139</v>
      </c>
      <c r="BI72" s="64">
        <f>5406+247</f>
        <v>5653</v>
      </c>
    </row>
    <row r="73" spans="2:138" ht="12.75" customHeight="1" x14ac:dyDescent="0.2">
      <c r="B73" s="37" t="s">
        <v>218</v>
      </c>
      <c r="BI73" s="64">
        <f>2541+11303</f>
        <v>13844</v>
      </c>
    </row>
    <row r="74" spans="2:138" ht="12.75" customHeight="1" x14ac:dyDescent="0.2">
      <c r="B74" s="37" t="s">
        <v>217</v>
      </c>
      <c r="BI74" s="64">
        <v>45563</v>
      </c>
    </row>
    <row r="75" spans="2:138" ht="12.75" customHeight="1" x14ac:dyDescent="0.2">
      <c r="B75" s="37" t="s">
        <v>216</v>
      </c>
      <c r="BI75" s="64">
        <v>23222</v>
      </c>
    </row>
    <row r="76" spans="2:138" ht="12.75" customHeight="1" x14ac:dyDescent="0.2">
      <c r="B76" s="37" t="s">
        <v>215</v>
      </c>
      <c r="BI76" s="64">
        <v>63641</v>
      </c>
    </row>
    <row r="77" spans="2:138" ht="12.75" customHeight="1" x14ac:dyDescent="0.2">
      <c r="B77" s="37" t="s">
        <v>214</v>
      </c>
      <c r="BI77" s="64">
        <v>46924</v>
      </c>
    </row>
    <row r="78" spans="2:138" ht="12.75" customHeight="1" x14ac:dyDescent="0.2">
      <c r="B78" s="37" t="s">
        <v>213</v>
      </c>
      <c r="BI78" s="64">
        <f>SUM(BI71:BI77)</f>
        <v>242836</v>
      </c>
    </row>
    <row r="80" spans="2:138" ht="12.75" customHeight="1" x14ac:dyDescent="0.2">
      <c r="B80" s="37" t="s">
        <v>219</v>
      </c>
      <c r="BI80" s="64">
        <f>24136+1833+6583</f>
        <v>32552</v>
      </c>
    </row>
    <row r="81" spans="2:61" ht="12.75" customHeight="1" x14ac:dyDescent="0.2">
      <c r="B81" s="37" t="s">
        <v>220</v>
      </c>
      <c r="BI81" s="64">
        <f>84745+5300</f>
        <v>90045</v>
      </c>
    </row>
    <row r="82" spans="2:61" ht="12.75" customHeight="1" x14ac:dyDescent="0.2">
      <c r="B82" s="37" t="s">
        <v>139</v>
      </c>
      <c r="BI82" s="64">
        <f>21389+240</f>
        <v>21629</v>
      </c>
    </row>
    <row r="83" spans="2:61" ht="12.75" customHeight="1" x14ac:dyDescent="0.2">
      <c r="B83" s="37" t="s">
        <v>218</v>
      </c>
      <c r="BI83" s="64">
        <v>7397</v>
      </c>
    </row>
    <row r="84" spans="2:61" ht="12.75" customHeight="1" x14ac:dyDescent="0.2">
      <c r="B84" s="37" t="s">
        <v>221</v>
      </c>
      <c r="BI84" s="64">
        <v>8310</v>
      </c>
    </row>
    <row r="85" spans="2:61" ht="12.75" customHeight="1" x14ac:dyDescent="0.2">
      <c r="B85" s="37" t="s">
        <v>222</v>
      </c>
      <c r="BI85" s="64">
        <f>5640+583</f>
        <v>6223</v>
      </c>
    </row>
    <row r="86" spans="2:61" ht="12.75" customHeight="1" x14ac:dyDescent="0.2">
      <c r="B86" s="37" t="s">
        <v>223</v>
      </c>
      <c r="BI86" s="64">
        <v>76680</v>
      </c>
    </row>
    <row r="87" spans="2:61" ht="12.75" customHeight="1" x14ac:dyDescent="0.2">
      <c r="B87" s="37" t="s">
        <v>224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RowHeight="12.75" x14ac:dyDescent="0.2"/>
  <cols>
    <col min="1" max="1" width="5" style="63" bestFit="1" customWidth="1"/>
    <col min="2" max="16384" width="9.140625" style="63"/>
  </cols>
  <sheetData>
    <row r="1" spans="1:1" x14ac:dyDescent="0.2">
      <c r="A1" s="62" t="s">
        <v>62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1" t="s">
        <v>135</v>
      </c>
    </row>
    <row r="3" spans="1:3" x14ac:dyDescent="0.2">
      <c r="B3" s="1" t="s">
        <v>164</v>
      </c>
      <c r="C3" s="1" t="s">
        <v>165</v>
      </c>
    </row>
    <row r="4" spans="1:3" x14ac:dyDescent="0.2">
      <c r="B4" s="24" t="s">
        <v>166</v>
      </c>
      <c r="C4" s="24" t="s">
        <v>167</v>
      </c>
    </row>
    <row r="5" spans="1:3" x14ac:dyDescent="0.2">
      <c r="B5" s="1" t="s">
        <v>168</v>
      </c>
    </row>
    <row r="6" spans="1:3" x14ac:dyDescent="0.2">
      <c r="C6" s="4" t="s">
        <v>169</v>
      </c>
    </row>
    <row r="8" spans="1:3" x14ac:dyDescent="0.2">
      <c r="C8" s="4" t="s">
        <v>170</v>
      </c>
    </row>
    <row r="10" spans="1:3" x14ac:dyDescent="0.2">
      <c r="C10" s="4" t="s">
        <v>171</v>
      </c>
    </row>
    <row r="12" spans="1:3" x14ac:dyDescent="0.2">
      <c r="C12" s="4" t="s">
        <v>172</v>
      </c>
    </row>
    <row r="14" spans="1:3" x14ac:dyDescent="0.2">
      <c r="C14" s="4" t="s">
        <v>173</v>
      </c>
    </row>
    <row r="15" spans="1:3" x14ac:dyDescent="0.2">
      <c r="C15" s="1" t="s">
        <v>174</v>
      </c>
    </row>
    <row r="16" spans="1:3" x14ac:dyDescent="0.2">
      <c r="C16" s="1" t="s">
        <v>175</v>
      </c>
    </row>
    <row r="17" spans="3:3" x14ac:dyDescent="0.2">
      <c r="C17" s="1" t="s">
        <v>176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177</v>
      </c>
    </row>
    <row r="3" spans="1:3" x14ac:dyDescent="0.2">
      <c r="B3" s="1" t="s">
        <v>164</v>
      </c>
      <c r="C3" s="24" t="s">
        <v>178</v>
      </c>
    </row>
    <row r="4" spans="1:3" x14ac:dyDescent="0.2">
      <c r="B4" s="24" t="s">
        <v>179</v>
      </c>
      <c r="C4" s="24" t="s">
        <v>180</v>
      </c>
    </row>
    <row r="5" spans="1:3" x14ac:dyDescent="0.2">
      <c r="B5" s="1" t="s">
        <v>168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181</v>
      </c>
    </row>
    <row r="3" spans="1:3" x14ac:dyDescent="0.2">
      <c r="B3" s="1" t="s">
        <v>164</v>
      </c>
      <c r="C3" s="24" t="s">
        <v>182</v>
      </c>
    </row>
    <row r="4" spans="1:3" x14ac:dyDescent="0.2">
      <c r="B4" s="24" t="s">
        <v>179</v>
      </c>
      <c r="C4" s="24"/>
    </row>
    <row r="5" spans="1:3" x14ac:dyDescent="0.2">
      <c r="B5" s="1" t="s">
        <v>168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Model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2023-02-02T15:01:14Z</dcterms:modified>
  <cp:category/>
  <cp:contentStatus/>
</cp:coreProperties>
</file>