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0BF472A-FF63-48B5-B366-C228DCAE1289}" xr6:coauthVersionLast="47" xr6:coauthVersionMax="47" xr10:uidLastSave="{00000000-0000-0000-0000-000000000000}"/>
  <bookViews>
    <workbookView xWindow="16875" yWindow="2040" windowWidth="29250" windowHeight="18735" activeTab="1" xr2:uid="{156D52ED-B19E-4419-BD0D-F268A75B52E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2" l="1"/>
  <c r="AD2" i="2"/>
  <c r="AC2" i="2"/>
  <c r="AB2" i="2"/>
  <c r="AA2" i="2"/>
  <c r="Z2" i="2"/>
  <c r="Y2" i="2"/>
  <c r="X2" i="2"/>
  <c r="U2" i="2"/>
  <c r="V2" i="2"/>
  <c r="W2" i="2"/>
  <c r="X16" i="2"/>
  <c r="K27" i="2"/>
  <c r="W27" i="2"/>
  <c r="AD13" i="2"/>
  <c r="AC13" i="2"/>
  <c r="AB13" i="2"/>
  <c r="AC21" i="2"/>
  <c r="AD21" i="2" s="1"/>
  <c r="AC12" i="2"/>
  <c r="AC14" i="2" s="1"/>
  <c r="Z21" i="2"/>
  <c r="AA21" i="2" s="1"/>
  <c r="AB21" i="2" s="1"/>
  <c r="Z13" i="2"/>
  <c r="AA13" i="2" s="1"/>
  <c r="Z12" i="2"/>
  <c r="Z14" i="2" s="1"/>
  <c r="W25" i="2"/>
  <c r="X23" i="2"/>
  <c r="X21" i="2"/>
  <c r="Y21" i="2" s="1"/>
  <c r="W21" i="2"/>
  <c r="X13" i="2"/>
  <c r="Y13" i="2" s="1"/>
  <c r="X12" i="2"/>
  <c r="Y12" i="2" s="1"/>
  <c r="Y14" i="2" s="1"/>
  <c r="W13" i="2"/>
  <c r="W12" i="2"/>
  <c r="X14" i="2"/>
  <c r="W14" i="2"/>
  <c r="W15" i="2" s="1"/>
  <c r="W17" i="2" s="1"/>
  <c r="W11" i="2"/>
  <c r="W10" i="2" s="1"/>
  <c r="K10" i="2"/>
  <c r="K11" i="2"/>
  <c r="K25" i="2" s="1"/>
  <c r="X9" i="2"/>
  <c r="Y9" i="2" s="1"/>
  <c r="R23" i="2"/>
  <c r="Q23" i="2"/>
  <c r="P23" i="2"/>
  <c r="R21" i="2"/>
  <c r="S23" i="2"/>
  <c r="R16" i="2"/>
  <c r="R14" i="2"/>
  <c r="R11" i="2"/>
  <c r="R25" i="2" s="1"/>
  <c r="T23" i="2"/>
  <c r="S21" i="2"/>
  <c r="S16" i="2"/>
  <c r="S14" i="2"/>
  <c r="S11" i="2"/>
  <c r="S15" i="2" s="1"/>
  <c r="S17" i="2" s="1"/>
  <c r="S19" i="2" s="1"/>
  <c r="S20" i="2" s="1"/>
  <c r="U21" i="2"/>
  <c r="V21" i="2"/>
  <c r="V18" i="2"/>
  <c r="T16" i="2"/>
  <c r="U16" i="2"/>
  <c r="T14" i="2"/>
  <c r="U14" i="2"/>
  <c r="V13" i="2"/>
  <c r="V12" i="2"/>
  <c r="V14" i="2" s="1"/>
  <c r="V10" i="2"/>
  <c r="T11" i="2"/>
  <c r="T25" i="2" s="1"/>
  <c r="U11" i="2"/>
  <c r="U25" i="2" s="1"/>
  <c r="V23" i="2"/>
  <c r="U23" i="2"/>
  <c r="V9" i="2"/>
  <c r="F5" i="2"/>
  <c r="F4" i="2"/>
  <c r="K23" i="2"/>
  <c r="K16" i="2"/>
  <c r="K14" i="2"/>
  <c r="C16" i="2"/>
  <c r="C14" i="2"/>
  <c r="C11" i="2"/>
  <c r="G23" i="2"/>
  <c r="G16" i="2"/>
  <c r="G14" i="2"/>
  <c r="G11" i="2"/>
  <c r="G15" i="2" s="1"/>
  <c r="E47" i="2"/>
  <c r="F47" i="2"/>
  <c r="I47" i="2"/>
  <c r="I48" i="2" s="1"/>
  <c r="J47" i="2"/>
  <c r="D16" i="2"/>
  <c r="D14" i="2"/>
  <c r="D11" i="2"/>
  <c r="H23" i="2"/>
  <c r="H16" i="2"/>
  <c r="H14" i="2"/>
  <c r="H11" i="2"/>
  <c r="H25" i="2" s="1"/>
  <c r="E16" i="2"/>
  <c r="E14" i="2"/>
  <c r="E11" i="2"/>
  <c r="I23" i="2"/>
  <c r="I16" i="2"/>
  <c r="I14" i="2"/>
  <c r="I11" i="2"/>
  <c r="I15" i="2" s="1"/>
  <c r="K7" i="1"/>
  <c r="J41" i="2"/>
  <c r="J45" i="2" s="1"/>
  <c r="J34" i="2"/>
  <c r="J28" i="2"/>
  <c r="J23" i="2"/>
  <c r="F16" i="2"/>
  <c r="J16" i="2"/>
  <c r="F14" i="2"/>
  <c r="J14" i="2"/>
  <c r="F11" i="2"/>
  <c r="F25" i="2" s="1"/>
  <c r="J11" i="2"/>
  <c r="J15" i="2" s="1"/>
  <c r="J17" i="2" s="1"/>
  <c r="J19" i="2" s="1"/>
  <c r="J20" i="2" s="1"/>
  <c r="K4" i="1"/>
  <c r="Z9" i="2" l="1"/>
  <c r="Z23" i="2" s="1"/>
  <c r="Y11" i="2"/>
  <c r="Y10" i="2" s="1"/>
  <c r="Y23" i="2"/>
  <c r="W18" i="2"/>
  <c r="W19" i="2" s="1"/>
  <c r="W20" i="2" s="1"/>
  <c r="X11" i="2"/>
  <c r="X15" i="2"/>
  <c r="X17" i="2"/>
  <c r="X18" i="2" s="1"/>
  <c r="X19" i="2" s="1"/>
  <c r="X20" i="2"/>
  <c r="X27" i="2"/>
  <c r="AD12" i="2"/>
  <c r="AD14" i="2" s="1"/>
  <c r="Y25" i="2"/>
  <c r="AA9" i="2"/>
  <c r="Y15" i="2"/>
  <c r="Z11" i="2"/>
  <c r="Z10" i="2" s="1"/>
  <c r="AA12" i="2"/>
  <c r="D15" i="2"/>
  <c r="V16" i="2"/>
  <c r="V11" i="2"/>
  <c r="W23" i="2"/>
  <c r="V15" i="2"/>
  <c r="V17" i="2" s="1"/>
  <c r="V19" i="2" s="1"/>
  <c r="V20" i="2" s="1"/>
  <c r="V25" i="2"/>
  <c r="S25" i="2"/>
  <c r="T15" i="2"/>
  <c r="T17" i="2" s="1"/>
  <c r="T19" i="2" s="1"/>
  <c r="T20" i="2" s="1"/>
  <c r="U15" i="2"/>
  <c r="U17" i="2" s="1"/>
  <c r="U19" i="2" s="1"/>
  <c r="U20" i="2" s="1"/>
  <c r="R15" i="2"/>
  <c r="R17" i="2" s="1"/>
  <c r="R19" i="2" s="1"/>
  <c r="R20" i="2" s="1"/>
  <c r="D17" i="2"/>
  <c r="D19" i="2" s="1"/>
  <c r="D20" i="2" s="1"/>
  <c r="C15" i="2"/>
  <c r="J37" i="2"/>
  <c r="J48" i="2"/>
  <c r="G25" i="2"/>
  <c r="D25" i="2"/>
  <c r="H15" i="2"/>
  <c r="H17" i="2" s="1"/>
  <c r="H19" i="2" s="1"/>
  <c r="H20" i="2" s="1"/>
  <c r="K15" i="2"/>
  <c r="K17" i="2" s="1"/>
  <c r="K19" i="2" s="1"/>
  <c r="K20" i="2" s="1"/>
  <c r="C17" i="2"/>
  <c r="C19" i="2" s="1"/>
  <c r="C20" i="2" s="1"/>
  <c r="C25" i="2"/>
  <c r="G17" i="2"/>
  <c r="G19" i="2" s="1"/>
  <c r="G20" i="2" s="1"/>
  <c r="J27" i="2"/>
  <c r="I17" i="2"/>
  <c r="I19" i="2" s="1"/>
  <c r="I20" i="2" s="1"/>
  <c r="I25" i="2"/>
  <c r="E15" i="2"/>
  <c r="E17" i="2" s="1"/>
  <c r="E19" i="2" s="1"/>
  <c r="E20" i="2" s="1"/>
  <c r="E25" i="2"/>
  <c r="J25" i="2"/>
  <c r="F15" i="2"/>
  <c r="F17" i="2" s="1"/>
  <c r="F19" i="2" s="1"/>
  <c r="F20" i="2" s="1"/>
  <c r="X25" i="2" l="1"/>
  <c r="X10" i="2"/>
  <c r="Y16" i="2"/>
  <c r="Y17" i="2" s="1"/>
  <c r="Y18" i="2" s="1"/>
  <c r="Y19" i="2" s="1"/>
  <c r="Z15" i="2"/>
  <c r="Z25" i="2"/>
  <c r="AA23" i="2"/>
  <c r="AB9" i="2"/>
  <c r="AC9" i="2" s="1"/>
  <c r="AA11" i="2"/>
  <c r="AA10" i="2"/>
  <c r="AA14" i="2"/>
  <c r="AB12" i="2"/>
  <c r="AB14" i="2" s="1"/>
  <c r="AC23" i="2" l="1"/>
  <c r="AC11" i="2"/>
  <c r="AD9" i="2"/>
  <c r="AC10" i="2"/>
  <c r="Y20" i="2"/>
  <c r="Y27" i="2"/>
  <c r="AA25" i="2"/>
  <c r="AA15" i="2"/>
  <c r="AB23" i="2"/>
  <c r="AB11" i="2"/>
  <c r="AB10" i="2"/>
  <c r="AD11" i="2" l="1"/>
  <c r="AD10" i="2" s="1"/>
  <c r="AD23" i="2"/>
  <c r="AC15" i="2"/>
  <c r="AC25" i="2"/>
  <c r="Z16" i="2"/>
  <c r="Z17" i="2" s="1"/>
  <c r="AB25" i="2"/>
  <c r="AB15" i="2"/>
  <c r="AD25" i="2" l="1"/>
  <c r="AD15" i="2"/>
  <c r="Z18" i="2"/>
  <c r="Z19" i="2" s="1"/>
  <c r="Z20" i="2" l="1"/>
  <c r="Z27" i="2"/>
  <c r="AA16" i="2" l="1"/>
  <c r="AA17" i="2" s="1"/>
  <c r="AA18" i="2" s="1"/>
  <c r="AA19" i="2" s="1"/>
  <c r="AA20" i="2" s="1"/>
  <c r="AA27" i="2" l="1"/>
  <c r="AB16" i="2" l="1"/>
  <c r="AB17" i="2" s="1"/>
  <c r="AB18" i="2" s="1"/>
  <c r="AB19" i="2" s="1"/>
  <c r="AB20" i="2" s="1"/>
  <c r="AB27" i="2" l="1"/>
  <c r="AC16" i="2" l="1"/>
  <c r="AC17" i="2" s="1"/>
  <c r="AC18" i="2" s="1"/>
  <c r="AC19" i="2" s="1"/>
  <c r="AC20" i="2" s="1"/>
  <c r="AC27" i="2" l="1"/>
  <c r="AD16" i="2" l="1"/>
  <c r="AD17" i="2" s="1"/>
  <c r="AD18" i="2" s="1"/>
  <c r="AD19" i="2" s="1"/>
  <c r="AD20" i="2" l="1"/>
  <c r="AE19" i="2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AG27" i="2" s="1"/>
  <c r="AG28" i="2" s="1"/>
  <c r="AG29" i="2" s="1"/>
  <c r="AD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tc={17C81EF9-AA2E-4310-B104-EA6A5B6E6523}</author>
  </authors>
  <commentList>
    <comment ref="K9" authorId="0" shapeId="0" xr:uid="{17C81EF9-AA2E-4310-B104-EA6A5B6E6523}">
      <text>
        <t>[Threaded comment]
Your version of Excel allows you to read this threaded comment; however, any edits to it will get removed if the file is opened in a newer version of Excel. Learn more: https://go.microsoft.com/fwlink/?linkid=870924
Comment:
    Q322 guidance: 6B</t>
      </text>
    </comment>
  </commentList>
</comments>
</file>

<file path=xl/sharedStrings.xml><?xml version="1.0" encoding="utf-8"?>
<sst xmlns="http://schemas.openxmlformats.org/spreadsheetml/2006/main" count="89" uniqueCount="81">
  <si>
    <t>Price</t>
  </si>
  <si>
    <t>Shares</t>
  </si>
  <si>
    <t>MC</t>
  </si>
  <si>
    <t>Cash</t>
  </si>
  <si>
    <t>Debt</t>
  </si>
  <si>
    <t>EV</t>
  </si>
  <si>
    <t>Q322</t>
  </si>
  <si>
    <t>Main</t>
  </si>
  <si>
    <t>Revenue</t>
  </si>
  <si>
    <t>Q122</t>
  </si>
  <si>
    <t>Q421</t>
  </si>
  <si>
    <t>Q222</t>
  </si>
  <si>
    <t>Q422</t>
  </si>
  <si>
    <t>COGS</t>
  </si>
  <si>
    <t>Gross Profit</t>
  </si>
  <si>
    <t>R&amp;D</t>
  </si>
  <si>
    <t>SG&amp;A</t>
  </si>
  <si>
    <t>Operating Income</t>
  </si>
  <si>
    <t>Operating Expenses</t>
  </si>
  <si>
    <t>Interest Income</t>
  </si>
  <si>
    <t>Pretax Income</t>
  </si>
  <si>
    <t>Taxes</t>
  </si>
  <si>
    <t>Net Income</t>
  </si>
  <si>
    <t>EPS</t>
  </si>
  <si>
    <t>Revenue y/y</t>
  </si>
  <si>
    <t>Gross Margin</t>
  </si>
  <si>
    <t>AR</t>
  </si>
  <si>
    <t>Inventories</t>
  </si>
  <si>
    <t>Prepaids</t>
  </si>
  <si>
    <t>PP&amp;E</t>
  </si>
  <si>
    <t>Lease</t>
  </si>
  <si>
    <t>Goodwill</t>
  </si>
  <si>
    <t>DT</t>
  </si>
  <si>
    <t>Other</t>
  </si>
  <si>
    <t>Assets</t>
  </si>
  <si>
    <t>SE</t>
  </si>
  <si>
    <t>L+SE</t>
  </si>
  <si>
    <t>AP</t>
  </si>
  <si>
    <t>AL</t>
  </si>
  <si>
    <t>OLTL</t>
  </si>
  <si>
    <t>Net Cash</t>
  </si>
  <si>
    <t>2QMA Revenue</t>
  </si>
  <si>
    <t>Data Center</t>
  </si>
  <si>
    <t>Orin - autonomous driving</t>
  </si>
  <si>
    <t>Omniverse</t>
  </si>
  <si>
    <t>NVIDIA® H100 Tensor Core GPU - Hopper</t>
  </si>
  <si>
    <t>Quantum-2</t>
  </si>
  <si>
    <t xml:space="preserve"> NVIDIA NeMo™ LLM and NVIDIA BioNeMo™ LLM</t>
  </si>
  <si>
    <t>NVIDIA OVX - Lovelace</t>
  </si>
  <si>
    <t>Quantum - supercomputer interconnect</t>
  </si>
  <si>
    <t>BlueField DPU</t>
  </si>
  <si>
    <t>Gaming</t>
  </si>
  <si>
    <t>RTX 4090</t>
  </si>
  <si>
    <t>DLSS3</t>
  </si>
  <si>
    <t>GeForce NOW</t>
  </si>
  <si>
    <t>Automotive</t>
  </si>
  <si>
    <t>FY23</t>
  </si>
  <si>
    <t>Q423</t>
  </si>
  <si>
    <t>Q323</t>
  </si>
  <si>
    <t>Q223</t>
  </si>
  <si>
    <t>Q123</t>
  </si>
  <si>
    <t>FY22</t>
  </si>
  <si>
    <t>FY21</t>
  </si>
  <si>
    <t>FY20</t>
  </si>
  <si>
    <t>FY19</t>
  </si>
  <si>
    <t>FY18</t>
  </si>
  <si>
    <t>FY17</t>
  </si>
  <si>
    <t>FY16</t>
  </si>
  <si>
    <t>FY15</t>
  </si>
  <si>
    <t>FY14</t>
  </si>
  <si>
    <t>FY24</t>
  </si>
  <si>
    <t>FY25</t>
  </si>
  <si>
    <t>FY26</t>
  </si>
  <si>
    <t>FY27</t>
  </si>
  <si>
    <t>FY28</t>
  </si>
  <si>
    <t>FY29</t>
  </si>
  <si>
    <t>FY30</t>
  </si>
  <si>
    <t>Discount</t>
  </si>
  <si>
    <t>NPV</t>
  </si>
  <si>
    <t>ROIC</t>
  </si>
  <si>
    <t>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</si>
</sst>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9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12989</xdr:colOff>
      <xdr:row>0</xdr:row>
      <xdr:rowOff>30307</xdr:rowOff>
    </xdr:from>
    <xdr:to>
      <xdr:col>10</xdr:col>
      <xdr:colOff>12989</xdr:colOff>
      <xdr:row>49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D7E133F-EAA9-BECD-8773-8DD41488A913}"/>
            </a:ext>
          </a:extLst>
        </xdr:cNvPr>
        <xdr:cNvCxnSpPr/>
      </xdr:nvCxnSpPr>
      <xdr:spPr>
        <a:xfrm>
          <a:off x="5974773" y="30307"/>
          <a:ext cx="0" cy="6905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27456</xdr:colOff>
      <xdr:row>0</xdr:row>
      <xdr:rowOff>0</xdr:rowOff>
    </xdr:from>
    <xdr:to>
      <xdr:col>22</xdr:col>
      <xdr:colOff>27456</xdr:colOff>
      <xdr:row>49</xdr:row>
      <xdr:rowOff>17318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BCBB616-E3BF-4167-8344-D341B3EF5FC4}"/>
            </a:ext>
          </a:extLst>
        </xdr:cNvPr>
        <xdr:cNvCxnSpPr/>
      </xdr:nvCxnSpPr>
      <xdr:spPr>
        <a:xfrm>
          <a:off x="11833810" y="0"/>
          <a:ext cx="0" cy="79857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1835E61-38D9-4EDA-943D-574CF2DD0E35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9" dT="2023-01-11T16:31:08.40" personId="{21835E61-38D9-4EDA-943D-574CF2DD0E35}" id="{17C81EF9-AA2E-4310-B104-EA6A5B6E6523}">
    <text>Q322 guidance: 6B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6574-117A-438F-AFA7-D14E7F8D3CE5}">
  <dimension ref="B2:L17"/>
  <sheetViews>
    <sheetView zoomScale="190" zoomScaleNormal="190" workbookViewId="0">
      <selection activeCell="A19" sqref="A19"/>
    </sheetView>
  </sheetViews>
  <sheetFormatPr defaultRowHeight="12.75" x14ac:dyDescent="0.2"/>
  <cols>
    <col min="11" max="11" width="10.42578125" bestFit="1" customWidth="1"/>
  </cols>
  <sheetData>
    <row r="2" spans="2:12" x14ac:dyDescent="0.2">
      <c r="J2" t="s">
        <v>0</v>
      </c>
      <c r="K2" s="1">
        <v>156.19999999999999</v>
      </c>
    </row>
    <row r="3" spans="2:12" x14ac:dyDescent="0.2">
      <c r="B3" t="s">
        <v>50</v>
      </c>
      <c r="J3" t="s">
        <v>1</v>
      </c>
      <c r="K3" s="2">
        <v>2460</v>
      </c>
      <c r="L3" s="3" t="s">
        <v>6</v>
      </c>
    </row>
    <row r="4" spans="2:12" x14ac:dyDescent="0.2">
      <c r="B4" t="s">
        <v>49</v>
      </c>
      <c r="J4" t="s">
        <v>2</v>
      </c>
      <c r="K4" s="2">
        <f>+K2*K3</f>
        <v>384252</v>
      </c>
    </row>
    <row r="5" spans="2:12" x14ac:dyDescent="0.2">
      <c r="B5" t="s">
        <v>43</v>
      </c>
      <c r="J5" t="s">
        <v>3</v>
      </c>
      <c r="K5" s="2">
        <v>13143</v>
      </c>
      <c r="L5" s="3" t="s">
        <v>6</v>
      </c>
    </row>
    <row r="6" spans="2:12" x14ac:dyDescent="0.2">
      <c r="B6" t="s">
        <v>44</v>
      </c>
      <c r="J6" t="s">
        <v>4</v>
      </c>
      <c r="K6" s="2">
        <v>10950</v>
      </c>
      <c r="L6" s="3" t="s">
        <v>6</v>
      </c>
    </row>
    <row r="7" spans="2:12" x14ac:dyDescent="0.2">
      <c r="B7" t="s">
        <v>52</v>
      </c>
      <c r="J7" t="s">
        <v>5</v>
      </c>
      <c r="K7" s="2">
        <f>+K4-K5+K6</f>
        <v>382059</v>
      </c>
    </row>
    <row r="10" spans="2:12" x14ac:dyDescent="0.2">
      <c r="B10" t="s">
        <v>45</v>
      </c>
    </row>
    <row r="11" spans="2:12" x14ac:dyDescent="0.2">
      <c r="B11" t="s">
        <v>46</v>
      </c>
    </row>
    <row r="12" spans="2:12" x14ac:dyDescent="0.2">
      <c r="B12" t="s">
        <v>47</v>
      </c>
    </row>
    <row r="13" spans="2:12" x14ac:dyDescent="0.2">
      <c r="B13" t="s">
        <v>48</v>
      </c>
    </row>
    <row r="16" spans="2:12" x14ac:dyDescent="0.2">
      <c r="B16" t="s">
        <v>53</v>
      </c>
    </row>
    <row r="17" spans="2:2" x14ac:dyDescent="0.2">
      <c r="B17" t="s">
        <v>54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5CCD9-F7D5-426D-9988-E332CC35D6F1}">
  <dimension ref="A1:CH48"/>
  <sheetViews>
    <sheetView tabSelected="1" zoomScale="160" zoomScaleNormal="160" workbookViewId="0">
      <pane xSplit="2" ySplit="3" topLeftCell="O4" activePane="bottomRight" state="frozen"/>
      <selection pane="topRight" activeCell="C1" sqref="C1"/>
      <selection pane="bottomLeft" activeCell="A4" sqref="A4"/>
      <selection pane="bottomRight" activeCell="R11" sqref="R11"/>
    </sheetView>
  </sheetViews>
  <sheetFormatPr defaultRowHeight="12.75" x14ac:dyDescent="0.2"/>
  <cols>
    <col min="1" max="1" width="5" bestFit="1" customWidth="1"/>
    <col min="2" max="2" width="18.140625" bestFit="1" customWidth="1"/>
    <col min="3" max="11" width="9" style="3" customWidth="1"/>
    <col min="15" max="23" width="9.140625" style="3"/>
    <col min="33" max="33" width="12.140625" bestFit="1" customWidth="1"/>
  </cols>
  <sheetData>
    <row r="1" spans="1:30" x14ac:dyDescent="0.2">
      <c r="A1" s="5" t="s">
        <v>7</v>
      </c>
      <c r="V1" s="9"/>
    </row>
    <row r="2" spans="1:30" s="10" customFormat="1" x14ac:dyDescent="0.2">
      <c r="C2" s="11">
        <v>44227</v>
      </c>
      <c r="D2" s="11">
        <v>44318</v>
      </c>
      <c r="E2" s="11">
        <v>44409</v>
      </c>
      <c r="F2" s="11">
        <v>44500</v>
      </c>
      <c r="G2" s="11">
        <v>44591</v>
      </c>
      <c r="H2" s="11">
        <v>44682</v>
      </c>
      <c r="I2" s="11">
        <v>44773</v>
      </c>
      <c r="J2" s="11">
        <v>44864</v>
      </c>
      <c r="K2" s="11">
        <v>44956</v>
      </c>
      <c r="O2" s="11"/>
      <c r="P2" s="11"/>
      <c r="Q2" s="11"/>
      <c r="R2" s="11"/>
      <c r="S2" s="11"/>
      <c r="T2" s="11"/>
      <c r="U2" s="11">
        <f>+F2</f>
        <v>44500</v>
      </c>
      <c r="V2" s="11">
        <f>+G2</f>
        <v>44591</v>
      </c>
      <c r="W2" s="11">
        <f>+K2</f>
        <v>44956</v>
      </c>
      <c r="X2" s="10">
        <f>+W2+365</f>
        <v>45321</v>
      </c>
      <c r="Y2" s="10">
        <f>+X2+366</f>
        <v>45687</v>
      </c>
      <c r="Z2" s="10">
        <f>+Y2+365</f>
        <v>46052</v>
      </c>
      <c r="AA2" s="10">
        <f>+Z2+365</f>
        <v>46417</v>
      </c>
      <c r="AB2" s="10">
        <f>+AA2+365</f>
        <v>46782</v>
      </c>
      <c r="AC2" s="10">
        <f>+AB2+366</f>
        <v>47148</v>
      </c>
      <c r="AD2" s="10">
        <f>+AC2+366</f>
        <v>47514</v>
      </c>
    </row>
    <row r="3" spans="1:30" x14ac:dyDescent="0.2">
      <c r="C3" s="3" t="s">
        <v>10</v>
      </c>
      <c r="D3" s="3" t="s">
        <v>9</v>
      </c>
      <c r="E3" s="3" t="s">
        <v>11</v>
      </c>
      <c r="F3" s="3" t="s">
        <v>6</v>
      </c>
      <c r="G3" s="3" t="s">
        <v>12</v>
      </c>
      <c r="H3" s="3" t="s">
        <v>60</v>
      </c>
      <c r="I3" s="3" t="s">
        <v>59</v>
      </c>
      <c r="J3" s="3" t="s">
        <v>58</v>
      </c>
      <c r="K3" s="3" t="s">
        <v>57</v>
      </c>
      <c r="N3" s="3" t="s">
        <v>69</v>
      </c>
      <c r="O3" s="3" t="s">
        <v>68</v>
      </c>
      <c r="P3" s="3" t="s">
        <v>67</v>
      </c>
      <c r="Q3" s="3" t="s">
        <v>66</v>
      </c>
      <c r="R3" s="3" t="s">
        <v>65</v>
      </c>
      <c r="S3" s="3" t="s">
        <v>64</v>
      </c>
      <c r="T3" s="3" t="s">
        <v>63</v>
      </c>
      <c r="U3" s="3" t="s">
        <v>62</v>
      </c>
      <c r="V3" s="3" t="s">
        <v>61</v>
      </c>
      <c r="W3" s="3" t="s">
        <v>56</v>
      </c>
      <c r="X3" s="3" t="s">
        <v>70</v>
      </c>
      <c r="Y3" s="3" t="s">
        <v>71</v>
      </c>
      <c r="Z3" s="3" t="s">
        <v>72</v>
      </c>
      <c r="AA3" s="3" t="s">
        <v>73</v>
      </c>
      <c r="AB3" s="3" t="s">
        <v>74</v>
      </c>
      <c r="AC3" s="3" t="s">
        <v>75</v>
      </c>
      <c r="AD3" s="3" t="s">
        <v>76</v>
      </c>
    </row>
    <row r="4" spans="1:30" x14ac:dyDescent="0.2">
      <c r="B4" t="s">
        <v>42</v>
      </c>
      <c r="F4" s="4">
        <f>+J4/1.31</f>
        <v>2923.6641221374043</v>
      </c>
      <c r="J4" s="4">
        <v>3830</v>
      </c>
    </row>
    <row r="5" spans="1:30" x14ac:dyDescent="0.2">
      <c r="B5" t="s">
        <v>51</v>
      </c>
      <c r="F5" s="4">
        <f>+J5/0.49</f>
        <v>3204.0816326530612</v>
      </c>
      <c r="J5" s="4">
        <v>1570</v>
      </c>
    </row>
    <row r="6" spans="1:30" x14ac:dyDescent="0.2">
      <c r="B6" t="s">
        <v>44</v>
      </c>
      <c r="F6" s="4"/>
      <c r="J6" s="4">
        <v>200</v>
      </c>
    </row>
    <row r="7" spans="1:30" x14ac:dyDescent="0.2">
      <c r="B7" t="s">
        <v>55</v>
      </c>
      <c r="F7" s="4"/>
      <c r="J7" s="4">
        <v>251</v>
      </c>
    </row>
    <row r="9" spans="1:30" s="7" customFormat="1" x14ac:dyDescent="0.2">
      <c r="B9" s="7" t="s">
        <v>8</v>
      </c>
      <c r="C9" s="8">
        <v>5003</v>
      </c>
      <c r="D9" s="8">
        <v>5661</v>
      </c>
      <c r="E9" s="8">
        <v>6507</v>
      </c>
      <c r="F9" s="8">
        <v>7103</v>
      </c>
      <c r="G9" s="8">
        <v>7643</v>
      </c>
      <c r="H9" s="8">
        <v>8288</v>
      </c>
      <c r="I9" s="8">
        <v>6704</v>
      </c>
      <c r="J9" s="8">
        <v>5931</v>
      </c>
      <c r="K9" s="8">
        <v>6000</v>
      </c>
      <c r="O9" s="8">
        <v>4682</v>
      </c>
      <c r="P9" s="8">
        <v>5010</v>
      </c>
      <c r="Q9" s="8">
        <v>6910</v>
      </c>
      <c r="R9" s="8">
        <v>9714</v>
      </c>
      <c r="S9" s="8">
        <v>11716</v>
      </c>
      <c r="T9" s="8">
        <v>10918</v>
      </c>
      <c r="U9" s="8">
        <v>16675</v>
      </c>
      <c r="V9" s="8">
        <f>SUM(D9:G9)</f>
        <v>26914</v>
      </c>
      <c r="W9" s="8">
        <f>SUM(H9:K9)</f>
        <v>26923</v>
      </c>
      <c r="X9" s="8">
        <f>+W9*1.3</f>
        <v>34999.9</v>
      </c>
      <c r="Y9" s="8">
        <f>+X9*1.3</f>
        <v>45499.87</v>
      </c>
      <c r="Z9" s="8">
        <f t="shared" ref="Z9:AB9" si="0">+Y9*1.3</f>
        <v>59149.831000000006</v>
      </c>
      <c r="AA9" s="8">
        <f t="shared" si="0"/>
        <v>76894.780300000013</v>
      </c>
      <c r="AB9" s="8">
        <f t="shared" si="0"/>
        <v>99963.214390000023</v>
      </c>
      <c r="AC9" s="7">
        <f>+AB9*1.01</f>
        <v>100962.84653390002</v>
      </c>
      <c r="AD9" s="7">
        <f t="shared" ref="AD9" si="1">+AC9*1.01</f>
        <v>101972.47499923903</v>
      </c>
    </row>
    <row r="10" spans="1:30" s="2" customFormat="1" x14ac:dyDescent="0.2">
      <c r="B10" s="2" t="s">
        <v>13</v>
      </c>
      <c r="C10" s="4">
        <v>1846</v>
      </c>
      <c r="D10" s="4">
        <v>2032</v>
      </c>
      <c r="E10" s="4">
        <v>2292</v>
      </c>
      <c r="F10" s="4">
        <v>2472</v>
      </c>
      <c r="G10" s="4">
        <v>2644</v>
      </c>
      <c r="H10" s="4">
        <v>2857</v>
      </c>
      <c r="I10" s="4">
        <v>3789</v>
      </c>
      <c r="J10" s="4">
        <v>2754</v>
      </c>
      <c r="K10" s="4">
        <f>+K9-K11</f>
        <v>2400</v>
      </c>
      <c r="O10" s="4"/>
      <c r="P10" s="4"/>
      <c r="Q10" s="4"/>
      <c r="R10" s="4">
        <v>3892</v>
      </c>
      <c r="S10" s="4">
        <v>4545</v>
      </c>
      <c r="T10" s="4">
        <v>4150</v>
      </c>
      <c r="U10" s="4">
        <v>6279</v>
      </c>
      <c r="V10" s="4">
        <f>SUM(D10:G10)</f>
        <v>9440</v>
      </c>
      <c r="W10" s="4">
        <f>+W9-W11</f>
        <v>9961.5099999999984</v>
      </c>
      <c r="X10" s="4">
        <f>+X9-X11</f>
        <v>12949.963</v>
      </c>
      <c r="Y10" s="4">
        <f>+Y9-Y11</f>
        <v>16834.9519</v>
      </c>
      <c r="Z10" s="4">
        <f t="shared" ref="Z10:AB10" si="2">+Z9-Z11</f>
        <v>21885.437470000004</v>
      </c>
      <c r="AA10" s="4">
        <f t="shared" si="2"/>
        <v>28451.068711000007</v>
      </c>
      <c r="AB10" s="4">
        <f t="shared" si="2"/>
        <v>36986.389324300006</v>
      </c>
      <c r="AC10" s="4">
        <f t="shared" ref="AC10" si="3">+AC9-AC11</f>
        <v>37356.25321754301</v>
      </c>
      <c r="AD10" s="4">
        <f t="shared" ref="AD10" si="4">+AD9-AD11</f>
        <v>37729.815749718437</v>
      </c>
    </row>
    <row r="11" spans="1:30" s="2" customFormat="1" x14ac:dyDescent="0.2">
      <c r="B11" s="2" t="s">
        <v>14</v>
      </c>
      <c r="C11" s="4">
        <f t="shared" ref="C11:J11" si="5">+C9-C10</f>
        <v>3157</v>
      </c>
      <c r="D11" s="4">
        <f t="shared" si="5"/>
        <v>3629</v>
      </c>
      <c r="E11" s="4">
        <f t="shared" si="5"/>
        <v>4215</v>
      </c>
      <c r="F11" s="4">
        <f t="shared" si="5"/>
        <v>4631</v>
      </c>
      <c r="G11" s="4">
        <f t="shared" si="5"/>
        <v>4999</v>
      </c>
      <c r="H11" s="4">
        <f t="shared" si="5"/>
        <v>5431</v>
      </c>
      <c r="I11" s="4">
        <f t="shared" si="5"/>
        <v>2915</v>
      </c>
      <c r="J11" s="4">
        <f t="shared" si="5"/>
        <v>3177</v>
      </c>
      <c r="K11" s="4">
        <f>+K9*0.6</f>
        <v>3600</v>
      </c>
      <c r="O11" s="4"/>
      <c r="P11" s="4"/>
      <c r="Q11" s="4"/>
      <c r="R11" s="4">
        <f>+R9-R10</f>
        <v>5822</v>
      </c>
      <c r="S11" s="4">
        <f>+S9-S10</f>
        <v>7171</v>
      </c>
      <c r="T11" s="4">
        <f>+T9-T10</f>
        <v>6768</v>
      </c>
      <c r="U11" s="4">
        <f>+U9-U10</f>
        <v>10396</v>
      </c>
      <c r="V11" s="4">
        <f>+V9-V10</f>
        <v>17474</v>
      </c>
      <c r="W11" s="4">
        <f>+W9*0.63</f>
        <v>16961.490000000002</v>
      </c>
      <c r="X11" s="4">
        <f>+X9*0.63</f>
        <v>22049.937000000002</v>
      </c>
      <c r="Y11" s="4">
        <f>+Y9*0.63</f>
        <v>28664.918100000003</v>
      </c>
      <c r="Z11" s="4">
        <f t="shared" ref="Z11:AB11" si="6">+Z9*0.63</f>
        <v>37264.393530000001</v>
      </c>
      <c r="AA11" s="4">
        <f t="shared" si="6"/>
        <v>48443.711589000006</v>
      </c>
      <c r="AB11" s="4">
        <f t="shared" si="6"/>
        <v>62976.825065700017</v>
      </c>
      <c r="AC11" s="4">
        <f t="shared" ref="AC11:AD11" si="7">+AC9*0.63</f>
        <v>63606.593316357015</v>
      </c>
      <c r="AD11" s="4">
        <f t="shared" si="7"/>
        <v>64242.659249520591</v>
      </c>
    </row>
    <row r="12" spans="1:30" s="2" customFormat="1" x14ac:dyDescent="0.2">
      <c r="B12" s="2" t="s">
        <v>15</v>
      </c>
      <c r="C12" s="4">
        <v>1147</v>
      </c>
      <c r="D12" s="4">
        <v>1153</v>
      </c>
      <c r="E12" s="4">
        <v>1245</v>
      </c>
      <c r="F12" s="4">
        <v>1403</v>
      </c>
      <c r="G12" s="4">
        <v>1466</v>
      </c>
      <c r="H12" s="4">
        <v>1618</v>
      </c>
      <c r="I12" s="4">
        <v>1824</v>
      </c>
      <c r="J12" s="4">
        <v>1945</v>
      </c>
      <c r="K12" s="4">
        <v>1945</v>
      </c>
      <c r="O12" s="4"/>
      <c r="P12" s="4"/>
      <c r="Q12" s="4"/>
      <c r="R12" s="4">
        <v>1797</v>
      </c>
      <c r="S12" s="4">
        <v>2376</v>
      </c>
      <c r="T12" s="4">
        <v>2829</v>
      </c>
      <c r="U12" s="4">
        <v>3924</v>
      </c>
      <c r="V12" s="4">
        <f>SUM(D12:G12)</f>
        <v>5267</v>
      </c>
      <c r="W12" s="4">
        <f>+V12</f>
        <v>5267</v>
      </c>
      <c r="X12" s="4">
        <f t="shared" ref="X12:Y12" si="8">+W12</f>
        <v>5267</v>
      </c>
      <c r="Y12" s="4">
        <f t="shared" si="8"/>
        <v>5267</v>
      </c>
      <c r="Z12" s="4">
        <f t="shared" ref="Z12" si="9">+Y12</f>
        <v>5267</v>
      </c>
      <c r="AA12" s="4">
        <f t="shared" ref="AA12" si="10">+Z12</f>
        <v>5267</v>
      </c>
      <c r="AB12" s="4">
        <f t="shared" ref="AB12" si="11">+AA12</f>
        <v>5267</v>
      </c>
      <c r="AC12" s="4">
        <f t="shared" ref="AC12" si="12">+AB12</f>
        <v>5267</v>
      </c>
      <c r="AD12" s="4">
        <f t="shared" ref="AD12" si="13">+AC12</f>
        <v>5267</v>
      </c>
    </row>
    <row r="13" spans="1:30" s="2" customFormat="1" x14ac:dyDescent="0.2">
      <c r="B13" s="2" t="s">
        <v>16</v>
      </c>
      <c r="C13" s="4">
        <v>503</v>
      </c>
      <c r="D13" s="4">
        <v>520</v>
      </c>
      <c r="E13" s="4">
        <v>526</v>
      </c>
      <c r="F13" s="4">
        <v>557</v>
      </c>
      <c r="G13" s="4">
        <v>563</v>
      </c>
      <c r="H13" s="4">
        <v>592</v>
      </c>
      <c r="I13" s="4">
        <v>592</v>
      </c>
      <c r="J13" s="4">
        <v>631</v>
      </c>
      <c r="K13" s="4">
        <v>631</v>
      </c>
      <c r="O13" s="4"/>
      <c r="P13" s="4"/>
      <c r="Q13" s="4"/>
      <c r="R13" s="4">
        <v>815</v>
      </c>
      <c r="S13" s="4">
        <v>991</v>
      </c>
      <c r="T13" s="4">
        <v>1093</v>
      </c>
      <c r="U13" s="4">
        <v>1940</v>
      </c>
      <c r="V13" s="4">
        <f>SUM(D13:G13)</f>
        <v>2166</v>
      </c>
      <c r="W13" s="4">
        <f>+V13*1.1</f>
        <v>2382.6000000000004</v>
      </c>
      <c r="X13" s="4">
        <f t="shared" ref="X13:Y13" si="14">+W13*1.1</f>
        <v>2620.8600000000006</v>
      </c>
      <c r="Y13" s="4">
        <f t="shared" si="14"/>
        <v>2882.9460000000008</v>
      </c>
      <c r="Z13" s="4">
        <f t="shared" ref="Z13" si="15">+Y13*1.1</f>
        <v>3171.240600000001</v>
      </c>
      <c r="AA13" s="4">
        <f t="shared" ref="AA13" si="16">+Z13*1.1</f>
        <v>3488.3646600000015</v>
      </c>
      <c r="AB13" s="4">
        <f>+AA13*1.1</f>
        <v>3837.2011260000022</v>
      </c>
      <c r="AC13" s="4">
        <f>+AB13*1.01</f>
        <v>3875.5731372600021</v>
      </c>
      <c r="AD13" s="4">
        <f>+AC13*1.01</f>
        <v>3914.3288686326023</v>
      </c>
    </row>
    <row r="14" spans="1:30" s="2" customFormat="1" x14ac:dyDescent="0.2">
      <c r="B14" s="2" t="s">
        <v>18</v>
      </c>
      <c r="C14" s="4">
        <f t="shared" ref="C14:J14" si="17">+C12+C13</f>
        <v>1650</v>
      </c>
      <c r="D14" s="4">
        <f t="shared" si="17"/>
        <v>1673</v>
      </c>
      <c r="E14" s="4">
        <f t="shared" si="17"/>
        <v>1771</v>
      </c>
      <c r="F14" s="4">
        <f t="shared" si="17"/>
        <v>1960</v>
      </c>
      <c r="G14" s="4">
        <f t="shared" si="17"/>
        <v>2029</v>
      </c>
      <c r="H14" s="4">
        <f t="shared" si="17"/>
        <v>2210</v>
      </c>
      <c r="I14" s="4">
        <f t="shared" si="17"/>
        <v>2416</v>
      </c>
      <c r="J14" s="4">
        <f t="shared" si="17"/>
        <v>2576</v>
      </c>
      <c r="K14" s="4">
        <f t="shared" ref="K14" si="18">+K12+K13</f>
        <v>2576</v>
      </c>
      <c r="O14" s="4"/>
      <c r="P14" s="4"/>
      <c r="Q14" s="4"/>
      <c r="R14" s="4">
        <f t="shared" ref="R14:Y14" si="19">+R12+R13</f>
        <v>2612</v>
      </c>
      <c r="S14" s="4">
        <f t="shared" si="19"/>
        <v>3367</v>
      </c>
      <c r="T14" s="4">
        <f t="shared" si="19"/>
        <v>3922</v>
      </c>
      <c r="U14" s="4">
        <f t="shared" si="19"/>
        <v>5864</v>
      </c>
      <c r="V14" s="4">
        <f t="shared" si="19"/>
        <v>7433</v>
      </c>
      <c r="W14" s="4">
        <f t="shared" si="19"/>
        <v>7649.6</v>
      </c>
      <c r="X14" s="4">
        <f t="shared" si="19"/>
        <v>7887.8600000000006</v>
      </c>
      <c r="Y14" s="4">
        <f t="shared" si="19"/>
        <v>8149.9460000000008</v>
      </c>
      <c r="Z14" s="4">
        <f t="shared" ref="Z14" si="20">+Z12+Z13</f>
        <v>8438.240600000001</v>
      </c>
      <c r="AA14" s="4">
        <f t="shared" ref="AA14" si="21">+AA12+AA13</f>
        <v>8755.3646600000011</v>
      </c>
      <c r="AB14" s="4">
        <f t="shared" ref="AB14" si="22">+AB12+AB13</f>
        <v>9104.2011260000018</v>
      </c>
      <c r="AC14" s="4">
        <f t="shared" ref="AC14" si="23">+AC12+AC13</f>
        <v>9142.5731372600021</v>
      </c>
      <c r="AD14" s="4">
        <f t="shared" ref="AD14" si="24">+AD12+AD13</f>
        <v>9181.3288686326014</v>
      </c>
    </row>
    <row r="15" spans="1:30" s="2" customFormat="1" x14ac:dyDescent="0.2">
      <c r="B15" s="2" t="s">
        <v>17</v>
      </c>
      <c r="C15" s="4">
        <f t="shared" ref="C15:J15" si="25">+C11-C14</f>
        <v>1507</v>
      </c>
      <c r="D15" s="4">
        <f t="shared" si="25"/>
        <v>1956</v>
      </c>
      <c r="E15" s="4">
        <f t="shared" si="25"/>
        <v>2444</v>
      </c>
      <c r="F15" s="4">
        <f t="shared" si="25"/>
        <v>2671</v>
      </c>
      <c r="G15" s="4">
        <f t="shared" si="25"/>
        <v>2970</v>
      </c>
      <c r="H15" s="4">
        <f t="shared" si="25"/>
        <v>3221</v>
      </c>
      <c r="I15" s="4">
        <f t="shared" si="25"/>
        <v>499</v>
      </c>
      <c r="J15" s="4">
        <f t="shared" si="25"/>
        <v>601</v>
      </c>
      <c r="K15" s="4">
        <f t="shared" ref="K15" si="26">+K11-K14</f>
        <v>1024</v>
      </c>
      <c r="O15" s="4"/>
      <c r="P15" s="4"/>
      <c r="Q15" s="4"/>
      <c r="R15" s="4">
        <f t="shared" ref="R15:Y15" si="27">+R11-R14</f>
        <v>3210</v>
      </c>
      <c r="S15" s="4">
        <f t="shared" si="27"/>
        <v>3804</v>
      </c>
      <c r="T15" s="4">
        <f t="shared" si="27"/>
        <v>2846</v>
      </c>
      <c r="U15" s="4">
        <f t="shared" si="27"/>
        <v>4532</v>
      </c>
      <c r="V15" s="4">
        <f t="shared" si="27"/>
        <v>10041</v>
      </c>
      <c r="W15" s="4">
        <f t="shared" si="27"/>
        <v>9311.8900000000012</v>
      </c>
      <c r="X15" s="4">
        <f t="shared" si="27"/>
        <v>14162.077000000001</v>
      </c>
      <c r="Y15" s="4">
        <f t="shared" si="27"/>
        <v>20514.972100000003</v>
      </c>
      <c r="Z15" s="4">
        <f t="shared" ref="Z15" si="28">+Z11-Z14</f>
        <v>28826.15293</v>
      </c>
      <c r="AA15" s="4">
        <f t="shared" ref="AA15" si="29">+AA11-AA14</f>
        <v>39688.346929000007</v>
      </c>
      <c r="AB15" s="4">
        <f t="shared" ref="AB15" si="30">+AB11-AB14</f>
        <v>53872.623939700017</v>
      </c>
      <c r="AC15" s="4">
        <f t="shared" ref="AC15" si="31">+AC11-AC14</f>
        <v>54464.020179097017</v>
      </c>
      <c r="AD15" s="4">
        <f t="shared" ref="AD15" si="32">+AD11-AD14</f>
        <v>55061.330380887986</v>
      </c>
    </row>
    <row r="16" spans="1:30" s="2" customFormat="1" x14ac:dyDescent="0.2">
      <c r="B16" s="2" t="s">
        <v>19</v>
      </c>
      <c r="C16" s="4">
        <f>6-53+10</f>
        <v>-37</v>
      </c>
      <c r="D16" s="4">
        <f>6-53+135</f>
        <v>88</v>
      </c>
      <c r="E16" s="4">
        <f>6-60+4</f>
        <v>-50</v>
      </c>
      <c r="F16" s="4">
        <f>7-62+22</f>
        <v>-33</v>
      </c>
      <c r="G16" s="4">
        <f>9-61-53</f>
        <v>-105</v>
      </c>
      <c r="H16" s="4">
        <f>18-68-13</f>
        <v>-63</v>
      </c>
      <c r="I16" s="4">
        <f>46-65-5</f>
        <v>-24</v>
      </c>
      <c r="J16" s="4">
        <f>88-65</f>
        <v>23</v>
      </c>
      <c r="K16" s="4">
        <f t="shared" ref="K16" si="33">88-65</f>
        <v>23</v>
      </c>
      <c r="O16" s="4"/>
      <c r="P16" s="4"/>
      <c r="Q16" s="4"/>
      <c r="R16" s="4">
        <f>69-61-22</f>
        <v>-14</v>
      </c>
      <c r="S16" s="4">
        <f>136-58+14</f>
        <v>92</v>
      </c>
      <c r="T16" s="4">
        <f>178-52-2</f>
        <v>124</v>
      </c>
      <c r="U16" s="4">
        <f>57-184-4</f>
        <v>-131</v>
      </c>
      <c r="V16" s="4">
        <f>SUM(D16:G16)</f>
        <v>-100</v>
      </c>
      <c r="W16" s="4"/>
      <c r="X16" s="2">
        <f>+W27*$AG$26</f>
        <v>33.07</v>
      </c>
      <c r="Y16" s="2">
        <f t="shared" ref="Y16:AD16" si="34">+X27*$AG$26</f>
        <v>160.826323</v>
      </c>
      <c r="Z16" s="2">
        <f t="shared" si="34"/>
        <v>346.90850880700003</v>
      </c>
      <c r="AA16" s="2">
        <f t="shared" si="34"/>
        <v>609.466061756263</v>
      </c>
      <c r="AB16" s="2">
        <f t="shared" si="34"/>
        <v>972.14637867306942</v>
      </c>
      <c r="AC16" s="2">
        <f t="shared" si="34"/>
        <v>1465.7493115384273</v>
      </c>
      <c r="AD16" s="2">
        <f t="shared" si="34"/>
        <v>1969.1172369541462</v>
      </c>
    </row>
    <row r="17" spans="2:86" s="2" customFormat="1" x14ac:dyDescent="0.2">
      <c r="B17" s="2" t="s">
        <v>20</v>
      </c>
      <c r="C17" s="4">
        <f t="shared" ref="C17:J17" si="35">+C15+C16</f>
        <v>1470</v>
      </c>
      <c r="D17" s="4">
        <f t="shared" si="35"/>
        <v>2044</v>
      </c>
      <c r="E17" s="4">
        <f t="shared" si="35"/>
        <v>2394</v>
      </c>
      <c r="F17" s="4">
        <f t="shared" si="35"/>
        <v>2638</v>
      </c>
      <c r="G17" s="4">
        <f t="shared" si="35"/>
        <v>2865</v>
      </c>
      <c r="H17" s="4">
        <f t="shared" si="35"/>
        <v>3158</v>
      </c>
      <c r="I17" s="4">
        <f t="shared" si="35"/>
        <v>475</v>
      </c>
      <c r="J17" s="4">
        <f t="shared" si="35"/>
        <v>624</v>
      </c>
      <c r="K17" s="4">
        <f t="shared" ref="K17" si="36">+K15+K16</f>
        <v>1047</v>
      </c>
      <c r="O17" s="4"/>
      <c r="P17" s="4"/>
      <c r="Q17" s="4"/>
      <c r="R17" s="4">
        <f>+R15+R16</f>
        <v>3196</v>
      </c>
      <c r="S17" s="4">
        <f>+S15+S16</f>
        <v>3896</v>
      </c>
      <c r="T17" s="4">
        <f>+T15+T16</f>
        <v>2970</v>
      </c>
      <c r="U17" s="4">
        <f>+U15+U16</f>
        <v>4401</v>
      </c>
      <c r="V17" s="4">
        <f>+V15+V16</f>
        <v>9941</v>
      </c>
      <c r="W17" s="4">
        <f t="shared" ref="W17:Y17" si="37">+W15+W16</f>
        <v>9311.8900000000012</v>
      </c>
      <c r="X17" s="4">
        <f t="shared" si="37"/>
        <v>14195.147000000001</v>
      </c>
      <c r="Y17" s="4">
        <f t="shared" si="37"/>
        <v>20675.798423000004</v>
      </c>
      <c r="Z17" s="4">
        <f t="shared" ref="Z17:AB17" si="38">+Z15+Z16</f>
        <v>29173.061438806999</v>
      </c>
      <c r="AA17" s="4">
        <f t="shared" si="38"/>
        <v>40297.812990756269</v>
      </c>
      <c r="AB17" s="4">
        <f t="shared" si="38"/>
        <v>54844.770318373085</v>
      </c>
      <c r="AC17" s="4">
        <f t="shared" ref="AC17:AD17" si="39">+AC15+AC16</f>
        <v>55929.769490635445</v>
      </c>
      <c r="AD17" s="4">
        <f t="shared" si="39"/>
        <v>57030.447617842132</v>
      </c>
    </row>
    <row r="18" spans="2:86" s="2" customFormat="1" x14ac:dyDescent="0.2">
      <c r="B18" s="2" t="s">
        <v>21</v>
      </c>
      <c r="C18" s="4">
        <v>13</v>
      </c>
      <c r="D18" s="4">
        <v>132</v>
      </c>
      <c r="E18" s="4">
        <v>20</v>
      </c>
      <c r="F18" s="4">
        <v>174</v>
      </c>
      <c r="G18" s="4">
        <v>-138</v>
      </c>
      <c r="H18" s="4">
        <v>187</v>
      </c>
      <c r="I18" s="4">
        <v>-181</v>
      </c>
      <c r="J18" s="4">
        <v>-67</v>
      </c>
      <c r="K18" s="4">
        <v>-67</v>
      </c>
      <c r="O18" s="4"/>
      <c r="P18" s="4"/>
      <c r="Q18" s="4"/>
      <c r="R18" s="4">
        <v>149</v>
      </c>
      <c r="S18" s="4">
        <v>-245</v>
      </c>
      <c r="T18" s="4">
        <v>174</v>
      </c>
      <c r="U18" s="4">
        <v>77</v>
      </c>
      <c r="V18" s="4">
        <f>SUM(D18:G18)</f>
        <v>188</v>
      </c>
      <c r="W18" s="4">
        <f>+W17*0.1</f>
        <v>931.18900000000019</v>
      </c>
      <c r="X18" s="4">
        <f t="shared" ref="X18:Y18" si="40">+X17*0.1</f>
        <v>1419.5147000000002</v>
      </c>
      <c r="Y18" s="4">
        <f t="shared" si="40"/>
        <v>2067.5798423000006</v>
      </c>
      <c r="Z18" s="4">
        <f t="shared" ref="Z18:AB18" si="41">+Z17*0.1</f>
        <v>2917.3061438806999</v>
      </c>
      <c r="AA18" s="4">
        <f t="shared" si="41"/>
        <v>4029.781299075627</v>
      </c>
      <c r="AB18" s="4">
        <f t="shared" si="41"/>
        <v>5484.4770318373085</v>
      </c>
      <c r="AC18" s="4">
        <f t="shared" ref="AC18:AD18" si="42">+AC17*0.1</f>
        <v>5592.9769490635445</v>
      </c>
      <c r="AD18" s="4">
        <f t="shared" si="42"/>
        <v>5703.0447617842137</v>
      </c>
    </row>
    <row r="19" spans="2:86" s="2" customFormat="1" x14ac:dyDescent="0.2">
      <c r="B19" s="2" t="s">
        <v>22</v>
      </c>
      <c r="C19" s="4">
        <f t="shared" ref="C19:J19" si="43">+C17-C18</f>
        <v>1457</v>
      </c>
      <c r="D19" s="4">
        <f t="shared" si="43"/>
        <v>1912</v>
      </c>
      <c r="E19" s="4">
        <f t="shared" si="43"/>
        <v>2374</v>
      </c>
      <c r="F19" s="4">
        <f t="shared" si="43"/>
        <v>2464</v>
      </c>
      <c r="G19" s="4">
        <f t="shared" si="43"/>
        <v>3003</v>
      </c>
      <c r="H19" s="4">
        <f t="shared" si="43"/>
        <v>2971</v>
      </c>
      <c r="I19" s="4">
        <f t="shared" si="43"/>
        <v>656</v>
      </c>
      <c r="J19" s="4">
        <f t="shared" si="43"/>
        <v>691</v>
      </c>
      <c r="K19" s="4">
        <f t="shared" ref="K19" si="44">+K17-K18</f>
        <v>1114</v>
      </c>
      <c r="O19" s="4"/>
      <c r="P19" s="4"/>
      <c r="Q19" s="4"/>
      <c r="R19" s="4">
        <f>+R17-R18</f>
        <v>3047</v>
      </c>
      <c r="S19" s="4">
        <f>+S17-S18</f>
        <v>4141</v>
      </c>
      <c r="T19" s="4">
        <f>+T17-T18</f>
        <v>2796</v>
      </c>
      <c r="U19" s="4">
        <f>+U17-U18</f>
        <v>4324</v>
      </c>
      <c r="V19" s="4">
        <f>+V17-V18</f>
        <v>9753</v>
      </c>
      <c r="W19" s="4">
        <f t="shared" ref="W19:Y19" si="45">+W17-W18</f>
        <v>8380.7010000000009</v>
      </c>
      <c r="X19" s="4">
        <f t="shared" si="45"/>
        <v>12775.632300000001</v>
      </c>
      <c r="Y19" s="4">
        <f t="shared" si="45"/>
        <v>18608.218580700002</v>
      </c>
      <c r="Z19" s="4">
        <f t="shared" ref="Z19:AB19" si="46">+Z17-Z18</f>
        <v>26255.755294926297</v>
      </c>
      <c r="AA19" s="4">
        <f t="shared" si="46"/>
        <v>36268.031691680641</v>
      </c>
      <c r="AB19" s="4">
        <f t="shared" si="46"/>
        <v>49360.293286535772</v>
      </c>
      <c r="AC19" s="4">
        <f t="shared" ref="AC19:AD19" si="47">+AC17-AC18</f>
        <v>50336.7925415719</v>
      </c>
      <c r="AD19" s="4">
        <f t="shared" si="47"/>
        <v>51327.402856057917</v>
      </c>
      <c r="AE19" s="2">
        <f>+AD19*(1+$AG$24)</f>
        <v>50814.128827497334</v>
      </c>
      <c r="AF19" s="2">
        <f t="shared" ref="AF19:CH19" si="48">+AE19*(1+$AG$24)</f>
        <v>50305.987539222362</v>
      </c>
      <c r="AG19" s="2">
        <f t="shared" si="48"/>
        <v>49802.927663830138</v>
      </c>
      <c r="AH19" s="2">
        <f t="shared" si="48"/>
        <v>49304.898387191839</v>
      </c>
      <c r="AI19" s="2">
        <f t="shared" si="48"/>
        <v>48811.849403319917</v>
      </c>
      <c r="AJ19" s="2">
        <f t="shared" si="48"/>
        <v>48323.730909286714</v>
      </c>
      <c r="AK19" s="2">
        <f t="shared" si="48"/>
        <v>47840.493600193848</v>
      </c>
      <c r="AL19" s="2">
        <f t="shared" si="48"/>
        <v>47362.088664191906</v>
      </c>
      <c r="AM19" s="2">
        <f t="shared" si="48"/>
        <v>46888.467777549988</v>
      </c>
      <c r="AN19" s="2">
        <f t="shared" si="48"/>
        <v>46419.583099774485</v>
      </c>
      <c r="AO19" s="2">
        <f t="shared" si="48"/>
        <v>45955.387268776743</v>
      </c>
      <c r="AP19" s="2">
        <f t="shared" si="48"/>
        <v>45495.833396088972</v>
      </c>
      <c r="AQ19" s="2">
        <f t="shared" si="48"/>
        <v>45040.875062128085</v>
      </c>
      <c r="AR19" s="2">
        <f t="shared" si="48"/>
        <v>44590.466311506803</v>
      </c>
      <c r="AS19" s="2">
        <f t="shared" si="48"/>
        <v>44144.561648391733</v>
      </c>
      <c r="AT19" s="2">
        <f t="shared" si="48"/>
        <v>43703.116031907812</v>
      </c>
      <c r="AU19" s="2">
        <f t="shared" si="48"/>
        <v>43266.084871588733</v>
      </c>
      <c r="AV19" s="2">
        <f t="shared" si="48"/>
        <v>42833.424022872845</v>
      </c>
      <c r="AW19" s="2">
        <f t="shared" si="48"/>
        <v>42405.089782644114</v>
      </c>
      <c r="AX19" s="2">
        <f t="shared" si="48"/>
        <v>41981.038884817674</v>
      </c>
      <c r="AY19" s="2">
        <f t="shared" si="48"/>
        <v>41561.228495969495</v>
      </c>
      <c r="AZ19" s="2">
        <f t="shared" si="48"/>
        <v>41145.616211009801</v>
      </c>
      <c r="BA19" s="2">
        <f t="shared" si="48"/>
        <v>40734.160048899706</v>
      </c>
      <c r="BB19" s="2">
        <f t="shared" si="48"/>
        <v>40326.818448410711</v>
      </c>
      <c r="BC19" s="2">
        <f t="shared" si="48"/>
        <v>39923.550263926605</v>
      </c>
      <c r="BD19" s="2">
        <f t="shared" si="48"/>
        <v>39524.314761287336</v>
      </c>
      <c r="BE19" s="2">
        <f t="shared" si="48"/>
        <v>39129.07161367446</v>
      </c>
      <c r="BF19" s="2">
        <f t="shared" si="48"/>
        <v>38737.780897537712</v>
      </c>
      <c r="BG19" s="2">
        <f t="shared" si="48"/>
        <v>38350.403088562336</v>
      </c>
      <c r="BH19" s="2">
        <f t="shared" si="48"/>
        <v>37966.89905767671</v>
      </c>
      <c r="BI19" s="2">
        <f t="shared" si="48"/>
        <v>37587.230067099939</v>
      </c>
      <c r="BJ19" s="2">
        <f t="shared" si="48"/>
        <v>37211.357766428941</v>
      </c>
      <c r="BK19" s="2">
        <f t="shared" si="48"/>
        <v>36839.244188764649</v>
      </c>
      <c r="BL19" s="2">
        <f t="shared" si="48"/>
        <v>36470.851746877001</v>
      </c>
      <c r="BM19" s="2">
        <f t="shared" si="48"/>
        <v>36106.143229408233</v>
      </c>
      <c r="BN19" s="2">
        <f t="shared" si="48"/>
        <v>35745.081797114151</v>
      </c>
      <c r="BO19" s="2">
        <f t="shared" si="48"/>
        <v>35387.63097914301</v>
      </c>
      <c r="BP19" s="2">
        <f t="shared" si="48"/>
        <v>35033.754669351583</v>
      </c>
      <c r="BQ19" s="2">
        <f t="shared" si="48"/>
        <v>34683.417122658066</v>
      </c>
      <c r="BR19" s="2">
        <f t="shared" si="48"/>
        <v>34336.582951431483</v>
      </c>
      <c r="BS19" s="2">
        <f t="shared" si="48"/>
        <v>33993.217121917165</v>
      </c>
      <c r="BT19" s="2">
        <f t="shared" si="48"/>
        <v>33653.284950697991</v>
      </c>
      <c r="BU19" s="2">
        <f t="shared" si="48"/>
        <v>33316.752101191014</v>
      </c>
      <c r="BV19" s="2">
        <f t="shared" si="48"/>
        <v>32983.5845801791</v>
      </c>
      <c r="BW19" s="2">
        <f t="shared" si="48"/>
        <v>32653.74873437731</v>
      </c>
      <c r="BX19" s="2">
        <f t="shared" si="48"/>
        <v>32327.211247033538</v>
      </c>
      <c r="BY19" s="2">
        <f t="shared" si="48"/>
        <v>32003.939134563203</v>
      </c>
      <c r="BZ19" s="2">
        <f t="shared" si="48"/>
        <v>31683.899743217571</v>
      </c>
      <c r="CA19" s="2">
        <f t="shared" si="48"/>
        <v>31367.060745785395</v>
      </c>
      <c r="CB19" s="2">
        <f t="shared" si="48"/>
        <v>31053.390138327541</v>
      </c>
      <c r="CC19" s="2">
        <f t="shared" si="48"/>
        <v>30742.856236944266</v>
      </c>
      <c r="CD19" s="2">
        <f t="shared" si="48"/>
        <v>30435.427674574825</v>
      </c>
      <c r="CE19" s="2">
        <f t="shared" si="48"/>
        <v>30131.073397829077</v>
      </c>
      <c r="CF19" s="2">
        <f t="shared" si="48"/>
        <v>29829.762663850786</v>
      </c>
      <c r="CG19" s="2">
        <f t="shared" si="48"/>
        <v>29531.465037212278</v>
      </c>
      <c r="CH19" s="2">
        <f t="shared" si="48"/>
        <v>29236.150386840156</v>
      </c>
    </row>
    <row r="20" spans="2:86" x14ac:dyDescent="0.2">
      <c r="B20" s="2" t="s">
        <v>23</v>
      </c>
      <c r="C20" s="6">
        <f t="shared" ref="C20:J20" si="49">+C19/C21</f>
        <v>0.57725832012678291</v>
      </c>
      <c r="D20" s="6">
        <f t="shared" si="49"/>
        <v>0.75632911392405067</v>
      </c>
      <c r="E20" s="6">
        <f t="shared" si="49"/>
        <v>0.93759873617693523</v>
      </c>
      <c r="F20" s="6">
        <f t="shared" si="49"/>
        <v>0.97084318360914101</v>
      </c>
      <c r="G20" s="6">
        <f t="shared" si="49"/>
        <v>1.1799607072691551</v>
      </c>
      <c r="H20" s="6">
        <f t="shared" si="49"/>
        <v>1.1710681907765077</v>
      </c>
      <c r="I20" s="6">
        <f t="shared" si="49"/>
        <v>0.26073131955484896</v>
      </c>
      <c r="J20" s="6">
        <f t="shared" si="49"/>
        <v>0.27651060424169666</v>
      </c>
      <c r="K20" s="6">
        <f t="shared" ref="K20" si="50">+K19/K21</f>
        <v>0.44577831132452983</v>
      </c>
      <c r="R20" s="6">
        <f>+R19/R21</f>
        <v>1.2053006329113924</v>
      </c>
      <c r="S20" s="6">
        <f>+S19/S21</f>
        <v>1.6564000000000001</v>
      </c>
      <c r="T20" s="6">
        <f>+T19/T21</f>
        <v>1.1310679611650485</v>
      </c>
      <c r="U20" s="6">
        <f t="shared" ref="U20:V20" si="51">+U19/U21</f>
        <v>1.7052154195011338</v>
      </c>
      <c r="V20" s="6">
        <f t="shared" si="51"/>
        <v>3.881404835339767</v>
      </c>
      <c r="W20" s="6">
        <f>+W19/W21</f>
        <v>3.3352705203462345</v>
      </c>
      <c r="X20" s="6">
        <f t="shared" ref="X20:Y20" si="52">+X19/X21</f>
        <v>5.0843228733459362</v>
      </c>
      <c r="Y20" s="6">
        <f t="shared" si="52"/>
        <v>7.4055192839319481</v>
      </c>
      <c r="Z20" s="6">
        <f t="shared" ref="Z20:AB20" si="53">+Z19/Z21</f>
        <v>10.449012155975046</v>
      </c>
      <c r="AA20" s="6">
        <f t="shared" si="53"/>
        <v>14.433601309991301</v>
      </c>
      <c r="AB20" s="6">
        <f t="shared" si="53"/>
        <v>19.643933255013739</v>
      </c>
      <c r="AC20" s="6">
        <f t="shared" ref="AC20:AD20" si="54">+AC19/AC21</f>
        <v>20.032551006495634</v>
      </c>
      <c r="AD20" s="6">
        <f t="shared" si="54"/>
        <v>20.426784541262727</v>
      </c>
    </row>
    <row r="21" spans="2:86" s="2" customFormat="1" x14ac:dyDescent="0.2">
      <c r="B21" s="2" t="s">
        <v>1</v>
      </c>
      <c r="C21" s="4">
        <v>2524</v>
      </c>
      <c r="D21" s="4">
        <v>2528</v>
      </c>
      <c r="E21" s="4">
        <v>2532</v>
      </c>
      <c r="F21" s="4">
        <v>2538</v>
      </c>
      <c r="G21" s="4">
        <v>2545</v>
      </c>
      <c r="H21" s="4">
        <v>2537</v>
      </c>
      <c r="I21" s="4">
        <v>2516</v>
      </c>
      <c r="J21" s="4">
        <v>2499</v>
      </c>
      <c r="K21" s="4">
        <v>2499</v>
      </c>
      <c r="O21" s="4"/>
      <c r="P21" s="4"/>
      <c r="Q21" s="4"/>
      <c r="R21" s="4">
        <f>632*4</f>
        <v>2528</v>
      </c>
      <c r="S21" s="4">
        <f>625*4</f>
        <v>2500</v>
      </c>
      <c r="T21" s="4">
        <v>2472</v>
      </c>
      <c r="U21" s="4">
        <f>AVERAGE(D21:G21)</f>
        <v>2535.75</v>
      </c>
      <c r="V21" s="4">
        <f>AVERAGE(H21:K21)</f>
        <v>2512.75</v>
      </c>
      <c r="W21" s="4">
        <f>+V21</f>
        <v>2512.75</v>
      </c>
      <c r="X21" s="4">
        <f t="shared" ref="X21:Y21" si="55">+W21</f>
        <v>2512.75</v>
      </c>
      <c r="Y21" s="4">
        <f t="shared" si="55"/>
        <v>2512.75</v>
      </c>
      <c r="Z21" s="4">
        <f t="shared" ref="Z21" si="56">+Y21</f>
        <v>2512.75</v>
      </c>
      <c r="AA21" s="4">
        <f t="shared" ref="AA21" si="57">+Z21</f>
        <v>2512.75</v>
      </c>
      <c r="AB21" s="4">
        <f t="shared" ref="AB21" si="58">+AA21</f>
        <v>2512.75</v>
      </c>
      <c r="AC21" s="4">
        <f t="shared" ref="AC21" si="59">+AB21</f>
        <v>2512.75</v>
      </c>
      <c r="AD21" s="4">
        <f t="shared" ref="AD21" si="60">+AC21</f>
        <v>2512.75</v>
      </c>
    </row>
    <row r="23" spans="2:86" x14ac:dyDescent="0.2">
      <c r="B23" s="2" t="s">
        <v>24</v>
      </c>
      <c r="C23" s="4"/>
      <c r="G23" s="9">
        <f>+G9/C9-1</f>
        <v>0.52768338996602049</v>
      </c>
      <c r="H23" s="9">
        <f>+H9/D9-1</f>
        <v>0.46405228758169925</v>
      </c>
      <c r="I23" s="9">
        <f>+I9/E9-1</f>
        <v>3.0275088366374714E-2</v>
      </c>
      <c r="J23" s="9">
        <f>+J9/F9-1</f>
        <v>-0.16500070392791777</v>
      </c>
      <c r="K23" s="9">
        <f t="shared" ref="K23" si="61">+K9/G9-1</f>
        <v>-0.21496794452440138</v>
      </c>
      <c r="O23" s="9"/>
      <c r="P23" s="9">
        <f t="shared" ref="P23:R23" si="62">P9/O9-1</f>
        <v>7.0055531824006811E-2</v>
      </c>
      <c r="Q23" s="9">
        <f t="shared" si="62"/>
        <v>0.37924151696606789</v>
      </c>
      <c r="R23" s="9">
        <f t="shared" si="62"/>
        <v>0.40578871201157751</v>
      </c>
      <c r="S23" s="9">
        <f>S9/R9-1</f>
        <v>0.20609429689108505</v>
      </c>
      <c r="T23" s="9">
        <f>T9/S9-1</f>
        <v>-6.8111983612154314E-2</v>
      </c>
      <c r="U23" s="9">
        <f>U9/T9-1</f>
        <v>0.52729437625938824</v>
      </c>
      <c r="V23" s="9">
        <f t="shared" ref="V23:Y23" si="63">V9/U9-1</f>
        <v>0.61403298350824587</v>
      </c>
      <c r="W23" s="9">
        <f t="shared" si="63"/>
        <v>3.3439845433602677E-4</v>
      </c>
      <c r="X23" s="9">
        <f t="shared" si="63"/>
        <v>0.30000000000000004</v>
      </c>
      <c r="Y23" s="9">
        <f t="shared" si="63"/>
        <v>0.30000000000000004</v>
      </c>
      <c r="Z23" s="9">
        <f t="shared" ref="Z23" si="64">Z9/Y9-1</f>
        <v>0.30000000000000004</v>
      </c>
      <c r="AA23" s="9">
        <f t="shared" ref="AA23" si="65">AA9/Z9-1</f>
        <v>0.30000000000000004</v>
      </c>
      <c r="AB23" s="9">
        <f t="shared" ref="AB23" si="66">AB9/AA9-1</f>
        <v>0.30000000000000004</v>
      </c>
      <c r="AC23" s="9">
        <f t="shared" ref="AC23" si="67">AC9/AB9-1</f>
        <v>1.0000000000000009E-2</v>
      </c>
      <c r="AD23" s="9">
        <f t="shared" ref="AD23" si="68">AD9/AC9-1</f>
        <v>1.0000000000000009E-2</v>
      </c>
    </row>
    <row r="24" spans="2:86" x14ac:dyDescent="0.2">
      <c r="B24" s="2"/>
      <c r="C24" s="4"/>
      <c r="J24" s="9"/>
      <c r="K24" s="9"/>
      <c r="AF24" t="s">
        <v>80</v>
      </c>
      <c r="AG24" s="13">
        <v>-0.01</v>
      </c>
    </row>
    <row r="25" spans="2:86" x14ac:dyDescent="0.2">
      <c r="B25" s="2" t="s">
        <v>25</v>
      </c>
      <c r="C25" s="9">
        <f t="shared" ref="C25:J25" si="69">+C11/C9</f>
        <v>0.6310213871676994</v>
      </c>
      <c r="D25" s="9">
        <f t="shared" si="69"/>
        <v>0.6410528175234057</v>
      </c>
      <c r="E25" s="9">
        <f t="shared" si="69"/>
        <v>0.64776394651913327</v>
      </c>
      <c r="F25" s="9">
        <f t="shared" si="69"/>
        <v>0.65197803744896521</v>
      </c>
      <c r="G25" s="9">
        <f t="shared" si="69"/>
        <v>0.65406254088708626</v>
      </c>
      <c r="H25" s="9">
        <f t="shared" si="69"/>
        <v>0.65528474903474898</v>
      </c>
      <c r="I25" s="9">
        <f t="shared" si="69"/>
        <v>0.43481503579952269</v>
      </c>
      <c r="J25" s="9">
        <f t="shared" si="69"/>
        <v>0.53566009104704093</v>
      </c>
      <c r="K25" s="9">
        <f t="shared" ref="K25" si="70">+K11/K9</f>
        <v>0.6</v>
      </c>
      <c r="R25" s="9">
        <f t="shared" ref="R25:U25" si="71">+R11/R9</f>
        <v>0.59934115709285563</v>
      </c>
      <c r="S25" s="9">
        <f t="shared" si="71"/>
        <v>0.61206896551724133</v>
      </c>
      <c r="T25" s="9">
        <f t="shared" si="71"/>
        <v>0.61989375343469499</v>
      </c>
      <c r="U25" s="9">
        <f t="shared" si="71"/>
        <v>0.62344827586206897</v>
      </c>
      <c r="V25" s="9">
        <f>+V11/V9</f>
        <v>0.64925317678531624</v>
      </c>
      <c r="W25" s="9">
        <f>+W11/W9</f>
        <v>0.63</v>
      </c>
      <c r="X25" s="9">
        <f>+X11/X9</f>
        <v>0.63</v>
      </c>
      <c r="Y25" s="9">
        <f>+Y11/Y9</f>
        <v>0.63</v>
      </c>
      <c r="Z25" s="9">
        <f t="shared" ref="Z25:AB25" si="72">+Z11/Z9</f>
        <v>0.63</v>
      </c>
      <c r="AA25" s="9">
        <f t="shared" si="72"/>
        <v>0.63</v>
      </c>
      <c r="AB25" s="9">
        <f t="shared" si="72"/>
        <v>0.63</v>
      </c>
      <c r="AC25" s="9">
        <f t="shared" ref="AC25:AD25" si="73">+AC11/AC9</f>
        <v>0.63</v>
      </c>
      <c r="AD25" s="9">
        <f t="shared" si="73"/>
        <v>0.63</v>
      </c>
      <c r="AF25" t="s">
        <v>77</v>
      </c>
      <c r="AG25" s="13">
        <v>7.4999999999999997E-2</v>
      </c>
    </row>
    <row r="26" spans="2:86" x14ac:dyDescent="0.2">
      <c r="B26" s="2"/>
      <c r="C26" s="4"/>
      <c r="F26" s="9"/>
      <c r="J26" s="9"/>
      <c r="AF26" t="s">
        <v>79</v>
      </c>
      <c r="AG26" s="13">
        <v>0.01</v>
      </c>
    </row>
    <row r="27" spans="2:86" x14ac:dyDescent="0.2">
      <c r="B27" t="s">
        <v>40</v>
      </c>
      <c r="J27" s="4">
        <f>+J28-J41</f>
        <v>2193</v>
      </c>
      <c r="K27" s="4">
        <f>+J27+K19</f>
        <v>3307</v>
      </c>
      <c r="W27" s="4">
        <f>+K27</f>
        <v>3307</v>
      </c>
      <c r="X27" s="2">
        <f>+W27+X19</f>
        <v>16082.632300000001</v>
      </c>
      <c r="Y27" s="2">
        <f t="shared" ref="Y27:AD27" si="74">+X27+Y19</f>
        <v>34690.850880700003</v>
      </c>
      <c r="Z27" s="2">
        <f t="shared" si="74"/>
        <v>60946.606175626301</v>
      </c>
      <c r="AA27" s="2">
        <f t="shared" si="74"/>
        <v>97214.637867306941</v>
      </c>
      <c r="AB27" s="2">
        <f t="shared" si="74"/>
        <v>146574.93115384271</v>
      </c>
      <c r="AC27" s="2">
        <f t="shared" si="74"/>
        <v>196911.72369541461</v>
      </c>
      <c r="AD27" s="2">
        <f t="shared" si="74"/>
        <v>248239.12655147252</v>
      </c>
      <c r="AF27" t="s">
        <v>78</v>
      </c>
      <c r="AG27" s="2">
        <f>NPV(AG25,X19:CH19)</f>
        <v>530974.30074343912</v>
      </c>
    </row>
    <row r="28" spans="2:86" s="2" customFormat="1" x14ac:dyDescent="0.2">
      <c r="B28" s="2" t="s">
        <v>3</v>
      </c>
      <c r="C28" s="4"/>
      <c r="D28" s="4"/>
      <c r="E28" s="4"/>
      <c r="F28" s="4"/>
      <c r="G28" s="4"/>
      <c r="H28" s="4"/>
      <c r="I28" s="4"/>
      <c r="J28" s="4">
        <f>2800+10343</f>
        <v>13143</v>
      </c>
      <c r="K28" s="4"/>
      <c r="O28" s="4"/>
      <c r="P28" s="4"/>
      <c r="Q28" s="4"/>
      <c r="R28" s="4"/>
      <c r="S28" s="4"/>
      <c r="T28" s="4"/>
      <c r="U28" s="4"/>
      <c r="V28" s="4"/>
      <c r="W28" s="4"/>
      <c r="AG28" s="1">
        <f>AG27/Main!K3</f>
        <v>215.84321168432484</v>
      </c>
    </row>
    <row r="29" spans="2:86" s="2" customFormat="1" x14ac:dyDescent="0.2">
      <c r="B29" s="2" t="s">
        <v>26</v>
      </c>
      <c r="C29" s="4"/>
      <c r="D29" s="4"/>
      <c r="E29" s="4"/>
      <c r="F29" s="4"/>
      <c r="G29" s="4"/>
      <c r="H29" s="4"/>
      <c r="I29" s="4"/>
      <c r="J29" s="4">
        <v>4908</v>
      </c>
      <c r="K29" s="4"/>
      <c r="O29" s="4"/>
      <c r="P29" s="4"/>
      <c r="Q29" s="4"/>
      <c r="R29" s="4"/>
      <c r="S29" s="4"/>
      <c r="T29" s="4"/>
      <c r="U29" s="4"/>
      <c r="V29" s="4"/>
      <c r="W29" s="4"/>
      <c r="AG29" s="12">
        <f>AG28/Main!K2-1</f>
        <v>0.38183874317749589</v>
      </c>
    </row>
    <row r="30" spans="2:86" s="2" customFormat="1" x14ac:dyDescent="0.2">
      <c r="B30" s="2" t="s">
        <v>27</v>
      </c>
      <c r="C30" s="4"/>
      <c r="D30" s="4"/>
      <c r="E30" s="4"/>
      <c r="F30" s="4"/>
      <c r="G30" s="4"/>
      <c r="H30" s="4"/>
      <c r="I30" s="4"/>
      <c r="J30" s="4">
        <v>4454</v>
      </c>
      <c r="K30" s="4"/>
      <c r="O30" s="4"/>
      <c r="P30" s="4"/>
      <c r="Q30" s="4"/>
      <c r="R30" s="4"/>
      <c r="S30" s="4"/>
      <c r="T30" s="4"/>
      <c r="U30" s="4"/>
      <c r="V30" s="4"/>
      <c r="W30" s="4"/>
    </row>
    <row r="31" spans="2:86" s="2" customFormat="1" x14ac:dyDescent="0.2">
      <c r="B31" s="2" t="s">
        <v>28</v>
      </c>
      <c r="C31" s="4"/>
      <c r="D31" s="4"/>
      <c r="E31" s="4"/>
      <c r="F31" s="4"/>
      <c r="G31" s="4"/>
      <c r="H31" s="4"/>
      <c r="I31" s="4"/>
      <c r="J31" s="4">
        <v>718</v>
      </c>
      <c r="K31" s="4"/>
      <c r="O31" s="4"/>
      <c r="P31" s="4"/>
      <c r="Q31" s="4"/>
      <c r="R31" s="4"/>
      <c r="S31" s="4"/>
      <c r="T31" s="4"/>
      <c r="U31" s="4"/>
      <c r="V31" s="4"/>
      <c r="W31" s="4"/>
    </row>
    <row r="32" spans="2:86" s="2" customFormat="1" x14ac:dyDescent="0.2">
      <c r="B32" s="2" t="s">
        <v>29</v>
      </c>
      <c r="C32" s="4"/>
      <c r="D32" s="4"/>
      <c r="E32" s="4"/>
      <c r="F32" s="4"/>
      <c r="G32" s="4"/>
      <c r="H32" s="4"/>
      <c r="I32" s="4"/>
      <c r="J32" s="8">
        <v>3774</v>
      </c>
      <c r="K32" s="4"/>
      <c r="O32" s="4"/>
      <c r="P32" s="4"/>
      <c r="Q32" s="4"/>
      <c r="R32" s="4"/>
      <c r="S32" s="4"/>
      <c r="T32" s="4"/>
      <c r="U32" s="4"/>
      <c r="V32" s="4"/>
      <c r="W32" s="4"/>
    </row>
    <row r="33" spans="2:23" s="2" customFormat="1" x14ac:dyDescent="0.2">
      <c r="B33" s="2" t="s">
        <v>30</v>
      </c>
      <c r="C33" s="4"/>
      <c r="D33" s="4"/>
      <c r="E33" s="4"/>
      <c r="F33" s="4"/>
      <c r="G33" s="4"/>
      <c r="H33" s="4"/>
      <c r="I33" s="4"/>
      <c r="J33" s="4">
        <v>927</v>
      </c>
      <c r="K33" s="4"/>
      <c r="O33" s="4"/>
      <c r="P33" s="4"/>
      <c r="Q33" s="4"/>
      <c r="R33" s="4"/>
      <c r="S33" s="4"/>
      <c r="T33" s="4"/>
      <c r="U33" s="4"/>
      <c r="V33" s="4"/>
      <c r="W33" s="4"/>
    </row>
    <row r="34" spans="2:23" s="2" customFormat="1" x14ac:dyDescent="0.2">
      <c r="B34" s="2" t="s">
        <v>31</v>
      </c>
      <c r="C34" s="4"/>
      <c r="D34" s="4"/>
      <c r="E34" s="4"/>
      <c r="F34" s="4"/>
      <c r="G34" s="4"/>
      <c r="H34" s="4"/>
      <c r="I34" s="4"/>
      <c r="J34" s="4">
        <f>4372+1850</f>
        <v>6222</v>
      </c>
      <c r="K34" s="4"/>
      <c r="O34" s="4"/>
      <c r="P34" s="4"/>
      <c r="Q34" s="4"/>
      <c r="R34" s="4"/>
      <c r="S34" s="4"/>
      <c r="T34" s="4"/>
      <c r="U34" s="4"/>
      <c r="V34" s="4"/>
      <c r="W34" s="4"/>
    </row>
    <row r="35" spans="2:23" s="2" customFormat="1" x14ac:dyDescent="0.2">
      <c r="B35" s="2" t="s">
        <v>32</v>
      </c>
      <c r="C35" s="4"/>
      <c r="D35" s="4"/>
      <c r="E35" s="4"/>
      <c r="F35" s="4"/>
      <c r="G35" s="4"/>
      <c r="H35" s="4"/>
      <c r="I35" s="4"/>
      <c r="J35" s="4">
        <v>2762</v>
      </c>
      <c r="K35" s="4"/>
      <c r="O35" s="4"/>
      <c r="P35" s="4"/>
      <c r="Q35" s="4"/>
      <c r="R35" s="4"/>
      <c r="S35" s="4"/>
      <c r="T35" s="4"/>
      <c r="U35" s="4"/>
      <c r="V35" s="4"/>
      <c r="W35" s="4"/>
    </row>
    <row r="36" spans="2:23" s="2" customFormat="1" x14ac:dyDescent="0.2">
      <c r="B36" s="2" t="s">
        <v>33</v>
      </c>
      <c r="C36" s="4"/>
      <c r="D36" s="4"/>
      <c r="E36" s="4"/>
      <c r="F36" s="4"/>
      <c r="G36" s="4"/>
      <c r="H36" s="4"/>
      <c r="I36" s="4"/>
      <c r="J36" s="4">
        <v>3580</v>
      </c>
      <c r="K36" s="4"/>
      <c r="O36" s="4"/>
      <c r="P36" s="4"/>
      <c r="Q36" s="4"/>
      <c r="R36" s="4"/>
      <c r="S36" s="4"/>
      <c r="T36" s="4"/>
      <c r="U36" s="4"/>
      <c r="V36" s="4"/>
      <c r="W36" s="4"/>
    </row>
    <row r="37" spans="2:23" s="2" customFormat="1" x14ac:dyDescent="0.2">
      <c r="B37" s="2" t="s">
        <v>34</v>
      </c>
      <c r="C37" s="4"/>
      <c r="D37" s="4"/>
      <c r="E37" s="4"/>
      <c r="F37" s="4"/>
      <c r="G37" s="4"/>
      <c r="H37" s="4"/>
      <c r="I37" s="4"/>
      <c r="J37" s="4">
        <f>SUM(J28:J36)</f>
        <v>40488</v>
      </c>
      <c r="K37" s="4"/>
      <c r="O37" s="4"/>
      <c r="P37" s="4"/>
      <c r="Q37" s="4"/>
      <c r="R37" s="4"/>
      <c r="S37" s="4"/>
      <c r="T37" s="4"/>
      <c r="U37" s="4"/>
      <c r="V37" s="4"/>
      <c r="W37" s="4"/>
    </row>
    <row r="39" spans="2:23" s="2" customFormat="1" x14ac:dyDescent="0.2">
      <c r="B39" s="2" t="s">
        <v>37</v>
      </c>
      <c r="C39" s="4"/>
      <c r="D39" s="4"/>
      <c r="E39" s="4"/>
      <c r="F39" s="4"/>
      <c r="G39" s="4"/>
      <c r="H39" s="4"/>
      <c r="I39" s="4"/>
      <c r="J39" s="4">
        <v>1491</v>
      </c>
      <c r="K39" s="4"/>
      <c r="O39" s="4"/>
      <c r="P39" s="4"/>
      <c r="Q39" s="4"/>
      <c r="R39" s="4"/>
      <c r="S39" s="4"/>
      <c r="T39" s="4"/>
      <c r="U39" s="4"/>
      <c r="V39" s="4"/>
      <c r="W39" s="4"/>
    </row>
    <row r="40" spans="2:23" s="2" customFormat="1" x14ac:dyDescent="0.2">
      <c r="B40" s="2" t="s">
        <v>38</v>
      </c>
      <c r="C40" s="4"/>
      <c r="D40" s="4"/>
      <c r="E40" s="4"/>
      <c r="F40" s="4"/>
      <c r="G40" s="4"/>
      <c r="H40" s="4"/>
      <c r="I40" s="4"/>
      <c r="J40" s="4">
        <v>4115</v>
      </c>
      <c r="K40" s="4"/>
      <c r="O40" s="4"/>
      <c r="P40" s="4"/>
      <c r="Q40" s="4"/>
      <c r="R40" s="4"/>
      <c r="S40" s="4"/>
      <c r="T40" s="4"/>
      <c r="U40" s="4"/>
      <c r="V40" s="4"/>
      <c r="W40" s="4"/>
    </row>
    <row r="41" spans="2:23" s="2" customFormat="1" x14ac:dyDescent="0.2">
      <c r="B41" s="2" t="s">
        <v>4</v>
      </c>
      <c r="C41" s="4"/>
      <c r="D41" s="4"/>
      <c r="E41" s="4"/>
      <c r="F41" s="4"/>
      <c r="G41" s="4"/>
      <c r="H41" s="4"/>
      <c r="I41" s="4"/>
      <c r="J41" s="4">
        <f>1249+9701</f>
        <v>10950</v>
      </c>
      <c r="K41" s="4"/>
      <c r="O41" s="4"/>
      <c r="P41" s="4"/>
      <c r="Q41" s="4"/>
      <c r="R41" s="4"/>
      <c r="S41" s="4"/>
      <c r="T41" s="4"/>
      <c r="U41" s="4"/>
      <c r="V41" s="4"/>
      <c r="W41" s="4"/>
    </row>
    <row r="42" spans="2:23" s="2" customFormat="1" x14ac:dyDescent="0.2">
      <c r="B42" s="2" t="s">
        <v>30</v>
      </c>
      <c r="C42" s="4"/>
      <c r="D42" s="4"/>
      <c r="E42" s="4"/>
      <c r="F42" s="4"/>
      <c r="G42" s="4"/>
      <c r="H42" s="4"/>
      <c r="I42" s="4"/>
      <c r="J42" s="4">
        <v>798</v>
      </c>
      <c r="K42" s="4"/>
      <c r="O42" s="4"/>
      <c r="P42" s="4"/>
      <c r="Q42" s="4"/>
      <c r="R42" s="4"/>
      <c r="S42" s="4"/>
      <c r="T42" s="4"/>
      <c r="U42" s="4"/>
      <c r="V42" s="4"/>
      <c r="W42" s="4"/>
    </row>
    <row r="43" spans="2:23" s="2" customFormat="1" x14ac:dyDescent="0.2">
      <c r="B43" s="2" t="s">
        <v>39</v>
      </c>
      <c r="C43" s="4"/>
      <c r="D43" s="4"/>
      <c r="E43" s="4"/>
      <c r="F43" s="4"/>
      <c r="G43" s="4"/>
      <c r="H43" s="4"/>
      <c r="I43" s="4"/>
      <c r="J43" s="4">
        <v>1785</v>
      </c>
      <c r="K43" s="4"/>
      <c r="O43" s="4"/>
      <c r="P43" s="4"/>
      <c r="Q43" s="4"/>
      <c r="R43" s="4"/>
      <c r="S43" s="4"/>
      <c r="T43" s="4"/>
      <c r="U43" s="4"/>
      <c r="V43" s="4"/>
      <c r="W43" s="4"/>
    </row>
    <row r="44" spans="2:23" s="2" customFormat="1" x14ac:dyDescent="0.2">
      <c r="B44" s="2" t="s">
        <v>35</v>
      </c>
      <c r="C44" s="4"/>
      <c r="D44" s="4"/>
      <c r="E44" s="4"/>
      <c r="F44" s="4"/>
      <c r="G44" s="4"/>
      <c r="H44" s="4"/>
      <c r="I44" s="4"/>
      <c r="J44" s="4">
        <v>21349</v>
      </c>
      <c r="K44" s="4"/>
      <c r="O44" s="4"/>
      <c r="P44" s="4"/>
      <c r="Q44" s="4"/>
      <c r="R44" s="4"/>
      <c r="S44" s="4"/>
      <c r="T44" s="4"/>
      <c r="U44" s="4"/>
      <c r="V44" s="4"/>
      <c r="W44" s="4"/>
    </row>
    <row r="45" spans="2:23" s="2" customFormat="1" x14ac:dyDescent="0.2">
      <c r="B45" s="2" t="s">
        <v>36</v>
      </c>
      <c r="C45" s="4"/>
      <c r="D45" s="4"/>
      <c r="E45" s="4"/>
      <c r="F45" s="4"/>
      <c r="G45" s="4"/>
      <c r="H45" s="4"/>
      <c r="I45" s="4"/>
      <c r="J45" s="4">
        <f>SUM(J39:J44)</f>
        <v>40488</v>
      </c>
      <c r="K45" s="4"/>
      <c r="O45" s="4"/>
      <c r="P45" s="4"/>
      <c r="Q45" s="4"/>
      <c r="R45" s="4"/>
      <c r="S45" s="4"/>
      <c r="T45" s="4"/>
      <c r="U45" s="4"/>
      <c r="V45" s="4"/>
      <c r="W45" s="4"/>
    </row>
    <row r="47" spans="2:23" x14ac:dyDescent="0.2">
      <c r="B47" s="2" t="s">
        <v>41</v>
      </c>
      <c r="E47" s="4">
        <f>SUM(D9:E9)</f>
        <v>12168</v>
      </c>
      <c r="F47" s="4">
        <f>SUM(E9:F9)</f>
        <v>13610</v>
      </c>
      <c r="I47" s="4">
        <f>SUM(H9:I9)</f>
        <v>14992</v>
      </c>
      <c r="J47" s="4">
        <f>SUM(I9:J9)</f>
        <v>12635</v>
      </c>
    </row>
    <row r="48" spans="2:23" x14ac:dyDescent="0.2">
      <c r="I48" s="9">
        <f>+I47/E47-1</f>
        <v>0.23208415516107817</v>
      </c>
      <c r="J48" s="9">
        <f>+J47/F47-1</f>
        <v>-7.1638501102130769E-2</v>
      </c>
    </row>
  </sheetData>
  <hyperlinks>
    <hyperlink ref="A1" location="Main!A1" display="Main" xr:uid="{D2A73447-C574-4D57-BB71-BB5FFE84D9D9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2023-01-11T15:59:51Z</dcterms:created>
  <dcterms:modified xsi:type="dcterms:W3CDTF">2023-02-01T16:18:52Z</dcterms:modified>
</cp:coreProperties>
</file>