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772FC1A-C9E4-4F64-B674-AECE83CE5E6D}" xr6:coauthVersionLast="47" xr6:coauthVersionMax="47" xr10:uidLastSave="{00000000-0000-0000-0000-000000000000}"/>
  <bookViews>
    <workbookView xWindow="-34095" yWindow="1500" windowWidth="33000" windowHeight="18960" tabRatio="319" activeTab="1" xr2:uid="{00000000-000D-0000-FFFF-FFFF00000000}"/>
  </bookViews>
  <sheets>
    <sheet name="Main" sheetId="1" r:id="rId1"/>
    <sheet name="Mod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7" i="2" l="1"/>
  <c r="P48" i="2" s="1"/>
  <c r="O48" i="2"/>
  <c r="P45" i="2"/>
  <c r="P30" i="2"/>
  <c r="O30" i="2"/>
  <c r="P40" i="2"/>
  <c r="P38" i="2"/>
  <c r="O38" i="2"/>
  <c r="P35" i="2"/>
  <c r="P31" i="2"/>
  <c r="P9" i="2"/>
  <c r="P17" i="2"/>
  <c r="P10" i="2"/>
  <c r="O17" i="2"/>
  <c r="O11" i="2"/>
  <c r="O10" i="2"/>
  <c r="O9" i="2"/>
  <c r="Q17" i="2"/>
  <c r="R17" i="2" s="1"/>
  <c r="Q22" i="2"/>
  <c r="R22" i="2" s="1"/>
  <c r="R14" i="2"/>
  <c r="Q14" i="2"/>
  <c r="Y14" i="2"/>
  <c r="Z14" i="2" s="1"/>
  <c r="AA14" i="2" s="1"/>
  <c r="R13" i="2"/>
  <c r="Q13" i="2"/>
  <c r="Y13" i="2"/>
  <c r="Z13" i="2" s="1"/>
  <c r="AA13" i="2" s="1"/>
  <c r="AB13" i="2" s="1"/>
  <c r="R12" i="2"/>
  <c r="Q12" i="2"/>
  <c r="Y12" i="2"/>
  <c r="Z12" i="2" s="1"/>
  <c r="AA12" i="2" s="1"/>
  <c r="AB12" i="2" s="1"/>
  <c r="AC12" i="2" s="1"/>
  <c r="AD12" i="2" s="1"/>
  <c r="AE12" i="2" s="1"/>
  <c r="AF12" i="2" s="1"/>
  <c r="Q9" i="2"/>
  <c r="X63" i="2"/>
  <c r="X62" i="2"/>
  <c r="X58" i="2"/>
  <c r="X57" i="2"/>
  <c r="T9" i="2"/>
  <c r="N45" i="2"/>
  <c r="N40" i="2"/>
  <c r="N48" i="2" s="1"/>
  <c r="N35" i="2"/>
  <c r="N31" i="2"/>
  <c r="N38" i="2" s="1"/>
  <c r="Y2" i="2"/>
  <c r="Z2" i="2" s="1"/>
  <c r="AA2" i="2" s="1"/>
  <c r="AB2" i="2" s="1"/>
  <c r="AC2" i="2" s="1"/>
  <c r="AD2" i="2" s="1"/>
  <c r="AE2" i="2" s="1"/>
  <c r="AF2" i="2" s="1"/>
  <c r="R2" i="2"/>
  <c r="Q2" i="2"/>
  <c r="P2" i="2"/>
  <c r="O2" i="2"/>
  <c r="U15" i="2"/>
  <c r="U10" i="2"/>
  <c r="V15" i="2"/>
  <c r="V10" i="2"/>
  <c r="V9" i="2"/>
  <c r="V11" i="2" s="1"/>
  <c r="V26" i="2" s="1"/>
  <c r="U9" i="2"/>
  <c r="G10" i="2"/>
  <c r="G15" i="2"/>
  <c r="G9" i="2"/>
  <c r="K10" i="2"/>
  <c r="H10" i="2"/>
  <c r="H9" i="2"/>
  <c r="L10" i="2"/>
  <c r="I10" i="2"/>
  <c r="I9" i="2"/>
  <c r="M15" i="2"/>
  <c r="L15" i="2"/>
  <c r="K15" i="2"/>
  <c r="J15" i="2"/>
  <c r="I15" i="2"/>
  <c r="H15" i="2"/>
  <c r="F15" i="2"/>
  <c r="F16" i="2" s="1"/>
  <c r="E15" i="2"/>
  <c r="E16" i="2" s="1"/>
  <c r="D15" i="2"/>
  <c r="D16" i="2" s="1"/>
  <c r="C15" i="2"/>
  <c r="C16" i="2" s="1"/>
  <c r="M10" i="2"/>
  <c r="W9" i="2"/>
  <c r="X9" i="2"/>
  <c r="M9" i="2"/>
  <c r="L9" i="2"/>
  <c r="K9" i="2"/>
  <c r="J9" i="2"/>
  <c r="N9" i="2"/>
  <c r="R9" i="2" s="1"/>
  <c r="J10" i="2"/>
  <c r="N10" i="2"/>
  <c r="W10" i="2"/>
  <c r="W15" i="2"/>
  <c r="X10" i="2"/>
  <c r="X15" i="2"/>
  <c r="N15" i="2"/>
  <c r="G4" i="1"/>
  <c r="G7" i="1" s="1"/>
  <c r="Y17" i="2" l="1"/>
  <c r="Y15" i="2"/>
  <c r="H11" i="2"/>
  <c r="H26" i="2" s="1"/>
  <c r="Q15" i="2"/>
  <c r="R15" i="2"/>
  <c r="P15" i="2"/>
  <c r="Y22" i="2"/>
  <c r="Z22" i="2" s="1"/>
  <c r="AA22" i="2" s="1"/>
  <c r="AB22" i="2" s="1"/>
  <c r="AC22" i="2" s="1"/>
  <c r="AD22" i="2" s="1"/>
  <c r="AE22" i="2" s="1"/>
  <c r="AF22" i="2" s="1"/>
  <c r="AB14" i="2"/>
  <c r="AC14" i="2" s="1"/>
  <c r="AD14" i="2" s="1"/>
  <c r="AE14" i="2" s="1"/>
  <c r="AF14" i="2" s="1"/>
  <c r="AC13" i="2"/>
  <c r="AD13" i="2" s="1"/>
  <c r="AE13" i="2" s="1"/>
  <c r="AF13" i="2" s="1"/>
  <c r="P11" i="2"/>
  <c r="P26" i="2" s="1"/>
  <c r="Q11" i="2"/>
  <c r="Q26" i="2" s="1"/>
  <c r="R11" i="2"/>
  <c r="R26" i="2" s="1"/>
  <c r="R25" i="2"/>
  <c r="X25" i="2"/>
  <c r="W25" i="2"/>
  <c r="Y9" i="2"/>
  <c r="O15" i="2"/>
  <c r="I11" i="2"/>
  <c r="I26" i="2" s="1"/>
  <c r="V25" i="2"/>
  <c r="U11" i="2"/>
  <c r="U26" i="2" s="1"/>
  <c r="L25" i="2"/>
  <c r="N30" i="2"/>
  <c r="M25" i="2"/>
  <c r="N11" i="2"/>
  <c r="N26" i="2" s="1"/>
  <c r="P25" i="2"/>
  <c r="V16" i="2"/>
  <c r="K25" i="2"/>
  <c r="Q25" i="2"/>
  <c r="N25" i="2"/>
  <c r="G11" i="2"/>
  <c r="K11" i="2"/>
  <c r="K26" i="2" s="1"/>
  <c r="H16" i="2"/>
  <c r="H18" i="2" s="1"/>
  <c r="H20" i="2" s="1"/>
  <c r="H21" i="2" s="1"/>
  <c r="L11" i="2"/>
  <c r="L26" i="2" s="1"/>
  <c r="J11" i="2"/>
  <c r="J26" i="2" s="1"/>
  <c r="M11" i="2"/>
  <c r="M26" i="2" s="1"/>
  <c r="W11" i="2"/>
  <c r="W26" i="2" s="1"/>
  <c r="X11" i="2"/>
  <c r="X26" i="2" s="1"/>
  <c r="N16" i="2"/>
  <c r="N18" i="2" s="1"/>
  <c r="P16" i="2" l="1"/>
  <c r="P18" i="2" s="1"/>
  <c r="O25" i="2"/>
  <c r="V18" i="2"/>
  <c r="V27" i="2"/>
  <c r="V20" i="2"/>
  <c r="V21" i="2" s="1"/>
  <c r="V28" i="2"/>
  <c r="M16" i="2"/>
  <c r="M18" i="2" s="1"/>
  <c r="Z15" i="2"/>
  <c r="N20" i="2"/>
  <c r="N21" i="2" s="1"/>
  <c r="N28" i="2"/>
  <c r="Z9" i="2"/>
  <c r="Y25" i="2"/>
  <c r="P28" i="2"/>
  <c r="R16" i="2"/>
  <c r="R18" i="2" s="1"/>
  <c r="R10" i="2"/>
  <c r="Q16" i="2"/>
  <c r="Q18" i="2" s="1"/>
  <c r="I16" i="2"/>
  <c r="I18" i="2" s="1"/>
  <c r="I20" i="2" s="1"/>
  <c r="I21" i="2" s="1"/>
  <c r="U16" i="2"/>
  <c r="Q10" i="2"/>
  <c r="K16" i="2"/>
  <c r="K18" i="2" s="1"/>
  <c r="W16" i="2"/>
  <c r="G16" i="2"/>
  <c r="G18" i="2" s="1"/>
  <c r="G20" i="2" s="1"/>
  <c r="G21" i="2" s="1"/>
  <c r="G26" i="2"/>
  <c r="J16" i="2"/>
  <c r="J18" i="2" s="1"/>
  <c r="J20" i="2" s="1"/>
  <c r="J21" i="2" s="1"/>
  <c r="L16" i="2"/>
  <c r="L18" i="2" s="1"/>
  <c r="X16" i="2"/>
  <c r="W18" i="2" l="1"/>
  <c r="W27" i="2"/>
  <c r="U18" i="2"/>
  <c r="U27" i="2"/>
  <c r="X18" i="2"/>
  <c r="X27" i="2"/>
  <c r="W20" i="2"/>
  <c r="W21" i="2" s="1"/>
  <c r="W28" i="2"/>
  <c r="AA15" i="2"/>
  <c r="Z25" i="2"/>
  <c r="AA9" i="2"/>
  <c r="Z10" i="2"/>
  <c r="Z11" i="2" s="1"/>
  <c r="M20" i="2"/>
  <c r="M21" i="2" s="1"/>
  <c r="M28" i="2"/>
  <c r="Y10" i="2"/>
  <c r="Y11" i="2" s="1"/>
  <c r="L20" i="2"/>
  <c r="L21" i="2" s="1"/>
  <c r="L28" i="2"/>
  <c r="K20" i="2"/>
  <c r="K21" i="2" s="1"/>
  <c r="K28" i="2"/>
  <c r="U20" i="2"/>
  <c r="U21" i="2" s="1"/>
  <c r="U28" i="2"/>
  <c r="X20" i="2"/>
  <c r="X21" i="2" s="1"/>
  <c r="X28" i="2"/>
  <c r="Q19" i="2"/>
  <c r="Q28" i="2" s="1"/>
  <c r="R19" i="2"/>
  <c r="R28" i="2" s="1"/>
  <c r="P20" i="2"/>
  <c r="P21" i="2" s="1"/>
  <c r="O26" i="2"/>
  <c r="O16" i="2"/>
  <c r="O18" i="2" s="1"/>
  <c r="X50" i="2" l="1"/>
  <c r="Z26" i="2"/>
  <c r="Z16" i="2"/>
  <c r="Z27" i="2" s="1"/>
  <c r="R20" i="2"/>
  <c r="R21" i="2" s="1"/>
  <c r="AB15" i="2"/>
  <c r="Y26" i="2"/>
  <c r="Y16" i="2"/>
  <c r="AB9" i="2"/>
  <c r="AA25" i="2"/>
  <c r="AA10" i="2"/>
  <c r="AA11" i="2" s="1"/>
  <c r="Q20" i="2"/>
  <c r="Q21" i="2" s="1"/>
  <c r="Y18" i="2" l="1"/>
  <c r="Y27" i="2"/>
  <c r="AA26" i="2"/>
  <c r="AA16" i="2"/>
  <c r="AA27" i="2" s="1"/>
  <c r="O28" i="2"/>
  <c r="Y19" i="2"/>
  <c r="Y28" i="2" s="1"/>
  <c r="AC15" i="2"/>
  <c r="AB25" i="2"/>
  <c r="AB10" i="2"/>
  <c r="AB11" i="2" s="1"/>
  <c r="AC9" i="2"/>
  <c r="O20" i="2"/>
  <c r="Y20" i="2" l="1"/>
  <c r="Y21" i="2" s="1"/>
  <c r="AB26" i="2"/>
  <c r="AB16" i="2"/>
  <c r="AB27" i="2" s="1"/>
  <c r="AC25" i="2"/>
  <c r="AC10" i="2"/>
  <c r="AC11" i="2" s="1"/>
  <c r="AD9" i="2"/>
  <c r="O21" i="2"/>
  <c r="Q30" i="2"/>
  <c r="R30" i="2" s="1"/>
  <c r="Y30" i="2" s="1"/>
  <c r="AD15" i="2"/>
  <c r="AF15" i="2" l="1"/>
  <c r="AE15" i="2"/>
  <c r="Z17" i="2"/>
  <c r="Z18" i="2" s="1"/>
  <c r="AD25" i="2"/>
  <c r="AD10" i="2"/>
  <c r="AD11" i="2" s="1"/>
  <c r="AE9" i="2"/>
  <c r="AC26" i="2"/>
  <c r="AC16" i="2"/>
  <c r="AC27" i="2" s="1"/>
  <c r="AD26" i="2" l="1"/>
  <c r="AD16" i="2"/>
  <c r="AD27" i="2" s="1"/>
  <c r="AE25" i="2"/>
  <c r="AE10" i="2"/>
  <c r="AE11" i="2"/>
  <c r="AF9" i="2"/>
  <c r="Z19" i="2"/>
  <c r="Z28" i="2" s="1"/>
  <c r="Z20" i="2" l="1"/>
  <c r="AF10" i="2"/>
  <c r="AF11" i="2" s="1"/>
  <c r="AF25" i="2"/>
  <c r="AE16" i="2"/>
  <c r="AE27" i="2" s="1"/>
  <c r="AE26" i="2"/>
  <c r="AF26" i="2" l="1"/>
  <c r="AF16" i="2"/>
  <c r="AF27" i="2" s="1"/>
  <c r="Z21" i="2"/>
  <c r="Z30" i="2"/>
  <c r="AA17" i="2" l="1"/>
  <c r="AA18" i="2" s="1"/>
  <c r="AA19" i="2" l="1"/>
  <c r="AA28" i="2" s="1"/>
  <c r="AA20" i="2" l="1"/>
  <c r="AA21" i="2"/>
  <c r="AA30" i="2"/>
  <c r="AB17" i="2" l="1"/>
  <c r="AB18" i="2" s="1"/>
  <c r="AB19" i="2" l="1"/>
  <c r="AB28" i="2" s="1"/>
  <c r="AB20" i="2" l="1"/>
  <c r="AB21" i="2" l="1"/>
  <c r="AB30" i="2"/>
  <c r="AC17" i="2" l="1"/>
  <c r="AC18" i="2" s="1"/>
  <c r="AC19" i="2" l="1"/>
  <c r="AC28" i="2" s="1"/>
  <c r="AC20" i="2" l="1"/>
  <c r="AC21" i="2" s="1"/>
  <c r="AC30" i="2" l="1"/>
  <c r="AD17" i="2" s="1"/>
  <c r="AD18" i="2" s="1"/>
  <c r="AD19" i="2" l="1"/>
  <c r="AD28" i="2" s="1"/>
  <c r="AD20" i="2" l="1"/>
  <c r="AD21" i="2" s="1"/>
  <c r="AD30" i="2" l="1"/>
  <c r="AE17" i="2"/>
  <c r="AE18" i="2" s="1"/>
  <c r="AE19" i="2" l="1"/>
  <c r="AE28" i="2" s="1"/>
  <c r="AE20" i="2" l="1"/>
  <c r="AE21" i="2" l="1"/>
  <c r="AE30" i="2"/>
  <c r="AF17" i="2" l="1"/>
  <c r="AF18" i="2" s="1"/>
  <c r="AF19" i="2" l="1"/>
  <c r="AF28" i="2" s="1"/>
  <c r="AF20" i="2" l="1"/>
  <c r="AG20" i="2"/>
  <c r="AH20" i="2" s="1"/>
  <c r="AI20" i="2" s="1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BK20" i="2" s="1"/>
  <c r="BL20" i="2" s="1"/>
  <c r="BM20" i="2" s="1"/>
  <c r="BN20" i="2" s="1"/>
  <c r="BO20" i="2" s="1"/>
  <c r="BP20" i="2" s="1"/>
  <c r="BQ20" i="2" s="1"/>
  <c r="BR20" i="2" s="1"/>
  <c r="BS20" i="2" s="1"/>
  <c r="BT20" i="2" s="1"/>
  <c r="BU20" i="2" s="1"/>
  <c r="BV20" i="2" s="1"/>
  <c r="BW20" i="2" s="1"/>
  <c r="BX20" i="2" s="1"/>
  <c r="BY20" i="2" s="1"/>
  <c r="BZ20" i="2" s="1"/>
  <c r="CA20" i="2" s="1"/>
  <c r="CB20" i="2" s="1"/>
  <c r="CC20" i="2" s="1"/>
  <c r="CD20" i="2" s="1"/>
  <c r="CE20" i="2" s="1"/>
  <c r="CF20" i="2" s="1"/>
  <c r="CG20" i="2" s="1"/>
  <c r="CH20" i="2" s="1"/>
  <c r="CI20" i="2" s="1"/>
  <c r="CJ20" i="2" s="1"/>
  <c r="CK20" i="2" s="1"/>
  <c r="CL20" i="2" s="1"/>
  <c r="CM20" i="2" s="1"/>
  <c r="CN20" i="2" s="1"/>
  <c r="CO20" i="2" s="1"/>
  <c r="CP20" i="2" s="1"/>
  <c r="CQ20" i="2" s="1"/>
  <c r="CR20" i="2" s="1"/>
  <c r="CS20" i="2" s="1"/>
  <c r="CT20" i="2" s="1"/>
  <c r="CU20" i="2" s="1"/>
  <c r="CV20" i="2" s="1"/>
  <c r="CW20" i="2" s="1"/>
  <c r="CX20" i="2" s="1"/>
  <c r="CY20" i="2" s="1"/>
  <c r="CZ20" i="2" s="1"/>
  <c r="DA20" i="2" s="1"/>
  <c r="DB20" i="2" s="1"/>
  <c r="DC20" i="2" s="1"/>
  <c r="DD20" i="2" s="1"/>
  <c r="DE20" i="2" s="1"/>
  <c r="DF20" i="2" s="1"/>
  <c r="DG20" i="2" s="1"/>
  <c r="DH20" i="2" s="1"/>
  <c r="DI20" i="2" s="1"/>
  <c r="DJ20" i="2" s="1"/>
  <c r="DK20" i="2" s="1"/>
  <c r="DL20" i="2" s="1"/>
  <c r="DM20" i="2" s="1"/>
  <c r="DN20" i="2" s="1"/>
  <c r="DO20" i="2" s="1"/>
  <c r="DP20" i="2" s="1"/>
  <c r="DQ20" i="2" s="1"/>
  <c r="AI33" i="2" s="1"/>
  <c r="AI34" i="2" s="1"/>
  <c r="AI35" i="2" s="1"/>
  <c r="AF21" i="2"/>
  <c r="AF30" i="2"/>
</calcChain>
</file>

<file path=xl/sharedStrings.xml><?xml version="1.0" encoding="utf-8"?>
<sst xmlns="http://schemas.openxmlformats.org/spreadsheetml/2006/main" count="99" uniqueCount="91">
  <si>
    <t>Price</t>
  </si>
  <si>
    <t>Shares</t>
  </si>
  <si>
    <t>MC</t>
  </si>
  <si>
    <t>Cash</t>
  </si>
  <si>
    <t>Debt</t>
  </si>
  <si>
    <t>EV</t>
  </si>
  <si>
    <t>Q122</t>
  </si>
  <si>
    <t>Main</t>
  </si>
  <si>
    <t>Revenue</t>
  </si>
  <si>
    <t>Q222</t>
  </si>
  <si>
    <t>Q322</t>
  </si>
  <si>
    <t>Q321</t>
  </si>
  <si>
    <t>Q221</t>
  </si>
  <si>
    <t>Q121</t>
  </si>
  <si>
    <t>FQ422</t>
  </si>
  <si>
    <t>FQ421</t>
  </si>
  <si>
    <t>COGS</t>
  </si>
  <si>
    <t>Gross Profit</t>
  </si>
  <si>
    <t>Gross Margin</t>
  </si>
  <si>
    <t>S&amp;M</t>
  </si>
  <si>
    <t>R&amp;D</t>
  </si>
  <si>
    <t>G&amp;A</t>
  </si>
  <si>
    <t>Operating Expenses</t>
  </si>
  <si>
    <t>Operating Income</t>
  </si>
  <si>
    <t>Interest Expense</t>
  </si>
  <si>
    <t>Pretax Income</t>
  </si>
  <si>
    <t>Taxes</t>
  </si>
  <si>
    <t>Net Income</t>
  </si>
  <si>
    <t>EPS</t>
  </si>
  <si>
    <t>NGEPS</t>
  </si>
  <si>
    <t>FY21</t>
  </si>
  <si>
    <t>FY22</t>
  </si>
  <si>
    <t>Revenue y/y</t>
  </si>
  <si>
    <t>Cloud Services</t>
  </si>
  <si>
    <t>Cloud License</t>
  </si>
  <si>
    <t>Hardware</t>
  </si>
  <si>
    <t>Services</t>
  </si>
  <si>
    <t>FQ123</t>
  </si>
  <si>
    <t>FQ223</t>
  </si>
  <si>
    <t>FQ323</t>
  </si>
  <si>
    <t>FQ423</t>
  </si>
  <si>
    <t>6/13/22: FY22 results.</t>
  </si>
  <si>
    <t>Q420</t>
  </si>
  <si>
    <t>FY20</t>
  </si>
  <si>
    <t>Q320</t>
  </si>
  <si>
    <t>Q220</t>
  </si>
  <si>
    <t>Q120</t>
  </si>
  <si>
    <t>FY19</t>
  </si>
  <si>
    <t>FY23</t>
  </si>
  <si>
    <t>FY24</t>
  </si>
  <si>
    <t>FY25</t>
  </si>
  <si>
    <t>FY26</t>
  </si>
  <si>
    <t>FY27</t>
  </si>
  <si>
    <t>FY28</t>
  </si>
  <si>
    <t>FY29</t>
  </si>
  <si>
    <t>FY30</t>
  </si>
  <si>
    <t>Assets</t>
  </si>
  <si>
    <t>AR</t>
  </si>
  <si>
    <t>Prepaids</t>
  </si>
  <si>
    <t>PPE</t>
  </si>
  <si>
    <t>Goodwill</t>
  </si>
  <si>
    <t>DT</t>
  </si>
  <si>
    <t>ONCA</t>
  </si>
  <si>
    <t>DR</t>
  </si>
  <si>
    <t>AP</t>
  </si>
  <si>
    <t>Compensation</t>
  </si>
  <si>
    <t>OCL</t>
  </si>
  <si>
    <t>ONCL</t>
  </si>
  <si>
    <t>SE</t>
  </si>
  <si>
    <t>L+SE</t>
  </si>
  <si>
    <t>Net Cash</t>
  </si>
  <si>
    <t>FY18</t>
  </si>
  <si>
    <t>Model NI</t>
  </si>
  <si>
    <t>Reported NI</t>
  </si>
  <si>
    <t>Depreciation</t>
  </si>
  <si>
    <t>Intangibles</t>
  </si>
  <si>
    <t>SBC</t>
  </si>
  <si>
    <t>Other</t>
  </si>
  <si>
    <t>WC</t>
  </si>
  <si>
    <t>CFFO</t>
  </si>
  <si>
    <t>CapEx</t>
  </si>
  <si>
    <t>Acquisitions</t>
  </si>
  <si>
    <t>Investments</t>
  </si>
  <si>
    <t>Tax Rate</t>
  </si>
  <si>
    <t>ROIC</t>
  </si>
  <si>
    <t>Discount</t>
  </si>
  <si>
    <t>NPV</t>
  </si>
  <si>
    <t>Terminal</t>
  </si>
  <si>
    <t>Share</t>
  </si>
  <si>
    <t>Delta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</si>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</sst>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/d/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18"/>
    </font>
    <font>
      <b/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0" fontId="4" fillId="0" borderId="0" xfId="1" applyFont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9" fontId="1" fillId="0" borderId="0" xfId="0" applyNumberFormat="1" applyFont="1"/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61912</xdr:colOff>
      <xdr:row>1</xdr:row>
      <xdr:rowOff>9526</xdr:rowOff>
    </xdr:from>
    <xdr:to>
      <xdr:col>16</xdr:col>
      <xdr:colOff>61912</xdr:colOff>
      <xdr:row>66</xdr:row>
      <xdr:rowOff>101462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AFCF9D3-5100-8A80-28CE-CF7450CB3CAC}"/>
            </a:ext>
          </a:extLst>
        </xdr:cNvPr>
        <xdr:cNvCxnSpPr/>
      </xdr:nvCxnSpPr>
      <xdr:spPr>
        <a:xfrm>
          <a:off x="10354865" y="170260"/>
          <a:ext cx="0" cy="105396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43069</xdr:colOff>
      <xdr:row>0</xdr:row>
      <xdr:rowOff>0</xdr:rowOff>
    </xdr:from>
    <xdr:to>
      <xdr:col>24</xdr:col>
      <xdr:colOff>43069</xdr:colOff>
      <xdr:row>73</xdr:row>
      <xdr:rowOff>157370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176DD61-519C-41F5-9F0F-40218F5D1A06}"/>
            </a:ext>
          </a:extLst>
        </xdr:cNvPr>
        <xdr:cNvCxnSpPr/>
      </xdr:nvCxnSpPr>
      <xdr:spPr>
        <a:xfrm>
          <a:off x="15059439" y="0"/>
          <a:ext cx="0" cy="122499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04C5-FAB4-8B42-B6A2-F2686B3BB573}">
  <dimension ref="B2:H16"/>
  <sheetViews>
    <sheetView zoomScale="205" zoomScaleNormal="205" zoomScaleSheetLayoutView="100" workbookViewId="0">
      <selection activeCell="C6" sqref="C6"/>
    </sheetView>
  </sheetViews>
  <sheetFormatPr defaultColWidth="8.5703125" defaultRowHeight="12.75" x14ac:dyDescent="0.2"/>
  <cols>
    <col min="1" max="6" width="8.5703125" style="1"/>
    <col min="7" max="7" width="8.28515625" style="1" customWidth="1"/>
    <col min="8" max="16384" width="8.5703125" style="1"/>
  </cols>
  <sheetData>
    <row r="2" spans="2:8" x14ac:dyDescent="0.2">
      <c r="F2" s="1" t="s">
        <v>0</v>
      </c>
      <c r="G2" s="2">
        <v>80</v>
      </c>
    </row>
    <row r="3" spans="2:8" x14ac:dyDescent="0.2">
      <c r="F3" s="1" t="s">
        <v>1</v>
      </c>
      <c r="G3" s="3">
        <v>2746</v>
      </c>
      <c r="H3" s="4" t="s">
        <v>10</v>
      </c>
    </row>
    <row r="4" spans="2:8" x14ac:dyDescent="0.2">
      <c r="F4" s="1" t="s">
        <v>2</v>
      </c>
      <c r="G4" s="3">
        <f>G3*G2</f>
        <v>219680</v>
      </c>
    </row>
    <row r="5" spans="2:8" x14ac:dyDescent="0.2">
      <c r="F5" s="1" t="s">
        <v>3</v>
      </c>
      <c r="G5" s="3">
        <v>7350</v>
      </c>
      <c r="H5" s="4" t="s">
        <v>10</v>
      </c>
    </row>
    <row r="6" spans="2:8" x14ac:dyDescent="0.2">
      <c r="F6" s="1" t="s">
        <v>4</v>
      </c>
      <c r="G6" s="3">
        <v>90919</v>
      </c>
      <c r="H6" s="4" t="s">
        <v>10</v>
      </c>
    </row>
    <row r="7" spans="2:8" x14ac:dyDescent="0.2">
      <c r="F7" s="1" t="s">
        <v>5</v>
      </c>
      <c r="G7" s="3">
        <f>G4-G5+G6</f>
        <v>303249</v>
      </c>
    </row>
    <row r="16" spans="2:8" x14ac:dyDescent="0.2">
      <c r="B1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EAAF-34CF-A143-8837-7F659B2590CD}">
  <dimension ref="A1:DQ63"/>
  <sheetViews>
    <sheetView tabSelected="1" zoomScale="160" zoomScaleNormal="160" zoomScaleSheetLayoutView="100" workbookViewId="0">
      <pane xSplit="2" ySplit="3" topLeftCell="M37" activePane="bottomRight" state="frozen"/>
      <selection pane="topRight" activeCell="C1" sqref="C1"/>
      <selection pane="bottomLeft" activeCell="A4" sqref="A4"/>
      <selection pane="bottomRight" activeCell="X61" sqref="X61"/>
    </sheetView>
  </sheetViews>
  <sheetFormatPr defaultColWidth="8.5703125" defaultRowHeight="12.75" x14ac:dyDescent="0.2"/>
  <cols>
    <col min="1" max="1" width="5" style="1" bestFit="1" customWidth="1"/>
    <col min="2" max="2" width="17.42578125" style="1" customWidth="1"/>
    <col min="3" max="8" width="9" style="4" customWidth="1"/>
    <col min="9" max="16" width="9.7109375" style="4" customWidth="1"/>
    <col min="17" max="19" width="9" style="4" customWidth="1"/>
    <col min="20" max="20" width="8.5703125" style="1"/>
    <col min="21" max="22" width="8.5703125" style="4"/>
    <col min="23" max="24" width="9.5703125" style="4" customWidth="1"/>
    <col min="25" max="34" width="8.5703125" style="1"/>
    <col min="35" max="35" width="9.28515625" style="1" customWidth="1"/>
    <col min="36" max="16384" width="8.5703125" style="1"/>
  </cols>
  <sheetData>
    <row r="1" spans="1:32" x14ac:dyDescent="0.2">
      <c r="A1" s="10" t="s">
        <v>7</v>
      </c>
    </row>
    <row r="2" spans="1:32" s="11" customFormat="1" x14ac:dyDescent="0.2">
      <c r="C2" s="12"/>
      <c r="D2" s="12"/>
      <c r="E2" s="12"/>
      <c r="F2" s="12"/>
      <c r="G2" s="12">
        <v>44074</v>
      </c>
      <c r="H2" s="12">
        <v>44165</v>
      </c>
      <c r="I2" s="12">
        <v>44255</v>
      </c>
      <c r="J2" s="12">
        <v>44347</v>
      </c>
      <c r="K2" s="12">
        <v>44439</v>
      </c>
      <c r="L2" s="12">
        <v>44530</v>
      </c>
      <c r="M2" s="12">
        <v>44620</v>
      </c>
      <c r="N2" s="12">
        <v>44712</v>
      </c>
      <c r="O2" s="12">
        <f>+K2+365</f>
        <v>44804</v>
      </c>
      <c r="P2" s="12">
        <f t="shared" ref="P2:R2" si="0">+L2+365</f>
        <v>44895</v>
      </c>
      <c r="Q2" s="12">
        <f t="shared" si="0"/>
        <v>44985</v>
      </c>
      <c r="R2" s="12">
        <f t="shared" si="0"/>
        <v>45077</v>
      </c>
      <c r="S2" s="12"/>
      <c r="T2" s="12">
        <v>43251</v>
      </c>
      <c r="U2" s="12">
        <v>43616</v>
      </c>
      <c r="V2" s="12">
        <v>43982</v>
      </c>
      <c r="W2" s="12">
        <v>44347</v>
      </c>
      <c r="X2" s="12">
        <v>44712</v>
      </c>
      <c r="Y2" s="12">
        <f>X2+365</f>
        <v>45077</v>
      </c>
      <c r="Z2" s="12">
        <f>Y2+366</f>
        <v>45443</v>
      </c>
      <c r="AA2" s="12">
        <f t="shared" ref="AA2" si="1">Z2+365</f>
        <v>45808</v>
      </c>
      <c r="AB2" s="12">
        <f t="shared" ref="AB2:AC2" si="2">AA2+365</f>
        <v>46173</v>
      </c>
      <c r="AC2" s="12">
        <f t="shared" si="2"/>
        <v>46538</v>
      </c>
      <c r="AD2" s="12">
        <f>AC2+366</f>
        <v>46904</v>
      </c>
      <c r="AE2" s="12">
        <f t="shared" ref="AE2" si="3">AD2+365</f>
        <v>47269</v>
      </c>
      <c r="AF2" s="12">
        <f>AE2+365</f>
        <v>47634</v>
      </c>
    </row>
    <row r="3" spans="1:32" x14ac:dyDescent="0.2">
      <c r="C3" s="4" t="s">
        <v>46</v>
      </c>
      <c r="D3" s="4" t="s">
        <v>45</v>
      </c>
      <c r="E3" s="4" t="s">
        <v>44</v>
      </c>
      <c r="F3" s="4" t="s">
        <v>42</v>
      </c>
      <c r="G3" s="4" t="s">
        <v>13</v>
      </c>
      <c r="H3" s="4" t="s">
        <v>12</v>
      </c>
      <c r="I3" s="4" t="s">
        <v>11</v>
      </c>
      <c r="J3" s="4" t="s">
        <v>15</v>
      </c>
      <c r="K3" s="4" t="s">
        <v>6</v>
      </c>
      <c r="L3" s="4" t="s">
        <v>9</v>
      </c>
      <c r="M3" s="4" t="s">
        <v>10</v>
      </c>
      <c r="N3" s="4" t="s">
        <v>14</v>
      </c>
      <c r="O3" s="4" t="s">
        <v>37</v>
      </c>
      <c r="P3" s="4" t="s">
        <v>38</v>
      </c>
      <c r="Q3" s="4" t="s">
        <v>39</v>
      </c>
      <c r="R3" s="4" t="s">
        <v>40</v>
      </c>
      <c r="T3" s="4" t="s">
        <v>71</v>
      </c>
      <c r="U3" s="4" t="s">
        <v>47</v>
      </c>
      <c r="V3" s="4" t="s">
        <v>43</v>
      </c>
      <c r="W3" s="4" t="s">
        <v>30</v>
      </c>
      <c r="X3" s="4" t="s">
        <v>31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  <c r="AD3" s="4" t="s">
        <v>53</v>
      </c>
      <c r="AE3" s="4" t="s">
        <v>54</v>
      </c>
      <c r="AF3" s="4" t="s">
        <v>55</v>
      </c>
    </row>
    <row r="4" spans="1:32" s="3" customFormat="1" x14ac:dyDescent="0.2">
      <c r="B4" s="3" t="s">
        <v>33</v>
      </c>
      <c r="C4" s="5"/>
      <c r="D4" s="5"/>
      <c r="E4" s="5"/>
      <c r="F4" s="5"/>
      <c r="G4" s="5">
        <v>6947</v>
      </c>
      <c r="H4" s="5">
        <v>7112</v>
      </c>
      <c r="I4" s="5">
        <v>7252</v>
      </c>
      <c r="J4" s="5">
        <v>7389</v>
      </c>
      <c r="K4" s="5">
        <v>7371</v>
      </c>
      <c r="L4" s="5">
        <v>7554</v>
      </c>
      <c r="M4" s="5">
        <v>7637</v>
      </c>
      <c r="N4" s="5">
        <v>7612</v>
      </c>
      <c r="O4" s="5">
        <v>8417</v>
      </c>
      <c r="P4" s="5">
        <v>8598</v>
      </c>
      <c r="Q4" s="5"/>
      <c r="R4" s="5"/>
      <c r="S4" s="5"/>
      <c r="U4" s="5">
        <v>26707</v>
      </c>
      <c r="V4" s="5">
        <v>27392</v>
      </c>
      <c r="W4" s="5">
        <v>28700</v>
      </c>
      <c r="X4" s="5">
        <v>30174</v>
      </c>
    </row>
    <row r="5" spans="1:32" s="3" customFormat="1" x14ac:dyDescent="0.2">
      <c r="B5" s="3" t="s">
        <v>34</v>
      </c>
      <c r="C5" s="5"/>
      <c r="D5" s="5"/>
      <c r="E5" s="5"/>
      <c r="F5" s="5"/>
      <c r="G5" s="5">
        <v>886</v>
      </c>
      <c r="H5" s="5">
        <v>1092</v>
      </c>
      <c r="I5" s="5">
        <v>1276</v>
      </c>
      <c r="J5" s="5">
        <v>2144</v>
      </c>
      <c r="K5" s="5">
        <v>813</v>
      </c>
      <c r="L5" s="5">
        <v>1237</v>
      </c>
      <c r="M5" s="5">
        <v>1289</v>
      </c>
      <c r="N5" s="5">
        <v>2539</v>
      </c>
      <c r="O5" s="5">
        <v>904</v>
      </c>
      <c r="P5" s="5">
        <v>1435</v>
      </c>
      <c r="Q5" s="5"/>
      <c r="R5" s="5"/>
      <c r="S5" s="5"/>
      <c r="U5" s="5">
        <v>5855</v>
      </c>
      <c r="V5" s="5">
        <v>5127</v>
      </c>
      <c r="W5" s="5">
        <v>5399</v>
      </c>
      <c r="X5" s="5">
        <v>5878</v>
      </c>
    </row>
    <row r="6" spans="1:32" s="3" customFormat="1" x14ac:dyDescent="0.2">
      <c r="B6" s="3" t="s">
        <v>35</v>
      </c>
      <c r="C6" s="5"/>
      <c r="D6" s="5"/>
      <c r="E6" s="5"/>
      <c r="F6" s="5"/>
      <c r="G6" s="5">
        <v>814</v>
      </c>
      <c r="H6" s="5">
        <v>844</v>
      </c>
      <c r="I6" s="5">
        <v>820</v>
      </c>
      <c r="J6" s="5">
        <v>882</v>
      </c>
      <c r="K6" s="5">
        <v>763</v>
      </c>
      <c r="L6" s="5">
        <v>767</v>
      </c>
      <c r="M6" s="5">
        <v>798</v>
      </c>
      <c r="N6" s="5">
        <v>856</v>
      </c>
      <c r="O6" s="5">
        <v>763</v>
      </c>
      <c r="P6" s="5">
        <v>850</v>
      </c>
      <c r="Q6" s="5"/>
      <c r="R6" s="5"/>
      <c r="S6" s="5"/>
      <c r="U6" s="5">
        <v>3704</v>
      </c>
      <c r="V6" s="5">
        <v>3443</v>
      </c>
      <c r="W6" s="5">
        <v>3359</v>
      </c>
      <c r="X6" s="5">
        <v>3183</v>
      </c>
    </row>
    <row r="7" spans="1:32" s="3" customFormat="1" x14ac:dyDescent="0.2">
      <c r="B7" s="3" t="s">
        <v>36</v>
      </c>
      <c r="C7" s="5"/>
      <c r="D7" s="5"/>
      <c r="E7" s="5"/>
      <c r="F7" s="5"/>
      <c r="G7" s="5">
        <v>720</v>
      </c>
      <c r="H7" s="5">
        <v>752</v>
      </c>
      <c r="I7" s="5">
        <v>737</v>
      </c>
      <c r="J7" s="5">
        <v>812</v>
      </c>
      <c r="K7" s="5">
        <v>781</v>
      </c>
      <c r="L7" s="5">
        <v>802</v>
      </c>
      <c r="M7" s="5">
        <v>789</v>
      </c>
      <c r="N7" s="5">
        <v>833</v>
      </c>
      <c r="O7" s="5">
        <v>1361</v>
      </c>
      <c r="P7" s="5">
        <v>1392</v>
      </c>
      <c r="Q7" s="5"/>
      <c r="R7" s="5"/>
      <c r="S7" s="5"/>
      <c r="U7" s="5">
        <v>3240</v>
      </c>
      <c r="V7" s="5">
        <v>3106</v>
      </c>
      <c r="W7" s="5">
        <v>3021</v>
      </c>
      <c r="X7" s="5">
        <v>3205</v>
      </c>
    </row>
    <row r="9" spans="1:32" s="8" customFormat="1" x14ac:dyDescent="0.2">
      <c r="B9" s="8" t="s">
        <v>8</v>
      </c>
      <c r="C9" s="9"/>
      <c r="D9" s="9"/>
      <c r="E9" s="9"/>
      <c r="F9" s="9"/>
      <c r="G9" s="9">
        <f>SUM(G4:G7)</f>
        <v>9367</v>
      </c>
      <c r="H9" s="9">
        <f>SUM(H4:H7)</f>
        <v>9800</v>
      </c>
      <c r="I9" s="9">
        <f>SUM(I4:I7)</f>
        <v>10085</v>
      </c>
      <c r="J9" s="9">
        <f>SUM(J4:J7)</f>
        <v>11227</v>
      </c>
      <c r="K9" s="9">
        <f>SUM(K4:K7)</f>
        <v>9728</v>
      </c>
      <c r="L9" s="9">
        <f>SUM(L4:L7)</f>
        <v>10360</v>
      </c>
      <c r="M9" s="9">
        <f>SUM(M4:M7)</f>
        <v>10513</v>
      </c>
      <c r="N9" s="9">
        <f>SUM(N4:N7)</f>
        <v>11840</v>
      </c>
      <c r="O9" s="9">
        <f>SUM(O4:O7)</f>
        <v>11445</v>
      </c>
      <c r="P9" s="9">
        <f>SUM(P4:P7)</f>
        <v>12275</v>
      </c>
      <c r="Q9" s="9">
        <f t="shared" ref="P9:R9" si="4">+M9*1.03</f>
        <v>10828.39</v>
      </c>
      <c r="R9" s="9">
        <f t="shared" si="4"/>
        <v>12195.2</v>
      </c>
      <c r="S9" s="9"/>
      <c r="T9" s="9">
        <f>SUM(T4:T7)</f>
        <v>0</v>
      </c>
      <c r="U9" s="9">
        <f>SUM(U4:U7)</f>
        <v>39506</v>
      </c>
      <c r="V9" s="9">
        <f>SUM(V4:V7)</f>
        <v>39068</v>
      </c>
      <c r="W9" s="9">
        <f>SUM(W4:W7)</f>
        <v>40479</v>
      </c>
      <c r="X9" s="9">
        <f>SUM(X4:X7)</f>
        <v>42440</v>
      </c>
      <c r="Y9" s="9">
        <f>SUM(O9:R9)</f>
        <v>46743.59</v>
      </c>
      <c r="Z9" s="9">
        <f>Y9*1.03</f>
        <v>48145.897699999994</v>
      </c>
      <c r="AA9" s="9">
        <f t="shared" ref="AA9:AF9" si="5">Z9*1.03</f>
        <v>49590.274630999993</v>
      </c>
      <c r="AB9" s="9">
        <f t="shared" si="5"/>
        <v>51077.982869929991</v>
      </c>
      <c r="AC9" s="9">
        <f t="shared" si="5"/>
        <v>52610.322356027893</v>
      </c>
      <c r="AD9" s="9">
        <f t="shared" si="5"/>
        <v>54188.632026708729</v>
      </c>
      <c r="AE9" s="9">
        <f t="shared" si="5"/>
        <v>55814.290987509994</v>
      </c>
      <c r="AF9" s="9">
        <f t="shared" si="5"/>
        <v>57488.719717135296</v>
      </c>
    </row>
    <row r="10" spans="1:32" s="3" customFormat="1" x14ac:dyDescent="0.2">
      <c r="B10" s="3" t="s">
        <v>16</v>
      </c>
      <c r="C10" s="5"/>
      <c r="D10" s="5"/>
      <c r="E10" s="5"/>
      <c r="F10" s="5"/>
      <c r="G10" s="5">
        <f>1011+246+623</f>
        <v>1880</v>
      </c>
      <c r="H10" s="5">
        <f>1064+244+631</f>
        <v>1939</v>
      </c>
      <c r="I10" s="5">
        <f>1064+230+621</f>
        <v>1915</v>
      </c>
      <c r="J10" s="5">
        <f>(1214+253+655)</f>
        <v>2122</v>
      </c>
      <c r="K10" s="5">
        <f>1214+245+644</f>
        <v>2103</v>
      </c>
      <c r="L10" s="5">
        <f>1259+229+671</f>
        <v>2159</v>
      </c>
      <c r="M10" s="5">
        <f>1305+244+669</f>
        <v>2218</v>
      </c>
      <c r="N10" s="5">
        <f>1435+254+707</f>
        <v>2396</v>
      </c>
      <c r="O10" s="5">
        <f>1735+249+1053</f>
        <v>3037</v>
      </c>
      <c r="P10" s="5">
        <f>1891+286+1181</f>
        <v>3358</v>
      </c>
      <c r="Q10" s="5">
        <f t="shared" ref="P10:R10" si="6">Q9-Q11</f>
        <v>2165.6779999999999</v>
      </c>
      <c r="R10" s="5">
        <f t="shared" si="6"/>
        <v>2439.0399999999991</v>
      </c>
      <c r="S10" s="5"/>
      <c r="U10" s="5">
        <f>3782+1360+2853</f>
        <v>7995</v>
      </c>
      <c r="V10" s="5">
        <f>4006+1116+2816</f>
        <v>7938</v>
      </c>
      <c r="W10" s="5">
        <f>(4353+972+2530)</f>
        <v>7855</v>
      </c>
      <c r="X10" s="5">
        <f>(5213+972+2692)</f>
        <v>8877</v>
      </c>
      <c r="Y10" s="3">
        <f>SUM(O10:R10)</f>
        <v>10999.717999999999</v>
      </c>
      <c r="Z10" s="3">
        <f>Z9*0.2</f>
        <v>9629.1795399999992</v>
      </c>
      <c r="AA10" s="3">
        <f t="shared" ref="AA10:AF10" si="7">AA9*0.2</f>
        <v>9918.0549261999986</v>
      </c>
      <c r="AB10" s="3">
        <f t="shared" si="7"/>
        <v>10215.596573985998</v>
      </c>
      <c r="AC10" s="3">
        <f t="shared" si="7"/>
        <v>10522.06447120558</v>
      </c>
      <c r="AD10" s="3">
        <f t="shared" si="7"/>
        <v>10837.726405341746</v>
      </c>
      <c r="AE10" s="3">
        <f t="shared" si="7"/>
        <v>11162.858197501999</v>
      </c>
      <c r="AF10" s="3">
        <f t="shared" si="7"/>
        <v>11497.74394342706</v>
      </c>
    </row>
    <row r="11" spans="1:32" s="3" customFormat="1" x14ac:dyDescent="0.2">
      <c r="B11" s="3" t="s">
        <v>17</v>
      </c>
      <c r="C11" s="5"/>
      <c r="D11" s="5"/>
      <c r="E11" s="5"/>
      <c r="F11" s="5"/>
      <c r="G11" s="5">
        <f t="shared" ref="G11" si="8">G9-G10</f>
        <v>7487</v>
      </c>
      <c r="H11" s="5">
        <f>H9-H10</f>
        <v>7861</v>
      </c>
      <c r="I11" s="5">
        <f>I9-I10</f>
        <v>8170</v>
      </c>
      <c r="J11" s="5">
        <f>J9-J10</f>
        <v>9105</v>
      </c>
      <c r="K11" s="5">
        <f t="shared" ref="K11:O11" si="9">K9-K10</f>
        <v>7625</v>
      </c>
      <c r="L11" s="5">
        <f t="shared" si="9"/>
        <v>8201</v>
      </c>
      <c r="M11" s="5">
        <f t="shared" si="9"/>
        <v>8295</v>
      </c>
      <c r="N11" s="5">
        <f t="shared" si="9"/>
        <v>9444</v>
      </c>
      <c r="O11" s="5">
        <f t="shared" si="9"/>
        <v>8408</v>
      </c>
      <c r="P11" s="5">
        <f t="shared" ref="P11:R11" si="10">P9*0.8</f>
        <v>9820</v>
      </c>
      <c r="Q11" s="5">
        <f t="shared" si="10"/>
        <v>8662.7119999999995</v>
      </c>
      <c r="R11" s="5">
        <f t="shared" si="10"/>
        <v>9756.1600000000017</v>
      </c>
      <c r="S11" s="5"/>
      <c r="U11" s="5">
        <f t="shared" ref="U11" si="11">U9-U10</f>
        <v>31511</v>
      </c>
      <c r="V11" s="5">
        <f t="shared" ref="V11" si="12">V9-V10</f>
        <v>31130</v>
      </c>
      <c r="W11" s="5">
        <f>W9-W10</f>
        <v>32624</v>
      </c>
      <c r="X11" s="5">
        <f t="shared" ref="X11" si="13">X9-X10</f>
        <v>33563</v>
      </c>
      <c r="Y11" s="3">
        <f>Y9-Y10</f>
        <v>35743.871999999996</v>
      </c>
      <c r="Z11" s="3">
        <f t="shared" ref="Z11:AF11" si="14">Z9-Z10</f>
        <v>38516.718159999997</v>
      </c>
      <c r="AA11" s="3">
        <f t="shared" si="14"/>
        <v>39672.219704799994</v>
      </c>
      <c r="AB11" s="3">
        <f t="shared" si="14"/>
        <v>40862.386295943994</v>
      </c>
      <c r="AC11" s="3">
        <f t="shared" si="14"/>
        <v>42088.257884822313</v>
      </c>
      <c r="AD11" s="3">
        <f t="shared" si="14"/>
        <v>43350.905621366983</v>
      </c>
      <c r="AE11" s="3">
        <f t="shared" si="14"/>
        <v>44651.432790007995</v>
      </c>
      <c r="AF11" s="3">
        <f t="shared" si="14"/>
        <v>45990.97577370824</v>
      </c>
    </row>
    <row r="12" spans="1:32" s="3" customFormat="1" x14ac:dyDescent="0.2">
      <c r="B12" s="3" t="s">
        <v>19</v>
      </c>
      <c r="C12" s="5"/>
      <c r="D12" s="5"/>
      <c r="E12" s="5"/>
      <c r="F12" s="5"/>
      <c r="G12" s="5">
        <v>1854</v>
      </c>
      <c r="H12" s="5">
        <v>1836</v>
      </c>
      <c r="I12" s="5">
        <v>1915</v>
      </c>
      <c r="J12" s="5">
        <v>2077</v>
      </c>
      <c r="K12" s="5">
        <v>1854</v>
      </c>
      <c r="L12" s="5">
        <v>1954</v>
      </c>
      <c r="M12" s="5">
        <v>2004</v>
      </c>
      <c r="N12" s="5">
        <v>2238</v>
      </c>
      <c r="O12" s="5">
        <v>2177</v>
      </c>
      <c r="P12" s="5">
        <v>2216</v>
      </c>
      <c r="Q12" s="5">
        <f t="shared" ref="P12:R12" si="15">M12</f>
        <v>2004</v>
      </c>
      <c r="R12" s="5">
        <f t="shared" si="15"/>
        <v>2238</v>
      </c>
      <c r="S12" s="5"/>
      <c r="U12" s="5">
        <v>8509</v>
      </c>
      <c r="V12" s="5">
        <v>8094</v>
      </c>
      <c r="W12" s="5">
        <v>7682</v>
      </c>
      <c r="X12" s="5">
        <v>8047</v>
      </c>
      <c r="Y12" s="3">
        <f t="shared" ref="Y12:Y14" si="16">SUM(O12:R12)</f>
        <v>8635</v>
      </c>
      <c r="Z12" s="3">
        <f>Y12*1.02</f>
        <v>8807.7000000000007</v>
      </c>
      <c r="AA12" s="3">
        <f t="shared" ref="AA12:AF12" si="17">Z12*1.02</f>
        <v>8983.8540000000012</v>
      </c>
      <c r="AB12" s="3">
        <f t="shared" si="17"/>
        <v>9163.5310800000007</v>
      </c>
      <c r="AC12" s="3">
        <f t="shared" si="17"/>
        <v>9346.8017016000013</v>
      </c>
      <c r="AD12" s="3">
        <f t="shared" si="17"/>
        <v>9533.7377356320012</v>
      </c>
      <c r="AE12" s="3">
        <f t="shared" si="17"/>
        <v>9724.4124903446409</v>
      </c>
      <c r="AF12" s="3">
        <f t="shared" si="17"/>
        <v>9918.9007401515337</v>
      </c>
    </row>
    <row r="13" spans="1:32" s="3" customFormat="1" x14ac:dyDescent="0.2">
      <c r="B13" s="3" t="s">
        <v>20</v>
      </c>
      <c r="C13" s="5"/>
      <c r="D13" s="5"/>
      <c r="E13" s="5"/>
      <c r="F13" s="5"/>
      <c r="G13" s="5">
        <v>1589</v>
      </c>
      <c r="H13" s="5">
        <v>1601</v>
      </c>
      <c r="I13" s="5">
        <v>1621</v>
      </c>
      <c r="J13" s="5">
        <v>1715</v>
      </c>
      <c r="K13" s="5">
        <v>1684</v>
      </c>
      <c r="L13" s="5">
        <v>1754</v>
      </c>
      <c r="M13" s="5">
        <v>1816</v>
      </c>
      <c r="N13" s="5">
        <v>1965</v>
      </c>
      <c r="O13" s="5">
        <v>2093</v>
      </c>
      <c r="P13" s="5">
        <v>2158</v>
      </c>
      <c r="Q13" s="5">
        <f t="shared" ref="Q13:Q14" si="18">M13</f>
        <v>1816</v>
      </c>
      <c r="R13" s="5">
        <f t="shared" ref="R13:R14" si="19">N13</f>
        <v>1965</v>
      </c>
      <c r="S13" s="5"/>
      <c r="U13" s="5">
        <v>6026</v>
      </c>
      <c r="V13" s="5">
        <v>6067</v>
      </c>
      <c r="W13" s="5">
        <v>6527</v>
      </c>
      <c r="X13" s="5">
        <v>7219</v>
      </c>
      <c r="Y13" s="3">
        <f t="shared" si="16"/>
        <v>8032</v>
      </c>
      <c r="Z13" s="3">
        <f t="shared" ref="Z13:AF13" si="20">Y13*1.01</f>
        <v>8112.32</v>
      </c>
      <c r="AA13" s="3">
        <f t="shared" si="20"/>
        <v>8193.4431999999997</v>
      </c>
      <c r="AB13" s="3">
        <f t="shared" si="20"/>
        <v>8275.3776319999997</v>
      </c>
      <c r="AC13" s="3">
        <f t="shared" si="20"/>
        <v>8358.1314083199995</v>
      </c>
      <c r="AD13" s="3">
        <f t="shared" si="20"/>
        <v>8441.7127224031992</v>
      </c>
      <c r="AE13" s="3">
        <f t="shared" si="20"/>
        <v>8526.129849627232</v>
      </c>
      <c r="AF13" s="3">
        <f t="shared" si="20"/>
        <v>8611.3911481235045</v>
      </c>
    </row>
    <row r="14" spans="1:32" s="3" customFormat="1" x14ac:dyDescent="0.2">
      <c r="B14" s="3" t="s">
        <v>21</v>
      </c>
      <c r="C14" s="5"/>
      <c r="D14" s="5"/>
      <c r="E14" s="5"/>
      <c r="F14" s="5"/>
      <c r="G14" s="5">
        <v>295</v>
      </c>
      <c r="H14" s="5">
        <v>324</v>
      </c>
      <c r="I14" s="5">
        <v>330</v>
      </c>
      <c r="J14" s="5">
        <v>306</v>
      </c>
      <c r="K14" s="5">
        <v>298</v>
      </c>
      <c r="L14" s="5">
        <v>319</v>
      </c>
      <c r="M14" s="5">
        <v>335</v>
      </c>
      <c r="N14" s="5">
        <v>364</v>
      </c>
      <c r="O14" s="5">
        <v>411</v>
      </c>
      <c r="P14" s="5">
        <v>366</v>
      </c>
      <c r="Q14" s="5">
        <f t="shared" si="18"/>
        <v>335</v>
      </c>
      <c r="R14" s="5">
        <f t="shared" si="19"/>
        <v>364</v>
      </c>
      <c r="S14" s="5"/>
      <c r="U14" s="5">
        <v>1265</v>
      </c>
      <c r="V14" s="5">
        <v>1181</v>
      </c>
      <c r="W14" s="5">
        <v>1254</v>
      </c>
      <c r="X14" s="5">
        <v>1317</v>
      </c>
      <c r="Y14" s="3">
        <f t="shared" si="16"/>
        <v>1476</v>
      </c>
      <c r="Z14" s="3">
        <f t="shared" ref="Z14:AF14" si="21">Y14*1.01</f>
        <v>1490.76</v>
      </c>
      <c r="AA14" s="3">
        <f t="shared" si="21"/>
        <v>1505.6676</v>
      </c>
      <c r="AB14" s="3">
        <f t="shared" si="21"/>
        <v>1520.7242759999999</v>
      </c>
      <c r="AC14" s="3">
        <f t="shared" si="21"/>
        <v>1535.93151876</v>
      </c>
      <c r="AD14" s="3">
        <f t="shared" si="21"/>
        <v>1551.2908339476</v>
      </c>
      <c r="AE14" s="3">
        <f t="shared" si="21"/>
        <v>1566.8037422870761</v>
      </c>
      <c r="AF14" s="3">
        <f t="shared" si="21"/>
        <v>1582.471779709947</v>
      </c>
    </row>
    <row r="15" spans="1:32" s="3" customFormat="1" x14ac:dyDescent="0.2">
      <c r="B15" s="3" t="s">
        <v>22</v>
      </c>
      <c r="C15" s="5">
        <f t="shared" ref="C15:M15" si="22">SUM(C12:C14)</f>
        <v>0</v>
      </c>
      <c r="D15" s="5">
        <f t="shared" si="22"/>
        <v>0</v>
      </c>
      <c r="E15" s="5">
        <f t="shared" si="22"/>
        <v>0</v>
      </c>
      <c r="F15" s="5">
        <f t="shared" si="22"/>
        <v>0</v>
      </c>
      <c r="G15" s="5">
        <f t="shared" ref="G15" si="23">SUM(G12:G14)</f>
        <v>3738</v>
      </c>
      <c r="H15" s="5">
        <f t="shared" si="22"/>
        <v>3761</v>
      </c>
      <c r="I15" s="5">
        <f t="shared" si="22"/>
        <v>3866</v>
      </c>
      <c r="J15" s="5">
        <f t="shared" si="22"/>
        <v>4098</v>
      </c>
      <c r="K15" s="5">
        <f t="shared" si="22"/>
        <v>3836</v>
      </c>
      <c r="L15" s="5">
        <f t="shared" si="22"/>
        <v>4027</v>
      </c>
      <c r="M15" s="5">
        <f t="shared" si="22"/>
        <v>4155</v>
      </c>
      <c r="N15" s="5">
        <f>SUM(N12:N14)</f>
        <v>4567</v>
      </c>
      <c r="O15" s="5">
        <f t="shared" ref="O15:R15" si="24">SUM(O12:O14)</f>
        <v>4681</v>
      </c>
      <c r="P15" s="5">
        <f t="shared" si="24"/>
        <v>4740</v>
      </c>
      <c r="Q15" s="5">
        <f t="shared" si="24"/>
        <v>4155</v>
      </c>
      <c r="R15" s="5">
        <f t="shared" si="24"/>
        <v>4567</v>
      </c>
      <c r="S15" s="5"/>
      <c r="U15" s="5">
        <f t="shared" ref="U15" si="25">SUM(U12:U14)</f>
        <v>15800</v>
      </c>
      <c r="V15" s="5">
        <f t="shared" ref="V15" si="26">SUM(V12:V14)</f>
        <v>15342</v>
      </c>
      <c r="W15" s="5">
        <f>SUM(W12:W14)</f>
        <v>15463</v>
      </c>
      <c r="X15" s="5">
        <f>SUM(X12:X14)</f>
        <v>16583</v>
      </c>
      <c r="Y15" s="5">
        <f t="shared" ref="Y15" si="27">SUM(Y12:Y14)</f>
        <v>18143</v>
      </c>
      <c r="Z15" s="5">
        <f t="shared" ref="Z15" si="28">SUM(Z12:Z14)</f>
        <v>18410.78</v>
      </c>
      <c r="AA15" s="5">
        <f t="shared" ref="AA15" si="29">SUM(AA12:AA14)</f>
        <v>18682.964800000002</v>
      </c>
      <c r="AB15" s="5">
        <f t="shared" ref="AB15" si="30">SUM(AB12:AB14)</f>
        <v>18959.632988000001</v>
      </c>
      <c r="AC15" s="5">
        <f t="shared" ref="AC15" si="31">SUM(AC12:AC14)</f>
        <v>19240.864628679999</v>
      </c>
      <c r="AD15" s="5">
        <f t="shared" ref="AD15" si="32">SUM(AD12:AD14)</f>
        <v>19526.741291982802</v>
      </c>
      <c r="AE15" s="5">
        <f t="shared" ref="AE15" si="33">SUM(AE12:AE14)</f>
        <v>19817.346082258948</v>
      </c>
      <c r="AF15" s="5">
        <f t="shared" ref="AF15" si="34">SUM(AF12:AF14)</f>
        <v>20112.763667984986</v>
      </c>
    </row>
    <row r="16" spans="1:32" s="3" customFormat="1" x14ac:dyDescent="0.2">
      <c r="B16" s="3" t="s">
        <v>23</v>
      </c>
      <c r="C16" s="5">
        <f t="shared" ref="C16:M16" si="35">C11-C15</f>
        <v>0</v>
      </c>
      <c r="D16" s="5">
        <f t="shared" si="35"/>
        <v>0</v>
      </c>
      <c r="E16" s="5">
        <f t="shared" si="35"/>
        <v>0</v>
      </c>
      <c r="F16" s="5">
        <f t="shared" si="35"/>
        <v>0</v>
      </c>
      <c r="G16" s="5">
        <f t="shared" ref="G16" si="36">G11-G15</f>
        <v>3749</v>
      </c>
      <c r="H16" s="5">
        <f t="shared" si="35"/>
        <v>4100</v>
      </c>
      <c r="I16" s="5">
        <f t="shared" si="35"/>
        <v>4304</v>
      </c>
      <c r="J16" s="5">
        <f t="shared" si="35"/>
        <v>5007</v>
      </c>
      <c r="K16" s="5">
        <f t="shared" si="35"/>
        <v>3789</v>
      </c>
      <c r="L16" s="5">
        <f t="shared" si="35"/>
        <v>4174</v>
      </c>
      <c r="M16" s="5">
        <f t="shared" si="35"/>
        <v>4140</v>
      </c>
      <c r="N16" s="5">
        <f>N11-N15</f>
        <v>4877</v>
      </c>
      <c r="O16" s="5">
        <f t="shared" ref="O16:R16" si="37">O11-O15</f>
        <v>3727</v>
      </c>
      <c r="P16" s="5">
        <f t="shared" si="37"/>
        <v>5080</v>
      </c>
      <c r="Q16" s="5">
        <f t="shared" si="37"/>
        <v>4507.7119999999995</v>
      </c>
      <c r="R16" s="5">
        <f t="shared" si="37"/>
        <v>5189.1600000000017</v>
      </c>
      <c r="S16" s="5"/>
      <c r="U16" s="5">
        <f t="shared" ref="U16" si="38">U11-U15</f>
        <v>15711</v>
      </c>
      <c r="V16" s="5">
        <f t="shared" ref="V16" si="39">V11-V15</f>
        <v>15788</v>
      </c>
      <c r="W16" s="5">
        <f>W11-W15</f>
        <v>17161</v>
      </c>
      <c r="X16" s="5">
        <f>X11-X15</f>
        <v>16980</v>
      </c>
      <c r="Y16" s="5">
        <f t="shared" ref="Y16" si="40">Y11-Y15</f>
        <v>17600.871999999996</v>
      </c>
      <c r="Z16" s="5">
        <f t="shared" ref="Z16" si="41">Z11-Z15</f>
        <v>20105.938159999998</v>
      </c>
      <c r="AA16" s="5">
        <f t="shared" ref="AA16" si="42">AA11-AA15</f>
        <v>20989.254904799993</v>
      </c>
      <c r="AB16" s="5">
        <f t="shared" ref="AB16" si="43">AB11-AB15</f>
        <v>21902.753307943993</v>
      </c>
      <c r="AC16" s="5">
        <f t="shared" ref="AC16" si="44">AC11-AC15</f>
        <v>22847.393256142313</v>
      </c>
      <c r="AD16" s="5">
        <f t="shared" ref="AD16" si="45">AD11-AD15</f>
        <v>23824.164329384181</v>
      </c>
      <c r="AE16" s="5">
        <f t="shared" ref="AE16" si="46">AE11-AE15</f>
        <v>24834.086707749047</v>
      </c>
      <c r="AF16" s="5">
        <f t="shared" ref="AF16" si="47">AF11-AF15</f>
        <v>25878.212105723254</v>
      </c>
    </row>
    <row r="17" spans="2:121" s="3" customFormat="1" x14ac:dyDescent="0.2">
      <c r="B17" s="3" t="s">
        <v>24</v>
      </c>
      <c r="C17" s="5"/>
      <c r="D17" s="5"/>
      <c r="E17" s="5"/>
      <c r="F17" s="5"/>
      <c r="G17" s="5">
        <v>-614</v>
      </c>
      <c r="H17" s="5">
        <v>-600</v>
      </c>
      <c r="I17" s="5">
        <v>-585</v>
      </c>
      <c r="J17" s="5">
        <v>-697</v>
      </c>
      <c r="K17" s="5">
        <v>-705</v>
      </c>
      <c r="L17" s="5">
        <v>-679</v>
      </c>
      <c r="M17" s="5">
        <v>-667</v>
      </c>
      <c r="N17" s="5">
        <v>-704</v>
      </c>
      <c r="O17" s="5">
        <f>-787-180</f>
        <v>-967</v>
      </c>
      <c r="P17" s="5">
        <f>-856-71</f>
        <v>-927</v>
      </c>
      <c r="Q17" s="5">
        <f t="shared" ref="P17:R17" si="48">P17</f>
        <v>-927</v>
      </c>
      <c r="R17" s="5">
        <f t="shared" si="48"/>
        <v>-927</v>
      </c>
      <c r="S17" s="5"/>
      <c r="U17" s="5">
        <v>-2082</v>
      </c>
      <c r="V17" s="5">
        <v>-1995</v>
      </c>
      <c r="W17" s="5">
        <v>-2496</v>
      </c>
      <c r="X17" s="5">
        <v>-2755</v>
      </c>
      <c r="Y17" s="3">
        <f t="shared" ref="Y17:Y19" si="49">SUM(O17:R17)</f>
        <v>-3748</v>
      </c>
      <c r="Z17" s="3">
        <f t="shared" ref="Z17:AF17" si="50">Y30*$AI$31</f>
        <v>-769.02558799999997</v>
      </c>
      <c r="AA17" s="3">
        <f t="shared" si="50"/>
        <v>-604.66183113800003</v>
      </c>
      <c r="AB17" s="3">
        <f t="shared" si="50"/>
        <v>-431.39279001187299</v>
      </c>
      <c r="AC17" s="3">
        <f t="shared" si="50"/>
        <v>-248.88622560944998</v>
      </c>
      <c r="AD17" s="3">
        <f t="shared" si="50"/>
        <v>-56.798915849920633</v>
      </c>
      <c r="AE17" s="3">
        <f t="shared" si="50"/>
        <v>145.22369016512059</v>
      </c>
      <c r="AF17" s="3">
        <f t="shared" si="50"/>
        <v>357.54782854739096</v>
      </c>
    </row>
    <row r="18" spans="2:121" x14ac:dyDescent="0.2">
      <c r="B18" s="1" t="s">
        <v>25</v>
      </c>
      <c r="G18" s="5">
        <f t="shared" ref="G18" si="51">+G16+G17</f>
        <v>3135</v>
      </c>
      <c r="H18" s="5">
        <f t="shared" ref="H18:J18" si="52">+H16+H17</f>
        <v>3500</v>
      </c>
      <c r="I18" s="5">
        <f t="shared" si="52"/>
        <v>3719</v>
      </c>
      <c r="J18" s="5">
        <f t="shared" si="52"/>
        <v>4310</v>
      </c>
      <c r="K18" s="5">
        <f t="shared" ref="K18" si="53">+K16+K17</f>
        <v>3084</v>
      </c>
      <c r="L18" s="5">
        <f t="shared" ref="L18" si="54">+L16+L17</f>
        <v>3495</v>
      </c>
      <c r="M18" s="5">
        <f t="shared" ref="M18" si="55">+M16+M17</f>
        <v>3473</v>
      </c>
      <c r="N18" s="5">
        <f>+N16+N17</f>
        <v>4173</v>
      </c>
      <c r="O18" s="5">
        <f t="shared" ref="O18:R18" si="56">+O16+O17</f>
        <v>2760</v>
      </c>
      <c r="P18" s="5">
        <f t="shared" si="56"/>
        <v>4153</v>
      </c>
      <c r="Q18" s="5">
        <f t="shared" si="56"/>
        <v>3580.7119999999995</v>
      </c>
      <c r="R18" s="5">
        <f t="shared" si="56"/>
        <v>4262.1600000000017</v>
      </c>
      <c r="S18" s="5"/>
      <c r="T18" s="5"/>
      <c r="U18" s="5">
        <f t="shared" ref="U18" si="57">+U16+U17</f>
        <v>13629</v>
      </c>
      <c r="V18" s="5">
        <f t="shared" ref="V18:W18" si="58">+V16+V17</f>
        <v>13793</v>
      </c>
      <c r="W18" s="5">
        <f t="shared" si="58"/>
        <v>14665</v>
      </c>
      <c r="X18" s="5">
        <f>+X16+X17</f>
        <v>14225</v>
      </c>
      <c r="Y18" s="5">
        <f t="shared" ref="Y18" si="59">+Y16+Y17</f>
        <v>13852.871999999996</v>
      </c>
      <c r="Z18" s="5">
        <f t="shared" ref="Z18" si="60">+Z16+Z17</f>
        <v>19336.912571999997</v>
      </c>
      <c r="AA18" s="5">
        <f t="shared" ref="AA18" si="61">+AA16+AA17</f>
        <v>20384.593073661992</v>
      </c>
      <c r="AB18" s="5">
        <f t="shared" ref="AB18" si="62">+AB16+AB17</f>
        <v>21471.36051793212</v>
      </c>
      <c r="AC18" s="5">
        <f t="shared" ref="AC18" si="63">+AC16+AC17</f>
        <v>22598.507030532863</v>
      </c>
      <c r="AD18" s="5">
        <f t="shared" ref="AD18" si="64">+AD16+AD17</f>
        <v>23767.365413534259</v>
      </c>
      <c r="AE18" s="5">
        <f t="shared" ref="AE18" si="65">+AE16+AE17</f>
        <v>24979.310397914167</v>
      </c>
      <c r="AF18" s="5">
        <f t="shared" ref="AF18" si="66">+AF16+AF17</f>
        <v>26235.759934270645</v>
      </c>
    </row>
    <row r="19" spans="2:121" x14ac:dyDescent="0.2">
      <c r="B19" s="1" t="s">
        <v>26</v>
      </c>
      <c r="G19" s="4">
        <v>344</v>
      </c>
      <c r="H19" s="4">
        <v>530</v>
      </c>
      <c r="I19" s="4">
        <v>0</v>
      </c>
      <c r="J19" s="5">
        <v>124</v>
      </c>
      <c r="K19" s="5">
        <v>224</v>
      </c>
      <c r="L19" s="5">
        <v>0</v>
      </c>
      <c r="M19" s="5">
        <v>521</v>
      </c>
      <c r="N19" s="5">
        <v>435</v>
      </c>
      <c r="O19" s="5">
        <v>108</v>
      </c>
      <c r="P19" s="5">
        <v>403</v>
      </c>
      <c r="Q19" s="5">
        <f t="shared" ref="P19:R19" si="67">Q18*0.15</f>
        <v>537.10679999999991</v>
      </c>
      <c r="R19" s="5">
        <f t="shared" si="67"/>
        <v>639.32400000000018</v>
      </c>
      <c r="U19" s="5">
        <v>1185</v>
      </c>
      <c r="V19" s="5">
        <v>1928</v>
      </c>
      <c r="W19" s="5">
        <v>0</v>
      </c>
      <c r="X19" s="5">
        <v>932</v>
      </c>
      <c r="Y19" s="3">
        <f t="shared" si="49"/>
        <v>1687.4308000000001</v>
      </c>
      <c r="Z19" s="3">
        <f>Z18*0.15</f>
        <v>2900.5368857999997</v>
      </c>
      <c r="AA19" s="3">
        <f>AA18*0.15</f>
        <v>3057.6889610492985</v>
      </c>
      <c r="AB19" s="3">
        <f>AB18*0.15</f>
        <v>3220.704077689818</v>
      </c>
      <c r="AC19" s="3">
        <f t="shared" ref="AC19:AF19" si="68">AC18*0.15</f>
        <v>3389.7760545799292</v>
      </c>
      <c r="AD19" s="3">
        <f>AD18*0.15</f>
        <v>3565.1048120301389</v>
      </c>
      <c r="AE19" s="3">
        <f t="shared" si="68"/>
        <v>3746.8965596871249</v>
      </c>
      <c r="AF19" s="3">
        <f t="shared" si="68"/>
        <v>3935.3639901405968</v>
      </c>
    </row>
    <row r="20" spans="2:121" x14ac:dyDescent="0.2">
      <c r="B20" s="1" t="s">
        <v>27</v>
      </c>
      <c r="G20" s="5">
        <f t="shared" ref="G20" si="69">G18-G19</f>
        <v>2791</v>
      </c>
      <c r="H20" s="5">
        <f>H18-H19</f>
        <v>2970</v>
      </c>
      <c r="I20" s="5">
        <f>I18-I19</f>
        <v>3719</v>
      </c>
      <c r="J20" s="5">
        <f>J18-J19</f>
        <v>4186</v>
      </c>
      <c r="K20" s="5">
        <f t="shared" ref="K20:M20" si="70">K18-K19</f>
        <v>2860</v>
      </c>
      <c r="L20" s="5">
        <f t="shared" si="70"/>
        <v>3495</v>
      </c>
      <c r="M20" s="5">
        <f t="shared" si="70"/>
        <v>2952</v>
      </c>
      <c r="N20" s="5">
        <f>N18-N19</f>
        <v>3738</v>
      </c>
      <c r="O20" s="5">
        <f t="shared" ref="O20:R20" si="71">O18-O19</f>
        <v>2652</v>
      </c>
      <c r="P20" s="5">
        <f t="shared" si="71"/>
        <v>3750</v>
      </c>
      <c r="Q20" s="5">
        <f t="shared" si="71"/>
        <v>3043.6051999999995</v>
      </c>
      <c r="R20" s="5">
        <f t="shared" si="71"/>
        <v>3622.8360000000016</v>
      </c>
      <c r="U20" s="5">
        <f t="shared" ref="U20" si="72">U18-U19</f>
        <v>12444</v>
      </c>
      <c r="V20" s="5">
        <f t="shared" ref="V20" si="73">V18-V19</f>
        <v>11865</v>
      </c>
      <c r="W20" s="5">
        <f>W18-W19</f>
        <v>14665</v>
      </c>
      <c r="X20" s="5">
        <f>X18-X19</f>
        <v>13293</v>
      </c>
      <c r="Y20" s="5">
        <f t="shared" ref="Y20" si="74">Y18-Y19</f>
        <v>12165.441199999996</v>
      </c>
      <c r="Z20" s="5">
        <f t="shared" ref="Z20" si="75">Z18-Z19</f>
        <v>16436.375686199997</v>
      </c>
      <c r="AA20" s="5">
        <f t="shared" ref="AA20" si="76">AA18-AA19</f>
        <v>17326.904112612694</v>
      </c>
      <c r="AB20" s="5">
        <f t="shared" ref="AB20" si="77">AB18-AB19</f>
        <v>18250.656440242303</v>
      </c>
      <c r="AC20" s="5">
        <f t="shared" ref="AC20" si="78">AC18-AC19</f>
        <v>19208.730975952934</v>
      </c>
      <c r="AD20" s="5">
        <f t="shared" ref="AD20" si="79">AD18-AD19</f>
        <v>20202.26060150412</v>
      </c>
      <c r="AE20" s="5">
        <f t="shared" ref="AE20" si="80">AE18-AE19</f>
        <v>21232.413838227043</v>
      </c>
      <c r="AF20" s="5">
        <f t="shared" ref="AF20" si="81">AF18-AF19</f>
        <v>22300.395944130047</v>
      </c>
      <c r="AG20" s="3">
        <f t="shared" ref="AG20:BL20" si="82">AF20*(1+$AI$30)</f>
        <v>22523.399903571346</v>
      </c>
      <c r="AH20" s="3">
        <f t="shared" si="82"/>
        <v>22748.63390260706</v>
      </c>
      <c r="AI20" s="3">
        <f t="shared" si="82"/>
        <v>22976.120241633133</v>
      </c>
      <c r="AJ20" s="3">
        <f t="shared" si="82"/>
        <v>23205.881444049464</v>
      </c>
      <c r="AK20" s="3">
        <f t="shared" si="82"/>
        <v>23437.940258489958</v>
      </c>
      <c r="AL20" s="3">
        <f t="shared" si="82"/>
        <v>23672.319661074856</v>
      </c>
      <c r="AM20" s="3">
        <f t="shared" si="82"/>
        <v>23909.042857685607</v>
      </c>
      <c r="AN20" s="3">
        <f t="shared" si="82"/>
        <v>24148.133286262462</v>
      </c>
      <c r="AO20" s="3">
        <f t="shared" si="82"/>
        <v>24389.614619125088</v>
      </c>
      <c r="AP20" s="3">
        <f t="shared" si="82"/>
        <v>24633.51076531634</v>
      </c>
      <c r="AQ20" s="3">
        <f t="shared" si="82"/>
        <v>24879.845872969505</v>
      </c>
      <c r="AR20" s="3">
        <f t="shared" si="82"/>
        <v>25128.644331699201</v>
      </c>
      <c r="AS20" s="3">
        <f t="shared" si="82"/>
        <v>25379.930775016193</v>
      </c>
      <c r="AT20" s="3">
        <f t="shared" si="82"/>
        <v>25633.730082766357</v>
      </c>
      <c r="AU20" s="3">
        <f t="shared" si="82"/>
        <v>25890.067383594022</v>
      </c>
      <c r="AV20" s="3">
        <f t="shared" si="82"/>
        <v>26148.968057429964</v>
      </c>
      <c r="AW20" s="3">
        <f t="shared" si="82"/>
        <v>26410.457738004265</v>
      </c>
      <c r="AX20" s="3">
        <f t="shared" si="82"/>
        <v>26674.562315384308</v>
      </c>
      <c r="AY20" s="3">
        <f t="shared" si="82"/>
        <v>26941.30793853815</v>
      </c>
      <c r="AZ20" s="3">
        <f t="shared" si="82"/>
        <v>27210.72101792353</v>
      </c>
      <c r="BA20" s="3">
        <f t="shared" si="82"/>
        <v>27482.828228102764</v>
      </c>
      <c r="BB20" s="3">
        <f t="shared" si="82"/>
        <v>27757.656510383793</v>
      </c>
      <c r="BC20" s="3">
        <f t="shared" si="82"/>
        <v>28035.233075487631</v>
      </c>
      <c r="BD20" s="3">
        <f t="shared" si="82"/>
        <v>28315.585406242506</v>
      </c>
      <c r="BE20" s="3">
        <f t="shared" si="82"/>
        <v>28598.741260304931</v>
      </c>
      <c r="BF20" s="3">
        <f t="shared" si="82"/>
        <v>28884.728672907979</v>
      </c>
      <c r="BG20" s="3">
        <f t="shared" si="82"/>
        <v>29173.575959637059</v>
      </c>
      <c r="BH20" s="3">
        <f t="shared" si="82"/>
        <v>29465.311719233428</v>
      </c>
      <c r="BI20" s="3">
        <f t="shared" si="82"/>
        <v>29759.964836425763</v>
      </c>
      <c r="BJ20" s="3">
        <f t="shared" si="82"/>
        <v>30057.564484790022</v>
      </c>
      <c r="BK20" s="3">
        <f t="shared" si="82"/>
        <v>30358.140129637923</v>
      </c>
      <c r="BL20" s="3">
        <f t="shared" si="82"/>
        <v>30661.721530934301</v>
      </c>
      <c r="BM20" s="3">
        <f t="shared" ref="BM20:CR20" si="83">BL20*(1+$AI$30)</f>
        <v>30968.338746243644</v>
      </c>
      <c r="BN20" s="3">
        <f t="shared" si="83"/>
        <v>31278.022133706079</v>
      </c>
      <c r="BO20" s="3">
        <f t="shared" si="83"/>
        <v>31590.802355043139</v>
      </c>
      <c r="BP20" s="3">
        <f t="shared" si="83"/>
        <v>31906.710378593572</v>
      </c>
      <c r="BQ20" s="3">
        <f t="shared" si="83"/>
        <v>32225.777482379508</v>
      </c>
      <c r="BR20" s="3">
        <f t="shared" si="83"/>
        <v>32548.035257203304</v>
      </c>
      <c r="BS20" s="3">
        <f t="shared" si="83"/>
        <v>32873.515609775335</v>
      </c>
      <c r="BT20" s="3">
        <f t="shared" si="83"/>
        <v>33202.25076587309</v>
      </c>
      <c r="BU20" s="3">
        <f t="shared" si="83"/>
        <v>33534.27327353182</v>
      </c>
      <c r="BV20" s="3">
        <f t="shared" si="83"/>
        <v>33869.616006267141</v>
      </c>
      <c r="BW20" s="3">
        <f t="shared" si="83"/>
        <v>34208.312166329815</v>
      </c>
      <c r="BX20" s="3">
        <f t="shared" si="83"/>
        <v>34550.395287993117</v>
      </c>
      <c r="BY20" s="3">
        <f t="shared" si="83"/>
        <v>34895.899240873048</v>
      </c>
      <c r="BZ20" s="3">
        <f t="shared" si="83"/>
        <v>35244.858233281782</v>
      </c>
      <c r="CA20" s="3">
        <f t="shared" si="83"/>
        <v>35597.306815614604</v>
      </c>
      <c r="CB20" s="3">
        <f t="shared" si="83"/>
        <v>35953.279883770752</v>
      </c>
      <c r="CC20" s="3">
        <f t="shared" si="83"/>
        <v>36312.812682608463</v>
      </c>
      <c r="CD20" s="3">
        <f t="shared" si="83"/>
        <v>36675.940809434549</v>
      </c>
      <c r="CE20" s="3">
        <f t="shared" si="83"/>
        <v>37042.700217528894</v>
      </c>
      <c r="CF20" s="3">
        <f t="shared" si="83"/>
        <v>37413.127219704184</v>
      </c>
      <c r="CG20" s="3">
        <f t="shared" si="83"/>
        <v>37787.258491901222</v>
      </c>
      <c r="CH20" s="3">
        <f t="shared" si="83"/>
        <v>38165.131076820238</v>
      </c>
      <c r="CI20" s="3">
        <f t="shared" si="83"/>
        <v>38546.782387588442</v>
      </c>
      <c r="CJ20" s="3">
        <f t="shared" si="83"/>
        <v>38932.250211464328</v>
      </c>
      <c r="CK20" s="3">
        <f t="shared" si="83"/>
        <v>39321.572713578971</v>
      </c>
      <c r="CL20" s="3">
        <f t="shared" si="83"/>
        <v>39714.788440714758</v>
      </c>
      <c r="CM20" s="3">
        <f t="shared" si="83"/>
        <v>40111.936325121904</v>
      </c>
      <c r="CN20" s="3">
        <f t="shared" si="83"/>
        <v>40513.055688373126</v>
      </c>
      <c r="CO20" s="3">
        <f t="shared" si="83"/>
        <v>40918.18624525686</v>
      </c>
      <c r="CP20" s="3">
        <f t="shared" si="83"/>
        <v>41327.36810770943</v>
      </c>
      <c r="CQ20" s="3">
        <f t="shared" si="83"/>
        <v>41740.641788786525</v>
      </c>
      <c r="CR20" s="3">
        <f t="shared" si="83"/>
        <v>42158.048206674393</v>
      </c>
      <c r="CS20" s="3">
        <f t="shared" ref="CS20:DQ20" si="84">CR20*(1+$AI$30)</f>
        <v>42579.628688741141</v>
      </c>
      <c r="CT20" s="3">
        <f t="shared" si="84"/>
        <v>43005.42497562855</v>
      </c>
      <c r="CU20" s="3">
        <f t="shared" si="84"/>
        <v>43435.479225384835</v>
      </c>
      <c r="CV20" s="3">
        <f t="shared" si="84"/>
        <v>43869.834017638685</v>
      </c>
      <c r="CW20" s="3">
        <f t="shared" si="84"/>
        <v>44308.532357815071</v>
      </c>
      <c r="CX20" s="3">
        <f t="shared" si="84"/>
        <v>44751.617681393225</v>
      </c>
      <c r="CY20" s="3">
        <f t="shared" si="84"/>
        <v>45199.133858207155</v>
      </c>
      <c r="CZ20" s="3">
        <f t="shared" si="84"/>
        <v>45651.125196789224</v>
      </c>
      <c r="DA20" s="3">
        <f t="shared" si="84"/>
        <v>46107.636448757119</v>
      </c>
      <c r="DB20" s="3">
        <f t="shared" si="84"/>
        <v>46568.712813244689</v>
      </c>
      <c r="DC20" s="3">
        <f t="shared" si="84"/>
        <v>47034.399941377138</v>
      </c>
      <c r="DD20" s="3">
        <f t="shared" si="84"/>
        <v>47504.743940790911</v>
      </c>
      <c r="DE20" s="3">
        <f t="shared" si="84"/>
        <v>47979.791380198818</v>
      </c>
      <c r="DF20" s="3">
        <f t="shared" si="84"/>
        <v>48459.589294000805</v>
      </c>
      <c r="DG20" s="3">
        <f t="shared" si="84"/>
        <v>48944.185186940813</v>
      </c>
      <c r="DH20" s="3">
        <f t="shared" si="84"/>
        <v>49433.62703881022</v>
      </c>
      <c r="DI20" s="3">
        <f t="shared" si="84"/>
        <v>49927.96330919832</v>
      </c>
      <c r="DJ20" s="3">
        <f t="shared" si="84"/>
        <v>50427.242942290301</v>
      </c>
      <c r="DK20" s="3">
        <f t="shared" si="84"/>
        <v>50931.515371713205</v>
      </c>
      <c r="DL20" s="3">
        <f t="shared" si="84"/>
        <v>51440.830525430341</v>
      </c>
      <c r="DM20" s="3">
        <f t="shared" si="84"/>
        <v>51955.238830684648</v>
      </c>
      <c r="DN20" s="3">
        <f t="shared" si="84"/>
        <v>52474.791218991493</v>
      </c>
      <c r="DO20" s="3">
        <f t="shared" si="84"/>
        <v>52999.539131181409</v>
      </c>
      <c r="DP20" s="3">
        <f t="shared" si="84"/>
        <v>53529.534522493224</v>
      </c>
      <c r="DQ20" s="3">
        <f t="shared" si="84"/>
        <v>54064.829867718159</v>
      </c>
    </row>
    <row r="21" spans="2:121" x14ac:dyDescent="0.2">
      <c r="B21" s="1" t="s">
        <v>28</v>
      </c>
      <c r="G21" s="6">
        <f t="shared" ref="G21" si="85">G20/G22</f>
        <v>0.89829417444480208</v>
      </c>
      <c r="H21" s="6">
        <f>H20/H22</f>
        <v>0.97504924491135914</v>
      </c>
      <c r="I21" s="6">
        <f>I20/I22</f>
        <v>1.2421509686038743</v>
      </c>
      <c r="J21" s="6">
        <f>J20/J22</f>
        <v>1.4223581379544683</v>
      </c>
      <c r="K21" s="6">
        <f t="shared" ref="K21:R21" si="86">K20/K22</f>
        <v>0.99965047186298495</v>
      </c>
      <c r="L21" s="6">
        <f t="shared" si="86"/>
        <v>1.2973273942093542</v>
      </c>
      <c r="M21" s="6">
        <f t="shared" si="86"/>
        <v>1.0718954248366013</v>
      </c>
      <c r="N21" s="6">
        <f t="shared" si="86"/>
        <v>1.363238512035011</v>
      </c>
      <c r="O21" s="6">
        <f t="shared" si="86"/>
        <v>0.96541681834728799</v>
      </c>
      <c r="P21" s="6">
        <f t="shared" si="86"/>
        <v>1.3656227239621268</v>
      </c>
      <c r="Q21" s="6">
        <f t="shared" si="86"/>
        <v>1.1083777130371448</v>
      </c>
      <c r="R21" s="6">
        <f t="shared" si="86"/>
        <v>1.319313911143482</v>
      </c>
      <c r="U21" s="6">
        <f t="shared" ref="U21" si="87">U20/U22</f>
        <v>3.334405144694534</v>
      </c>
      <c r="V21" s="6">
        <f t="shared" ref="V21" si="88">V20/V22</f>
        <v>3.6020036429872495</v>
      </c>
      <c r="W21" s="6">
        <f>W20/W22</f>
        <v>4.852746525479815</v>
      </c>
      <c r="X21" s="6">
        <f t="shared" ref="X21:Y21" si="89">X20/X22</f>
        <v>4.7713567839195976</v>
      </c>
      <c r="Y21" s="6">
        <f t="shared" si="89"/>
        <v>4.4298374874829296</v>
      </c>
      <c r="Z21" s="6">
        <f t="shared" ref="Z21:AF21" si="90">Z20/Z22</f>
        <v>5.9850252840054612</v>
      </c>
      <c r="AA21" s="6">
        <f t="shared" si="90"/>
        <v>6.3092959900273806</v>
      </c>
      <c r="AB21" s="6">
        <f t="shared" si="90"/>
        <v>6.645664611831517</v>
      </c>
      <c r="AC21" s="6">
        <f t="shared" si="90"/>
        <v>6.994531079090736</v>
      </c>
      <c r="AD21" s="6">
        <f t="shared" si="90"/>
        <v>7.3563079113351373</v>
      </c>
      <c r="AE21" s="6">
        <f t="shared" si="90"/>
        <v>7.7314206056357007</v>
      </c>
      <c r="AF21" s="6">
        <f t="shared" si="90"/>
        <v>8.1203080360965121</v>
      </c>
    </row>
    <row r="22" spans="2:121" s="3" customFormat="1" x14ac:dyDescent="0.2">
      <c r="B22" s="3" t="s">
        <v>1</v>
      </c>
      <c r="C22" s="5"/>
      <c r="D22" s="5"/>
      <c r="E22" s="5"/>
      <c r="F22" s="5"/>
      <c r="G22" s="5">
        <v>3107</v>
      </c>
      <c r="H22" s="5">
        <v>3046</v>
      </c>
      <c r="I22" s="5">
        <v>2994</v>
      </c>
      <c r="J22" s="5">
        <v>2943</v>
      </c>
      <c r="K22" s="5">
        <v>2861</v>
      </c>
      <c r="L22" s="5">
        <v>2694</v>
      </c>
      <c r="M22" s="5">
        <v>2754</v>
      </c>
      <c r="N22" s="5">
        <v>2742</v>
      </c>
      <c r="O22" s="5">
        <v>2747</v>
      </c>
      <c r="P22" s="5">
        <v>2746</v>
      </c>
      <c r="Q22" s="5">
        <f t="shared" ref="P22:R22" si="91">P22</f>
        <v>2746</v>
      </c>
      <c r="R22" s="5">
        <f t="shared" si="91"/>
        <v>2746</v>
      </c>
      <c r="S22" s="5"/>
      <c r="U22" s="5">
        <v>3732</v>
      </c>
      <c r="V22" s="5">
        <v>3294</v>
      </c>
      <c r="W22" s="5">
        <v>3022</v>
      </c>
      <c r="X22" s="5">
        <v>2786</v>
      </c>
      <c r="Y22" s="3">
        <f>AVERAGE(O22:R22)</f>
        <v>2746.25</v>
      </c>
      <c r="Z22" s="3">
        <f>Y22</f>
        <v>2746.25</v>
      </c>
      <c r="AA22" s="3">
        <f t="shared" ref="AA22:AF22" si="92">Z22</f>
        <v>2746.25</v>
      </c>
      <c r="AB22" s="3">
        <f t="shared" si="92"/>
        <v>2746.25</v>
      </c>
      <c r="AC22" s="3">
        <f t="shared" si="92"/>
        <v>2746.25</v>
      </c>
      <c r="AD22" s="3">
        <f t="shared" si="92"/>
        <v>2746.25</v>
      </c>
      <c r="AE22" s="3">
        <f t="shared" si="92"/>
        <v>2746.25</v>
      </c>
      <c r="AF22" s="3">
        <f t="shared" si="92"/>
        <v>2746.25</v>
      </c>
    </row>
    <row r="23" spans="2:121" x14ac:dyDescent="0.2">
      <c r="B23" s="1" t="s">
        <v>29</v>
      </c>
      <c r="N23" s="4">
        <v>1.54</v>
      </c>
      <c r="O23" s="4">
        <v>1.03</v>
      </c>
      <c r="P23" s="4">
        <v>1.21</v>
      </c>
      <c r="X23" s="4">
        <v>1.54</v>
      </c>
    </row>
    <row r="25" spans="2:121" x14ac:dyDescent="0.2">
      <c r="B25" s="1" t="s">
        <v>32</v>
      </c>
      <c r="K25" s="7">
        <f>K9/G9-1</f>
        <v>3.8539553752535483E-2</v>
      </c>
      <c r="L25" s="7">
        <f>L9/H9-1</f>
        <v>5.7142857142857162E-2</v>
      </c>
      <c r="M25" s="7">
        <f>M9/I9-1</f>
        <v>4.2439266236985684E-2</v>
      </c>
      <c r="N25" s="7">
        <f>N9/J9-1</f>
        <v>5.4600516611739591E-2</v>
      </c>
      <c r="O25" s="7">
        <f t="shared" ref="O25:R25" si="93">O9/K9-1</f>
        <v>0.17650082236842102</v>
      </c>
      <c r="P25" s="7">
        <f t="shared" si="93"/>
        <v>0.18484555984555984</v>
      </c>
      <c r="Q25" s="7">
        <f t="shared" si="93"/>
        <v>3.0000000000000027E-2</v>
      </c>
      <c r="R25" s="7">
        <f t="shared" si="93"/>
        <v>3.0000000000000027E-2</v>
      </c>
      <c r="S25" s="7"/>
      <c r="U25" s="13"/>
      <c r="V25" s="13">
        <f t="shared" ref="V25:W25" si="94">V9/U9-1</f>
        <v>-1.108692350529028E-2</v>
      </c>
      <c r="W25" s="13">
        <f t="shared" si="94"/>
        <v>3.6116514794716892E-2</v>
      </c>
      <c r="X25" s="13">
        <f>X9/W9-1</f>
        <v>4.8444872650015958E-2</v>
      </c>
      <c r="Y25" s="13">
        <f t="shared" ref="Y25:AF25" si="95">Y9/X9-1</f>
        <v>0.10140409990574928</v>
      </c>
      <c r="Z25" s="13">
        <f t="shared" si="95"/>
        <v>3.0000000000000027E-2</v>
      </c>
      <c r="AA25" s="13">
        <f t="shared" si="95"/>
        <v>3.0000000000000027E-2</v>
      </c>
      <c r="AB25" s="13">
        <f t="shared" si="95"/>
        <v>3.0000000000000027E-2</v>
      </c>
      <c r="AC25" s="13">
        <f t="shared" si="95"/>
        <v>3.0000000000000027E-2</v>
      </c>
      <c r="AD25" s="13">
        <f t="shared" si="95"/>
        <v>3.0000000000000027E-2</v>
      </c>
      <c r="AE25" s="13">
        <f t="shared" si="95"/>
        <v>3.0000000000000027E-2</v>
      </c>
      <c r="AF25" s="13">
        <f t="shared" si="95"/>
        <v>3.0000000000000027E-2</v>
      </c>
    </row>
    <row r="26" spans="2:121" x14ac:dyDescent="0.2">
      <c r="B26" s="1" t="s">
        <v>18</v>
      </c>
      <c r="G26" s="7">
        <f t="shared" ref="G26:M26" si="96">G11/G9</f>
        <v>0.79929539874025834</v>
      </c>
      <c r="H26" s="7">
        <f t="shared" si="96"/>
        <v>0.80214285714285716</v>
      </c>
      <c r="I26" s="7">
        <f t="shared" si="96"/>
        <v>0.8101140307387209</v>
      </c>
      <c r="J26" s="7">
        <f t="shared" si="96"/>
        <v>0.81099136011401085</v>
      </c>
      <c r="K26" s="7">
        <f t="shared" si="96"/>
        <v>0.78381990131578949</v>
      </c>
      <c r="L26" s="7">
        <f t="shared" si="96"/>
        <v>0.79160231660231661</v>
      </c>
      <c r="M26" s="7">
        <f t="shared" si="96"/>
        <v>0.78902311423951299</v>
      </c>
      <c r="N26" s="7">
        <f>N11/N9</f>
        <v>0.79763513513513518</v>
      </c>
      <c r="O26" s="7">
        <f t="shared" ref="O26:R26" si="97">O11/O9</f>
        <v>0.73464394932284838</v>
      </c>
      <c r="P26" s="7">
        <f t="shared" si="97"/>
        <v>0.8</v>
      </c>
      <c r="Q26" s="7">
        <f t="shared" si="97"/>
        <v>0.8</v>
      </c>
      <c r="R26" s="7">
        <f t="shared" si="97"/>
        <v>0.8</v>
      </c>
      <c r="S26" s="7"/>
      <c r="T26" s="7"/>
      <c r="U26" s="7">
        <f t="shared" ref="U26:W26" si="98">U11/U9</f>
        <v>0.79762567711233734</v>
      </c>
      <c r="V26" s="7">
        <f t="shared" si="98"/>
        <v>0.79681580833418653</v>
      </c>
      <c r="W26" s="7">
        <f t="shared" si="98"/>
        <v>0.80594876355641198</v>
      </c>
      <c r="X26" s="7">
        <f>X11/X9</f>
        <v>0.79083411875589071</v>
      </c>
      <c r="Y26" s="7">
        <f t="shared" ref="Y26:AF26" si="99">Y11/Y9</f>
        <v>0.76467964912408304</v>
      </c>
      <c r="Z26" s="7">
        <f t="shared" si="99"/>
        <v>0.8</v>
      </c>
      <c r="AA26" s="7">
        <f t="shared" si="99"/>
        <v>0.8</v>
      </c>
      <c r="AB26" s="7">
        <f t="shared" si="99"/>
        <v>0.8</v>
      </c>
      <c r="AC26" s="7">
        <f t="shared" si="99"/>
        <v>0.79999999999999993</v>
      </c>
      <c r="AD26" s="7">
        <f t="shared" si="99"/>
        <v>0.8</v>
      </c>
      <c r="AE26" s="7">
        <f t="shared" si="99"/>
        <v>0.8</v>
      </c>
      <c r="AF26" s="7">
        <f t="shared" si="99"/>
        <v>0.8</v>
      </c>
    </row>
    <row r="27" spans="2:121" x14ac:dyDescent="0.2">
      <c r="B27" s="1" t="s">
        <v>90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>
        <f t="shared" ref="U27:W27" si="100">U16/U9</f>
        <v>0.39768642737811977</v>
      </c>
      <c r="V27" s="7">
        <f t="shared" si="100"/>
        <v>0.40411590048121226</v>
      </c>
      <c r="W27" s="7">
        <f t="shared" si="100"/>
        <v>0.42394822006472493</v>
      </c>
      <c r="X27" s="7">
        <f>X16/X9</f>
        <v>0.40009425070688032</v>
      </c>
      <c r="Y27" s="7">
        <f t="shared" ref="Y27:AF27" si="101">Y16/Y9</f>
        <v>0.37654086902610595</v>
      </c>
      <c r="Z27" s="7">
        <f t="shared" si="101"/>
        <v>0.41760438833815744</v>
      </c>
      <c r="AA27" s="7">
        <f t="shared" si="101"/>
        <v>0.42325345162898409</v>
      </c>
      <c r="AB27" s="7">
        <f t="shared" si="101"/>
        <v>0.42881006800365085</v>
      </c>
      <c r="AC27" s="7">
        <f t="shared" si="101"/>
        <v>0.43427586513399391</v>
      </c>
      <c r="AD27" s="7">
        <f t="shared" si="101"/>
        <v>0.43965244071194903</v>
      </c>
      <c r="AE27" s="7">
        <f t="shared" si="101"/>
        <v>0.44494136301590514</v>
      </c>
      <c r="AF27" s="7">
        <f t="shared" si="101"/>
        <v>0.45014417146621377</v>
      </c>
    </row>
    <row r="28" spans="2:121" x14ac:dyDescent="0.2">
      <c r="B28" s="1" t="s">
        <v>83</v>
      </c>
      <c r="G28" s="7"/>
      <c r="H28" s="7"/>
      <c r="I28" s="7"/>
      <c r="J28" s="7"/>
      <c r="K28" s="7">
        <f t="shared" ref="K28:N28" si="102">K19/K18</f>
        <v>7.2632944228274973E-2</v>
      </c>
      <c r="L28" s="7">
        <f t="shared" si="102"/>
        <v>0</v>
      </c>
      <c r="M28" s="7">
        <f t="shared" si="102"/>
        <v>0.15001439677512238</v>
      </c>
      <c r="N28" s="7">
        <f t="shared" si="102"/>
        <v>0.10424155283968368</v>
      </c>
      <c r="O28" s="7">
        <f>O19/O18</f>
        <v>3.9130434782608699E-2</v>
      </c>
      <c r="P28" s="7">
        <f t="shared" ref="P28:R28" si="103">P19/P18</f>
        <v>9.7038285576691544E-2</v>
      </c>
      <c r="Q28" s="7">
        <f t="shared" si="103"/>
        <v>0.15</v>
      </c>
      <c r="R28" s="7">
        <f t="shared" si="103"/>
        <v>0.15</v>
      </c>
      <c r="S28" s="7"/>
      <c r="T28" s="7"/>
      <c r="U28" s="7">
        <f t="shared" ref="U28:AF28" si="104">U19/U18</f>
        <v>8.6946951353731011E-2</v>
      </c>
      <c r="V28" s="7">
        <f t="shared" si="104"/>
        <v>0.13978104835786268</v>
      </c>
      <c r="W28" s="7">
        <f t="shared" si="104"/>
        <v>0</v>
      </c>
      <c r="X28" s="7">
        <f t="shared" si="104"/>
        <v>6.5518453427065027E-2</v>
      </c>
      <c r="Y28" s="7">
        <f t="shared" si="104"/>
        <v>0.12181089957374908</v>
      </c>
      <c r="Z28" s="7">
        <f t="shared" si="104"/>
        <v>0.15</v>
      </c>
      <c r="AA28" s="7">
        <f t="shared" si="104"/>
        <v>0.15</v>
      </c>
      <c r="AB28" s="7">
        <f t="shared" si="104"/>
        <v>0.15</v>
      </c>
      <c r="AC28" s="7">
        <f t="shared" si="104"/>
        <v>0.15</v>
      </c>
      <c r="AD28" s="7">
        <f t="shared" si="104"/>
        <v>0.15</v>
      </c>
      <c r="AE28" s="7">
        <f t="shared" si="104"/>
        <v>0.15</v>
      </c>
      <c r="AF28" s="7">
        <f t="shared" si="104"/>
        <v>0.15</v>
      </c>
    </row>
    <row r="30" spans="2:121" x14ac:dyDescent="0.2">
      <c r="B30" s="1" t="s">
        <v>70</v>
      </c>
      <c r="N30" s="5">
        <f>N31-N40</f>
        <v>-53957</v>
      </c>
      <c r="O30" s="5">
        <f>O31-O40</f>
        <v>0</v>
      </c>
      <c r="P30" s="5">
        <f>P31-P40</f>
        <v>-83569</v>
      </c>
      <c r="Q30" s="5">
        <f t="shared" ref="P30:R30" si="105">P30+Q20</f>
        <v>-80525.394799999995</v>
      </c>
      <c r="R30" s="5">
        <f t="shared" si="105"/>
        <v>-76902.558799999999</v>
      </c>
      <c r="Y30" s="3">
        <f>R30</f>
        <v>-76902.558799999999</v>
      </c>
      <c r="Z30" s="3">
        <f>Y30+Z20</f>
        <v>-60466.183113799998</v>
      </c>
      <c r="AA30" s="3">
        <f t="shared" ref="AA30:AF30" si="106">Z30+AA20</f>
        <v>-43139.2790011873</v>
      </c>
      <c r="AB30" s="3">
        <f t="shared" si="106"/>
        <v>-24888.622560944998</v>
      </c>
      <c r="AC30" s="3">
        <f t="shared" si="106"/>
        <v>-5679.8915849920631</v>
      </c>
      <c r="AD30" s="3">
        <f t="shared" si="106"/>
        <v>14522.369016512057</v>
      </c>
      <c r="AE30" s="3">
        <f t="shared" si="106"/>
        <v>35754.782854739096</v>
      </c>
      <c r="AF30" s="3">
        <f t="shared" si="106"/>
        <v>58055.178798869143</v>
      </c>
      <c r="AH30" s="1" t="s">
        <v>87</v>
      </c>
      <c r="AI30" s="14">
        <v>0.01</v>
      </c>
    </row>
    <row r="31" spans="2:121" s="3" customFormat="1" x14ac:dyDescent="0.2">
      <c r="B31" s="3" t="s">
        <v>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>
        <f>21383+519</f>
        <v>21902</v>
      </c>
      <c r="O31" s="5"/>
      <c r="P31" s="5">
        <f>6813+537</f>
        <v>7350</v>
      </c>
      <c r="Q31" s="5"/>
      <c r="R31" s="5"/>
      <c r="S31" s="5"/>
      <c r="U31" s="5"/>
      <c r="V31" s="5"/>
      <c r="W31" s="5"/>
      <c r="X31" s="5"/>
      <c r="AH31" s="1" t="s">
        <v>84</v>
      </c>
      <c r="AI31" s="14">
        <v>0.01</v>
      </c>
    </row>
    <row r="32" spans="2:121" s="3" customFormat="1" x14ac:dyDescent="0.2">
      <c r="B32" s="3" t="s">
        <v>57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>
        <v>5953</v>
      </c>
      <c r="O32" s="5"/>
      <c r="P32" s="5">
        <v>6197</v>
      </c>
      <c r="Q32" s="5"/>
      <c r="R32" s="5"/>
      <c r="S32" s="5"/>
      <c r="U32" s="5"/>
      <c r="V32" s="5"/>
      <c r="W32" s="5"/>
      <c r="X32" s="5"/>
      <c r="AH32" s="1" t="s">
        <v>85</v>
      </c>
      <c r="AI32" s="14">
        <v>0.06</v>
      </c>
    </row>
    <row r="33" spans="2:35" s="3" customFormat="1" x14ac:dyDescent="0.2">
      <c r="B33" s="3" t="s">
        <v>58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>
        <v>3778</v>
      </c>
      <c r="O33" s="5"/>
      <c r="P33" s="5">
        <v>4014</v>
      </c>
      <c r="Q33" s="5"/>
      <c r="R33" s="5"/>
      <c r="S33" s="5"/>
      <c r="U33" s="5"/>
      <c r="V33" s="5"/>
      <c r="W33" s="5"/>
      <c r="X33" s="5"/>
      <c r="AH33" s="1" t="s">
        <v>86</v>
      </c>
      <c r="AI33" s="3">
        <f>NPV(AI32,Z20:DQ20)+N30</f>
        <v>347927.38979726465</v>
      </c>
    </row>
    <row r="34" spans="2:35" s="3" customFormat="1" x14ac:dyDescent="0.2">
      <c r="B34" s="3" t="s">
        <v>59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>
        <v>9716</v>
      </c>
      <c r="O34" s="5"/>
      <c r="P34" s="5">
        <v>14351</v>
      </c>
      <c r="Q34" s="5"/>
      <c r="R34" s="5"/>
      <c r="S34" s="5"/>
      <c r="U34" s="5"/>
      <c r="V34" s="5"/>
      <c r="W34" s="5"/>
      <c r="X34" s="5"/>
      <c r="AH34" s="1" t="s">
        <v>88</v>
      </c>
      <c r="AI34" s="15">
        <f>AI33/O22</f>
        <v>126.65722235066059</v>
      </c>
    </row>
    <row r="35" spans="2:35" s="3" customFormat="1" x14ac:dyDescent="0.2">
      <c r="B35" s="3" t="s">
        <v>60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>
        <f>1440+43811</f>
        <v>45251</v>
      </c>
      <c r="O35" s="5"/>
      <c r="P35" s="5">
        <f>11593+61513</f>
        <v>73106</v>
      </c>
      <c r="Q35" s="5"/>
      <c r="R35" s="5"/>
      <c r="S35" s="5"/>
      <c r="U35" s="5"/>
      <c r="V35" s="5"/>
      <c r="W35" s="5"/>
      <c r="X35" s="5"/>
      <c r="AH35" s="1" t="s">
        <v>89</v>
      </c>
      <c r="AI35" s="14">
        <f>AI34/Main!G2-1</f>
        <v>0.58321527938325746</v>
      </c>
    </row>
    <row r="36" spans="2:35" s="3" customFormat="1" x14ac:dyDescent="0.2">
      <c r="B36" s="3" t="s">
        <v>61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>
        <v>12782</v>
      </c>
      <c r="O36" s="5"/>
      <c r="P36" s="5">
        <v>12091</v>
      </c>
      <c r="Q36" s="5"/>
      <c r="R36" s="5"/>
      <c r="S36" s="5"/>
      <c r="U36" s="5"/>
      <c r="V36" s="5"/>
      <c r="W36" s="5"/>
      <c r="X36" s="5"/>
    </row>
    <row r="37" spans="2:35" s="3" customFormat="1" x14ac:dyDescent="0.2">
      <c r="B37" s="3" t="s">
        <v>62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>
        <v>9915</v>
      </c>
      <c r="O37" s="5"/>
      <c r="P37" s="5">
        <v>11360</v>
      </c>
      <c r="Q37" s="5"/>
      <c r="R37" s="5"/>
      <c r="S37" s="5"/>
      <c r="U37" s="5"/>
      <c r="V37" s="5"/>
      <c r="W37" s="5"/>
      <c r="X37" s="5"/>
    </row>
    <row r="38" spans="2:35" s="3" customFormat="1" x14ac:dyDescent="0.2">
      <c r="B38" s="3" t="s">
        <v>56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>
        <f>SUM(N31:N37)</f>
        <v>109297</v>
      </c>
      <c r="O38" s="5">
        <f>SUM(O31:O37)</f>
        <v>0</v>
      </c>
      <c r="P38" s="5">
        <f>SUM(P31:P37)</f>
        <v>128469</v>
      </c>
      <c r="Q38" s="5"/>
      <c r="R38" s="5"/>
      <c r="S38" s="5"/>
      <c r="U38" s="5"/>
      <c r="V38" s="5"/>
      <c r="W38" s="5"/>
      <c r="X38" s="5"/>
    </row>
    <row r="40" spans="2:35" s="3" customFormat="1" x14ac:dyDescent="0.2">
      <c r="B40" s="3" t="s">
        <v>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>
        <f>3749+72110</f>
        <v>75859</v>
      </c>
      <c r="O40" s="5"/>
      <c r="P40" s="5">
        <f>81173+9746</f>
        <v>90919</v>
      </c>
      <c r="Q40" s="5"/>
      <c r="R40" s="5"/>
      <c r="S40" s="5"/>
      <c r="U40" s="5"/>
      <c r="V40" s="5"/>
      <c r="W40" s="5"/>
      <c r="X40" s="5"/>
    </row>
    <row r="41" spans="2:35" s="3" customFormat="1" x14ac:dyDescent="0.2">
      <c r="B41" s="3" t="s">
        <v>64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1317</v>
      </c>
      <c r="O41" s="5"/>
      <c r="P41" s="5">
        <v>1647</v>
      </c>
      <c r="Q41" s="5"/>
      <c r="R41" s="5"/>
      <c r="S41" s="5"/>
      <c r="U41" s="5"/>
      <c r="V41" s="5"/>
      <c r="W41" s="5"/>
      <c r="X41" s="5"/>
    </row>
    <row r="42" spans="2:35" s="3" customFormat="1" x14ac:dyDescent="0.2">
      <c r="B42" s="3" t="s">
        <v>65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>
        <v>1944</v>
      </c>
      <c r="O42" s="5"/>
      <c r="P42" s="5">
        <v>1780</v>
      </c>
      <c r="Q42" s="5"/>
      <c r="R42" s="5"/>
      <c r="S42" s="5"/>
      <c r="U42" s="5"/>
      <c r="V42" s="5"/>
      <c r="W42" s="5"/>
      <c r="X42" s="5"/>
    </row>
    <row r="43" spans="2:35" s="3" customFormat="1" x14ac:dyDescent="0.2">
      <c r="B43" s="3" t="s">
        <v>63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>
        <v>8357</v>
      </c>
      <c r="O43" s="5"/>
      <c r="P43" s="5">
        <v>8705</v>
      </c>
      <c r="Q43" s="5"/>
      <c r="R43" s="5"/>
      <c r="S43" s="5"/>
      <c r="U43" s="5"/>
      <c r="V43" s="5"/>
      <c r="W43" s="5"/>
      <c r="X43" s="5"/>
    </row>
    <row r="44" spans="2:35" s="3" customFormat="1" x14ac:dyDescent="0.2">
      <c r="B44" s="3" t="s">
        <v>66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>
        <v>4144</v>
      </c>
      <c r="O44" s="5"/>
      <c r="P44" s="5">
        <v>5228</v>
      </c>
      <c r="Q44" s="5"/>
      <c r="R44" s="5"/>
      <c r="S44" s="5"/>
      <c r="U44" s="5"/>
      <c r="V44" s="5"/>
      <c r="W44" s="5"/>
      <c r="X44" s="5"/>
    </row>
    <row r="45" spans="2:35" s="3" customFormat="1" x14ac:dyDescent="0.2">
      <c r="B45" s="3" t="s">
        <v>61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>
        <f>12210+6031</f>
        <v>18241</v>
      </c>
      <c r="O45" s="5"/>
      <c r="P45" s="5">
        <f>11128+7165</f>
        <v>18293</v>
      </c>
      <c r="Q45" s="5"/>
      <c r="R45" s="5"/>
      <c r="S45" s="5"/>
      <c r="U45" s="5"/>
      <c r="V45" s="5"/>
      <c r="W45" s="5"/>
      <c r="X45" s="5"/>
    </row>
    <row r="46" spans="2:35" s="3" customFormat="1" x14ac:dyDescent="0.2">
      <c r="B46" s="3" t="s">
        <v>67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>
        <v>5203</v>
      </c>
      <c r="O46" s="5"/>
      <c r="P46" s="5">
        <v>5673</v>
      </c>
      <c r="Q46" s="5"/>
      <c r="R46" s="5"/>
      <c r="S46" s="5"/>
      <c r="U46" s="5"/>
      <c r="V46" s="5"/>
      <c r="W46" s="5"/>
      <c r="X46" s="5"/>
    </row>
    <row r="47" spans="2:35" s="3" customFormat="1" x14ac:dyDescent="0.2">
      <c r="B47" s="3" t="s">
        <v>68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>
        <v>-5768</v>
      </c>
      <c r="O47" s="5"/>
      <c r="P47" s="5">
        <f>-4246+470</f>
        <v>-3776</v>
      </c>
      <c r="Q47" s="5"/>
      <c r="R47" s="5"/>
      <c r="S47" s="5"/>
      <c r="U47" s="5"/>
      <c r="V47" s="5"/>
      <c r="W47" s="5"/>
      <c r="X47" s="5"/>
    </row>
    <row r="48" spans="2:35" s="3" customFormat="1" x14ac:dyDescent="0.2">
      <c r="B48" s="3" t="s">
        <v>69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>
        <f>SUM(N40:N47)</f>
        <v>109297</v>
      </c>
      <c r="O48" s="5">
        <f>SUM(O40:O47)</f>
        <v>0</v>
      </c>
      <c r="P48" s="5">
        <f>SUM(P40:P47)</f>
        <v>128469</v>
      </c>
      <c r="Q48" s="5"/>
      <c r="R48" s="5"/>
      <c r="S48" s="5"/>
      <c r="U48" s="5"/>
      <c r="V48" s="5"/>
      <c r="W48" s="5"/>
      <c r="X48" s="5"/>
    </row>
    <row r="50" spans="2:24" s="3" customFormat="1" x14ac:dyDescent="0.2">
      <c r="B50" s="3" t="s">
        <v>72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U50" s="5"/>
      <c r="V50" s="5"/>
      <c r="W50" s="5"/>
      <c r="X50" s="5">
        <f>+X20</f>
        <v>13293</v>
      </c>
    </row>
    <row r="51" spans="2:24" s="3" customFormat="1" x14ac:dyDescent="0.2">
      <c r="B51" s="3" t="s">
        <v>73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U51" s="5"/>
      <c r="V51" s="5"/>
      <c r="W51" s="5"/>
      <c r="X51" s="5">
        <v>6717</v>
      </c>
    </row>
    <row r="52" spans="2:24" s="3" customFormat="1" x14ac:dyDescent="0.2">
      <c r="B52" s="3" t="s">
        <v>74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U52" s="5"/>
      <c r="V52" s="5"/>
      <c r="W52" s="5"/>
      <c r="X52" s="5">
        <v>1972</v>
      </c>
    </row>
    <row r="53" spans="2:24" s="3" customFormat="1" x14ac:dyDescent="0.2">
      <c r="B53" s="3" t="s">
        <v>75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U53" s="5"/>
      <c r="V53" s="5"/>
      <c r="W53" s="5"/>
      <c r="X53" s="5">
        <v>1150</v>
      </c>
    </row>
    <row r="54" spans="2:24" s="3" customFormat="1" x14ac:dyDescent="0.2">
      <c r="B54" s="3" t="s">
        <v>61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U54" s="5"/>
      <c r="V54" s="5"/>
      <c r="W54" s="5"/>
      <c r="X54" s="5">
        <v>-1146</v>
      </c>
    </row>
    <row r="55" spans="2:24" s="3" customFormat="1" x14ac:dyDescent="0.2">
      <c r="B55" s="3" t="s">
        <v>76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U55" s="5"/>
      <c r="V55" s="5"/>
      <c r="W55" s="5"/>
      <c r="X55" s="5">
        <v>2613</v>
      </c>
    </row>
    <row r="56" spans="2:24" s="3" customFormat="1" x14ac:dyDescent="0.2">
      <c r="B56" s="3" t="s">
        <v>77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U56" s="5"/>
      <c r="V56" s="5"/>
      <c r="W56" s="5"/>
      <c r="X56" s="5">
        <v>220</v>
      </c>
    </row>
    <row r="57" spans="2:24" s="3" customFormat="1" x14ac:dyDescent="0.2">
      <c r="B57" s="3" t="s">
        <v>78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U57" s="5"/>
      <c r="V57" s="5"/>
      <c r="W57" s="5"/>
      <c r="X57" s="5">
        <f>-874+11-733-398+7</f>
        <v>-1987</v>
      </c>
    </row>
    <row r="58" spans="2:24" s="3" customFormat="1" x14ac:dyDescent="0.2">
      <c r="B58" s="3" t="s">
        <v>79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U58" s="5"/>
      <c r="V58" s="5">
        <v>13139</v>
      </c>
      <c r="W58" s="5">
        <v>15887</v>
      </c>
      <c r="X58" s="5">
        <f>SUM(X51:X57)</f>
        <v>9539</v>
      </c>
    </row>
    <row r="60" spans="2:24" s="3" customFormat="1" x14ac:dyDescent="0.2">
      <c r="B60" s="3" t="s">
        <v>80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U60" s="5"/>
      <c r="V60" s="5">
        <v>-1564</v>
      </c>
      <c r="W60" s="5">
        <v>-2135</v>
      </c>
      <c r="X60" s="5">
        <v>-4511</v>
      </c>
    </row>
    <row r="61" spans="2:24" s="3" customFormat="1" x14ac:dyDescent="0.2">
      <c r="B61" s="3" t="s">
        <v>81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U61" s="5"/>
      <c r="V61" s="5"/>
      <c r="W61" s="5"/>
      <c r="X61" s="5">
        <v>-148</v>
      </c>
    </row>
    <row r="62" spans="2:24" s="3" customFormat="1" x14ac:dyDescent="0.2">
      <c r="B62" s="3" t="s">
        <v>82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U62" s="5"/>
      <c r="V62" s="5"/>
      <c r="W62" s="5"/>
      <c r="X62" s="5">
        <f>-10272+19788+6363</f>
        <v>15879</v>
      </c>
    </row>
    <row r="63" spans="2:24" s="3" customFormat="1" x14ac:dyDescent="0.2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U63" s="5"/>
      <c r="V63" s="5"/>
      <c r="W63" s="5"/>
      <c r="X63" s="5">
        <f>SUM(X60:X62)</f>
        <v>11220</v>
      </c>
    </row>
  </sheetData>
  <hyperlinks>
    <hyperlink ref="A1" location="Main!A1" display="Main" xr:uid="{9063304A-9B64-48AF-9309-873C7B521AD3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2022-06-26T21:24:14Z</dcterms:created>
  <dcterms:modified xsi:type="dcterms:W3CDTF">2022-12-19T02:46:41Z</dcterms:modified>
</cp:coreProperties>
</file>