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A9962B4-BCD5-42C5-B221-AC4535C27FC5}" xr6:coauthVersionLast="47" xr6:coauthVersionMax="47" xr10:uidLastSave="{00000000-0000-0000-0000-000000000000}"/>
  <bookViews>
    <workbookView xWindow="3480" yWindow="840" windowWidth="27390" windowHeight="19545" activeTab="1" xr2:uid="{CD182038-7304-4EC0-81DB-78F78E8AB6DD}"/>
  </bookViews>
  <sheets>
    <sheet name="Main" sheetId="1" r:id="rId1"/>
    <sheet name="Model" sheetId="2" r:id="rId2"/>
    <sheet name="Second 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2" l="1"/>
  <c r="AE4" i="2"/>
  <c r="AE26" i="2"/>
  <c r="AE92" i="2"/>
  <c r="AE90" i="2"/>
  <c r="AE88" i="2"/>
  <c r="AE83" i="2"/>
  <c r="AE82" i="2"/>
  <c r="M6" i="1"/>
  <c r="M5" i="1"/>
  <c r="AE77" i="2"/>
  <c r="AE78" i="2" s="1"/>
  <c r="AE59" i="2"/>
  <c r="AE58" i="2"/>
  <c r="AE62" i="2"/>
  <c r="AE54" i="2"/>
  <c r="AE46" i="2"/>
  <c r="AE28" i="2"/>
  <c r="AE30" i="2" s="1"/>
  <c r="AE32" i="2" s="1"/>
  <c r="AE43" i="2" s="1"/>
  <c r="BH80" i="2"/>
  <c r="BG80" i="2"/>
  <c r="BH77" i="2"/>
  <c r="BG77" i="2"/>
  <c r="BH76" i="2"/>
  <c r="BG76" i="2"/>
  <c r="BH75" i="2"/>
  <c r="BG75" i="2"/>
  <c r="BH74" i="2"/>
  <c r="BG74" i="2"/>
  <c r="BH73" i="2"/>
  <c r="BG73" i="2"/>
  <c r="BH72" i="2"/>
  <c r="BG72" i="2"/>
  <c r="BH71" i="2"/>
  <c r="BG71" i="2"/>
  <c r="BH70" i="2"/>
  <c r="BG70" i="2"/>
  <c r="BH69" i="2"/>
  <c r="BG69" i="2"/>
  <c r="BH68" i="2"/>
  <c r="BG68" i="2"/>
  <c r="BH67" i="2"/>
  <c r="BG67" i="2"/>
  <c r="BH66" i="2"/>
  <c r="BG66" i="2"/>
  <c r="BG78" i="2" s="1"/>
  <c r="BH65" i="2"/>
  <c r="BG65" i="2"/>
  <c r="BH30" i="2"/>
  <c r="BG30" i="2"/>
  <c r="BH29" i="2"/>
  <c r="BG29" i="2"/>
  <c r="BH28" i="2"/>
  <c r="BG28" i="2"/>
  <c r="BH27" i="2"/>
  <c r="BG27" i="2"/>
  <c r="BH26" i="2"/>
  <c r="BG26" i="2"/>
  <c r="BG33" i="2"/>
  <c r="BG31" i="2"/>
  <c r="BH33" i="2"/>
  <c r="BH31" i="2"/>
  <c r="F31" i="2"/>
  <c r="F33" i="2"/>
  <c r="F29" i="2"/>
  <c r="F27" i="2"/>
  <c r="F28" i="2" s="1"/>
  <c r="F26" i="2"/>
  <c r="C31" i="2"/>
  <c r="E31" i="2"/>
  <c r="C28" i="2"/>
  <c r="C42" i="2" s="1"/>
  <c r="D28" i="2"/>
  <c r="D30" i="2" s="1"/>
  <c r="D32" i="2" s="1"/>
  <c r="G33" i="2"/>
  <c r="I31" i="2"/>
  <c r="H31" i="2"/>
  <c r="G31" i="2"/>
  <c r="J29" i="2"/>
  <c r="G28" i="2"/>
  <c r="G30" i="2" s="1"/>
  <c r="G32" i="2" s="1"/>
  <c r="J27" i="2"/>
  <c r="I26" i="2"/>
  <c r="I28" i="2" s="1"/>
  <c r="H26" i="2"/>
  <c r="H28" i="2" s="1"/>
  <c r="N29" i="2"/>
  <c r="N27" i="2"/>
  <c r="BD58" i="2"/>
  <c r="BD62" i="2" s="1"/>
  <c r="BD53" i="2"/>
  <c r="BD54" i="2"/>
  <c r="M31" i="2"/>
  <c r="M26" i="2"/>
  <c r="N26" i="2" s="1"/>
  <c r="N28" i="2" s="1"/>
  <c r="L31" i="2"/>
  <c r="L26" i="2"/>
  <c r="L28" i="2" s="1"/>
  <c r="K42" i="2"/>
  <c r="K33" i="2"/>
  <c r="N33" i="2" s="1"/>
  <c r="K31" i="2"/>
  <c r="K30" i="2"/>
  <c r="K28" i="2"/>
  <c r="AY21" i="2"/>
  <c r="AR42" i="2"/>
  <c r="AS44" i="2"/>
  <c r="AU44" i="2"/>
  <c r="AU43" i="2"/>
  <c r="AU42" i="2"/>
  <c r="AV44" i="2"/>
  <c r="AV42" i="2"/>
  <c r="AX8" i="2"/>
  <c r="AY8" i="2"/>
  <c r="AZ8" i="2"/>
  <c r="BA8" i="2"/>
  <c r="AE36" i="2"/>
  <c r="AF36" i="2" s="1"/>
  <c r="AG36" i="2" s="1"/>
  <c r="AH36" i="2" s="1"/>
  <c r="AG41" i="2"/>
  <c r="AF41" i="2"/>
  <c r="AE41" i="2"/>
  <c r="AG40" i="2"/>
  <c r="AF40" i="2"/>
  <c r="AE40" i="2"/>
  <c r="AH39" i="2"/>
  <c r="AG39" i="2"/>
  <c r="AF39" i="2"/>
  <c r="AE39" i="2"/>
  <c r="AH30" i="2"/>
  <c r="AH32" i="2" s="1"/>
  <c r="AG30" i="2"/>
  <c r="AF30" i="2"/>
  <c r="AG32" i="2"/>
  <c r="AG34" i="2" s="1"/>
  <c r="AF32" i="2"/>
  <c r="AF44" i="2" s="1"/>
  <c r="BF8" i="2"/>
  <c r="BF6" i="2"/>
  <c r="W6" i="2"/>
  <c r="X6" i="2" s="1"/>
  <c r="Y6" i="2" s="1"/>
  <c r="W5" i="2"/>
  <c r="X5" i="2" s="1"/>
  <c r="Y5" i="2" s="1"/>
  <c r="V6" i="2"/>
  <c r="X88" i="2"/>
  <c r="W88" i="2"/>
  <c r="Z86" i="2"/>
  <c r="Z72" i="2"/>
  <c r="Z66" i="2"/>
  <c r="Z65" i="2"/>
  <c r="Y89" i="2"/>
  <c r="Z89" i="2" s="1"/>
  <c r="Y87" i="2"/>
  <c r="Y88" i="2" s="1"/>
  <c r="Y82" i="2"/>
  <c r="Z82" i="2" s="1"/>
  <c r="Y80" i="2"/>
  <c r="Z80" i="2" s="1"/>
  <c r="Y81" i="2"/>
  <c r="Z81" i="2" s="1"/>
  <c r="Y68" i="2"/>
  <c r="Y75" i="2"/>
  <c r="Z75" i="2" s="1"/>
  <c r="Y76" i="2"/>
  <c r="Z76" i="2" s="1"/>
  <c r="Y74" i="2"/>
  <c r="Z74" i="2" s="1"/>
  <c r="Y73" i="2"/>
  <c r="Z73" i="2" s="1"/>
  <c r="Y71" i="2"/>
  <c r="Z71" i="2" s="1"/>
  <c r="Y66" i="2"/>
  <c r="Y65" i="2"/>
  <c r="Z59" i="2"/>
  <c r="Z58" i="2"/>
  <c r="Z62" i="2" s="1"/>
  <c r="Z46" i="2"/>
  <c r="Z54" i="2" s="1"/>
  <c r="AD72" i="2"/>
  <c r="Z13" i="2"/>
  <c r="Z12" i="2"/>
  <c r="AD12" i="2"/>
  <c r="Z11" i="2"/>
  <c r="AD11" i="2"/>
  <c r="Z10" i="2"/>
  <c r="AD10" i="2"/>
  <c r="AC26" i="2"/>
  <c r="AG26" i="2" s="1"/>
  <c r="Z25" i="2"/>
  <c r="Z41" i="2" s="1"/>
  <c r="Z24" i="2"/>
  <c r="Z40" i="2" s="1"/>
  <c r="Z23" i="2"/>
  <c r="AD25" i="2"/>
  <c r="AH41" i="2" s="1"/>
  <c r="AD24" i="2"/>
  <c r="AD40" i="2" s="1"/>
  <c r="AD23" i="2"/>
  <c r="AA5" i="2"/>
  <c r="AB5" i="2" s="1"/>
  <c r="AC5" i="2" s="1"/>
  <c r="Z6" i="2"/>
  <c r="Z4" i="2" s="1"/>
  <c r="W4" i="2" s="1"/>
  <c r="X4" i="2" s="1"/>
  <c r="Y4" i="2" s="1"/>
  <c r="AD6" i="2"/>
  <c r="AD4" i="2" s="1"/>
  <c r="AC73" i="2"/>
  <c r="AD73" i="2" s="1"/>
  <c r="AC65" i="2"/>
  <c r="AD65" i="2" s="1"/>
  <c r="AC59" i="2"/>
  <c r="AC58" i="2"/>
  <c r="AC62" i="2" s="1"/>
  <c r="AC46" i="2"/>
  <c r="AC54" i="2" s="1"/>
  <c r="AA13" i="2"/>
  <c r="AD13" i="2" s="1"/>
  <c r="W26" i="2"/>
  <c r="X26" i="2"/>
  <c r="Y26" i="2"/>
  <c r="AA26" i="2"/>
  <c r="AE38" i="2" s="1"/>
  <c r="AB26" i="2"/>
  <c r="AF26" i="2" s="1"/>
  <c r="AF42" i="2" s="1"/>
  <c r="AB89" i="2"/>
  <c r="AC89" i="2" s="1"/>
  <c r="AB87" i="2"/>
  <c r="AC87" i="2" s="1"/>
  <c r="AD87" i="2" s="1"/>
  <c r="AB86" i="2"/>
  <c r="AC86" i="2" s="1"/>
  <c r="AB81" i="2"/>
  <c r="AC81" i="2" s="1"/>
  <c r="AD81" i="2" s="1"/>
  <c r="AB80" i="2"/>
  <c r="AC80" i="2" s="1"/>
  <c r="AB77" i="2"/>
  <c r="AC77" i="2" s="1"/>
  <c r="AD77" i="2" s="1"/>
  <c r="AB76" i="2"/>
  <c r="AC76" i="2" s="1"/>
  <c r="AD76" i="2" s="1"/>
  <c r="AB75" i="2"/>
  <c r="AD75" i="2" s="1"/>
  <c r="AB71" i="2"/>
  <c r="AC71" i="2" s="1"/>
  <c r="AD71" i="2" s="1"/>
  <c r="AB66" i="2"/>
  <c r="AC66" i="2" s="1"/>
  <c r="AD66" i="2" s="1"/>
  <c r="AB65" i="2"/>
  <c r="AB59" i="2"/>
  <c r="AB58" i="2"/>
  <c r="AB46" i="2"/>
  <c r="AB54" i="2"/>
  <c r="AD59" i="2"/>
  <c r="AD58" i="2"/>
  <c r="AD62" i="2" s="1"/>
  <c r="BH111" i="2"/>
  <c r="BG6" i="2"/>
  <c r="BG4" i="2" s="1"/>
  <c r="BE111" i="2"/>
  <c r="BH6" i="2"/>
  <c r="BH4" i="2" s="1"/>
  <c r="BE59" i="2"/>
  <c r="BE58" i="2"/>
  <c r="BE62" i="2" s="1"/>
  <c r="BE46" i="2"/>
  <c r="BE54" i="2" s="1"/>
  <c r="BC26" i="2"/>
  <c r="BC28" i="2" s="1"/>
  <c r="BC30" i="2" s="1"/>
  <c r="BD6" i="2"/>
  <c r="BD4" i="2" s="1"/>
  <c r="BD8" i="2" s="1"/>
  <c r="BE4" i="2"/>
  <c r="BE112" i="2" s="1"/>
  <c r="AX38" i="2"/>
  <c r="AW38" i="2"/>
  <c r="AV38" i="2"/>
  <c r="AU38" i="2"/>
  <c r="AT38" i="2"/>
  <c r="AS38" i="2"/>
  <c r="AR38" i="2"/>
  <c r="AW28" i="2"/>
  <c r="AW30" i="2" s="1"/>
  <c r="AW32" i="2" s="1"/>
  <c r="AW34" i="2" s="1"/>
  <c r="AW35" i="2" s="1"/>
  <c r="AV28" i="2"/>
  <c r="AV30" i="2" s="1"/>
  <c r="AV32" i="2" s="1"/>
  <c r="AV34" i="2" s="1"/>
  <c r="AV35" i="2" s="1"/>
  <c r="AU28" i="2"/>
  <c r="AU30" i="2" s="1"/>
  <c r="AU32" i="2" s="1"/>
  <c r="AU34" i="2" s="1"/>
  <c r="AU35" i="2" s="1"/>
  <c r="AQ28" i="2"/>
  <c r="AQ30" i="2" s="1"/>
  <c r="AQ32" i="2" s="1"/>
  <c r="AQ34" i="2" s="1"/>
  <c r="AQ35" i="2" s="1"/>
  <c r="AP28" i="2"/>
  <c r="AP30" i="2" s="1"/>
  <c r="AP43" i="2" s="1"/>
  <c r="AR28" i="2"/>
  <c r="AR30" i="2" s="1"/>
  <c r="AR32" i="2" s="1"/>
  <c r="AR34" i="2" s="1"/>
  <c r="AR35" i="2" s="1"/>
  <c r="AS28" i="2"/>
  <c r="AS30" i="2" s="1"/>
  <c r="AS32" i="2" s="1"/>
  <c r="AS34" i="2" s="1"/>
  <c r="AS35" i="2" s="1"/>
  <c r="AT28" i="2"/>
  <c r="AT30" i="2" s="1"/>
  <c r="AT32" i="2" s="1"/>
  <c r="AT34" i="2" s="1"/>
  <c r="AT35" i="2" s="1"/>
  <c r="AA88" i="2"/>
  <c r="AA82" i="2"/>
  <c r="AA83" i="2" s="1"/>
  <c r="AA58" i="2"/>
  <c r="AA59" i="2"/>
  <c r="AA46" i="2"/>
  <c r="AA54" i="2" s="1"/>
  <c r="AA77" i="2"/>
  <c r="AA78" i="2" s="1"/>
  <c r="AA92" i="2" s="1"/>
  <c r="AA31" i="2"/>
  <c r="Z29" i="2"/>
  <c r="AD29" i="2"/>
  <c r="AD27" i="2"/>
  <c r="AB31" i="2"/>
  <c r="AC31" i="2"/>
  <c r="AD46" i="2"/>
  <c r="AD54" i="2" s="1"/>
  <c r="Y58" i="2"/>
  <c r="Y59" i="2"/>
  <c r="Y46" i="2"/>
  <c r="Y54" i="2" s="1"/>
  <c r="AC41" i="2"/>
  <c r="AA41" i="2"/>
  <c r="AB41" i="2"/>
  <c r="AC40" i="2"/>
  <c r="AB40" i="2"/>
  <c r="AA40" i="2"/>
  <c r="AD39" i="2"/>
  <c r="AC39" i="2"/>
  <c r="AB39" i="2"/>
  <c r="AA39" i="2"/>
  <c r="X83" i="2"/>
  <c r="X77" i="2"/>
  <c r="X78" i="2" s="1"/>
  <c r="X92" i="2" s="1"/>
  <c r="X58" i="2"/>
  <c r="X59" i="2"/>
  <c r="X54" i="2"/>
  <c r="X39" i="2"/>
  <c r="W28" i="2"/>
  <c r="W30" i="2" s="1"/>
  <c r="W32" i="2" s="1"/>
  <c r="W34" i="2" s="1"/>
  <c r="AH2" i="2"/>
  <c r="AG2" i="2"/>
  <c r="AF2" i="2"/>
  <c r="V72" i="2"/>
  <c r="U75" i="2"/>
  <c r="U60" i="2"/>
  <c r="U59" i="2"/>
  <c r="U46" i="2"/>
  <c r="U51" i="2"/>
  <c r="T89" i="2"/>
  <c r="U89" i="2" s="1"/>
  <c r="V89" i="2" s="1"/>
  <c r="T87" i="2"/>
  <c r="U87" i="2" s="1"/>
  <c r="V87" i="2" s="1"/>
  <c r="T85" i="2"/>
  <c r="U85" i="2" s="1"/>
  <c r="V85" i="2" s="1"/>
  <c r="W83" i="2"/>
  <c r="S83" i="2"/>
  <c r="T82" i="2"/>
  <c r="U82" i="2" s="1"/>
  <c r="V82" i="2" s="1"/>
  <c r="T80" i="2"/>
  <c r="U80" i="2" s="1"/>
  <c r="T76" i="2"/>
  <c r="U76" i="2" s="1"/>
  <c r="V76" i="2" s="1"/>
  <c r="T73" i="2"/>
  <c r="V73" i="2" s="1"/>
  <c r="T71" i="2"/>
  <c r="U71" i="2" s="1"/>
  <c r="V71" i="2" s="1"/>
  <c r="T68" i="2"/>
  <c r="U68" i="2" s="1"/>
  <c r="V68" i="2" s="1"/>
  <c r="T67" i="2"/>
  <c r="U67" i="2" s="1"/>
  <c r="V67" i="2" s="1"/>
  <c r="T66" i="2"/>
  <c r="U66" i="2" s="1"/>
  <c r="V66" i="2" s="1"/>
  <c r="T65" i="2"/>
  <c r="U65" i="2" s="1"/>
  <c r="V65" i="2" s="1"/>
  <c r="T58" i="2"/>
  <c r="T62" i="2" s="1"/>
  <c r="T46" i="2"/>
  <c r="T54" i="2" s="1"/>
  <c r="S86" i="2"/>
  <c r="S88" i="2" s="1"/>
  <c r="S77" i="2"/>
  <c r="S78" i="2" s="1"/>
  <c r="S92" i="2" s="1"/>
  <c r="S58" i="2"/>
  <c r="S59" i="2"/>
  <c r="S46" i="2"/>
  <c r="S54" i="2" s="1"/>
  <c r="AY38" i="2"/>
  <c r="AX28" i="2"/>
  <c r="AX30" i="2" s="1"/>
  <c r="AX32" i="2" s="1"/>
  <c r="AX34" i="2" s="1"/>
  <c r="AX35" i="2" s="1"/>
  <c r="AZ38" i="2"/>
  <c r="AY28" i="2"/>
  <c r="AY30" i="2" s="1"/>
  <c r="AY32" i="2" s="1"/>
  <c r="AY34" i="2" s="1"/>
  <c r="AY35" i="2" s="1"/>
  <c r="BA38" i="2"/>
  <c r="AZ28" i="2"/>
  <c r="AZ30" i="2" s="1"/>
  <c r="AZ32" i="2" s="1"/>
  <c r="AZ34" i="2" s="1"/>
  <c r="AZ35" i="2" s="1"/>
  <c r="AZ2" i="2"/>
  <c r="AY2" i="2" s="1"/>
  <c r="AX2" i="2" s="1"/>
  <c r="AW2" i="2" s="1"/>
  <c r="BA28" i="2"/>
  <c r="BA30" i="2" s="1"/>
  <c r="BA32" i="2" s="1"/>
  <c r="BA34" i="2" s="1"/>
  <c r="BA35" i="2" s="1"/>
  <c r="BA5" i="2"/>
  <c r="BF41" i="2"/>
  <c r="BE41" i="2"/>
  <c r="BD41" i="2"/>
  <c r="BB25" i="2"/>
  <c r="Y40" i="2"/>
  <c r="X40" i="2"/>
  <c r="W40" i="2"/>
  <c r="V40" i="2"/>
  <c r="U40" i="2"/>
  <c r="T40" i="2"/>
  <c r="S40" i="2"/>
  <c r="Y39" i="2"/>
  <c r="W39" i="2"/>
  <c r="V39" i="2"/>
  <c r="U39" i="2"/>
  <c r="T39" i="2"/>
  <c r="S39" i="2"/>
  <c r="Y41" i="2"/>
  <c r="X41" i="2"/>
  <c r="V41" i="2"/>
  <c r="U41" i="2"/>
  <c r="T41" i="2"/>
  <c r="S41" i="2"/>
  <c r="W41" i="2"/>
  <c r="BP78" i="2"/>
  <c r="BO78" i="2"/>
  <c r="BN78" i="2"/>
  <c r="BM78" i="2"/>
  <c r="BL78" i="2"/>
  <c r="BK78" i="2"/>
  <c r="BJ78" i="2"/>
  <c r="BI78" i="2"/>
  <c r="Z31" i="2"/>
  <c r="Z36" i="2"/>
  <c r="AD36" i="2" s="1"/>
  <c r="BG36" i="2"/>
  <c r="BH36" i="2" s="1"/>
  <c r="BI36" i="2" s="1"/>
  <c r="BJ36" i="2" s="1"/>
  <c r="BK36" i="2" s="1"/>
  <c r="BL36" i="2" s="1"/>
  <c r="BM36" i="2" s="1"/>
  <c r="BN36" i="2" s="1"/>
  <c r="BO36" i="2" s="1"/>
  <c r="BP36" i="2" s="1"/>
  <c r="BI29" i="2"/>
  <c r="BJ29" i="2" s="1"/>
  <c r="BK29" i="2" s="1"/>
  <c r="BL29" i="2" s="1"/>
  <c r="BM29" i="2" s="1"/>
  <c r="BN29" i="2" s="1"/>
  <c r="BO29" i="2" s="1"/>
  <c r="BP29" i="2" s="1"/>
  <c r="BI2" i="2"/>
  <c r="BJ2" i="2" s="1"/>
  <c r="BK2" i="2" s="1"/>
  <c r="BL2" i="2" s="1"/>
  <c r="BF77" i="2"/>
  <c r="BF78" i="2" s="1"/>
  <c r="BF92" i="2" s="1"/>
  <c r="BB77" i="2"/>
  <c r="BB78" i="2" s="1"/>
  <c r="BB92" i="2" s="1"/>
  <c r="BE77" i="2"/>
  <c r="BE78" i="2" s="1"/>
  <c r="BE92" i="2" s="1"/>
  <c r="BD77" i="2"/>
  <c r="BD78" i="2" s="1"/>
  <c r="BD92" i="2" s="1"/>
  <c r="BC77" i="2"/>
  <c r="BC78" i="2" s="1"/>
  <c r="BC92" i="2" s="1"/>
  <c r="W101" i="2"/>
  <c r="V101" i="2"/>
  <c r="BB26" i="2"/>
  <c r="BB28" i="2" s="1"/>
  <c r="BB30" i="2" s="1"/>
  <c r="BB32" i="2" s="1"/>
  <c r="BB34" i="2" s="1"/>
  <c r="BB35" i="2" s="1"/>
  <c r="BD28" i="2"/>
  <c r="O26" i="2"/>
  <c r="O28" i="2" s="1"/>
  <c r="V26" i="2"/>
  <c r="V8" i="2" s="1"/>
  <c r="U26" i="2"/>
  <c r="U28" i="2" s="1"/>
  <c r="T26" i="2"/>
  <c r="S26" i="2"/>
  <c r="S28" i="2" s="1"/>
  <c r="S30" i="2" s="1"/>
  <c r="S32" i="2" s="1"/>
  <c r="S34" i="2" s="1"/>
  <c r="S35" i="2" s="1"/>
  <c r="R26" i="2"/>
  <c r="R28" i="2" s="1"/>
  <c r="R42" i="2" s="1"/>
  <c r="Q26" i="2"/>
  <c r="Q28" i="2" s="1"/>
  <c r="P26" i="2"/>
  <c r="BF26" i="2"/>
  <c r="BE26" i="2"/>
  <c r="BE28" i="2" s="1"/>
  <c r="V58" i="2"/>
  <c r="V62" i="2" s="1"/>
  <c r="V46" i="2"/>
  <c r="V54" i="2" s="1"/>
  <c r="W58" i="2"/>
  <c r="W59" i="2"/>
  <c r="W46" i="2"/>
  <c r="W54" i="2" s="1"/>
  <c r="W77" i="2"/>
  <c r="W78" i="2" s="1"/>
  <c r="W92" i="2" s="1"/>
  <c r="M4" i="1"/>
  <c r="M7" i="1" s="1"/>
  <c r="AE42" i="2" l="1"/>
  <c r="BH78" i="2"/>
  <c r="C30" i="2"/>
  <c r="C32" i="2" s="1"/>
  <c r="C34" i="2" s="1"/>
  <c r="C35" i="2" s="1"/>
  <c r="E28" i="2"/>
  <c r="E42" i="2" s="1"/>
  <c r="F30" i="2"/>
  <c r="F32" i="2" s="1"/>
  <c r="F44" i="2" s="1"/>
  <c r="F42" i="2"/>
  <c r="D34" i="2"/>
  <c r="D35" i="2" s="1"/>
  <c r="D43" i="2"/>
  <c r="D44" i="2"/>
  <c r="AR44" i="2"/>
  <c r="AQ42" i="2"/>
  <c r="AQ43" i="2"/>
  <c r="D42" i="2"/>
  <c r="AQ44" i="2"/>
  <c r="AB62" i="2"/>
  <c r="AA4" i="2"/>
  <c r="AB4" i="2" s="1"/>
  <c r="AC4" i="2" s="1"/>
  <c r="AC8" i="2" s="1"/>
  <c r="Z87" i="2"/>
  <c r="Z88" i="2" s="1"/>
  <c r="AH40" i="2"/>
  <c r="AP42" i="2"/>
  <c r="J31" i="2"/>
  <c r="AR43" i="2"/>
  <c r="G42" i="2"/>
  <c r="AA6" i="2"/>
  <c r="AB6" i="2" s="1"/>
  <c r="AC6" i="2" s="1"/>
  <c r="AD26" i="2"/>
  <c r="K32" i="2"/>
  <c r="Z26" i="2"/>
  <c r="Z8" i="2" s="1"/>
  <c r="BB8" i="2"/>
  <c r="N31" i="2"/>
  <c r="AH44" i="2"/>
  <c r="AH34" i="2"/>
  <c r="AC88" i="2"/>
  <c r="AD86" i="2"/>
  <c r="K43" i="2"/>
  <c r="K44" i="2"/>
  <c r="K34" i="2"/>
  <c r="K35" i="2" s="1"/>
  <c r="AD80" i="2"/>
  <c r="AD88" i="2"/>
  <c r="BH112" i="2"/>
  <c r="BH8" i="2"/>
  <c r="Z78" i="2"/>
  <c r="Z92" i="2" s="1"/>
  <c r="I30" i="2"/>
  <c r="I32" i="2" s="1"/>
  <c r="I42" i="2"/>
  <c r="H30" i="2"/>
  <c r="H32" i="2" s="1"/>
  <c r="H42" i="2"/>
  <c r="AD78" i="2"/>
  <c r="AD92" i="2" s="1"/>
  <c r="G44" i="2"/>
  <c r="L30" i="2"/>
  <c r="L32" i="2" s="1"/>
  <c r="L42" i="2"/>
  <c r="N30" i="2"/>
  <c r="N32" i="2" s="1"/>
  <c r="N42" i="2"/>
  <c r="AG42" i="2"/>
  <c r="AG38" i="2"/>
  <c r="AD89" i="2"/>
  <c r="G43" i="2"/>
  <c r="G34" i="2"/>
  <c r="G35" i="2" s="1"/>
  <c r="Y77" i="2"/>
  <c r="Z77" i="2" s="1"/>
  <c r="AB78" i="2"/>
  <c r="AB92" i="2" s="1"/>
  <c r="AF38" i="2"/>
  <c r="AW42" i="2"/>
  <c r="J33" i="2"/>
  <c r="J26" i="2"/>
  <c r="J28" i="2" s="1"/>
  <c r="AB82" i="2"/>
  <c r="AC82" i="2" s="1"/>
  <c r="AD82" i="2" s="1"/>
  <c r="Z39" i="2"/>
  <c r="AB88" i="2"/>
  <c r="AB90" i="2" s="1"/>
  <c r="AW43" i="2"/>
  <c r="M28" i="2"/>
  <c r="AC78" i="2"/>
  <c r="AC92" i="2" s="1"/>
  <c r="AW44" i="2"/>
  <c r="AE34" i="2"/>
  <c r="BH46" i="2"/>
  <c r="AF34" i="2"/>
  <c r="AV43" i="2"/>
  <c r="AF43" i="2"/>
  <c r="AT42" i="2"/>
  <c r="AE44" i="2"/>
  <c r="AT43" i="2"/>
  <c r="AT44" i="2"/>
  <c r="BC8" i="2"/>
  <c r="AG43" i="2"/>
  <c r="AG44" i="2"/>
  <c r="AS42" i="2"/>
  <c r="AS43" i="2"/>
  <c r="Z83" i="2"/>
  <c r="Y83" i="2"/>
  <c r="Y78" i="2"/>
  <c r="Y92" i="2" s="1"/>
  <c r="AD8" i="2"/>
  <c r="AH26" i="2"/>
  <c r="AB83" i="2"/>
  <c r="BE8" i="2"/>
  <c r="AA62" i="2"/>
  <c r="AA90" i="2"/>
  <c r="AD31" i="2"/>
  <c r="X62" i="2"/>
  <c r="AD41" i="2"/>
  <c r="AA38" i="2"/>
  <c r="AA28" i="2"/>
  <c r="AA30" i="2" s="1"/>
  <c r="AA32" i="2" s="1"/>
  <c r="Y38" i="2"/>
  <c r="X90" i="2"/>
  <c r="Y62" i="2"/>
  <c r="AC38" i="2"/>
  <c r="AA42" i="2"/>
  <c r="Z38" i="2"/>
  <c r="W42" i="2"/>
  <c r="U86" i="2"/>
  <c r="V86" i="2" s="1"/>
  <c r="V88" i="2" s="1"/>
  <c r="T83" i="2"/>
  <c r="T88" i="2"/>
  <c r="U83" i="2"/>
  <c r="V80" i="2"/>
  <c r="U62" i="2"/>
  <c r="V83" i="2"/>
  <c r="U54" i="2"/>
  <c r="T77" i="2"/>
  <c r="S90" i="2"/>
  <c r="S64" i="2"/>
  <c r="S62" i="2"/>
  <c r="BA44" i="2"/>
  <c r="BB44" i="2"/>
  <c r="AX44" i="2"/>
  <c r="BA43" i="2"/>
  <c r="AX42" i="2"/>
  <c r="AX43" i="2"/>
  <c r="BB38" i="2"/>
  <c r="AY42" i="2"/>
  <c r="AY43" i="2"/>
  <c r="BA42" i="2"/>
  <c r="AY44" i="2"/>
  <c r="AZ42" i="2"/>
  <c r="AZ44" i="2"/>
  <c r="AZ43" i="2"/>
  <c r="BG41" i="2"/>
  <c r="BI25" i="2"/>
  <c r="BJ25" i="2" s="1"/>
  <c r="BK25" i="2" s="1"/>
  <c r="BL25" i="2" s="1"/>
  <c r="BM25" i="2" s="1"/>
  <c r="BN25" i="2" s="1"/>
  <c r="BO25" i="2" s="1"/>
  <c r="BP25" i="2" s="1"/>
  <c r="BH41" i="2"/>
  <c r="S43" i="2"/>
  <c r="S44" i="2"/>
  <c r="W44" i="2"/>
  <c r="W43" i="2"/>
  <c r="BC41" i="2"/>
  <c r="BB43" i="2"/>
  <c r="BM2" i="2"/>
  <c r="BN2" i="2" s="1"/>
  <c r="BO2" i="2" s="1"/>
  <c r="BP2" i="2" s="1"/>
  <c r="BB64" i="2"/>
  <c r="BC38" i="2"/>
  <c r="BC42" i="2"/>
  <c r="BD38" i="2"/>
  <c r="BE38" i="2"/>
  <c r="V38" i="2"/>
  <c r="BB42" i="2"/>
  <c r="BD30" i="2"/>
  <c r="BD42" i="2"/>
  <c r="BF38" i="2"/>
  <c r="S38" i="2"/>
  <c r="O42" i="2"/>
  <c r="O30" i="2"/>
  <c r="O32" i="2" s="1"/>
  <c r="T38" i="2"/>
  <c r="T28" i="2"/>
  <c r="T30" i="2" s="1"/>
  <c r="T32" i="2" s="1"/>
  <c r="P28" i="2"/>
  <c r="Q42" i="2"/>
  <c r="Q30" i="2"/>
  <c r="Q32" i="2" s="1"/>
  <c r="U38" i="2"/>
  <c r="U30" i="2"/>
  <c r="U32" i="2" s="1"/>
  <c r="U42" i="2"/>
  <c r="BE30" i="2"/>
  <c r="BE42" i="2"/>
  <c r="BF28" i="2"/>
  <c r="W38" i="2"/>
  <c r="R30" i="2"/>
  <c r="R32" i="2" s="1"/>
  <c r="V28" i="2"/>
  <c r="W90" i="2"/>
  <c r="W62" i="2"/>
  <c r="S42" i="2"/>
  <c r="W35" i="2"/>
  <c r="W64" i="2"/>
  <c r="AE64" i="2" l="1"/>
  <c r="AE35" i="2"/>
  <c r="C44" i="2"/>
  <c r="C43" i="2"/>
  <c r="E30" i="2"/>
  <c r="E32" i="2" s="1"/>
  <c r="E34" i="2" s="1"/>
  <c r="E35" i="2" s="1"/>
  <c r="Z90" i="2"/>
  <c r="E44" i="2"/>
  <c r="E43" i="2"/>
  <c r="Y90" i="2"/>
  <c r="AB8" i="2"/>
  <c r="AA8" i="2"/>
  <c r="F34" i="2"/>
  <c r="F35" i="2" s="1"/>
  <c r="F43" i="2"/>
  <c r="N34" i="2"/>
  <c r="N35" i="2" s="1"/>
  <c r="N43" i="2"/>
  <c r="N44" i="2"/>
  <c r="J30" i="2"/>
  <c r="J32" i="2" s="1"/>
  <c r="J42" i="2"/>
  <c r="I44" i="2"/>
  <c r="I43" i="2"/>
  <c r="I34" i="2"/>
  <c r="I35" i="2" s="1"/>
  <c r="J44" i="2"/>
  <c r="AD83" i="2"/>
  <c r="AD90" i="2" s="1"/>
  <c r="AH42" i="2"/>
  <c r="AH38" i="2"/>
  <c r="H44" i="2"/>
  <c r="H43" i="2"/>
  <c r="H34" i="2"/>
  <c r="H35" i="2" s="1"/>
  <c r="L34" i="2"/>
  <c r="L35" i="2" s="1"/>
  <c r="L44" i="2"/>
  <c r="L43" i="2"/>
  <c r="M42" i="2"/>
  <c r="M30" i="2"/>
  <c r="M32" i="2" s="1"/>
  <c r="AH43" i="2"/>
  <c r="AC83" i="2"/>
  <c r="AC90" i="2" s="1"/>
  <c r="U88" i="2"/>
  <c r="Z27" i="2"/>
  <c r="Z28" i="2" s="1"/>
  <c r="X28" i="2"/>
  <c r="X38" i="2"/>
  <c r="AD38" i="2"/>
  <c r="AD28" i="2"/>
  <c r="AC28" i="2"/>
  <c r="AA44" i="2"/>
  <c r="AA34" i="2"/>
  <c r="AA43" i="2"/>
  <c r="T78" i="2"/>
  <c r="U77" i="2"/>
  <c r="BJ41" i="2"/>
  <c r="BI41" i="2"/>
  <c r="T34" i="2"/>
  <c r="T44" i="2"/>
  <c r="T43" i="2"/>
  <c r="O34" i="2"/>
  <c r="O35" i="2" s="1"/>
  <c r="O43" i="2"/>
  <c r="O44" i="2"/>
  <c r="U34" i="2"/>
  <c r="U44" i="2"/>
  <c r="U43" i="2"/>
  <c r="R34" i="2"/>
  <c r="R35" i="2" s="1"/>
  <c r="R44" i="2"/>
  <c r="R43" i="2"/>
  <c r="Q34" i="2"/>
  <c r="Q35" i="2" s="1"/>
  <c r="Q43" i="2"/>
  <c r="Q44" i="2"/>
  <c r="BK41" i="2"/>
  <c r="BE32" i="2"/>
  <c r="BE43" i="2"/>
  <c r="BD32" i="2"/>
  <c r="BD43" i="2"/>
  <c r="Y28" i="2"/>
  <c r="Y30" i="2" s="1"/>
  <c r="Y32" i="2" s="1"/>
  <c r="T42" i="2"/>
  <c r="P30" i="2"/>
  <c r="P32" i="2" s="1"/>
  <c r="P42" i="2"/>
  <c r="BF42" i="2"/>
  <c r="BF30" i="2"/>
  <c r="V42" i="2"/>
  <c r="V30" i="2"/>
  <c r="V32" i="2" s="1"/>
  <c r="M34" i="2" l="1"/>
  <c r="M35" i="2" s="1"/>
  <c r="M44" i="2"/>
  <c r="M43" i="2"/>
  <c r="J43" i="2"/>
  <c r="J34" i="2"/>
  <c r="J35" i="2" s="1"/>
  <c r="BI26" i="2"/>
  <c r="BJ26" i="2" s="1"/>
  <c r="BK26" i="2" s="1"/>
  <c r="BL26" i="2" s="1"/>
  <c r="BM26" i="2" s="1"/>
  <c r="BN26" i="2" s="1"/>
  <c r="BO26" i="2" s="1"/>
  <c r="BP26" i="2" s="1"/>
  <c r="BG8" i="2"/>
  <c r="AA35" i="2"/>
  <c r="AA64" i="2"/>
  <c r="Z42" i="2"/>
  <c r="Z30" i="2"/>
  <c r="Z32" i="2" s="1"/>
  <c r="AD42" i="2"/>
  <c r="AD30" i="2"/>
  <c r="AD32" i="2" s="1"/>
  <c r="AB38" i="2"/>
  <c r="AB28" i="2"/>
  <c r="X42" i="2"/>
  <c r="X30" i="2"/>
  <c r="X32" i="2" s="1"/>
  <c r="AC30" i="2"/>
  <c r="AC32" i="2" s="1"/>
  <c r="AC42" i="2"/>
  <c r="V77" i="2"/>
  <c r="V78" i="2" s="1"/>
  <c r="U78" i="2"/>
  <c r="T92" i="2"/>
  <c r="T90" i="2"/>
  <c r="U35" i="2"/>
  <c r="U64" i="2"/>
  <c r="T35" i="2"/>
  <c r="T64" i="2"/>
  <c r="BD34" i="2"/>
  <c r="BD35" i="2" s="1"/>
  <c r="BD44" i="2"/>
  <c r="BE34" i="2"/>
  <c r="BE35" i="2" s="1"/>
  <c r="BE44" i="2"/>
  <c r="P34" i="2"/>
  <c r="P35" i="2" s="1"/>
  <c r="P43" i="2"/>
  <c r="P44" i="2"/>
  <c r="Y34" i="2"/>
  <c r="Y44" i="2"/>
  <c r="Y43" i="2"/>
  <c r="BG38" i="2"/>
  <c r="V34" i="2"/>
  <c r="V64" i="2" s="1"/>
  <c r="V43" i="2"/>
  <c r="V44" i="2"/>
  <c r="BL41" i="2"/>
  <c r="BF32" i="2"/>
  <c r="BF43" i="2"/>
  <c r="BC32" i="2"/>
  <c r="BC43" i="2"/>
  <c r="Y42" i="2"/>
  <c r="Z34" i="2" l="1"/>
  <c r="Z43" i="2"/>
  <c r="Z44" i="2"/>
  <c r="X44" i="2"/>
  <c r="X34" i="2"/>
  <c r="X43" i="2"/>
  <c r="Y35" i="2"/>
  <c r="Y64" i="2"/>
  <c r="AB30" i="2"/>
  <c r="AB32" i="2" s="1"/>
  <c r="AB42" i="2"/>
  <c r="AD34" i="2"/>
  <c r="AD43" i="2"/>
  <c r="AD44" i="2"/>
  <c r="AC43" i="2"/>
  <c r="AC34" i="2"/>
  <c r="AC44" i="2"/>
  <c r="U92" i="2"/>
  <c r="U90" i="2"/>
  <c r="BD64" i="2"/>
  <c r="BE64" i="2"/>
  <c r="V92" i="2"/>
  <c r="V90" i="2"/>
  <c r="V35" i="2"/>
  <c r="BC34" i="2"/>
  <c r="BC64" i="2" s="1"/>
  <c r="BC44" i="2"/>
  <c r="BF34" i="2"/>
  <c r="BF64" i="2" s="1"/>
  <c r="BF44" i="2"/>
  <c r="BH38" i="2"/>
  <c r="BM41" i="2"/>
  <c r="BG43" i="2"/>
  <c r="BG42" i="2"/>
  <c r="Z35" i="2" l="1"/>
  <c r="Z64" i="2"/>
  <c r="AC35" i="2"/>
  <c r="AC64" i="2"/>
  <c r="AD35" i="2"/>
  <c r="AD64" i="2"/>
  <c r="AB34" i="2"/>
  <c r="AB43" i="2"/>
  <c r="AB44" i="2"/>
  <c r="X64" i="2"/>
  <c r="X35" i="2"/>
  <c r="BG32" i="2"/>
  <c r="BG34" i="2" s="1"/>
  <c r="BG64" i="2" s="1"/>
  <c r="BF35" i="2"/>
  <c r="BC35" i="2"/>
  <c r="BJ27" i="2"/>
  <c r="BI27" i="2"/>
  <c r="BI28" i="2" s="1"/>
  <c r="BN41" i="2"/>
  <c r="BI38" i="2"/>
  <c r="BH42" i="2"/>
  <c r="AB35" i="2" l="1"/>
  <c r="AB64" i="2"/>
  <c r="BG35" i="2"/>
  <c r="BH32" i="2"/>
  <c r="BH34" i="2" s="1"/>
  <c r="BG44" i="2"/>
  <c r="BP41" i="2"/>
  <c r="BO41" i="2"/>
  <c r="BH43" i="2"/>
  <c r="BI30" i="2"/>
  <c r="BI42" i="2"/>
  <c r="BJ28" i="2"/>
  <c r="BJ38" i="2"/>
  <c r="BK38" i="2" l="1"/>
  <c r="BK27" i="2"/>
  <c r="BI31" i="2"/>
  <c r="BI32" i="2" s="1"/>
  <c r="BI44" i="2" s="1"/>
  <c r="BH35" i="2"/>
  <c r="BH64" i="2"/>
  <c r="BI43" i="2"/>
  <c r="BH44" i="2"/>
  <c r="BJ30" i="2"/>
  <c r="BJ42" i="2"/>
  <c r="BL27" i="2"/>
  <c r="BK28" i="2"/>
  <c r="BI34" i="2" l="1"/>
  <c r="BJ43" i="2"/>
  <c r="BK42" i="2"/>
  <c r="BK30" i="2"/>
  <c r="BM27" i="2"/>
  <c r="BL38" i="2"/>
  <c r="BL28" i="2"/>
  <c r="BI35" i="2" l="1"/>
  <c r="BI64" i="2"/>
  <c r="BK43" i="2"/>
  <c r="BL30" i="2"/>
  <c r="BL42" i="2"/>
  <c r="BN27" i="2"/>
  <c r="BM38" i="2"/>
  <c r="BM28" i="2"/>
  <c r="BJ31" i="2" l="1"/>
  <c r="BJ32" i="2" s="1"/>
  <c r="BL43" i="2"/>
  <c r="BO27" i="2"/>
  <c r="BN28" i="2"/>
  <c r="BN38" i="2"/>
  <c r="BM42" i="2"/>
  <c r="BM30" i="2"/>
  <c r="BJ34" i="2" l="1"/>
  <c r="BJ44" i="2"/>
  <c r="BM43" i="2"/>
  <c r="BN30" i="2"/>
  <c r="BN42" i="2"/>
  <c r="BP27" i="2"/>
  <c r="BO38" i="2"/>
  <c r="BO28" i="2"/>
  <c r="BJ35" i="2" l="1"/>
  <c r="BJ64" i="2"/>
  <c r="BN43" i="2"/>
  <c r="BO30" i="2"/>
  <c r="BO42" i="2"/>
  <c r="BP28" i="2"/>
  <c r="BP38" i="2"/>
  <c r="BK31" i="2" l="1"/>
  <c r="BK32" i="2" s="1"/>
  <c r="BO43" i="2"/>
  <c r="BP30" i="2"/>
  <c r="BP42" i="2"/>
  <c r="BK33" i="2" l="1"/>
  <c r="BK44" i="2" s="1"/>
  <c r="BP43" i="2"/>
  <c r="BK34" i="2" l="1"/>
  <c r="BK64" i="2" s="1"/>
  <c r="BL31" i="2" l="1"/>
  <c r="BL32" i="2" s="1"/>
  <c r="BK35" i="2"/>
  <c r="BL33" i="2" l="1"/>
  <c r="BL44" i="2" s="1"/>
  <c r="BL34" i="2" l="1"/>
  <c r="BL35" i="2" s="1"/>
  <c r="BM31" i="2" l="1"/>
  <c r="BM32" i="2" s="1"/>
  <c r="BL64" i="2"/>
  <c r="BM33" i="2" l="1"/>
  <c r="BM44" i="2" s="1"/>
  <c r="BM34" i="2" l="1"/>
  <c r="BM35" i="2" s="1"/>
  <c r="BN31" i="2" l="1"/>
  <c r="BN32" i="2" s="1"/>
  <c r="BM64" i="2"/>
  <c r="BN33" i="2" l="1"/>
  <c r="BN44" i="2" s="1"/>
  <c r="BN34" i="2" l="1"/>
  <c r="BN35" i="2" l="1"/>
  <c r="BN64" i="2"/>
  <c r="BO31" i="2" l="1"/>
  <c r="BO32" i="2" s="1"/>
  <c r="BO33" i="2" l="1"/>
  <c r="BO44" i="2" s="1"/>
  <c r="BO34" i="2" l="1"/>
  <c r="BO35" i="2" l="1"/>
  <c r="BO64" i="2"/>
  <c r="BP31" i="2" l="1"/>
  <c r="BP32" i="2" s="1"/>
  <c r="BP33" i="2" l="1"/>
  <c r="BP44" i="2" s="1"/>
  <c r="BP34" i="2" l="1"/>
  <c r="BP64" i="2" l="1"/>
  <c r="BP35" i="2"/>
  <c r="BQ34" i="2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BT69" i="2" s="1"/>
  <c r="BT70" i="2" s="1"/>
  <c r="BT71" i="2" s="1"/>
  <c r="W8" i="2" l="1"/>
  <c r="Y8" i="2"/>
  <c r="X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tc={B8C0C441-C277-4502-B12F-FBC3E5FD4050}</author>
    <author>tc={1C40F31C-12BC-49BA-83A1-B40C2F00B347}</author>
    <author>tc={5B86EDE3-5385-4166-956E-3B0E7D1B6A2F}</author>
    <author>tc={3AF1B05A-709B-4B7B-933B-6D4BAC37618A}</author>
    <author>tc={F2E7A3B9-41F2-44AA-94AA-7045DD415438}</author>
    <author>tc={8C0AC7C8-6AB4-1B4C-9DD9-C796B455A690}</author>
    <author>tc={73D06934-FB6E-AD40-ACE6-42AFC6483912}</author>
    <author>tc={0738A0A0-A2BF-4E40-AE66-026FFD5AFC49}</author>
    <author>tc={0831DEA1-B40F-124F-B229-711C97721FA6}</author>
    <author>tc={F23DBBCD-FC90-41B4-912A-05593D9AD727}</author>
  </authors>
  <commentList>
    <comment ref="BB4" authorId="0" shapeId="0" xr:uid="{B8C0C441-C277-4502-B12F-FBC3E5FD4050}">
      <text>
        <t>[Threaded comment]
Your version of Excel allows you to read this threaded comment; however, any edits to it will get removed if the file is opened in a newer version of Excel. Learn more: https://go.microsoft.com/fwlink/?linkid=870924
Comment:
    7276?</t>
      </text>
    </comment>
    <comment ref="BC15" authorId="1" shapeId="0" xr:uid="{1C40F31C-12BC-49BA-83A1-B40C2F00B347}">
      <text>
        <t>[Threaded comment]
Your version of Excel allows you to read this threaded comment; however, any edits to it will get removed if the file is opened in a newer version of Excel. Learn more: https://go.microsoft.com/fwlink/?linkid=870924
Comment:
    11%</t>
      </text>
    </comment>
    <comment ref="BC16" authorId="2" shapeId="0" xr:uid="{5B86EDE3-5385-4166-956E-3B0E7D1B6A2F}">
      <text>
        <t>[Threaded comment]
Your version of Excel allows you to read this threaded comment; however, any edits to it will get removed if the file is opened in a newer version of Excel. Learn more: https://go.microsoft.com/fwlink/?linkid=870924
Comment:
    24% GM</t>
      </text>
    </comment>
    <comment ref="BC17" authorId="3" shapeId="0" xr:uid="{3AF1B05A-709B-4B7B-933B-6D4BAC37618A}">
      <text>
        <t>[Threaded comment]
Your version of Excel allows you to read this threaded comment; however, any edits to it will get removed if the file is opened in a newer version of Excel. Learn more: https://go.microsoft.com/fwlink/?linkid=870924
Comment:
    46% GM</t>
      </text>
    </comment>
    <comment ref="BC20" authorId="4" shapeId="0" xr:uid="{F2E7A3B9-41F2-44AA-94AA-7045DD4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AK23" authorId="5" shapeId="0" xr:uid="{8C0AC7C8-6AB4-1B4C-9DD9-C796B455A690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1 released in NA 9/15/01</t>
      </text>
    </comment>
    <comment ref="AO23" authorId="6" shapeId="0" xr:uid="{73D06934-FB6E-AD40-ACE6-42AFC6483912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360 launched 11/2005</t>
      </text>
    </comment>
    <comment ref="AW23" authorId="7" shapeId="0" xr:uid="{0738A0A0-A2BF-4E40-AE66-026FFD5AFC49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One NA/EU launch 11/22/13 $499.99
Playstation 4 NA 11/15/13 $399.99</t>
      </text>
    </comment>
    <comment ref="BD23" authorId="8" shapeId="0" xr:uid="{0831DEA1-B40F-124F-B229-711C97721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PS5 launched 11/12/20
Xbox X/S launched 11/10/20</t>
      </text>
    </comment>
    <comment ref="W36" authorId="9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<sst xmlns="http://schemas.openxmlformats.org/spreadsheetml/2006/main" count="225" uniqueCount="194">
  <si>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</si>
  <si>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</si>
  <si>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</si>
  <si>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</si>
  <si>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</si>
  <si>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</si>
  <si>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</si>
  <si>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</si>
  <si>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</si>
  <si>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</si>
  <si>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</si>
  <si>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</si>
  <si>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</si>
  <si>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</si>
  <si>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</si>
  <si>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</si>
  <si>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</si>
  <si>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</si>
  <si>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</si>
  <si>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</si>
  <si>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</si>
  <si>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</si>
  <si>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</si>
  <si>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</si>
  <si>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</si>
  <si>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</si>
  <si>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</si>
  <si>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</si>
  <si>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</si>
  <si>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</si>
  <si>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</si>
  <si>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</si>
  <si>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</si>
  <si>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</si>
  <si>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</si>
  <si>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</si>
  <si>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</si>
  <si>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</si>
  <si>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</si>
  <si>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</si>
  <si>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</si>
  <si>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</si>
  <si>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</si>
  <si>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</si>
  <si>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</si>
  <si>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</si>
  <si>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</si>
  <si>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</si>
  <si>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</si>
  <si>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</si>
  <si>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</si>
  <si>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</si>
  <si>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</si>
  <si>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</si>
  <si>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</si>
  <si>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</si>
  <si>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</si>
  <si>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</si>
  <si>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</si>
  <si>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</si>
  <si>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</si>
  <si>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</si>
  <si>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</si>
  <si>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</si>
  <si>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</si>
  <si>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</si>
  <si>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</si>
  <si>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</si>
  <si>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</si>
  <si>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</si>
  <si>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</si>
  <si>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</si>
  <si>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</si>
  <si>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</si>
  <si>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</si>
  <si>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</si>
  <si>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</si>
  <si>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</si>
  <si>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</si>
  <si>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</si>
  <si>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</si>
  <si>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</si>
  <si>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</si>
  <si>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</si>
  <si>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</si>
  <si>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</si>
  <si>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</si>
  <si>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</si>
  <si>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</si>
  <si>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</si>
  <si>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</si>
  <si>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</si>
  <si>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</si>
  <si>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</si>
  <si>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</si>
  <si>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</si>
  <si>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</si>
  <si>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</si>
  <si>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</si>
  <si>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</si>
  <si>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</si>
  <si>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</si>
  <si>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</si>
  <si>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</si>
  <si>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</si>
  <si>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</si>
  <si>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</si>
  <si>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</si>
  <si>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</si>
  <si>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</si>
  <si>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</si>
  <si>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</si>
  <si>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</si>
  <si>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</si>
  <si>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</si>
  <si>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</si>
  <si>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</si>
  <si>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</si>
  <si>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</si>
  <si>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</si>
  <si>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</si>
  <si>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</si>
  <si>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</si>
  <si>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</si>
  <si>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</si>
  <si>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</si>
  <si>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</si>
  <si>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</si>
  <si>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</si>
  <si>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</si>
  <si>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</si>
  <si>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</si>
  <si>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</si>
  <si>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</si>
  <si>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</si>
  <si>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</si>
  <si>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</si>
  <si>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</si>
  <si>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</si>
  <si>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</si>
  <si>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</si>
  <si>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</si>
  <si>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</si>
  <si>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</si>
  <si>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</si>
  <si>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Domestic Stores</t>
  </si>
  <si>
    <t>International Stores</t>
  </si>
  <si>
    <t>Total Stores</t>
  </si>
  <si>
    <t>Revenue/Store</t>
  </si>
  <si>
    <t>Nintendo % of revenue</t>
  </si>
  <si>
    <t>Ubisoft</t>
  </si>
  <si>
    <t>U&amp;I</t>
  </si>
  <si>
    <t>Microsoft</t>
  </si>
  <si>
    <t>Sony</t>
  </si>
  <si>
    <t>Headcount</t>
  </si>
  <si>
    <t>52 weeks</t>
  </si>
  <si>
    <t>FY1999</t>
  </si>
  <si>
    <t>Rev/Employee</t>
  </si>
  <si>
    <t>Employees/Store</t>
  </si>
  <si>
    <t>13 weeks</t>
  </si>
  <si>
    <t>Q418</t>
  </si>
  <si>
    <t>Q318</t>
  </si>
  <si>
    <t>Q218</t>
  </si>
  <si>
    <t>Q118</t>
  </si>
  <si>
    <t>53 weeks</t>
  </si>
  <si>
    <t>Q117</t>
  </si>
  <si>
    <t>Q217</t>
  </si>
  <si>
    <t>Q317</t>
  </si>
  <si>
    <t>Q417</t>
  </si>
  <si>
    <t>14 weeks</t>
  </si>
  <si>
    <t>Name</t>
  </si>
  <si>
    <t>Eddie Lampert</t>
  </si>
  <si>
    <t>Patrick Soon-Shiong</t>
  </si>
  <si>
    <t>Company</t>
  </si>
  <si>
    <t>Sears Holdings</t>
  </si>
  <si>
    <t>Al Mann</t>
  </si>
  <si>
    <t>MannKind</t>
  </si>
  <si>
    <t>Prior Win</t>
  </si>
  <si>
    <t>Ryan Cohen</t>
  </si>
  <si>
    <t>Palmer Luckey</t>
  </si>
  <si>
    <t>Dustin Moskovitz</t>
  </si>
  <si>
    <t>Asana</t>
  </si>
  <si>
    <t>Anduril</t>
  </si>
  <si>
    <t>Oculus</t>
  </si>
  <si>
    <t>Facebook</t>
  </si>
  <si>
    <t>Advanced Bionics</t>
  </si>
  <si>
    <t>Intrexon</t>
  </si>
  <si>
    <t>Randal J. Kirk</t>
  </si>
  <si>
    <t>New River</t>
  </si>
  <si>
    <t>Status</t>
  </si>
  <si>
    <t>Disaster</t>
  </si>
  <si>
    <t>Meh</t>
  </si>
  <si>
    <t>Amazing</t>
  </si>
  <si>
    <t>ImmunityBio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</si>
</sst>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23740</xdr:colOff>
      <xdr:row>0</xdr:row>
      <xdr:rowOff>0</xdr:rowOff>
    </xdr:from>
    <xdr:to>
      <xdr:col>31</xdr:col>
      <xdr:colOff>23740</xdr:colOff>
      <xdr:row>110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9484048" y="0"/>
          <a:ext cx="0" cy="17788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38344</xdr:colOff>
      <xdr:row>0</xdr:row>
      <xdr:rowOff>29308</xdr:rowOff>
    </xdr:from>
    <xdr:to>
      <xdr:col>60</xdr:col>
      <xdr:colOff>50223</xdr:colOff>
      <xdr:row>118</xdr:row>
      <xdr:rowOff>29308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37991806" y="29308"/>
          <a:ext cx="11879" cy="19597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4" dT="2024-06-06T02:55:21.57" personId="{BD969550-EDD6-435F-8506-2F239B21FA30}" id="{B8C0C441-C277-4502-B12F-FBC3E5FD4050}">
    <text>7276?</text>
  </threadedComment>
  <threadedComment ref="BC15" dT="2024-06-06T03:10:32.78" personId="{BD969550-EDD6-435F-8506-2F239B21FA30}" id="{1C40F31C-12BC-49BA-83A1-B40C2F00B347}">
    <text>11%</text>
  </threadedComment>
  <threadedComment ref="BC16" dT="2024-06-06T03:10:42.52" personId="{BD969550-EDD6-435F-8506-2F239B21FA30}" id="{5B86EDE3-5385-4166-956E-3B0E7D1B6A2F}">
    <text>24% GM</text>
  </threadedComment>
  <threadedComment ref="BC17" dT="2024-06-06T03:10:53.47" personId="{BD969550-EDD6-435F-8506-2F239B21FA30}" id="{3AF1B05A-709B-4B7B-933B-6D4BAC37618A}">
    <text>46% GM</text>
  </threadedComment>
  <threadedComment ref="BC20" dT="2024-06-06T04:20:59.24" personId="{BD969550-EDD6-435F-8506-2F239B21FA30}" id="{F2E7A3B9-41F2-44AA-94AA-7045DD415438}">
    <text>50%</text>
  </threadedComment>
  <threadedComment ref="AK23" dT="2024-06-05T16:08:31.97" personId="{BD969550-EDD6-435F-8506-2F239B21FA30}" id="{8C0AC7C8-6AB4-1B4C-9DD9-C796B455A690}">
    <text>Xbox 1 released in NA 9/15/01</text>
  </threadedComment>
  <threadedComment ref="AO23" dT="2024-06-05T16:08:56.52" personId="{BD969550-EDD6-435F-8506-2F239B21FA30}" id="{73D06934-FB6E-AD40-ACE6-42AFC6483912}">
    <text>Xbox 360 launched 11/2005</text>
  </threadedComment>
  <threadedComment ref="AW23" dT="2024-06-05T16:10:49.89" personId="{BD969550-EDD6-435F-8506-2F239B21FA30}" id="{0738A0A0-A2BF-4E40-AE66-026FFD5AFC49}">
    <text>Xbox One NA/EU launch 11/22/13 $499.99
Playstation 4 NA 11/15/13 $399.99</text>
  </threadedComment>
  <threadedComment ref="BD23" dT="2024-06-05T16:11:40.85" personId="{BD969550-EDD6-435F-8506-2F239B21FA30}" id="{0831DEA1-B40F-124F-B229-711C97721FA6}">
    <text>PS5 launched 11/12/20
Xbox X/S launched 11/10/20</text>
  </threadedComment>
  <threadedComment ref="W36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L6" sqref="L6"/>
    </sheetView>
  </sheetViews>
  <sheetFormatPr defaultColWidth="8.85546875" defaultRowHeight="12.75" x14ac:dyDescent="0.2"/>
  <cols>
    <col min="14" max="14" width="10.42578125" customWidth="1"/>
  </cols>
  <sheetData>
    <row r="2" spans="2:14" x14ac:dyDescent="0.2">
      <c r="B2" t="s">
        <v>108</v>
      </c>
      <c r="L2" t="s">
        <v>0</v>
      </c>
      <c r="M2" s="1">
        <v>28.22</v>
      </c>
    </row>
    <row r="3" spans="2:14" x14ac:dyDescent="0.2">
      <c r="B3" t="s">
        <v>109</v>
      </c>
      <c r="L3" t="s">
        <v>1</v>
      </c>
      <c r="M3" s="2">
        <v>304.57807000000003</v>
      </c>
      <c r="N3" s="3">
        <v>44896</v>
      </c>
    </row>
    <row r="4" spans="2:14" x14ac:dyDescent="0.2">
      <c r="L4" t="s">
        <v>2</v>
      </c>
      <c r="M4" s="2">
        <f>M2*M3</f>
        <v>8595.1931354000008</v>
      </c>
    </row>
    <row r="5" spans="2:14" x14ac:dyDescent="0.2">
      <c r="B5" t="s">
        <v>120</v>
      </c>
      <c r="L5" t="s">
        <v>3</v>
      </c>
      <c r="M5" s="2">
        <f>999+83</f>
        <v>1082</v>
      </c>
      <c r="N5" s="4" t="s">
        <v>22</v>
      </c>
    </row>
    <row r="6" spans="2:14" x14ac:dyDescent="0.2">
      <c r="B6" t="s">
        <v>121</v>
      </c>
      <c r="L6" t="s">
        <v>4</v>
      </c>
      <c r="M6" s="2">
        <f>10.8+14.9</f>
        <v>25.700000000000003</v>
      </c>
      <c r="N6" s="4" t="s">
        <v>22</v>
      </c>
    </row>
    <row r="7" spans="2:14" x14ac:dyDescent="0.2">
      <c r="L7" t="s">
        <v>5</v>
      </c>
      <c r="M7" s="2">
        <f>M4-M5+M6</f>
        <v>7538.8931354000006</v>
      </c>
    </row>
    <row r="10" spans="2:14" x14ac:dyDescent="0.2">
      <c r="L10" t="s">
        <v>123</v>
      </c>
    </row>
    <row r="11" spans="2:14" x14ac:dyDescent="0.2">
      <c r="L11" t="s">
        <v>122</v>
      </c>
    </row>
    <row r="13" spans="2:14" x14ac:dyDescent="0.2">
      <c r="B13" t="s">
        <v>64</v>
      </c>
    </row>
    <row r="14" spans="2:14" x14ac:dyDescent="0.2">
      <c r="B14" t="s">
        <v>124</v>
      </c>
      <c r="J14" s="17" t="s">
        <v>127</v>
      </c>
    </row>
    <row r="15" spans="2:14" x14ac:dyDescent="0.2">
      <c r="B15" t="s">
        <v>125</v>
      </c>
    </row>
    <row r="16" spans="2:14" x14ac:dyDescent="0.2">
      <c r="B16" t="s">
        <v>126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DB112"/>
  <sheetViews>
    <sheetView tabSelected="1" zoomScale="130" zoomScaleNormal="130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E8" sqref="AE8"/>
    </sheetView>
  </sheetViews>
  <sheetFormatPr defaultColWidth="8.85546875" defaultRowHeight="12.75" x14ac:dyDescent="0.2"/>
  <cols>
    <col min="1" max="1" width="5" bestFit="1" customWidth="1"/>
    <col min="2" max="2" width="22.42578125" customWidth="1"/>
    <col min="3" max="10" width="8.85546875" style="4"/>
    <col min="11" max="14" width="9.140625" style="4"/>
    <col min="15" max="18" width="9.85546875" style="4" customWidth="1"/>
    <col min="19" max="34" width="9" style="4" customWidth="1"/>
    <col min="41" max="48" width="8.85546875" style="4"/>
    <col min="50" max="53" width="9.140625" style="4"/>
    <col min="54" max="56" width="8.85546875" style="4"/>
    <col min="57" max="59" width="9.140625" style="4"/>
    <col min="72" max="72" width="8.42578125" customWidth="1"/>
  </cols>
  <sheetData>
    <row r="1" spans="1:68" x14ac:dyDescent="0.2">
      <c r="A1" s="17" t="s">
        <v>7</v>
      </c>
      <c r="C1" s="4" t="s">
        <v>159</v>
      </c>
      <c r="D1" s="4" t="s">
        <v>159</v>
      </c>
      <c r="E1" s="4" t="s">
        <v>159</v>
      </c>
      <c r="F1" s="4" t="s">
        <v>169</v>
      </c>
      <c r="K1" s="4" t="s">
        <v>159</v>
      </c>
      <c r="L1" s="4" t="s">
        <v>159</v>
      </c>
      <c r="M1" s="4" t="s">
        <v>159</v>
      </c>
      <c r="AZ1" s="4" t="s">
        <v>155</v>
      </c>
      <c r="BA1" s="4" t="s">
        <v>155</v>
      </c>
      <c r="BB1" s="4" t="s">
        <v>164</v>
      </c>
      <c r="BC1" s="21" t="s">
        <v>155</v>
      </c>
      <c r="BD1" s="21" t="s">
        <v>155</v>
      </c>
      <c r="BE1" s="21" t="s">
        <v>155</v>
      </c>
    </row>
    <row r="2" spans="1:68" s="18" customFormat="1" x14ac:dyDescent="0.2">
      <c r="C2" s="19">
        <v>42854</v>
      </c>
      <c r="D2" s="19">
        <v>42945</v>
      </c>
      <c r="E2" s="19">
        <v>43036</v>
      </c>
      <c r="F2" s="19">
        <v>43134</v>
      </c>
      <c r="G2" s="19"/>
      <c r="H2" s="19"/>
      <c r="I2" s="19"/>
      <c r="J2" s="19"/>
      <c r="K2" s="19">
        <v>43589</v>
      </c>
      <c r="L2" s="19">
        <v>43680</v>
      </c>
      <c r="M2" s="19">
        <v>43771</v>
      </c>
      <c r="N2" s="19">
        <v>43862</v>
      </c>
      <c r="O2" s="19">
        <v>43953</v>
      </c>
      <c r="P2" s="19">
        <v>44044</v>
      </c>
      <c r="Q2" s="19">
        <v>44135</v>
      </c>
      <c r="R2" s="19">
        <v>44226</v>
      </c>
      <c r="S2" s="19">
        <v>44317</v>
      </c>
      <c r="T2" s="19">
        <v>44408</v>
      </c>
      <c r="U2" s="19">
        <v>44499</v>
      </c>
      <c r="V2" s="19">
        <v>44590</v>
      </c>
      <c r="W2" s="19">
        <v>44681</v>
      </c>
      <c r="X2" s="19">
        <v>44773</v>
      </c>
      <c r="Y2" s="19">
        <v>45227</v>
      </c>
      <c r="Z2" s="19">
        <v>44954</v>
      </c>
      <c r="AA2" s="19">
        <v>45045</v>
      </c>
      <c r="AB2" s="19">
        <v>45136</v>
      </c>
      <c r="AC2" s="19">
        <v>45227</v>
      </c>
      <c r="AD2" s="19">
        <v>45325</v>
      </c>
      <c r="AE2" s="19">
        <v>45416</v>
      </c>
      <c r="AF2" s="19">
        <f>+AB2+365</f>
        <v>45501</v>
      </c>
      <c r="AG2" s="19">
        <f>+AC2+365</f>
        <v>45592</v>
      </c>
      <c r="AH2" s="19">
        <f>+AD2+365</f>
        <v>45690</v>
      </c>
      <c r="AO2" s="19"/>
      <c r="AP2" s="19"/>
      <c r="AQ2" s="19"/>
      <c r="AR2" s="19"/>
      <c r="AS2" s="19"/>
      <c r="AT2" s="19"/>
      <c r="AU2" s="19"/>
      <c r="AV2" s="19"/>
      <c r="AW2" s="19">
        <f t="shared" ref="AW2" si="0">AX2-365</f>
        <v>41303</v>
      </c>
      <c r="AX2" s="19">
        <f>AY2-365</f>
        <v>41668</v>
      </c>
      <c r="AY2" s="19">
        <f t="shared" ref="AY2" si="1">AZ2-365</f>
        <v>42033</v>
      </c>
      <c r="AZ2" s="19">
        <f>BA2-365</f>
        <v>42398</v>
      </c>
      <c r="BA2" s="19">
        <v>42763</v>
      </c>
      <c r="BB2" s="19">
        <v>43134</v>
      </c>
      <c r="BC2" s="19">
        <v>43498</v>
      </c>
      <c r="BD2" s="19">
        <v>43862</v>
      </c>
      <c r="BE2" s="19">
        <v>44226</v>
      </c>
      <c r="BF2" s="19">
        <v>44591</v>
      </c>
      <c r="BG2" s="19">
        <v>44954</v>
      </c>
      <c r="BH2" s="18">
        <v>45325</v>
      </c>
      <c r="BI2" s="18">
        <f>BH2+366</f>
        <v>45691</v>
      </c>
      <c r="BJ2" s="18">
        <f t="shared" ref="BJ2:BP2" si="2">BI2+365</f>
        <v>46056</v>
      </c>
      <c r="BK2" s="18">
        <f t="shared" si="2"/>
        <v>46421</v>
      </c>
      <c r="BL2" s="18">
        <f t="shared" si="2"/>
        <v>46786</v>
      </c>
      <c r="BM2" s="18">
        <f>BL2+366</f>
        <v>47152</v>
      </c>
      <c r="BN2" s="18">
        <f t="shared" si="2"/>
        <v>47517</v>
      </c>
      <c r="BO2" s="18">
        <f t="shared" si="2"/>
        <v>47882</v>
      </c>
      <c r="BP2" s="18">
        <f t="shared" si="2"/>
        <v>48247</v>
      </c>
    </row>
    <row r="3" spans="1:68" x14ac:dyDescent="0.2">
      <c r="C3" s="4" t="s">
        <v>165</v>
      </c>
      <c r="D3" s="4" t="s">
        <v>166</v>
      </c>
      <c r="E3" s="4" t="s">
        <v>167</v>
      </c>
      <c r="F3" s="4" t="s">
        <v>168</v>
      </c>
      <c r="G3" s="4" t="s">
        <v>163</v>
      </c>
      <c r="H3" s="4" t="s">
        <v>162</v>
      </c>
      <c r="I3" s="4" t="s">
        <v>161</v>
      </c>
      <c r="J3" s="4" t="s">
        <v>160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6</v>
      </c>
      <c r="X3" s="4" t="s">
        <v>21</v>
      </c>
      <c r="Y3" s="4" t="s">
        <v>22</v>
      </c>
      <c r="Z3" s="4" t="s">
        <v>23</v>
      </c>
      <c r="AA3" s="4" t="s">
        <v>116</v>
      </c>
      <c r="AB3" s="4" t="s">
        <v>117</v>
      </c>
      <c r="AC3" s="4" t="s">
        <v>118</v>
      </c>
      <c r="AD3" s="4" t="s">
        <v>119</v>
      </c>
      <c r="AE3" s="4" t="s">
        <v>128</v>
      </c>
      <c r="AF3" s="4" t="s">
        <v>129</v>
      </c>
      <c r="AG3" s="4" t="s">
        <v>130</v>
      </c>
      <c r="AH3" s="4" t="s">
        <v>131</v>
      </c>
      <c r="AJ3" s="4" t="s">
        <v>156</v>
      </c>
      <c r="AK3" s="4" t="s">
        <v>144</v>
      </c>
      <c r="AL3" s="4" t="s">
        <v>143</v>
      </c>
      <c r="AM3" s="4" t="s">
        <v>142</v>
      </c>
      <c r="AN3" s="4" t="s">
        <v>141</v>
      </c>
      <c r="AO3" s="4" t="s">
        <v>140</v>
      </c>
      <c r="AP3" s="4" t="s">
        <v>139</v>
      </c>
      <c r="AQ3" s="4" t="s">
        <v>138</v>
      </c>
      <c r="AR3" s="4" t="s">
        <v>137</v>
      </c>
      <c r="AS3" s="4" t="s">
        <v>136</v>
      </c>
      <c r="AT3" s="4" t="s">
        <v>135</v>
      </c>
      <c r="AU3" s="4" t="s">
        <v>134</v>
      </c>
      <c r="AV3" s="4" t="s">
        <v>133</v>
      </c>
      <c r="AW3" s="4" t="s">
        <v>132</v>
      </c>
      <c r="AX3" s="4" t="s">
        <v>114</v>
      </c>
      <c r="AY3" s="4" t="s">
        <v>113</v>
      </c>
      <c r="AZ3" s="4" t="s">
        <v>112</v>
      </c>
      <c r="BA3" s="4" t="s">
        <v>111</v>
      </c>
      <c r="BB3" s="4" t="s">
        <v>110</v>
      </c>
      <c r="BC3" s="4" t="s">
        <v>73</v>
      </c>
      <c r="BD3" s="4" t="s">
        <v>72</v>
      </c>
      <c r="BE3" s="4" t="s">
        <v>71</v>
      </c>
      <c r="BF3" s="4" t="s">
        <v>68</v>
      </c>
      <c r="BG3" s="4" t="s">
        <v>69</v>
      </c>
      <c r="BH3" s="4" t="s">
        <v>70</v>
      </c>
      <c r="BI3" s="4" t="s">
        <v>86</v>
      </c>
      <c r="BJ3" s="4" t="s">
        <v>87</v>
      </c>
      <c r="BK3" s="4" t="s">
        <v>88</v>
      </c>
      <c r="BL3" s="4" t="s">
        <v>89</v>
      </c>
      <c r="BM3" s="4" t="s">
        <v>90</v>
      </c>
      <c r="BN3" s="4" t="s">
        <v>91</v>
      </c>
      <c r="BO3" s="4" t="s">
        <v>92</v>
      </c>
      <c r="BP3" s="4" t="s">
        <v>93</v>
      </c>
    </row>
    <row r="4" spans="1:68" s="10" customFormat="1" x14ac:dyDescent="0.2">
      <c r="B4" s="7" t="s">
        <v>147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8">
        <v>4573</v>
      </c>
      <c r="W4" s="8">
        <f>V4-($V$4-$Z$4)/4</f>
        <v>4533</v>
      </c>
      <c r="X4" s="8">
        <f>W4-($V$4-$Z$4)/4</f>
        <v>4493</v>
      </c>
      <c r="Y4" s="8">
        <f>X4-($V$4-$Z$4)/4</f>
        <v>4453</v>
      </c>
      <c r="Z4" s="8">
        <f>+Z5+Z6</f>
        <v>4413</v>
      </c>
      <c r="AA4" s="8">
        <f>Z4-($Z$4-$AD$4)/4</f>
        <v>4352</v>
      </c>
      <c r="AB4" s="8">
        <f>AA4-($Z$4-$AD$4)/4</f>
        <v>4291</v>
      </c>
      <c r="AC4" s="8">
        <f>AB4-($Z$4-$AD$4)/4</f>
        <v>4230</v>
      </c>
      <c r="AD4" s="8">
        <f>+AD5+AD6</f>
        <v>4169</v>
      </c>
      <c r="AE4" s="8">
        <f>+AE5+AE6</f>
        <v>0</v>
      </c>
      <c r="AF4" s="8"/>
      <c r="AG4" s="8"/>
      <c r="AH4" s="8"/>
      <c r="AI4" s="7"/>
      <c r="AJ4" s="7"/>
      <c r="AK4" s="7"/>
      <c r="AL4" s="7"/>
      <c r="AM4" s="7"/>
      <c r="AN4" s="7"/>
      <c r="AO4" s="8"/>
      <c r="AP4" s="8"/>
      <c r="AQ4" s="8"/>
      <c r="AR4" s="8"/>
      <c r="AS4" s="8"/>
      <c r="AT4" s="8"/>
      <c r="AU4" s="8"/>
      <c r="AV4" s="8"/>
      <c r="AW4" s="7"/>
      <c r="AX4" s="8">
        <v>6675</v>
      </c>
      <c r="AY4" s="8">
        <v>6690</v>
      </c>
      <c r="AZ4" s="8">
        <v>7117</v>
      </c>
      <c r="BA4" s="8">
        <v>7535</v>
      </c>
      <c r="BB4" s="8">
        <v>5947</v>
      </c>
      <c r="BC4" s="8">
        <v>5830</v>
      </c>
      <c r="BD4" s="8">
        <f>+BD5+BD6</f>
        <v>5509</v>
      </c>
      <c r="BE4" s="8">
        <f>+BE5+BE6</f>
        <v>4816</v>
      </c>
      <c r="BF4" s="8">
        <v>4573</v>
      </c>
      <c r="BG4" s="7">
        <f>+BG5+BG6</f>
        <v>4035</v>
      </c>
      <c r="BH4" s="7">
        <f>+BH5+BH6</f>
        <v>4169</v>
      </c>
    </row>
    <row r="5" spans="1:68" x14ac:dyDescent="0.2">
      <c r="B5" s="2" t="s">
        <v>145</v>
      </c>
      <c r="V5" s="6">
        <v>3018</v>
      </c>
      <c r="W5" s="6">
        <f>V5-($V$5-$Z$5)/4</f>
        <v>3000.75</v>
      </c>
      <c r="X5" s="6">
        <f>W5-($V$5-$Z$5)/4</f>
        <v>2983.5</v>
      </c>
      <c r="Y5" s="6">
        <f>X5-($V$5-$Z$5)/4</f>
        <v>2966.25</v>
      </c>
      <c r="Z5" s="6">
        <v>2949</v>
      </c>
      <c r="AA5" s="6">
        <f>Z5-($Z$5-$AD$5)/4</f>
        <v>2940.5</v>
      </c>
      <c r="AB5" s="6">
        <f>AA5-($Z$5-$AD$5)/4</f>
        <v>2932</v>
      </c>
      <c r="AC5" s="6">
        <f>AB5-($Z$5-$AD$5)/4</f>
        <v>2923.5</v>
      </c>
      <c r="AD5" s="6">
        <v>2915</v>
      </c>
      <c r="AE5" s="6"/>
      <c r="AF5" s="6"/>
      <c r="AG5" s="6"/>
      <c r="AH5" s="6"/>
      <c r="AI5" s="2"/>
      <c r="AJ5" s="2"/>
      <c r="AK5" s="2"/>
      <c r="AL5" s="2"/>
      <c r="AM5" s="2"/>
      <c r="AN5" s="2"/>
      <c r="AO5" s="6"/>
      <c r="AP5" s="6"/>
      <c r="AQ5" s="6"/>
      <c r="AR5" s="6"/>
      <c r="AS5" s="6"/>
      <c r="AT5" s="6"/>
      <c r="AU5" s="6"/>
      <c r="AV5" s="6"/>
      <c r="AW5" s="2"/>
      <c r="AX5" s="6"/>
      <c r="AY5" s="6"/>
      <c r="AZ5" s="6"/>
      <c r="BA5" s="6">
        <f>BA4-2069</f>
        <v>5466</v>
      </c>
      <c r="BD5" s="6">
        <v>3642</v>
      </c>
      <c r="BE5" s="6">
        <v>3192</v>
      </c>
      <c r="BF5" s="6">
        <v>3018</v>
      </c>
      <c r="BG5" s="2">
        <v>2949</v>
      </c>
      <c r="BH5" s="2">
        <v>2915</v>
      </c>
    </row>
    <row r="6" spans="1:68" x14ac:dyDescent="0.2">
      <c r="B6" s="2" t="s">
        <v>146</v>
      </c>
      <c r="V6" s="6">
        <f>231+417+907</f>
        <v>1555</v>
      </c>
      <c r="W6" s="6">
        <f>V6-($V$6-$Z$6)/4</f>
        <v>1532.25</v>
      </c>
      <c r="X6" s="6">
        <f>W6-($V$6-$Z$6)/4</f>
        <v>1509.5</v>
      </c>
      <c r="Y6" s="6">
        <f>X6-($V$6-$Z$6)/4</f>
        <v>1486.75</v>
      </c>
      <c r="Z6" s="6">
        <f>216+419+829</f>
        <v>1464</v>
      </c>
      <c r="AA6" s="6">
        <f>Z6-($Z$6-$AD$6)/4</f>
        <v>1411.5</v>
      </c>
      <c r="AB6" s="6">
        <f>AA6-($Z$6-$AD$6)/4</f>
        <v>1359</v>
      </c>
      <c r="AC6" s="6">
        <f>AB6-($Z$6-$AD$6)/4</f>
        <v>1306.5</v>
      </c>
      <c r="AD6" s="6">
        <f>203+404+647</f>
        <v>1254</v>
      </c>
      <c r="BD6" s="6">
        <f>299+426+1142</f>
        <v>1867</v>
      </c>
      <c r="BE6" s="6">
        <v>1624</v>
      </c>
      <c r="BF6" s="6">
        <f>231+417+907</f>
        <v>1555</v>
      </c>
      <c r="BG6" s="2">
        <f>216+41+829</f>
        <v>1086</v>
      </c>
      <c r="BH6" s="2">
        <f>203+404+647</f>
        <v>1254</v>
      </c>
    </row>
    <row r="8" spans="1:68" x14ac:dyDescent="0.2">
      <c r="B8" s="2" t="s">
        <v>148</v>
      </c>
      <c r="V8" s="6">
        <f t="shared" ref="V8:AC8" si="3">+V26*1000000/V4</f>
        <v>492871.20052481961</v>
      </c>
      <c r="W8" s="6">
        <f t="shared" si="3"/>
        <v>304081.18243988528</v>
      </c>
      <c r="X8" s="6">
        <f t="shared" si="3"/>
        <v>252837.74760738926</v>
      </c>
      <c r="Y8" s="6">
        <f t="shared" si="3"/>
        <v>266427.12777902535</v>
      </c>
      <c r="Z8" s="6">
        <f t="shared" si="3"/>
        <v>504509.40403353714</v>
      </c>
      <c r="AA8" s="6">
        <f t="shared" si="3"/>
        <v>284260.11029411765</v>
      </c>
      <c r="AB8" s="6">
        <f t="shared" si="3"/>
        <v>271218.83010953158</v>
      </c>
      <c r="AC8" s="6">
        <f t="shared" si="3"/>
        <v>254917.25768321514</v>
      </c>
      <c r="AD8" s="6">
        <f>+AD26*1000000/AD4</f>
        <v>430223.07507795643</v>
      </c>
      <c r="AE8" s="6" t="e">
        <f>+AE26*1000000/AE4</f>
        <v>#DIV/0!</v>
      </c>
      <c r="AX8" s="6">
        <f t="shared" ref="AX8:BH8" si="4">+AX26/AX4*1000000</f>
        <v>1354232.2097378278</v>
      </c>
      <c r="AY8" s="6">
        <f t="shared" si="4"/>
        <v>1389536.6218236173</v>
      </c>
      <c r="AZ8" s="6">
        <f t="shared" si="4"/>
        <v>1315694.8152311365</v>
      </c>
      <c r="BA8" s="6">
        <f t="shared" si="4"/>
        <v>1142388.8520238886</v>
      </c>
      <c r="BB8" s="6">
        <f t="shared" si="4"/>
        <v>1437212.039683874</v>
      </c>
      <c r="BC8" s="6">
        <f t="shared" si="4"/>
        <v>1421149.2281303601</v>
      </c>
      <c r="BD8" s="6">
        <f t="shared" si="4"/>
        <v>1173715.7378834635</v>
      </c>
      <c r="BE8" s="6">
        <f t="shared" si="4"/>
        <v>1056852.1594684382</v>
      </c>
      <c r="BF8" s="6">
        <f t="shared" si="4"/>
        <v>1314388.8038486771</v>
      </c>
      <c r="BG8" s="6">
        <f t="shared" si="4"/>
        <v>1468946.7162329615</v>
      </c>
      <c r="BH8" s="6">
        <f t="shared" si="4"/>
        <v>1264763.7323099065</v>
      </c>
    </row>
    <row r="10" spans="1:68" s="2" customFormat="1" x14ac:dyDescent="0.2">
      <c r="B10" s="2" t="s">
        <v>101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966.3</v>
      </c>
      <c r="T10" s="6">
        <v>795.1</v>
      </c>
      <c r="U10" s="6"/>
      <c r="V10" s="6"/>
      <c r="W10" s="6">
        <v>995.3</v>
      </c>
      <c r="X10" s="6">
        <v>793.4</v>
      </c>
      <c r="Y10" s="6">
        <v>799.1</v>
      </c>
      <c r="Z10" s="6">
        <f>4093-Y10-X10-W10</f>
        <v>1505.2</v>
      </c>
      <c r="AA10" s="6">
        <v>832.4</v>
      </c>
      <c r="AB10" s="6">
        <v>760.2</v>
      </c>
      <c r="AC10" s="6">
        <v>693.1</v>
      </c>
      <c r="AD10" s="6">
        <f>3429.4-AC10-AB10-AA10</f>
        <v>1143.7000000000003</v>
      </c>
      <c r="AE10" s="6"/>
      <c r="AF10" s="6"/>
      <c r="AG10" s="6"/>
      <c r="AH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AZ10" s="6">
        <v>6435.1</v>
      </c>
      <c r="BA10" s="6">
        <v>5488.9</v>
      </c>
      <c r="BB10" s="6">
        <v>5749.9</v>
      </c>
      <c r="BC10" s="6">
        <v>5800.2</v>
      </c>
      <c r="BD10" s="6">
        <v>4497.7</v>
      </c>
      <c r="BE10" s="6">
        <v>3417.1</v>
      </c>
      <c r="BF10" s="6">
        <v>4186.5</v>
      </c>
      <c r="BG10" s="6">
        <v>4093</v>
      </c>
      <c r="BH10" s="6">
        <v>3429.4</v>
      </c>
      <c r="BI10" s="6"/>
      <c r="BJ10" s="6"/>
      <c r="BK10" s="6"/>
      <c r="BL10" s="6"/>
      <c r="BM10" s="6"/>
      <c r="BN10" s="6"/>
      <c r="BO10" s="6"/>
      <c r="BP10" s="6"/>
    </row>
    <row r="11" spans="1:68" s="2" customFormat="1" x14ac:dyDescent="0.2">
      <c r="B11" s="2" t="s">
        <v>102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61.9</v>
      </c>
      <c r="T11" s="6">
        <v>62.8</v>
      </c>
      <c r="U11" s="6"/>
      <c r="V11" s="6"/>
      <c r="W11" s="6">
        <v>76.900000000000006</v>
      </c>
      <c r="X11" s="6">
        <v>62.3</v>
      </c>
      <c r="Y11" s="6">
        <v>67.900000000000006</v>
      </c>
      <c r="Z11" s="6">
        <f>344.1-Y11-X11-W11</f>
        <v>137.00000000000003</v>
      </c>
      <c r="AA11" s="6">
        <v>62.7</v>
      </c>
      <c r="AB11" s="6">
        <v>66</v>
      </c>
      <c r="AC11" s="6">
        <v>61.3</v>
      </c>
      <c r="AD11" s="6">
        <f>292.5-AC11-AB11-AA11</f>
        <v>102.49999999999999</v>
      </c>
      <c r="AE11" s="6"/>
      <c r="AF11" s="6"/>
      <c r="AG11" s="6"/>
      <c r="AH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AZ11" s="6">
        <v>446.6</v>
      </c>
      <c r="BA11" s="6">
        <v>382</v>
      </c>
      <c r="BB11" s="6">
        <v>434.9</v>
      </c>
      <c r="BC11" s="6">
        <v>434.5</v>
      </c>
      <c r="BD11" s="6">
        <v>344.2</v>
      </c>
      <c r="BE11" s="6">
        <v>258.39999999999998</v>
      </c>
      <c r="BF11" s="6">
        <v>332.3</v>
      </c>
      <c r="BG11" s="6">
        <v>344</v>
      </c>
      <c r="BH11" s="6">
        <v>292.5</v>
      </c>
      <c r="BI11" s="6"/>
      <c r="BJ11" s="6"/>
      <c r="BK11" s="6"/>
      <c r="BL11" s="6"/>
      <c r="BM11" s="6"/>
      <c r="BN11" s="6"/>
      <c r="BO11" s="6"/>
      <c r="BP11" s="6"/>
    </row>
    <row r="12" spans="1:68" s="2" customFormat="1" x14ac:dyDescent="0.2">
      <c r="B12" s="2" t="s">
        <v>103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114.8</v>
      </c>
      <c r="T12" s="6">
        <v>131.1</v>
      </c>
      <c r="U12" s="6"/>
      <c r="V12" s="6"/>
      <c r="W12" s="6">
        <v>126.7</v>
      </c>
      <c r="X12" s="6">
        <v>113.9</v>
      </c>
      <c r="Y12" s="6">
        <v>122.8</v>
      </c>
      <c r="Z12" s="6">
        <f>588.7-Y12-X12-W12</f>
        <v>225.3</v>
      </c>
      <c r="AA12" s="6">
        <v>115.4</v>
      </c>
      <c r="AB12" s="6">
        <v>124.1</v>
      </c>
      <c r="AC12" s="6">
        <v>102.2</v>
      </c>
      <c r="AD12" s="6">
        <f>522.5-AC12-AB12-AA12</f>
        <v>180.80000000000004</v>
      </c>
      <c r="AE12" s="6"/>
      <c r="AF12" s="6"/>
      <c r="AG12" s="6"/>
      <c r="AH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AZ12" s="6">
        <v>591.4</v>
      </c>
      <c r="BA12" s="6">
        <v>609.5</v>
      </c>
      <c r="BB12" s="6">
        <v>702.2</v>
      </c>
      <c r="BC12" s="6">
        <v>645.4</v>
      </c>
      <c r="BD12" s="6">
        <v>525.4</v>
      </c>
      <c r="BE12" s="6">
        <v>625.29999999999995</v>
      </c>
      <c r="BF12" s="6">
        <v>591.79999999999995</v>
      </c>
      <c r="BG12" s="6">
        <v>588.70000000000005</v>
      </c>
      <c r="BH12" s="6">
        <v>522.5</v>
      </c>
      <c r="BI12" s="6"/>
      <c r="BJ12" s="6"/>
      <c r="BK12" s="6"/>
      <c r="BL12" s="6"/>
      <c r="BM12" s="6"/>
      <c r="BN12" s="6"/>
      <c r="BO12" s="6"/>
      <c r="BP12" s="6"/>
    </row>
    <row r="13" spans="1:68" s="2" customFormat="1" x14ac:dyDescent="0.2">
      <c r="B13" s="2" t="s">
        <v>104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133.80000000000001</v>
      </c>
      <c r="T13" s="6">
        <v>194.4</v>
      </c>
      <c r="U13" s="6"/>
      <c r="V13" s="6"/>
      <c r="W13" s="6">
        <v>179.5</v>
      </c>
      <c r="X13" s="6">
        <v>166.4</v>
      </c>
      <c r="Y13" s="6">
        <v>196.6</v>
      </c>
      <c r="Z13" s="6">
        <f>901.4-Y13-X13-W13</f>
        <v>358.9</v>
      </c>
      <c r="AA13" s="6">
        <f>440.1-AB13</f>
        <v>226.60000000000002</v>
      </c>
      <c r="AB13" s="6">
        <v>213.5</v>
      </c>
      <c r="AC13" s="6">
        <v>221.7</v>
      </c>
      <c r="AD13" s="6">
        <f>1028.4-AC13-AB13-AA13</f>
        <v>366.6</v>
      </c>
      <c r="AE13" s="6"/>
      <c r="AF13" s="6"/>
      <c r="AG13" s="6"/>
      <c r="AH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AZ13" s="6">
        <v>1356.7</v>
      </c>
      <c r="BA13" s="6">
        <v>1313.5</v>
      </c>
      <c r="BB13" s="6">
        <v>1534</v>
      </c>
      <c r="BC13" s="6">
        <v>1405.2</v>
      </c>
      <c r="BD13" s="6">
        <v>1098.7</v>
      </c>
      <c r="BE13" s="6">
        <v>789</v>
      </c>
      <c r="BF13" s="6">
        <v>900.1</v>
      </c>
      <c r="BG13" s="6">
        <v>901.4</v>
      </c>
      <c r="BH13" s="6">
        <v>1028.4000000000001</v>
      </c>
      <c r="BI13" s="6"/>
      <c r="BJ13" s="6"/>
      <c r="BK13" s="6"/>
      <c r="BL13" s="6"/>
      <c r="BM13" s="6"/>
      <c r="BN13" s="6"/>
      <c r="BO13" s="6"/>
      <c r="BP13" s="6"/>
    </row>
    <row r="14" spans="1:68" x14ac:dyDescent="0.2">
      <c r="BH14" s="4"/>
      <c r="BI14" s="4"/>
      <c r="BJ14" s="4"/>
      <c r="BK14" s="4"/>
      <c r="BL14" s="4"/>
      <c r="BM14" s="4"/>
      <c r="BN14" s="4"/>
      <c r="BO14" s="4"/>
      <c r="BP14" s="4"/>
    </row>
    <row r="15" spans="1:68" s="2" customFormat="1" x14ac:dyDescent="0.2">
      <c r="B15" s="2" t="s">
        <v>74</v>
      </c>
      <c r="C15" s="6"/>
      <c r="D15" s="6"/>
      <c r="E15" s="6"/>
      <c r="F15" s="6"/>
      <c r="G15" s="6">
        <v>233.5</v>
      </c>
      <c r="H15" s="6">
        <v>175.6</v>
      </c>
      <c r="I15" s="6">
        <v>189</v>
      </c>
      <c r="J15" s="6"/>
      <c r="K15" s="6">
        <v>233.5</v>
      </c>
      <c r="L15" s="6">
        <v>175.6</v>
      </c>
      <c r="M15" s="6">
        <v>189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O15" s="6"/>
      <c r="AP15" s="6"/>
      <c r="AQ15" s="6"/>
      <c r="AR15" s="6"/>
      <c r="AS15" s="6"/>
      <c r="AT15" s="6"/>
      <c r="AU15" s="6"/>
      <c r="AV15" s="6"/>
      <c r="AX15" s="6"/>
      <c r="AY15" s="6">
        <v>2028.7</v>
      </c>
      <c r="AZ15" s="6">
        <v>1944.7</v>
      </c>
      <c r="BA15" s="6">
        <v>1396.7</v>
      </c>
      <c r="BB15" s="6">
        <v>1791.8</v>
      </c>
      <c r="BC15" s="6">
        <v>1767.8</v>
      </c>
      <c r="BD15" s="6"/>
      <c r="BE15" s="6"/>
      <c r="BF15" s="6"/>
      <c r="BG15" s="6"/>
    </row>
    <row r="16" spans="1:68" s="2" customFormat="1" x14ac:dyDescent="0.2">
      <c r="B16" s="2" t="s">
        <v>75</v>
      </c>
      <c r="C16" s="6"/>
      <c r="D16" s="6"/>
      <c r="E16" s="6"/>
      <c r="F16" s="6"/>
      <c r="G16" s="6">
        <v>446.4</v>
      </c>
      <c r="H16" s="6">
        <v>285</v>
      </c>
      <c r="I16" s="6">
        <v>485.9</v>
      </c>
      <c r="J16" s="6"/>
      <c r="K16" s="6">
        <v>446.4</v>
      </c>
      <c r="L16" s="6">
        <v>285</v>
      </c>
      <c r="M16" s="6">
        <v>485.9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O16" s="6"/>
      <c r="AP16" s="6"/>
      <c r="AQ16" s="6"/>
      <c r="AR16" s="6"/>
      <c r="AS16" s="6"/>
      <c r="AT16" s="6"/>
      <c r="AU16" s="6"/>
      <c r="AV16" s="6"/>
      <c r="AX16" s="6"/>
      <c r="AY16" s="6">
        <v>3089</v>
      </c>
      <c r="AZ16" s="6">
        <v>2905.1</v>
      </c>
      <c r="BA16" s="6">
        <v>2493.4</v>
      </c>
      <c r="BB16" s="6">
        <v>2582</v>
      </c>
      <c r="BC16" s="6">
        <v>2449.6999999999998</v>
      </c>
      <c r="BD16" s="6"/>
      <c r="BE16" s="6"/>
      <c r="BF16" s="6"/>
      <c r="BG16" s="6"/>
    </row>
    <row r="17" spans="2:68" s="2" customFormat="1" x14ac:dyDescent="0.2">
      <c r="B17" s="2" t="s">
        <v>76</v>
      </c>
      <c r="C17" s="6"/>
      <c r="D17" s="6"/>
      <c r="E17" s="6"/>
      <c r="F17" s="6"/>
      <c r="G17" s="6">
        <v>395.3</v>
      </c>
      <c r="H17" s="6">
        <v>373.1</v>
      </c>
      <c r="I17" s="6">
        <v>344.2</v>
      </c>
      <c r="J17" s="6"/>
      <c r="K17" s="6">
        <v>395.3</v>
      </c>
      <c r="L17" s="6">
        <v>373.1</v>
      </c>
      <c r="M17" s="6">
        <v>344.2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O17" s="6"/>
      <c r="AP17" s="6"/>
      <c r="AQ17" s="6"/>
      <c r="AR17" s="6"/>
      <c r="AS17" s="6"/>
      <c r="AT17" s="6"/>
      <c r="AU17" s="6"/>
      <c r="AV17" s="6"/>
      <c r="AX17" s="6"/>
      <c r="AY17" s="6">
        <v>2389.3000000000002</v>
      </c>
      <c r="AZ17" s="6">
        <v>2374.6999999999998</v>
      </c>
      <c r="BA17" s="6">
        <v>2254.1</v>
      </c>
      <c r="BB17" s="6">
        <v>2149.6</v>
      </c>
      <c r="BC17" s="6">
        <v>1866.3</v>
      </c>
      <c r="BD17" s="6"/>
      <c r="BE17" s="6"/>
      <c r="BF17" s="6"/>
      <c r="BG17" s="6"/>
    </row>
    <row r="18" spans="2:68" s="2" customFormat="1" x14ac:dyDescent="0.2">
      <c r="B18" s="2" t="s">
        <v>77</v>
      </c>
      <c r="C18" s="6"/>
      <c r="D18" s="6"/>
      <c r="E18" s="6"/>
      <c r="F18" s="6"/>
      <c r="G18" s="6">
        <v>200.2</v>
      </c>
      <c r="H18" s="6">
        <v>169.6</v>
      </c>
      <c r="I18" s="6">
        <v>156.5</v>
      </c>
      <c r="J18" s="6"/>
      <c r="K18" s="6">
        <v>200.2</v>
      </c>
      <c r="L18" s="6">
        <v>169.6</v>
      </c>
      <c r="M18" s="6">
        <v>156.5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O18" s="6"/>
      <c r="AP18" s="6"/>
      <c r="AQ18" s="6"/>
      <c r="AR18" s="6"/>
      <c r="AS18" s="6"/>
      <c r="AT18" s="6"/>
      <c r="AU18" s="6"/>
      <c r="AV18" s="6"/>
      <c r="AX18" s="6"/>
      <c r="AY18" s="6">
        <v>653.6</v>
      </c>
      <c r="AZ18" s="6">
        <v>703</v>
      </c>
      <c r="BA18" s="6">
        <v>676.7</v>
      </c>
      <c r="BB18" s="6">
        <v>784.3</v>
      </c>
      <c r="BC18" s="6">
        <v>956.5</v>
      </c>
      <c r="BD18" s="6"/>
      <c r="BE18" s="6"/>
      <c r="BF18" s="6"/>
      <c r="BG18" s="6"/>
    </row>
    <row r="19" spans="2:68" s="2" customFormat="1" x14ac:dyDescent="0.2">
      <c r="B19" s="2" t="s">
        <v>78</v>
      </c>
      <c r="C19" s="6"/>
      <c r="D19" s="6"/>
      <c r="E19" s="6"/>
      <c r="F19" s="6"/>
      <c r="G19" s="6">
        <v>38.1</v>
      </c>
      <c r="H19" s="6">
        <v>36.299999999999997</v>
      </c>
      <c r="I19" s="6">
        <v>37</v>
      </c>
      <c r="J19" s="6"/>
      <c r="K19" s="6">
        <v>38.1</v>
      </c>
      <c r="L19" s="6">
        <v>36.299999999999997</v>
      </c>
      <c r="M19" s="6">
        <v>37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O19" s="6"/>
      <c r="AP19" s="6"/>
      <c r="AQ19" s="6"/>
      <c r="AR19" s="6"/>
      <c r="AS19" s="6"/>
      <c r="AT19" s="6"/>
      <c r="AU19" s="6"/>
      <c r="AV19" s="6"/>
      <c r="AX19" s="6"/>
      <c r="AY19" s="6">
        <v>216.3</v>
      </c>
      <c r="AZ19" s="6">
        <v>188.3</v>
      </c>
      <c r="BA19" s="6">
        <v>181</v>
      </c>
      <c r="BB19" s="6">
        <v>189.2</v>
      </c>
      <c r="BC19" s="6">
        <v>194</v>
      </c>
      <c r="BD19" s="6"/>
      <c r="BE19" s="6"/>
      <c r="BF19" s="6"/>
      <c r="BG19" s="6"/>
    </row>
    <row r="20" spans="2:68" s="2" customFormat="1" x14ac:dyDescent="0.2">
      <c r="B20" s="2" t="s">
        <v>67</v>
      </c>
      <c r="C20" s="6"/>
      <c r="D20" s="6"/>
      <c r="E20" s="6"/>
      <c r="F20" s="6"/>
      <c r="G20" s="6">
        <v>157.30000000000001</v>
      </c>
      <c r="H20" s="6">
        <v>171.8</v>
      </c>
      <c r="I20" s="6">
        <v>161.19999999999999</v>
      </c>
      <c r="J20" s="6"/>
      <c r="K20" s="6">
        <v>157.30000000000001</v>
      </c>
      <c r="L20" s="6">
        <v>171.8</v>
      </c>
      <c r="M20" s="6">
        <v>161.19999999999999</v>
      </c>
      <c r="N20" s="6"/>
      <c r="O20" s="6"/>
      <c r="P20" s="6"/>
      <c r="Q20" s="6"/>
      <c r="R20" s="6"/>
      <c r="S20" s="6">
        <v>175.4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O20" s="6"/>
      <c r="AP20" s="6"/>
      <c r="AQ20" s="6"/>
      <c r="AR20" s="6"/>
      <c r="AS20" s="6"/>
      <c r="AT20" s="6"/>
      <c r="AU20" s="6"/>
      <c r="AV20" s="6"/>
      <c r="AX20" s="6"/>
      <c r="AY20" s="6">
        <v>75.8</v>
      </c>
      <c r="AZ20" s="6">
        <v>309.7</v>
      </c>
      <c r="BA20" s="6">
        <v>494.1</v>
      </c>
      <c r="BB20" s="6">
        <v>636.20000000000005</v>
      </c>
      <c r="BC20" s="6">
        <v>707.5</v>
      </c>
      <c r="BD20" s="6"/>
      <c r="BE20" s="6"/>
      <c r="BF20" s="6"/>
      <c r="BG20" s="6"/>
    </row>
    <row r="21" spans="2:68" s="2" customFormat="1" x14ac:dyDescent="0.2">
      <c r="B21" s="2" t="s">
        <v>41</v>
      </c>
      <c r="C21" s="6"/>
      <c r="D21" s="6"/>
      <c r="E21" s="6"/>
      <c r="F21" s="6"/>
      <c r="G21" s="6">
        <v>76.900000000000006</v>
      </c>
      <c r="H21" s="6">
        <v>74.3</v>
      </c>
      <c r="I21" s="6">
        <v>64.7</v>
      </c>
      <c r="J21" s="6"/>
      <c r="K21" s="6">
        <v>76.900000000000006</v>
      </c>
      <c r="L21" s="6">
        <v>74.3</v>
      </c>
      <c r="M21" s="6">
        <v>64.7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O21" s="6"/>
      <c r="AP21" s="6"/>
      <c r="AQ21" s="6"/>
      <c r="AR21" s="6"/>
      <c r="AS21" s="6"/>
      <c r="AT21" s="6"/>
      <c r="AU21" s="6"/>
      <c r="AV21" s="6"/>
      <c r="AX21" s="6"/>
      <c r="AY21" s="6">
        <f>514.7+328.6</f>
        <v>843.30000000000007</v>
      </c>
      <c r="AZ21" s="6">
        <v>404.3</v>
      </c>
      <c r="BA21" s="6">
        <v>297.89999999999998</v>
      </c>
      <c r="BB21" s="6">
        <v>414</v>
      </c>
      <c r="BC21" s="6">
        <v>343.5</v>
      </c>
      <c r="BD21" s="6"/>
      <c r="BE21" s="6"/>
      <c r="BF21" s="6"/>
      <c r="BG21" s="6"/>
    </row>
    <row r="23" spans="2:68" s="2" customFormat="1" x14ac:dyDescent="0.2">
      <c r="B23" s="2" t="s">
        <v>65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513.1</v>
      </c>
      <c r="P23" s="6">
        <v>441.6</v>
      </c>
      <c r="Q23" s="6">
        <v>413.4</v>
      </c>
      <c r="R23" s="6">
        <v>1162.7</v>
      </c>
      <c r="S23" s="6">
        <v>703.5</v>
      </c>
      <c r="T23" s="6">
        <v>609.6</v>
      </c>
      <c r="U23" s="6">
        <v>669.9</v>
      </c>
      <c r="V23" s="6">
        <v>1188.7</v>
      </c>
      <c r="W23" s="6">
        <v>673.8</v>
      </c>
      <c r="X23" s="6">
        <v>596.4</v>
      </c>
      <c r="Y23" s="6">
        <v>627</v>
      </c>
      <c r="Z23" s="6">
        <f>3140-Y23-X23-W23</f>
        <v>1242.8</v>
      </c>
      <c r="AA23" s="6">
        <v>725.8</v>
      </c>
      <c r="AB23" s="6">
        <v>597</v>
      </c>
      <c r="AC23" s="6">
        <v>579.4</v>
      </c>
      <c r="AD23" s="6">
        <f>2996.8-AC23-AB23-AA23</f>
        <v>1094.6000000000001</v>
      </c>
      <c r="AE23" s="6">
        <v>505.3</v>
      </c>
      <c r="AF23" s="6"/>
      <c r="AG23" s="6"/>
      <c r="AH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AZ23" s="6"/>
      <c r="BA23" s="6"/>
      <c r="BB23" s="6"/>
      <c r="BC23" s="6">
        <v>3717.8</v>
      </c>
      <c r="BD23" s="6">
        <v>2722.2</v>
      </c>
      <c r="BE23" s="6">
        <v>2530.8000000000002</v>
      </c>
      <c r="BF23" s="6">
        <v>3171.7</v>
      </c>
      <c r="BG23" s="6">
        <v>3140</v>
      </c>
      <c r="BH23" s="2">
        <v>2996.8</v>
      </c>
    </row>
    <row r="24" spans="2:68" s="2" customFormat="1" x14ac:dyDescent="0.2">
      <c r="B24" s="2" t="s">
        <v>66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>
        <v>417</v>
      </c>
      <c r="P24" s="6">
        <v>386.5</v>
      </c>
      <c r="Q24" s="6">
        <v>444.4</v>
      </c>
      <c r="R24" s="6">
        <v>731.2</v>
      </c>
      <c r="S24" s="6">
        <v>397.9</v>
      </c>
      <c r="T24" s="6">
        <v>396.6</v>
      </c>
      <c r="U24" s="6">
        <v>434.5</v>
      </c>
      <c r="V24" s="6">
        <v>785.9</v>
      </c>
      <c r="W24" s="6">
        <v>483.7</v>
      </c>
      <c r="X24" s="6">
        <v>316.39999999999998</v>
      </c>
      <c r="Y24" s="6">
        <v>352.1</v>
      </c>
      <c r="Z24" s="6">
        <f>1822.6-Y24-X24-W24</f>
        <v>670.39999999999986</v>
      </c>
      <c r="AA24" s="6">
        <v>338.3</v>
      </c>
      <c r="AB24" s="6">
        <v>397</v>
      </c>
      <c r="AC24" s="6">
        <v>321.3</v>
      </c>
      <c r="AD24" s="6">
        <f>1522-AC24-AB24-AA24</f>
        <v>465.40000000000003</v>
      </c>
      <c r="AE24" s="6">
        <v>239.7</v>
      </c>
      <c r="AF24" s="6"/>
      <c r="AG24" s="6"/>
      <c r="AH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AZ24" s="6"/>
      <c r="BA24" s="6"/>
      <c r="BB24" s="6"/>
      <c r="BC24" s="6">
        <v>3856.5</v>
      </c>
      <c r="BD24" s="6">
        <v>3006.3</v>
      </c>
      <c r="BE24" s="6">
        <v>1979.1</v>
      </c>
      <c r="BF24" s="6">
        <v>2014.8</v>
      </c>
      <c r="BG24" s="6">
        <v>1822.6</v>
      </c>
      <c r="BH24" s="6">
        <v>1522</v>
      </c>
      <c r="BI24" s="6"/>
      <c r="BJ24" s="6"/>
      <c r="BK24" s="6"/>
      <c r="BL24" s="6"/>
      <c r="BM24" s="6"/>
      <c r="BN24" s="6"/>
      <c r="BO24" s="6"/>
      <c r="BP24" s="6"/>
    </row>
    <row r="25" spans="2:68" s="2" customFormat="1" x14ac:dyDescent="0.2">
      <c r="B25" s="2" t="s">
        <v>67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90.9</v>
      </c>
      <c r="P25" s="6">
        <v>113.9</v>
      </c>
      <c r="Q25" s="6">
        <v>146.9</v>
      </c>
      <c r="R25" s="6">
        <v>228.2</v>
      </c>
      <c r="S25" s="6">
        <v>175.4</v>
      </c>
      <c r="T25" s="6">
        <v>177.2</v>
      </c>
      <c r="U25" s="6">
        <v>192.2</v>
      </c>
      <c r="V25" s="6">
        <v>279.3</v>
      </c>
      <c r="W25" s="6">
        <v>220.9</v>
      </c>
      <c r="X25" s="6">
        <v>223.2</v>
      </c>
      <c r="Y25" s="6">
        <v>207.3</v>
      </c>
      <c r="Z25" s="6">
        <f>964.6-Y25-X25-W25</f>
        <v>313.19999999999993</v>
      </c>
      <c r="AA25" s="6">
        <v>173</v>
      </c>
      <c r="AB25" s="6">
        <v>169.8</v>
      </c>
      <c r="AC25" s="6">
        <v>177.6</v>
      </c>
      <c r="AD25" s="6">
        <f>754-AC25-AB25-AA25</f>
        <v>233.59999999999997</v>
      </c>
      <c r="AE25" s="6">
        <v>136.80000000000001</v>
      </c>
      <c r="AF25" s="6"/>
      <c r="AG25" s="6"/>
      <c r="AH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AZ25" s="6"/>
      <c r="BA25" s="6"/>
      <c r="BB25" s="6">
        <f>BB20</f>
        <v>636.20000000000005</v>
      </c>
      <c r="BC25" s="6">
        <v>711</v>
      </c>
      <c r="BD25" s="6">
        <v>737.5</v>
      </c>
      <c r="BE25" s="6">
        <v>579.9</v>
      </c>
      <c r="BF25" s="6">
        <v>824.2</v>
      </c>
      <c r="BG25" s="6">
        <v>964.6</v>
      </c>
      <c r="BH25" s="6">
        <v>754</v>
      </c>
      <c r="BI25" s="6">
        <f t="shared" ref="BI25:BP25" si="5">BH25*1.1</f>
        <v>829.40000000000009</v>
      </c>
      <c r="BJ25" s="6">
        <f t="shared" si="5"/>
        <v>912.34000000000015</v>
      </c>
      <c r="BK25" s="6">
        <f t="shared" si="5"/>
        <v>1003.5740000000003</v>
      </c>
      <c r="BL25" s="6">
        <f t="shared" si="5"/>
        <v>1103.9314000000004</v>
      </c>
      <c r="BM25" s="6">
        <f t="shared" si="5"/>
        <v>1214.3245400000005</v>
      </c>
      <c r="BN25" s="6">
        <f t="shared" si="5"/>
        <v>1335.7569940000008</v>
      </c>
      <c r="BO25" s="6">
        <f t="shared" si="5"/>
        <v>1469.3326934000011</v>
      </c>
      <c r="BP25" s="6">
        <f t="shared" si="5"/>
        <v>1616.2659627400012</v>
      </c>
    </row>
    <row r="26" spans="2:68" s="7" customFormat="1" x14ac:dyDescent="0.2">
      <c r="B26" s="7" t="s">
        <v>8</v>
      </c>
      <c r="C26" s="8">
        <v>2045.9</v>
      </c>
      <c r="D26" s="8">
        <v>1687.6</v>
      </c>
      <c r="E26" s="8">
        <v>1988.6</v>
      </c>
      <c r="F26" s="8">
        <f>+BB26-E26-D26-C26</f>
        <v>2824.9999999999977</v>
      </c>
      <c r="G26" s="8">
        <v>1547.7</v>
      </c>
      <c r="H26" s="8">
        <f>SUM(H15:H21)</f>
        <v>1285.7</v>
      </c>
      <c r="I26" s="8">
        <f>SUM(I15:I21)</f>
        <v>1438.5</v>
      </c>
      <c r="J26" s="8">
        <f>+AZ26-I26-H26-G26</f>
        <v>5091.8999999999996</v>
      </c>
      <c r="K26" s="8">
        <v>1547.7</v>
      </c>
      <c r="L26" s="8">
        <f>SUM(L15:L21)</f>
        <v>1285.7</v>
      </c>
      <c r="M26" s="8">
        <f>SUM(M15:M21)</f>
        <v>1438.5</v>
      </c>
      <c r="N26" s="8">
        <f>+BD26-M26-L26-K26</f>
        <v>2194.1000000000004</v>
      </c>
      <c r="O26" s="8">
        <f>SUM(O23:O25)</f>
        <v>1021</v>
      </c>
      <c r="P26" s="8">
        <f>SUM(P23:P25)</f>
        <v>942</v>
      </c>
      <c r="Q26" s="8">
        <f t="shared" ref="Q26:V26" si="6">SUM(Q23:Q25)</f>
        <v>1004.6999999999999</v>
      </c>
      <c r="R26" s="8">
        <f t="shared" si="6"/>
        <v>2122.1</v>
      </c>
      <c r="S26" s="8">
        <f t="shared" si="6"/>
        <v>1276.8000000000002</v>
      </c>
      <c r="T26" s="8">
        <f t="shared" si="6"/>
        <v>1183.4000000000001</v>
      </c>
      <c r="U26" s="8">
        <f t="shared" si="6"/>
        <v>1296.6000000000001</v>
      </c>
      <c r="V26" s="8">
        <f t="shared" si="6"/>
        <v>2253.9</v>
      </c>
      <c r="W26" s="8">
        <f t="shared" ref="W26:AD26" si="7">SUM(W23:W25)</f>
        <v>1378.4</v>
      </c>
      <c r="X26" s="8">
        <f t="shared" si="7"/>
        <v>1136</v>
      </c>
      <c r="Y26" s="8">
        <f t="shared" si="7"/>
        <v>1186.4000000000001</v>
      </c>
      <c r="Z26" s="8">
        <f t="shared" si="7"/>
        <v>2226.3999999999996</v>
      </c>
      <c r="AA26" s="8">
        <f t="shared" si="7"/>
        <v>1237.0999999999999</v>
      </c>
      <c r="AB26" s="8">
        <f t="shared" si="7"/>
        <v>1163.8</v>
      </c>
      <c r="AC26" s="8">
        <f t="shared" si="7"/>
        <v>1078.3</v>
      </c>
      <c r="AD26" s="8">
        <f t="shared" si="7"/>
        <v>1793.6000000000001</v>
      </c>
      <c r="AE26" s="8">
        <f>SUM(AE23:AE25)</f>
        <v>881.8</v>
      </c>
      <c r="AF26" s="8">
        <f>+AB26*0.8</f>
        <v>931.04</v>
      </c>
      <c r="AG26" s="8">
        <f>+AC26*0.85</f>
        <v>916.55499999999995</v>
      </c>
      <c r="AH26" s="8">
        <f>+AD26*0.9</f>
        <v>1614.2400000000002</v>
      </c>
      <c r="AN26" s="7">
        <v>1578.838</v>
      </c>
      <c r="AO26" s="8">
        <v>1842.806</v>
      </c>
      <c r="AP26" s="8">
        <v>3091.7829999999999</v>
      </c>
      <c r="AQ26" s="8">
        <v>5318.9</v>
      </c>
      <c r="AR26" s="8">
        <v>7093.9620000000004</v>
      </c>
      <c r="AS26" s="8">
        <v>8805.8970000000008</v>
      </c>
      <c r="AT26" s="8">
        <v>9077.9969999999994</v>
      </c>
      <c r="AU26" s="8">
        <v>9473.7000000000007</v>
      </c>
      <c r="AV26" s="8">
        <v>9550.5</v>
      </c>
      <c r="AW26" s="7">
        <v>8886.7000000000007</v>
      </c>
      <c r="AX26" s="8">
        <v>9039.5</v>
      </c>
      <c r="AY26" s="8">
        <v>9296</v>
      </c>
      <c r="AZ26" s="8">
        <v>9363.7999999999993</v>
      </c>
      <c r="BA26" s="8">
        <v>8607.9</v>
      </c>
      <c r="BB26" s="8">
        <f>SUM(BB15:BB21)</f>
        <v>8547.0999999999985</v>
      </c>
      <c r="BC26" s="8">
        <f>SUM(BC15:BC21)</f>
        <v>8285.2999999999993</v>
      </c>
      <c r="BD26" s="8">
        <v>6466</v>
      </c>
      <c r="BE26" s="8">
        <f t="shared" ref="BE26:BF26" si="8">SUM(BE23:BE25)</f>
        <v>5089.7999999999993</v>
      </c>
      <c r="BF26" s="8">
        <f t="shared" si="8"/>
        <v>6010.7</v>
      </c>
      <c r="BG26" s="8">
        <f>SUM(W26:Z26)</f>
        <v>5927.2</v>
      </c>
      <c r="BH26" s="7">
        <f>+BH25+BH24+BH23</f>
        <v>5272.8</v>
      </c>
      <c r="BI26" s="7">
        <f t="shared" ref="BI26:BP26" si="9">BH26*1.01</f>
        <v>5325.5280000000002</v>
      </c>
      <c r="BJ26" s="7">
        <f t="shared" si="9"/>
        <v>5378.7832800000006</v>
      </c>
      <c r="BK26" s="7">
        <f t="shared" si="9"/>
        <v>5432.5711128000003</v>
      </c>
      <c r="BL26" s="7">
        <f t="shared" si="9"/>
        <v>5486.8968239280002</v>
      </c>
      <c r="BM26" s="7">
        <f t="shared" si="9"/>
        <v>5541.7657921672799</v>
      </c>
      <c r="BN26" s="7">
        <f t="shared" si="9"/>
        <v>5597.1834500889527</v>
      </c>
      <c r="BO26" s="7">
        <f t="shared" si="9"/>
        <v>5653.1552845898423</v>
      </c>
      <c r="BP26" s="7">
        <f t="shared" si="9"/>
        <v>5709.6868374357409</v>
      </c>
    </row>
    <row r="27" spans="2:68" s="2" customFormat="1" x14ac:dyDescent="0.2">
      <c r="B27" s="2" t="s">
        <v>25</v>
      </c>
      <c r="C27" s="6">
        <v>1343.4</v>
      </c>
      <c r="D27" s="6">
        <v>1063.9000000000001</v>
      </c>
      <c r="E27" s="6">
        <v>1299.2</v>
      </c>
      <c r="F27" s="6">
        <f>+BA27-E27-D27-C27</f>
        <v>1892.1000000000004</v>
      </c>
      <c r="G27" s="6">
        <v>1076.5</v>
      </c>
      <c r="H27" s="6">
        <v>886.6</v>
      </c>
      <c r="I27" s="6">
        <v>997.4</v>
      </c>
      <c r="J27" s="6">
        <f>+AZ27-I27-H27-G27</f>
        <v>3485</v>
      </c>
      <c r="K27" s="6">
        <v>1076.5</v>
      </c>
      <c r="L27" s="6">
        <v>886.6</v>
      </c>
      <c r="M27" s="6">
        <v>997.4</v>
      </c>
      <c r="N27" s="6">
        <f>+BD27-M27-L27-K27</f>
        <v>1596.8000000000002</v>
      </c>
      <c r="O27" s="6">
        <v>738.6</v>
      </c>
      <c r="P27" s="6">
        <v>689.8</v>
      </c>
      <c r="Q27" s="6">
        <v>728.4</v>
      </c>
      <c r="R27" s="6">
        <v>1673.5</v>
      </c>
      <c r="S27" s="6">
        <v>946.7</v>
      </c>
      <c r="T27" s="6">
        <v>862.5</v>
      </c>
      <c r="U27" s="6">
        <v>978</v>
      </c>
      <c r="V27" s="6">
        <v>1875.7</v>
      </c>
      <c r="W27" s="6">
        <v>1079.9000000000001</v>
      </c>
      <c r="X27" s="6">
        <v>853.8</v>
      </c>
      <c r="Y27" s="6">
        <v>894.8</v>
      </c>
      <c r="Z27" s="6">
        <f>Z26*0.78</f>
        <v>1736.5919999999999</v>
      </c>
      <c r="AA27" s="6">
        <v>949.8</v>
      </c>
      <c r="AB27" s="6">
        <v>857.9</v>
      </c>
      <c r="AC27" s="6">
        <v>796.5</v>
      </c>
      <c r="AD27" s="6">
        <f>3978.6-AC27-AB27-AA27</f>
        <v>1374.3999999999999</v>
      </c>
      <c r="AE27" s="6">
        <v>637.29999999999995</v>
      </c>
      <c r="AF27" s="6"/>
      <c r="AG27" s="6"/>
      <c r="AH27" s="6"/>
      <c r="AO27" s="6"/>
      <c r="AP27" s="6">
        <v>2219.7530000000002</v>
      </c>
      <c r="AQ27" s="6">
        <v>3847.4580000000001</v>
      </c>
      <c r="AR27" s="6">
        <v>5280.2550000000001</v>
      </c>
      <c r="AS27" s="6">
        <v>6535.7619999999997</v>
      </c>
      <c r="AT27" s="6">
        <v>6643.3450000000003</v>
      </c>
      <c r="AU27" s="6">
        <v>6936.1</v>
      </c>
      <c r="AV27" s="6">
        <v>6871</v>
      </c>
      <c r="AW27" s="2">
        <v>6235.2</v>
      </c>
      <c r="AX27" s="6">
        <v>6378.4</v>
      </c>
      <c r="AY27" s="6">
        <v>6520.1</v>
      </c>
      <c r="AZ27" s="6">
        <v>6445.5</v>
      </c>
      <c r="BA27" s="6">
        <v>5598.6</v>
      </c>
      <c r="BB27" s="6">
        <v>6062.2</v>
      </c>
      <c r="BC27" s="6">
        <v>5977.2</v>
      </c>
      <c r="BD27" s="6">
        <v>4557.3</v>
      </c>
      <c r="BE27" s="6">
        <v>3830.3</v>
      </c>
      <c r="BF27" s="6">
        <v>4662.8999999999996</v>
      </c>
      <c r="BG27" s="6">
        <f>SUM(W27:Z27)</f>
        <v>4565.0919999999996</v>
      </c>
      <c r="BH27" s="6">
        <f>SUM(AA27:AD27)</f>
        <v>3978.5999999999995</v>
      </c>
      <c r="BI27" s="6">
        <f>BI26*0.76</f>
        <v>4047.40128</v>
      </c>
      <c r="BJ27" s="6">
        <f>BJ26*0.75</f>
        <v>4034.0874600000006</v>
      </c>
      <c r="BK27" s="6">
        <f>BK26*0.75</f>
        <v>4074.4283346000002</v>
      </c>
      <c r="BL27" s="6">
        <f>BL26*0.74</f>
        <v>4060.3036497067201</v>
      </c>
      <c r="BM27" s="6">
        <f>BM26*0.74</f>
        <v>4100.9066862037871</v>
      </c>
      <c r="BN27" s="6">
        <f>BN26*0.73</f>
        <v>4085.9439185649353</v>
      </c>
      <c r="BO27" s="6">
        <f>BO26*0.73</f>
        <v>4126.8033577505848</v>
      </c>
      <c r="BP27" s="6">
        <f>BP26*0.72</f>
        <v>4110.974522953733</v>
      </c>
    </row>
    <row r="28" spans="2:68" s="2" customFormat="1" x14ac:dyDescent="0.2">
      <c r="B28" s="2" t="s">
        <v>24</v>
      </c>
      <c r="C28" s="6">
        <f t="shared" ref="C28:N28" si="10">+C26-C27</f>
        <v>702.5</v>
      </c>
      <c r="D28" s="6">
        <f t="shared" si="10"/>
        <v>623.69999999999982</v>
      </c>
      <c r="E28" s="6">
        <f t="shared" si="10"/>
        <v>689.39999999999986</v>
      </c>
      <c r="F28" s="6">
        <f t="shared" si="10"/>
        <v>932.89999999999736</v>
      </c>
      <c r="G28" s="6">
        <f t="shared" si="10"/>
        <v>471.20000000000005</v>
      </c>
      <c r="H28" s="6">
        <f t="shared" si="10"/>
        <v>399.1</v>
      </c>
      <c r="I28" s="6">
        <f t="shared" si="10"/>
        <v>441.1</v>
      </c>
      <c r="J28" s="6">
        <f t="shared" si="10"/>
        <v>1606.8999999999996</v>
      </c>
      <c r="K28" s="6">
        <f t="shared" si="10"/>
        <v>471.20000000000005</v>
      </c>
      <c r="L28" s="6">
        <f t="shared" si="10"/>
        <v>399.1</v>
      </c>
      <c r="M28" s="6">
        <f t="shared" si="10"/>
        <v>441.1</v>
      </c>
      <c r="N28" s="6">
        <f t="shared" si="10"/>
        <v>597.30000000000018</v>
      </c>
      <c r="O28" s="6">
        <f t="shared" ref="O28" si="11">O26-O27</f>
        <v>282.39999999999998</v>
      </c>
      <c r="P28" s="6">
        <f>P26-P27</f>
        <v>252.20000000000005</v>
      </c>
      <c r="Q28" s="6">
        <f>Q26-Q27</f>
        <v>276.29999999999995</v>
      </c>
      <c r="R28" s="6">
        <f>R26-R27</f>
        <v>448.59999999999991</v>
      </c>
      <c r="S28" s="6">
        <f>S26-S27</f>
        <v>330.10000000000014</v>
      </c>
      <c r="T28" s="6">
        <f t="shared" ref="T28" si="12">T26-T27</f>
        <v>320.90000000000009</v>
      </c>
      <c r="U28" s="6">
        <f t="shared" ref="U28" si="13">U26-U27</f>
        <v>318.60000000000014</v>
      </c>
      <c r="V28" s="6">
        <f>V26-V27</f>
        <v>378.20000000000005</v>
      </c>
      <c r="W28" s="6">
        <f>W26-W27</f>
        <v>298.5</v>
      </c>
      <c r="X28" s="6">
        <f>+X26-X27</f>
        <v>282.20000000000005</v>
      </c>
      <c r="Y28" s="6">
        <f t="shared" ref="Y28:Z28" si="14">Y26-Y27</f>
        <v>291.60000000000014</v>
      </c>
      <c r="Z28" s="6">
        <f t="shared" si="14"/>
        <v>489.80799999999977</v>
      </c>
      <c r="AA28" s="6">
        <f t="shared" ref="AA28:AD28" si="15">AA26-AA27</f>
        <v>287.29999999999995</v>
      </c>
      <c r="AB28" s="6">
        <f t="shared" si="15"/>
        <v>305.89999999999998</v>
      </c>
      <c r="AC28" s="6">
        <f t="shared" si="15"/>
        <v>281.79999999999995</v>
      </c>
      <c r="AD28" s="6">
        <f t="shared" si="15"/>
        <v>419.20000000000027</v>
      </c>
      <c r="AE28" s="6">
        <f>+AE26-AE27</f>
        <v>244.5</v>
      </c>
      <c r="AF28" s="6"/>
      <c r="AG28" s="6"/>
      <c r="AH28" s="6"/>
      <c r="AO28" s="6"/>
      <c r="AP28" s="6">
        <f t="shared" ref="AP28:AW28" si="16">+AP26-AP27</f>
        <v>872.02999999999975</v>
      </c>
      <c r="AQ28" s="6">
        <f t="shared" si="16"/>
        <v>1471.4419999999996</v>
      </c>
      <c r="AR28" s="6">
        <f t="shared" si="16"/>
        <v>1813.7070000000003</v>
      </c>
      <c r="AS28" s="6">
        <f t="shared" si="16"/>
        <v>2270.1350000000011</v>
      </c>
      <c r="AT28" s="6">
        <f t="shared" si="16"/>
        <v>2434.6519999999991</v>
      </c>
      <c r="AU28" s="6">
        <f t="shared" si="16"/>
        <v>2537.6000000000004</v>
      </c>
      <c r="AV28" s="6">
        <f t="shared" si="16"/>
        <v>2679.5</v>
      </c>
      <c r="AW28" s="2">
        <f t="shared" si="16"/>
        <v>2651.5000000000009</v>
      </c>
      <c r="AX28" s="6">
        <f t="shared" ref="AX28" si="17">AX26-AX27</f>
        <v>2661.1000000000004</v>
      </c>
      <c r="AY28" s="6">
        <f t="shared" ref="AY28" si="18">AY26-AY27</f>
        <v>2775.8999999999996</v>
      </c>
      <c r="AZ28" s="6">
        <f t="shared" ref="AZ28" si="19">AZ26-AZ27</f>
        <v>2918.2999999999993</v>
      </c>
      <c r="BA28" s="6">
        <f t="shared" ref="BA28:BB28" si="20">BA26-BA27</f>
        <v>3009.2999999999993</v>
      </c>
      <c r="BB28" s="6">
        <f t="shared" si="20"/>
        <v>2484.8999999999987</v>
      </c>
      <c r="BC28" s="6">
        <f>BC26-BC27</f>
        <v>2308.0999999999995</v>
      </c>
      <c r="BD28" s="6">
        <f t="shared" ref="BD28" si="21">BD26-BD27</f>
        <v>1908.6999999999998</v>
      </c>
      <c r="BE28" s="6">
        <f>BE26-BE27</f>
        <v>1259.4999999999991</v>
      </c>
      <c r="BF28" s="6">
        <f>BF26-BF27</f>
        <v>1347.8000000000002</v>
      </c>
      <c r="BG28" s="6">
        <f>BG26-BG27</f>
        <v>1362.1080000000002</v>
      </c>
      <c r="BH28" s="6">
        <f>+BH26-BH27</f>
        <v>1294.2000000000007</v>
      </c>
      <c r="BI28" s="6">
        <f t="shared" ref="BG28:BP28" si="22">BI26-BI27</f>
        <v>1278.1267200000002</v>
      </c>
      <c r="BJ28" s="6">
        <f t="shared" si="22"/>
        <v>1344.6958199999999</v>
      </c>
      <c r="BK28" s="6">
        <f t="shared" si="22"/>
        <v>1358.1427782000001</v>
      </c>
      <c r="BL28" s="6">
        <f t="shared" si="22"/>
        <v>1426.5931742212802</v>
      </c>
      <c r="BM28" s="6">
        <f t="shared" si="22"/>
        <v>1440.8591059634928</v>
      </c>
      <c r="BN28" s="6">
        <f t="shared" si="22"/>
        <v>1511.2395315240174</v>
      </c>
      <c r="BO28" s="6">
        <f t="shared" si="22"/>
        <v>1526.3519268392574</v>
      </c>
      <c r="BP28" s="6">
        <f t="shared" si="22"/>
        <v>1598.712314482008</v>
      </c>
    </row>
    <row r="29" spans="2:68" s="2" customFormat="1" x14ac:dyDescent="0.2">
      <c r="B29" s="2" t="s">
        <v>26</v>
      </c>
      <c r="C29" s="6">
        <v>563.5</v>
      </c>
      <c r="D29" s="6">
        <v>542.4</v>
      </c>
      <c r="E29" s="6">
        <v>565.1</v>
      </c>
      <c r="F29" s="6">
        <f>+BA29-E29-D29-C29</f>
        <v>581.59999999999991</v>
      </c>
      <c r="G29" s="6">
        <v>430.6</v>
      </c>
      <c r="H29" s="6">
        <v>459.3</v>
      </c>
      <c r="I29" s="6">
        <v>451.8</v>
      </c>
      <c r="J29" s="6">
        <f>+AZ29-I29-H29-G29</f>
        <v>767.20000000000016</v>
      </c>
      <c r="K29" s="6">
        <v>430.6</v>
      </c>
      <c r="L29" s="6">
        <v>459.3</v>
      </c>
      <c r="M29" s="6">
        <v>451.8</v>
      </c>
      <c r="N29" s="6">
        <f>+BD29-M29-L29-K29</f>
        <v>581.00000000000011</v>
      </c>
      <c r="O29" s="6">
        <v>386.5</v>
      </c>
      <c r="P29" s="6">
        <v>348.2</v>
      </c>
      <c r="Q29" s="6">
        <v>360.4</v>
      </c>
      <c r="R29" s="6">
        <v>419.1</v>
      </c>
      <c r="S29" s="6">
        <v>370.3</v>
      </c>
      <c r="T29" s="6">
        <v>378.9</v>
      </c>
      <c r="U29" s="6">
        <v>421.5</v>
      </c>
      <c r="V29" s="6">
        <v>538.9</v>
      </c>
      <c r="W29" s="6">
        <v>452.2</v>
      </c>
      <c r="X29" s="6">
        <v>387.5</v>
      </c>
      <c r="Y29" s="6">
        <v>387.9</v>
      </c>
      <c r="Z29" s="6">
        <f>1681-Y29-X29-W29</f>
        <v>453.39999999999992</v>
      </c>
      <c r="AA29" s="6">
        <v>345.7</v>
      </c>
      <c r="AB29" s="6">
        <v>322.5</v>
      </c>
      <c r="AC29" s="6">
        <v>296.5</v>
      </c>
      <c r="AD29" s="6">
        <f>1323.9-AC29-AB29-AA29</f>
        <v>359.2000000000001</v>
      </c>
      <c r="AE29" s="6">
        <v>295.10000000000002</v>
      </c>
      <c r="AF29" s="6"/>
      <c r="AG29" s="6"/>
      <c r="AH29" s="6"/>
      <c r="AO29" s="6"/>
      <c r="AP29" s="6">
        <v>599.94299999999998</v>
      </c>
      <c r="AQ29" s="6">
        <v>1021.1130000000001</v>
      </c>
      <c r="AR29" s="6">
        <v>1182.0160000000001</v>
      </c>
      <c r="AS29" s="6">
        <v>1445.4190000000001</v>
      </c>
      <c r="AT29" s="6">
        <v>1635.124</v>
      </c>
      <c r="AU29" s="6">
        <v>1698.8</v>
      </c>
      <c r="AV29" s="6">
        <v>1842.1</v>
      </c>
      <c r="AW29" s="2">
        <v>1835.9</v>
      </c>
      <c r="AX29" s="6">
        <v>1892.4</v>
      </c>
      <c r="AY29" s="6">
        <v>2001</v>
      </c>
      <c r="AZ29" s="6">
        <v>2108.9</v>
      </c>
      <c r="BA29" s="6">
        <v>2252.6</v>
      </c>
      <c r="BB29" s="6">
        <v>1909.6</v>
      </c>
      <c r="BC29" s="6">
        <v>1994.2</v>
      </c>
      <c r="BD29" s="6">
        <v>1922.7</v>
      </c>
      <c r="BE29" s="6">
        <v>1514.2</v>
      </c>
      <c r="BF29" s="6">
        <v>1709.6</v>
      </c>
      <c r="BG29" s="6">
        <f>SUM(W29:Z29)</f>
        <v>1680.9999999999998</v>
      </c>
      <c r="BH29" s="6">
        <f>SUM(AA29:AD29)</f>
        <v>1323.9</v>
      </c>
      <c r="BI29" s="6">
        <f t="shared" ref="BH29:BK29" si="23">BH29*0.99</f>
        <v>1310.6610000000001</v>
      </c>
      <c r="BJ29" s="6">
        <f t="shared" si="23"/>
        <v>1297.55439</v>
      </c>
      <c r="BK29" s="6">
        <f t="shared" si="23"/>
        <v>1284.5788461</v>
      </c>
      <c r="BL29" s="6">
        <f>BK29*1.03</f>
        <v>1323.1162114829999</v>
      </c>
      <c r="BM29" s="6">
        <f t="shared" ref="BM29:BP29" si="24">BL29*1.03</f>
        <v>1362.80969782749</v>
      </c>
      <c r="BN29" s="6">
        <f t="shared" si="24"/>
        <v>1403.6939887623148</v>
      </c>
      <c r="BO29" s="6">
        <f t="shared" si="24"/>
        <v>1445.8048084251843</v>
      </c>
      <c r="BP29" s="6">
        <f t="shared" si="24"/>
        <v>1489.1789526779398</v>
      </c>
    </row>
    <row r="30" spans="2:68" s="2" customFormat="1" x14ac:dyDescent="0.2">
      <c r="B30" s="2" t="s">
        <v>27</v>
      </c>
      <c r="C30" s="6">
        <f t="shared" ref="C30:N30" si="25">+C28-C29</f>
        <v>139</v>
      </c>
      <c r="D30" s="6">
        <f t="shared" si="25"/>
        <v>81.299999999999841</v>
      </c>
      <c r="E30" s="6">
        <f t="shared" si="25"/>
        <v>124.29999999999984</v>
      </c>
      <c r="F30" s="6">
        <f t="shared" si="25"/>
        <v>351.29999999999745</v>
      </c>
      <c r="G30" s="6">
        <f t="shared" si="25"/>
        <v>40.600000000000023</v>
      </c>
      <c r="H30" s="6">
        <f t="shared" si="25"/>
        <v>-60.199999999999989</v>
      </c>
      <c r="I30" s="6">
        <f t="shared" si="25"/>
        <v>-10.699999999999989</v>
      </c>
      <c r="J30" s="6">
        <f t="shared" si="25"/>
        <v>839.69999999999948</v>
      </c>
      <c r="K30" s="6">
        <f t="shared" si="25"/>
        <v>40.600000000000023</v>
      </c>
      <c r="L30" s="6">
        <f t="shared" si="25"/>
        <v>-60.199999999999989</v>
      </c>
      <c r="M30" s="6">
        <f t="shared" si="25"/>
        <v>-10.699999999999989</v>
      </c>
      <c r="N30" s="6">
        <f t="shared" si="25"/>
        <v>16.300000000000068</v>
      </c>
      <c r="O30" s="6">
        <f t="shared" ref="O30" si="26">O28-O29</f>
        <v>-104.10000000000002</v>
      </c>
      <c r="P30" s="6">
        <f>P28-P29</f>
        <v>-95.999999999999943</v>
      </c>
      <c r="Q30" s="6">
        <f>Q28-Q29</f>
        <v>-84.100000000000023</v>
      </c>
      <c r="R30" s="6">
        <f>R28-R29</f>
        <v>29.499999999999886</v>
      </c>
      <c r="S30" s="6">
        <f>S28-S29</f>
        <v>-40.199999999999875</v>
      </c>
      <c r="T30" s="6">
        <f t="shared" ref="T30" si="27">T28-T29</f>
        <v>-57.999999999999886</v>
      </c>
      <c r="U30" s="6">
        <f t="shared" ref="U30" si="28">U28-U29</f>
        <v>-102.89999999999986</v>
      </c>
      <c r="V30" s="6">
        <f>V28-V29</f>
        <v>-160.69999999999993</v>
      </c>
      <c r="W30" s="6">
        <f>W28-W29</f>
        <v>-153.69999999999999</v>
      </c>
      <c r="X30" s="6">
        <f t="shared" ref="X30:Z30" si="29">X28-X29</f>
        <v>-105.29999999999995</v>
      </c>
      <c r="Y30" s="6">
        <f t="shared" si="29"/>
        <v>-96.299999999999841</v>
      </c>
      <c r="Z30" s="6">
        <f t="shared" si="29"/>
        <v>36.407999999999845</v>
      </c>
      <c r="AA30" s="6">
        <f t="shared" ref="AA30:AH30" si="30">AA28-AA29</f>
        <v>-58.400000000000034</v>
      </c>
      <c r="AB30" s="6">
        <f t="shared" si="30"/>
        <v>-16.600000000000023</v>
      </c>
      <c r="AC30" s="6">
        <f t="shared" si="30"/>
        <v>-14.700000000000045</v>
      </c>
      <c r="AD30" s="6">
        <f t="shared" si="30"/>
        <v>60.000000000000171</v>
      </c>
      <c r="AE30" s="6">
        <f t="shared" si="30"/>
        <v>-50.600000000000023</v>
      </c>
      <c r="AF30" s="6">
        <f t="shared" si="30"/>
        <v>0</v>
      </c>
      <c r="AG30" s="6">
        <f t="shared" si="30"/>
        <v>0</v>
      </c>
      <c r="AH30" s="6">
        <f t="shared" si="30"/>
        <v>0</v>
      </c>
      <c r="AO30" s="6"/>
      <c r="AP30" s="6">
        <f t="shared" ref="AP30:AR30" si="31">+AP28-AP29</f>
        <v>272.08699999999976</v>
      </c>
      <c r="AQ30" s="6">
        <f t="shared" si="31"/>
        <v>450.3289999999995</v>
      </c>
      <c r="AR30" s="6">
        <f t="shared" si="31"/>
        <v>631.69100000000026</v>
      </c>
      <c r="AS30" s="6">
        <f>+AS28-AS29</f>
        <v>824.71600000000103</v>
      </c>
      <c r="AT30" s="6">
        <f>+AT28-AT29</f>
        <v>799.52799999999911</v>
      </c>
      <c r="AU30" s="6">
        <f>+AU28-AU29</f>
        <v>838.80000000000041</v>
      </c>
      <c r="AV30" s="6">
        <f>+AV28-AV29</f>
        <v>837.40000000000009</v>
      </c>
      <c r="AW30" s="6">
        <f>+AW28-AW29</f>
        <v>815.60000000000082</v>
      </c>
      <c r="AX30" s="6">
        <f t="shared" ref="AX30" si="32">AX28-AX29</f>
        <v>768.70000000000027</v>
      </c>
      <c r="AY30" s="6">
        <f t="shared" ref="AY30" si="33">AY28-AY29</f>
        <v>774.89999999999964</v>
      </c>
      <c r="AZ30" s="6">
        <f t="shared" ref="AZ30" si="34">AZ28-AZ29</f>
        <v>809.39999999999918</v>
      </c>
      <c r="BA30" s="6">
        <f t="shared" ref="BA30:BB30" si="35">BA28-BA29</f>
        <v>756.69999999999936</v>
      </c>
      <c r="BB30" s="6">
        <f t="shared" si="35"/>
        <v>575.29999999999882</v>
      </c>
      <c r="BC30" s="6">
        <f>BC28-BC29</f>
        <v>313.89999999999941</v>
      </c>
      <c r="BD30" s="6">
        <f t="shared" ref="BD30" si="36">BD28-BD29</f>
        <v>-14.000000000000227</v>
      </c>
      <c r="BE30" s="6">
        <f>BE28-BE29</f>
        <v>-254.70000000000095</v>
      </c>
      <c r="BF30" s="6">
        <f>BF28-BF29</f>
        <v>-361.79999999999973</v>
      </c>
      <c r="BG30" s="6">
        <f>BG28-BG29</f>
        <v>-318.8919999999996</v>
      </c>
      <c r="BH30" s="6">
        <f>BH28-BH29</f>
        <v>-29.699999999999363</v>
      </c>
      <c r="BI30" s="6">
        <f t="shared" ref="BG30:BP30" si="37">BI28-BI29</f>
        <v>-32.534279999999853</v>
      </c>
      <c r="BJ30" s="6">
        <f t="shared" si="37"/>
        <v>47.1414299999999</v>
      </c>
      <c r="BK30" s="6">
        <f t="shared" si="37"/>
        <v>73.563932100000102</v>
      </c>
      <c r="BL30" s="6">
        <f t="shared" si="37"/>
        <v>103.47696273828024</v>
      </c>
      <c r="BM30" s="6">
        <f t="shared" si="37"/>
        <v>78.049408136002739</v>
      </c>
      <c r="BN30" s="6">
        <f t="shared" si="37"/>
        <v>107.54554276170256</v>
      </c>
      <c r="BO30" s="6">
        <f t="shared" si="37"/>
        <v>80.547118414073111</v>
      </c>
      <c r="BP30" s="6">
        <f t="shared" si="37"/>
        <v>109.53336180406814</v>
      </c>
    </row>
    <row r="31" spans="2:68" s="2" customFormat="1" x14ac:dyDescent="0.2">
      <c r="B31" s="2" t="s">
        <v>28</v>
      </c>
      <c r="C31" s="6">
        <f>-0.2+14.1</f>
        <v>13.9</v>
      </c>
      <c r="D31" s="6">
        <v>14.4</v>
      </c>
      <c r="E31" s="6">
        <f>-0.2+14.1</f>
        <v>13.9</v>
      </c>
      <c r="F31" s="6">
        <f>-BA31-E31-D31-C31</f>
        <v>10.800000000000002</v>
      </c>
      <c r="G31" s="6">
        <f>-5.3+13</f>
        <v>7.7</v>
      </c>
      <c r="H31" s="6">
        <f>2.6-9.6</f>
        <v>-7</v>
      </c>
      <c r="I31" s="6">
        <f>2-8</f>
        <v>-6</v>
      </c>
      <c r="J31" s="6">
        <f>+AZ31-I31-H31-G31</f>
        <v>-17.7</v>
      </c>
      <c r="K31" s="6">
        <f>-5.3+13</f>
        <v>7.7</v>
      </c>
      <c r="L31" s="6">
        <f>2.6-9.6</f>
        <v>-7</v>
      </c>
      <c r="M31" s="6">
        <f>2-8</f>
        <v>-6</v>
      </c>
      <c r="N31" s="6">
        <f>+BD31-M31-L31-K31</f>
        <v>-21.9</v>
      </c>
      <c r="O31" s="6">
        <v>-6.7</v>
      </c>
      <c r="P31" s="6">
        <v>-7.5</v>
      </c>
      <c r="Q31" s="6">
        <v>-9.6999999999999993</v>
      </c>
      <c r="R31" s="6">
        <v>-8.1999999999999993</v>
      </c>
      <c r="S31" s="6">
        <v>-24.7</v>
      </c>
      <c r="T31" s="6">
        <v>-0.5</v>
      </c>
      <c r="U31" s="6">
        <v>-0.8</v>
      </c>
      <c r="V31" s="6">
        <v>-0.9</v>
      </c>
      <c r="W31" s="6">
        <v>-0.7</v>
      </c>
      <c r="X31" s="6">
        <v>0.3</v>
      </c>
      <c r="Y31" s="6">
        <v>3.7</v>
      </c>
      <c r="Z31" s="6">
        <f t="shared" ref="Z31" si="38">Y31</f>
        <v>3.7</v>
      </c>
      <c r="AA31" s="6">
        <f>9.7-1.9</f>
        <v>7.7999999999999989</v>
      </c>
      <c r="AB31" s="6">
        <f>11.6+2</f>
        <v>13.6</v>
      </c>
      <c r="AC31" s="6">
        <f>12.9-2.5</f>
        <v>10.4</v>
      </c>
      <c r="AD31" s="6">
        <f t="shared" ref="AD31" si="39">AC31</f>
        <v>10.4</v>
      </c>
      <c r="AE31" s="6">
        <v>14.9</v>
      </c>
      <c r="AF31" s="6"/>
      <c r="AG31" s="6"/>
      <c r="AH31" s="6"/>
      <c r="AO31" s="6"/>
      <c r="AP31" s="6"/>
      <c r="AQ31" s="6"/>
      <c r="AR31" s="6"/>
      <c r="AS31" s="6"/>
      <c r="AT31" s="6"/>
      <c r="AU31" s="6"/>
      <c r="AV31" s="6"/>
      <c r="AX31" s="6">
        <v>-4.7</v>
      </c>
      <c r="AY31" s="6">
        <v>-10</v>
      </c>
      <c r="AZ31" s="6">
        <v>-23</v>
      </c>
      <c r="BA31" s="6">
        <v>-53</v>
      </c>
      <c r="BB31" s="6">
        <v>-55.3</v>
      </c>
      <c r="BC31" s="6">
        <v>-51.1</v>
      </c>
      <c r="BD31" s="6">
        <v>-27.2</v>
      </c>
      <c r="BE31" s="6">
        <v>-32.1</v>
      </c>
      <c r="BF31" s="6">
        <v>-26.9</v>
      </c>
      <c r="BG31" s="6">
        <f>SUM(W31:Z31)</f>
        <v>7</v>
      </c>
      <c r="BH31" s="6">
        <f>SUM(AA31:AD31)</f>
        <v>42.199999999999996</v>
      </c>
      <c r="BI31" s="6">
        <f t="shared" ref="BG31:BP31" si="40">BH46*$BT$68</f>
        <v>23.986000000000004</v>
      </c>
      <c r="BJ31" s="6">
        <f t="shared" si="40"/>
        <v>0</v>
      </c>
      <c r="BK31" s="6">
        <f t="shared" si="40"/>
        <v>0</v>
      </c>
      <c r="BL31" s="6">
        <f t="shared" si="40"/>
        <v>0</v>
      </c>
      <c r="BM31" s="6">
        <f t="shared" si="40"/>
        <v>0</v>
      </c>
      <c r="BN31" s="6">
        <f t="shared" si="40"/>
        <v>0</v>
      </c>
      <c r="BO31" s="6">
        <f t="shared" si="40"/>
        <v>0</v>
      </c>
      <c r="BP31" s="6">
        <f t="shared" si="40"/>
        <v>0</v>
      </c>
    </row>
    <row r="32" spans="2:68" s="2" customFormat="1" x14ac:dyDescent="0.2">
      <c r="B32" s="2" t="s">
        <v>29</v>
      </c>
      <c r="C32" s="6">
        <f t="shared" ref="C32:N32" si="41">+C30-C31</f>
        <v>125.1</v>
      </c>
      <c r="D32" s="6">
        <f t="shared" si="41"/>
        <v>66.899999999999835</v>
      </c>
      <c r="E32" s="6">
        <f t="shared" si="41"/>
        <v>110.39999999999984</v>
      </c>
      <c r="F32" s="6">
        <f t="shared" si="41"/>
        <v>340.49999999999744</v>
      </c>
      <c r="G32" s="6">
        <f t="shared" si="41"/>
        <v>32.90000000000002</v>
      </c>
      <c r="H32" s="6">
        <f t="shared" si="41"/>
        <v>-53.199999999999989</v>
      </c>
      <c r="I32" s="6">
        <f t="shared" si="41"/>
        <v>-4.6999999999999886</v>
      </c>
      <c r="J32" s="6">
        <f t="shared" si="41"/>
        <v>857.39999999999952</v>
      </c>
      <c r="K32" s="6">
        <f t="shared" si="41"/>
        <v>32.90000000000002</v>
      </c>
      <c r="L32" s="6">
        <f t="shared" si="41"/>
        <v>-53.199999999999989</v>
      </c>
      <c r="M32" s="6">
        <f t="shared" si="41"/>
        <v>-4.6999999999999886</v>
      </c>
      <c r="N32" s="6">
        <f t="shared" si="41"/>
        <v>38.200000000000067</v>
      </c>
      <c r="O32" s="6">
        <f t="shared" ref="O32" si="42">O30+O31</f>
        <v>-110.80000000000003</v>
      </c>
      <c r="P32" s="6">
        <f>P30+P31</f>
        <v>-103.49999999999994</v>
      </c>
      <c r="Q32" s="6">
        <f>Q30+Q31</f>
        <v>-93.800000000000026</v>
      </c>
      <c r="R32" s="6">
        <f>R30+R31</f>
        <v>21.299999999999887</v>
      </c>
      <c r="S32" s="6">
        <f>S30+S31</f>
        <v>-64.899999999999878</v>
      </c>
      <c r="T32" s="6">
        <f t="shared" ref="T32" si="43">T30+T31</f>
        <v>-58.499999999999886</v>
      </c>
      <c r="U32" s="6">
        <f t="shared" ref="U32" si="44">U30+U31</f>
        <v>-103.69999999999986</v>
      </c>
      <c r="V32" s="6">
        <f>V30+V31</f>
        <v>-161.59999999999994</v>
      </c>
      <c r="W32" s="6">
        <f>W30+W31</f>
        <v>-154.39999999999998</v>
      </c>
      <c r="X32" s="6">
        <f t="shared" ref="X32:Z32" si="45">X30+X31</f>
        <v>-104.99999999999996</v>
      </c>
      <c r="Y32" s="6">
        <f t="shared" si="45"/>
        <v>-92.599999999999838</v>
      </c>
      <c r="Z32" s="6">
        <f t="shared" si="45"/>
        <v>40.107999999999848</v>
      </c>
      <c r="AA32" s="6">
        <f t="shared" ref="AA32:AH32" si="46">AA30+AA31</f>
        <v>-50.600000000000037</v>
      </c>
      <c r="AB32" s="6">
        <f t="shared" si="46"/>
        <v>-3.0000000000000231</v>
      </c>
      <c r="AC32" s="6">
        <f t="shared" si="46"/>
        <v>-4.3000000000000451</v>
      </c>
      <c r="AD32" s="6">
        <f t="shared" si="46"/>
        <v>70.400000000000176</v>
      </c>
      <c r="AE32" s="6">
        <f t="shared" si="46"/>
        <v>-35.700000000000024</v>
      </c>
      <c r="AF32" s="6">
        <f t="shared" si="46"/>
        <v>0</v>
      </c>
      <c r="AG32" s="6">
        <f t="shared" si="46"/>
        <v>0</v>
      </c>
      <c r="AH32" s="6">
        <f t="shared" si="46"/>
        <v>0</v>
      </c>
      <c r="AO32" s="6"/>
      <c r="AP32" s="6"/>
      <c r="AQ32" s="6">
        <f t="shared" ref="AQ32:AW32" si="47">AQ30+AQ31</f>
        <v>450.3289999999995</v>
      </c>
      <c r="AR32" s="6">
        <f t="shared" si="47"/>
        <v>631.69100000000026</v>
      </c>
      <c r="AS32" s="6">
        <f t="shared" si="47"/>
        <v>824.71600000000103</v>
      </c>
      <c r="AT32" s="6">
        <f t="shared" si="47"/>
        <v>799.52799999999911</v>
      </c>
      <c r="AU32" s="6">
        <f t="shared" si="47"/>
        <v>838.80000000000041</v>
      </c>
      <c r="AV32" s="6">
        <f t="shared" si="47"/>
        <v>837.40000000000009</v>
      </c>
      <c r="AW32" s="6">
        <f t="shared" si="47"/>
        <v>815.60000000000082</v>
      </c>
      <c r="AX32" s="6">
        <f t="shared" ref="AX32" si="48">AX30+AX31</f>
        <v>764.00000000000023</v>
      </c>
      <c r="AY32" s="6">
        <f t="shared" ref="AY32" si="49">AY30+AY31</f>
        <v>764.89999999999964</v>
      </c>
      <c r="AZ32" s="6">
        <f t="shared" ref="AZ32" si="50">AZ30+AZ31</f>
        <v>786.39999999999918</v>
      </c>
      <c r="BA32" s="6">
        <f t="shared" ref="BA32:BB32" si="51">BA30+BA31</f>
        <v>703.69999999999936</v>
      </c>
      <c r="BB32" s="6">
        <f t="shared" si="51"/>
        <v>519.99999999999886</v>
      </c>
      <c r="BC32" s="6">
        <f t="shared" ref="BC32:BD32" si="52">BC30+BC31</f>
        <v>262.79999999999939</v>
      </c>
      <c r="BD32" s="6">
        <f t="shared" si="52"/>
        <v>-41.20000000000023</v>
      </c>
      <c r="BE32" s="6">
        <f t="shared" ref="BE32:BF32" si="53">BE30+BE31</f>
        <v>-286.80000000000098</v>
      </c>
      <c r="BF32" s="6">
        <f t="shared" si="53"/>
        <v>-388.6999999999997</v>
      </c>
      <c r="BG32" s="6">
        <f t="shared" ref="BG32" si="54">BG30+BG31</f>
        <v>-311.8919999999996</v>
      </c>
      <c r="BH32" s="6">
        <f t="shared" ref="BH32" si="55">BH30+BH31</f>
        <v>12.500000000000632</v>
      </c>
      <c r="BI32" s="6">
        <f t="shared" ref="BI32" si="56">BI30+BI31</f>
        <v>-8.5482799999998491</v>
      </c>
      <c r="BJ32" s="6">
        <f t="shared" ref="BJ32" si="57">BJ30+BJ31</f>
        <v>47.1414299999999</v>
      </c>
      <c r="BK32" s="6">
        <f t="shared" ref="BK32" si="58">BK30+BK31</f>
        <v>73.563932100000102</v>
      </c>
      <c r="BL32" s="6">
        <f t="shared" ref="BL32" si="59">BL30+BL31</f>
        <v>103.47696273828024</v>
      </c>
      <c r="BM32" s="6">
        <f t="shared" ref="BM32" si="60">BM30+BM31</f>
        <v>78.049408136002739</v>
      </c>
      <c r="BN32" s="6">
        <f t="shared" ref="BN32" si="61">BN30+BN31</f>
        <v>107.54554276170256</v>
      </c>
      <c r="BO32" s="6">
        <f t="shared" ref="BO32" si="62">BO30+BO31</f>
        <v>80.547118414073111</v>
      </c>
      <c r="BP32" s="6">
        <f t="shared" ref="BP32" si="63">BP30+BP31</f>
        <v>109.53336180406814</v>
      </c>
    </row>
    <row r="33" spans="2:106" s="2" customFormat="1" x14ac:dyDescent="0.2">
      <c r="B33" s="2" t="s">
        <v>31</v>
      </c>
      <c r="C33" s="6">
        <v>28.2</v>
      </c>
      <c r="D33" s="6">
        <v>7</v>
      </c>
      <c r="E33" s="6">
        <v>14.3</v>
      </c>
      <c r="F33" s="6">
        <f>+BA33-E33-D33-C33</f>
        <v>101.99999999999999</v>
      </c>
      <c r="G33" s="6">
        <f>2.3+0.7</f>
        <v>3</v>
      </c>
      <c r="H33" s="6">
        <v>-40.1</v>
      </c>
      <c r="I33" s="6">
        <v>31.6</v>
      </c>
      <c r="J33" s="6">
        <f>+AZ33-I33-H33-G33</f>
        <v>227.9</v>
      </c>
      <c r="K33" s="6">
        <f>2.3+0.7</f>
        <v>3</v>
      </c>
      <c r="L33" s="6">
        <v>-40.1</v>
      </c>
      <c r="M33" s="6">
        <v>31.6</v>
      </c>
      <c r="N33" s="6">
        <f>+BD33-M33-L33-K33</f>
        <v>43.1</v>
      </c>
      <c r="O33" s="6">
        <v>50.4</v>
      </c>
      <c r="P33" s="6">
        <v>17.899999999999999</v>
      </c>
      <c r="Q33" s="6">
        <v>-53.9</v>
      </c>
      <c r="R33" s="6">
        <v>-69.7</v>
      </c>
      <c r="S33" s="6">
        <v>1.3</v>
      </c>
      <c r="T33" s="6">
        <v>3.1</v>
      </c>
      <c r="U33" s="6">
        <v>1.7</v>
      </c>
      <c r="V33" s="6">
        <v>-20.2</v>
      </c>
      <c r="W33" s="6">
        <v>3.5</v>
      </c>
      <c r="X33" s="6">
        <v>1.2</v>
      </c>
      <c r="Y33" s="6">
        <v>2.1</v>
      </c>
      <c r="Z33" s="6">
        <v>0</v>
      </c>
      <c r="AA33" s="6">
        <v>-0.1</v>
      </c>
      <c r="AB33" s="6">
        <v>0.2</v>
      </c>
      <c r="AC33" s="6">
        <v>-1.2</v>
      </c>
      <c r="AD33" s="6">
        <v>0</v>
      </c>
      <c r="AE33" s="6">
        <v>3.4</v>
      </c>
      <c r="AF33" s="6"/>
      <c r="AG33" s="6"/>
      <c r="AH33" s="6"/>
      <c r="AO33" s="6"/>
      <c r="AP33" s="6"/>
      <c r="AQ33" s="6"/>
      <c r="AR33" s="6"/>
      <c r="AS33" s="6"/>
      <c r="AT33" s="6"/>
      <c r="AU33" s="6"/>
      <c r="AV33" s="6"/>
      <c r="AX33" s="6">
        <v>214.6</v>
      </c>
      <c r="AY33" s="6">
        <v>215.2</v>
      </c>
      <c r="AZ33" s="6">
        <v>222.4</v>
      </c>
      <c r="BA33" s="6">
        <v>151.5</v>
      </c>
      <c r="BB33" s="6">
        <v>153.5</v>
      </c>
      <c r="BC33" s="6">
        <v>41.7</v>
      </c>
      <c r="BD33" s="6">
        <v>37.6</v>
      </c>
      <c r="BE33" s="6">
        <v>-55.3</v>
      </c>
      <c r="BF33" s="6">
        <v>-14.1</v>
      </c>
      <c r="BG33" s="6">
        <f>SUM(W33:Z33)</f>
        <v>6.8000000000000007</v>
      </c>
      <c r="BH33" s="6">
        <f>SUM(AA33:AD33)</f>
        <v>-1.0999999999999999</v>
      </c>
      <c r="BI33" s="2">
        <v>0</v>
      </c>
      <c r="BJ33" s="2">
        <v>0</v>
      </c>
      <c r="BK33" s="2">
        <f>BK32*0.1</f>
        <v>7.3563932100000109</v>
      </c>
      <c r="BL33" s="2">
        <f t="shared" ref="BL33" si="64">BL32*0.1</f>
        <v>10.347696273828024</v>
      </c>
      <c r="BM33" s="2">
        <f>BM32*0.2</f>
        <v>15.609881627200549</v>
      </c>
      <c r="BN33" s="2">
        <f>BN32*0.2</f>
        <v>21.509108552340514</v>
      </c>
      <c r="BO33" s="2">
        <f>BO32*0.25</f>
        <v>20.136779603518278</v>
      </c>
      <c r="BP33" s="2">
        <f>BP32*0.25</f>
        <v>27.383340451017034</v>
      </c>
    </row>
    <row r="34" spans="2:106" s="2" customFormat="1" x14ac:dyDescent="0.2">
      <c r="B34" s="2" t="s">
        <v>30</v>
      </c>
      <c r="C34" s="6">
        <f t="shared" ref="C34:N34" si="65">+C32-C33</f>
        <v>96.899999999999991</v>
      </c>
      <c r="D34" s="6">
        <f t="shared" si="65"/>
        <v>59.899999999999835</v>
      </c>
      <c r="E34" s="6">
        <f t="shared" si="65"/>
        <v>96.099999999999838</v>
      </c>
      <c r="F34" s="6">
        <f t="shared" si="65"/>
        <v>238.49999999999744</v>
      </c>
      <c r="G34" s="6">
        <f t="shared" si="65"/>
        <v>29.90000000000002</v>
      </c>
      <c r="H34" s="6">
        <f t="shared" si="65"/>
        <v>-13.099999999999987</v>
      </c>
      <c r="I34" s="6">
        <f t="shared" si="65"/>
        <v>-36.29999999999999</v>
      </c>
      <c r="J34" s="6">
        <f t="shared" si="65"/>
        <v>629.49999999999955</v>
      </c>
      <c r="K34" s="6">
        <f t="shared" si="65"/>
        <v>29.90000000000002</v>
      </c>
      <c r="L34" s="6">
        <f t="shared" si="65"/>
        <v>-13.099999999999987</v>
      </c>
      <c r="M34" s="6">
        <f t="shared" si="65"/>
        <v>-36.29999999999999</v>
      </c>
      <c r="N34" s="6">
        <f t="shared" si="65"/>
        <v>-4.8999999999999346</v>
      </c>
      <c r="O34" s="6">
        <f t="shared" ref="O34" si="66">O32-O33</f>
        <v>-161.20000000000002</v>
      </c>
      <c r="P34" s="6">
        <f>P32-P33</f>
        <v>-121.39999999999995</v>
      </c>
      <c r="Q34" s="6">
        <f>Q32-Q33</f>
        <v>-39.900000000000027</v>
      </c>
      <c r="R34" s="6">
        <f>R32-R33</f>
        <v>90.999999999999886</v>
      </c>
      <c r="S34" s="6">
        <f>S32-S33</f>
        <v>-66.199999999999875</v>
      </c>
      <c r="T34" s="6">
        <f t="shared" ref="T34" si="67">T32-T33</f>
        <v>-61.599999999999888</v>
      </c>
      <c r="U34" s="6">
        <f t="shared" ref="U34" si="68">U32-U33</f>
        <v>-105.39999999999986</v>
      </c>
      <c r="V34" s="6">
        <f>V32-V33</f>
        <v>-141.39999999999995</v>
      </c>
      <c r="W34" s="6">
        <f>W32-W33</f>
        <v>-157.89999999999998</v>
      </c>
      <c r="X34" s="6">
        <f t="shared" ref="X34:Z34" si="69">X32-X33</f>
        <v>-106.19999999999996</v>
      </c>
      <c r="Y34" s="6">
        <f t="shared" si="69"/>
        <v>-94.699999999999832</v>
      </c>
      <c r="Z34" s="6">
        <f t="shared" si="69"/>
        <v>40.107999999999848</v>
      </c>
      <c r="AA34" s="6">
        <f t="shared" ref="AA34:AH34" si="70">AA32-AA33</f>
        <v>-50.500000000000036</v>
      </c>
      <c r="AB34" s="6">
        <f t="shared" si="70"/>
        <v>-3.2000000000000233</v>
      </c>
      <c r="AC34" s="6">
        <f t="shared" si="70"/>
        <v>-3.1000000000000449</v>
      </c>
      <c r="AD34" s="6">
        <f t="shared" si="70"/>
        <v>70.400000000000176</v>
      </c>
      <c r="AE34" s="6">
        <f t="shared" si="70"/>
        <v>-39.100000000000023</v>
      </c>
      <c r="AF34" s="6">
        <f t="shared" si="70"/>
        <v>0</v>
      </c>
      <c r="AG34" s="6">
        <f t="shared" si="70"/>
        <v>0</v>
      </c>
      <c r="AH34" s="6">
        <f t="shared" si="70"/>
        <v>0</v>
      </c>
      <c r="AO34" s="6"/>
      <c r="AP34" s="6"/>
      <c r="AQ34" s="6">
        <f t="shared" ref="AQ34:AW34" si="71">AQ32-AQ33</f>
        <v>450.3289999999995</v>
      </c>
      <c r="AR34" s="6">
        <f t="shared" si="71"/>
        <v>631.69100000000026</v>
      </c>
      <c r="AS34" s="6">
        <f t="shared" si="71"/>
        <v>824.71600000000103</v>
      </c>
      <c r="AT34" s="6">
        <f t="shared" si="71"/>
        <v>799.52799999999911</v>
      </c>
      <c r="AU34" s="6">
        <f t="shared" si="71"/>
        <v>838.80000000000041</v>
      </c>
      <c r="AV34" s="6">
        <f t="shared" si="71"/>
        <v>837.40000000000009</v>
      </c>
      <c r="AW34" s="6">
        <f t="shared" si="71"/>
        <v>815.60000000000082</v>
      </c>
      <c r="AX34" s="6">
        <f t="shared" ref="AX34" si="72">AX32-AX33</f>
        <v>549.4000000000002</v>
      </c>
      <c r="AY34" s="6">
        <f t="shared" ref="AY34" si="73">AY32-AY33</f>
        <v>549.69999999999959</v>
      </c>
      <c r="AZ34" s="6">
        <f t="shared" ref="AZ34" si="74">AZ32-AZ33</f>
        <v>563.9999999999992</v>
      </c>
      <c r="BA34" s="6">
        <f t="shared" ref="BA34:BB34" si="75">BA32-BA33</f>
        <v>552.19999999999936</v>
      </c>
      <c r="BB34" s="6">
        <f t="shared" si="75"/>
        <v>366.49999999999886</v>
      </c>
      <c r="BC34" s="6">
        <f t="shared" ref="BC34:BD34" si="76">BC32-BC33</f>
        <v>221.0999999999994</v>
      </c>
      <c r="BD34" s="6">
        <f t="shared" si="76"/>
        <v>-78.800000000000239</v>
      </c>
      <c r="BE34" s="6">
        <f>BE32-BE33</f>
        <v>-231.50000000000097</v>
      </c>
      <c r="BF34" s="6">
        <f>BF32-BF33</f>
        <v>-374.59999999999968</v>
      </c>
      <c r="BG34" s="6">
        <f t="shared" ref="BG34:BP34" si="77">BG32-BG33</f>
        <v>-318.69199999999961</v>
      </c>
      <c r="BH34" s="6">
        <f t="shared" si="77"/>
        <v>13.600000000000632</v>
      </c>
      <c r="BI34" s="6">
        <f t="shared" si="77"/>
        <v>-8.5482799999998491</v>
      </c>
      <c r="BJ34" s="6">
        <f t="shared" si="77"/>
        <v>47.1414299999999</v>
      </c>
      <c r="BK34" s="6">
        <f t="shared" si="77"/>
        <v>66.207538890000095</v>
      </c>
      <c r="BL34" s="6">
        <f t="shared" si="77"/>
        <v>93.129266464452215</v>
      </c>
      <c r="BM34" s="6">
        <f t="shared" si="77"/>
        <v>62.439526508802189</v>
      </c>
      <c r="BN34" s="6">
        <f t="shared" si="77"/>
        <v>86.036434209362056</v>
      </c>
      <c r="BO34" s="6">
        <f t="shared" si="77"/>
        <v>60.410338810554833</v>
      </c>
      <c r="BP34" s="6">
        <f t="shared" si="77"/>
        <v>82.150021353051102</v>
      </c>
      <c r="BQ34" s="2">
        <f t="shared" ref="BQ34:DB34" si="78">BP34*(1+$BT$67)</f>
        <v>82.150021353051102</v>
      </c>
      <c r="BR34" s="2">
        <f t="shared" si="78"/>
        <v>82.150021353051102</v>
      </c>
      <c r="BS34" s="2">
        <f t="shared" si="78"/>
        <v>82.150021353051102</v>
      </c>
      <c r="BT34" s="2">
        <f t="shared" si="78"/>
        <v>82.150021353051102</v>
      </c>
      <c r="BU34" s="2">
        <f t="shared" si="78"/>
        <v>82.150021353051102</v>
      </c>
      <c r="BV34" s="2">
        <f t="shared" si="78"/>
        <v>82.150021353051102</v>
      </c>
      <c r="BW34" s="2">
        <f t="shared" si="78"/>
        <v>82.150021353051102</v>
      </c>
      <c r="BX34" s="2">
        <f t="shared" si="78"/>
        <v>82.150021353051102</v>
      </c>
      <c r="BY34" s="2">
        <f t="shared" si="78"/>
        <v>82.150021353051102</v>
      </c>
      <c r="BZ34" s="2">
        <f t="shared" si="78"/>
        <v>82.150021353051102</v>
      </c>
      <c r="CA34" s="2">
        <f t="shared" si="78"/>
        <v>82.150021353051102</v>
      </c>
      <c r="CB34" s="2">
        <f t="shared" si="78"/>
        <v>82.150021353051102</v>
      </c>
      <c r="CC34" s="2">
        <f t="shared" si="78"/>
        <v>82.150021353051102</v>
      </c>
      <c r="CD34" s="2">
        <f t="shared" si="78"/>
        <v>82.150021353051102</v>
      </c>
      <c r="CE34" s="2">
        <f t="shared" si="78"/>
        <v>82.150021353051102</v>
      </c>
      <c r="CF34" s="2">
        <f t="shared" si="78"/>
        <v>82.150021353051102</v>
      </c>
      <c r="CG34" s="2">
        <f t="shared" si="78"/>
        <v>82.150021353051102</v>
      </c>
      <c r="CH34" s="2">
        <f t="shared" si="78"/>
        <v>82.150021353051102</v>
      </c>
      <c r="CI34" s="2">
        <f t="shared" si="78"/>
        <v>82.150021353051102</v>
      </c>
      <c r="CJ34" s="2">
        <f t="shared" si="78"/>
        <v>82.150021353051102</v>
      </c>
      <c r="CK34" s="2">
        <f t="shared" si="78"/>
        <v>82.150021353051102</v>
      </c>
      <c r="CL34" s="2">
        <f t="shared" si="78"/>
        <v>82.150021353051102</v>
      </c>
      <c r="CM34" s="2">
        <f t="shared" si="78"/>
        <v>82.150021353051102</v>
      </c>
      <c r="CN34" s="2">
        <f t="shared" si="78"/>
        <v>82.150021353051102</v>
      </c>
      <c r="CO34" s="2">
        <f t="shared" si="78"/>
        <v>82.150021353051102</v>
      </c>
      <c r="CP34" s="2">
        <f t="shared" si="78"/>
        <v>82.150021353051102</v>
      </c>
      <c r="CQ34" s="2">
        <f t="shared" si="78"/>
        <v>82.150021353051102</v>
      </c>
      <c r="CR34" s="2">
        <f t="shared" si="78"/>
        <v>82.150021353051102</v>
      </c>
      <c r="CS34" s="2">
        <f t="shared" si="78"/>
        <v>82.150021353051102</v>
      </c>
      <c r="CT34" s="2">
        <f t="shared" si="78"/>
        <v>82.150021353051102</v>
      </c>
      <c r="CU34" s="2">
        <f t="shared" si="78"/>
        <v>82.150021353051102</v>
      </c>
      <c r="CV34" s="2">
        <f t="shared" si="78"/>
        <v>82.150021353051102</v>
      </c>
      <c r="CW34" s="2">
        <f t="shared" si="78"/>
        <v>82.150021353051102</v>
      </c>
      <c r="CX34" s="2">
        <f t="shared" si="78"/>
        <v>82.150021353051102</v>
      </c>
      <c r="CY34" s="2">
        <f t="shared" si="78"/>
        <v>82.150021353051102</v>
      </c>
      <c r="CZ34" s="2">
        <f t="shared" si="78"/>
        <v>82.150021353051102</v>
      </c>
      <c r="DA34" s="2">
        <f t="shared" si="78"/>
        <v>82.150021353051102</v>
      </c>
      <c r="DB34" s="2">
        <f t="shared" si="78"/>
        <v>82.150021353051102</v>
      </c>
    </row>
    <row r="35" spans="2:106" x14ac:dyDescent="0.2">
      <c r="B35" t="s">
        <v>32</v>
      </c>
      <c r="C35" s="5">
        <f t="shared" ref="C35:N35" si="79">+C34/C36</f>
        <v>0.95562130177514781</v>
      </c>
      <c r="D35" s="5">
        <f t="shared" si="79"/>
        <v>0.59014778325122985</v>
      </c>
      <c r="E35" s="5">
        <f t="shared" si="79"/>
        <v>0.9467980295566486</v>
      </c>
      <c r="F35" s="5">
        <f t="shared" si="79"/>
        <v>2.3520710059171344</v>
      </c>
      <c r="G35" s="5">
        <f t="shared" si="79"/>
        <v>0.29170731707317094</v>
      </c>
      <c r="H35" s="5">
        <f t="shared" si="79"/>
        <v>-0.13099999999999987</v>
      </c>
      <c r="I35" s="5">
        <f t="shared" si="79"/>
        <v>-0.44214372716199746</v>
      </c>
      <c r="J35" s="5">
        <f t="shared" si="79"/>
        <v>7.1942857142857095</v>
      </c>
      <c r="K35" s="5">
        <f t="shared" si="79"/>
        <v>0.29170731707317094</v>
      </c>
      <c r="L35" s="5">
        <f t="shared" si="79"/>
        <v>-0.13099999999999987</v>
      </c>
      <c r="M35" s="5">
        <f t="shared" si="79"/>
        <v>-0.44214372716199746</v>
      </c>
      <c r="N35" s="5">
        <f t="shared" si="79"/>
        <v>-5.5999999999999252E-2</v>
      </c>
      <c r="O35" s="5">
        <f t="shared" ref="O35" si="80">O34/O36</f>
        <v>-2.4992248062015507</v>
      </c>
      <c r="P35" s="5">
        <f>P34/P36</f>
        <v>-1.8676923076923069</v>
      </c>
      <c r="Q35" s="5">
        <f>Q34/Q36</f>
        <v>-0.61196319018404943</v>
      </c>
      <c r="R35" s="5">
        <f>R34/R36</f>
        <v>1.3421828908554556</v>
      </c>
      <c r="S35" s="5">
        <f>S34/S36</f>
        <v>-1.0030303030303012</v>
      </c>
      <c r="T35" s="5">
        <f t="shared" ref="T35" si="81">T34/T36</f>
        <v>-0.84848484848484695</v>
      </c>
      <c r="U35" s="5">
        <f t="shared" ref="U35" si="82">U34/U36</f>
        <v>-1.388669301712778</v>
      </c>
      <c r="V35" s="5">
        <f>V34/V36</f>
        <v>-1.862977602108036</v>
      </c>
      <c r="W35" s="5">
        <f>W34/W36</f>
        <v>-2.0803689064558624</v>
      </c>
      <c r="X35" s="5">
        <f t="shared" ref="X35:Z35" si="83">X34/X36</f>
        <v>-0.34911242603550285</v>
      </c>
      <c r="Y35" s="5">
        <f t="shared" si="83"/>
        <v>-0.31130834976988769</v>
      </c>
      <c r="Z35" s="5">
        <f t="shared" si="83"/>
        <v>0.13184746877054521</v>
      </c>
      <c r="AA35" s="5">
        <f t="shared" ref="AA35:AE35" si="84">AA34/AA36</f>
        <v>-0.16584564860426942</v>
      </c>
      <c r="AB35" s="5">
        <f t="shared" si="84"/>
        <v>-1.0498687664042071E-2</v>
      </c>
      <c r="AC35" s="5">
        <f t="shared" si="84"/>
        <v>-1.0153946937438731E-2</v>
      </c>
      <c r="AD35" s="5">
        <f t="shared" si="84"/>
        <v>0.23059285948247682</v>
      </c>
      <c r="AE35" s="5">
        <f t="shared" si="84"/>
        <v>-0.12807075008188673</v>
      </c>
      <c r="AF35" s="5"/>
      <c r="AG35" s="5"/>
      <c r="AH35" s="5"/>
      <c r="AQ35" s="5" t="e">
        <f t="shared" ref="AQ35:AW35" si="85">AQ34/AQ36</f>
        <v>#DIV/0!</v>
      </c>
      <c r="AR35" s="5" t="e">
        <f t="shared" si="85"/>
        <v>#DIV/0!</v>
      </c>
      <c r="AS35" s="5" t="e">
        <f t="shared" si="85"/>
        <v>#DIV/0!</v>
      </c>
      <c r="AT35" s="5" t="e">
        <f t="shared" si="85"/>
        <v>#DIV/0!</v>
      </c>
      <c r="AU35" s="5" t="e">
        <f t="shared" si="85"/>
        <v>#DIV/0!</v>
      </c>
      <c r="AV35" s="5" t="e">
        <f t="shared" si="85"/>
        <v>#DIV/0!</v>
      </c>
      <c r="AW35" s="5" t="e">
        <f t="shared" si="85"/>
        <v>#DIV/0!</v>
      </c>
      <c r="AX35" s="5">
        <f t="shared" ref="AX35" si="86">AX34/AX36</f>
        <v>4.6402027027027044</v>
      </c>
      <c r="AY35" s="5">
        <f t="shared" ref="AY35" si="87">AY34/AY36</f>
        <v>4.8560070671378055</v>
      </c>
      <c r="AZ35" s="5">
        <f t="shared" ref="AZ35" si="88">AZ34/AZ36</f>
        <v>5.2858481724461033</v>
      </c>
      <c r="BA35" s="5">
        <f t="shared" ref="BA35:BB35" si="89">BA34/BA36</f>
        <v>5.3198458574181053</v>
      </c>
      <c r="BB35" s="5">
        <f t="shared" si="89"/>
        <v>3.6108374384236339</v>
      </c>
      <c r="BC35" s="5">
        <f t="shared" ref="BC35:BD35" si="90">BC34/BC36</f>
        <v>2.1655239960822663</v>
      </c>
      <c r="BD35" s="5">
        <f t="shared" si="90"/>
        <v>-0.90057142857143135</v>
      </c>
      <c r="BE35" s="5">
        <f>BE34/BE36</f>
        <v>-3.5615384615384764</v>
      </c>
      <c r="BF35" s="5">
        <f>BF34/BF36</f>
        <v>-5.1597796143250649</v>
      </c>
      <c r="BG35" s="5">
        <f t="shared" ref="BG35:BP35" si="91">BG34/BG36</f>
        <v>-4.3896969696969643</v>
      </c>
      <c r="BH35" s="5">
        <f t="shared" si="91"/>
        <v>0.18732782369146878</v>
      </c>
      <c r="BI35" s="5">
        <f t="shared" si="91"/>
        <v>-0.11774490358126515</v>
      </c>
      <c r="BJ35" s="5">
        <f t="shared" si="91"/>
        <v>0.64933099173553588</v>
      </c>
      <c r="BK35" s="5">
        <f t="shared" si="91"/>
        <v>0.91194957148760469</v>
      </c>
      <c r="BL35" s="5">
        <f t="shared" si="91"/>
        <v>1.2827722653505815</v>
      </c>
      <c r="BM35" s="5">
        <f t="shared" si="91"/>
        <v>0.86004857450140759</v>
      </c>
      <c r="BN35" s="5">
        <f t="shared" si="91"/>
        <v>1.1850748513686236</v>
      </c>
      <c r="BO35" s="5">
        <f t="shared" si="91"/>
        <v>0.83209833072389583</v>
      </c>
      <c r="BP35" s="5">
        <f t="shared" si="91"/>
        <v>1.1315429938436792</v>
      </c>
    </row>
    <row r="36" spans="2:106" s="2" customFormat="1" x14ac:dyDescent="0.2">
      <c r="B36" s="2" t="s">
        <v>1</v>
      </c>
      <c r="C36" s="6">
        <v>101.4</v>
      </c>
      <c r="D36" s="6">
        <v>101.5</v>
      </c>
      <c r="E36" s="6">
        <v>101.5</v>
      </c>
      <c r="F36" s="6">
        <v>101.4</v>
      </c>
      <c r="G36" s="6">
        <v>102.5</v>
      </c>
      <c r="H36" s="6">
        <v>100</v>
      </c>
      <c r="I36" s="6">
        <v>82.1</v>
      </c>
      <c r="J36" s="6">
        <v>87.5</v>
      </c>
      <c r="K36" s="6">
        <v>102.5</v>
      </c>
      <c r="L36" s="6">
        <v>100</v>
      </c>
      <c r="M36" s="6">
        <v>82.1</v>
      </c>
      <c r="N36" s="6">
        <v>87.5</v>
      </c>
      <c r="O36" s="6">
        <v>64.5</v>
      </c>
      <c r="P36" s="6">
        <v>65</v>
      </c>
      <c r="Q36" s="6">
        <v>65.2</v>
      </c>
      <c r="R36" s="6">
        <v>67.8</v>
      </c>
      <c r="S36" s="6">
        <v>66</v>
      </c>
      <c r="T36" s="6">
        <v>72.599999999999994</v>
      </c>
      <c r="U36" s="6">
        <v>75.900000000000006</v>
      </c>
      <c r="V36" s="6">
        <v>75.900000000000006</v>
      </c>
      <c r="W36" s="6">
        <v>75.900000000000006</v>
      </c>
      <c r="X36" s="6">
        <v>304.2</v>
      </c>
      <c r="Y36" s="6">
        <v>304.2</v>
      </c>
      <c r="Z36" s="6">
        <f>Y36</f>
        <v>304.2</v>
      </c>
      <c r="AA36" s="6">
        <v>304.5</v>
      </c>
      <c r="AB36" s="6">
        <v>304.8</v>
      </c>
      <c r="AC36" s="6">
        <v>305.3</v>
      </c>
      <c r="AD36" s="6">
        <f t="shared" ref="AD36" si="92">AC36</f>
        <v>305.3</v>
      </c>
      <c r="AE36" s="6">
        <f>+AD36</f>
        <v>305.3</v>
      </c>
      <c r="AF36" s="6">
        <f>+AE36</f>
        <v>305.3</v>
      </c>
      <c r="AG36" s="6">
        <f>+AF36</f>
        <v>305.3</v>
      </c>
      <c r="AH36" s="6">
        <f>+AG36</f>
        <v>305.3</v>
      </c>
      <c r="AO36" s="6"/>
      <c r="AP36" s="6"/>
      <c r="AQ36" s="6"/>
      <c r="AR36" s="6"/>
      <c r="AS36" s="6"/>
      <c r="AT36" s="6"/>
      <c r="AU36" s="6"/>
      <c r="AV36" s="6"/>
      <c r="AX36" s="6">
        <v>118.4</v>
      </c>
      <c r="AY36" s="6">
        <v>113.2</v>
      </c>
      <c r="AZ36" s="6">
        <v>106.7</v>
      </c>
      <c r="BA36" s="6">
        <v>103.8</v>
      </c>
      <c r="BB36" s="6">
        <v>101.5</v>
      </c>
      <c r="BC36" s="6">
        <v>102.1</v>
      </c>
      <c r="BD36" s="6">
        <v>87.5</v>
      </c>
      <c r="BE36" s="6">
        <v>65</v>
      </c>
      <c r="BF36" s="6">
        <v>72.599999999999994</v>
      </c>
      <c r="BG36" s="6">
        <f>BF36</f>
        <v>72.599999999999994</v>
      </c>
      <c r="BH36" s="6">
        <f t="shared" ref="BH36:BP36" si="93">BG36</f>
        <v>72.599999999999994</v>
      </c>
      <c r="BI36" s="6">
        <f t="shared" si="93"/>
        <v>72.599999999999994</v>
      </c>
      <c r="BJ36" s="6">
        <f t="shared" si="93"/>
        <v>72.599999999999994</v>
      </c>
      <c r="BK36" s="6">
        <f t="shared" si="93"/>
        <v>72.599999999999994</v>
      </c>
      <c r="BL36" s="6">
        <f t="shared" si="93"/>
        <v>72.599999999999994</v>
      </c>
      <c r="BM36" s="6">
        <f t="shared" si="93"/>
        <v>72.599999999999994</v>
      </c>
      <c r="BN36" s="6">
        <f t="shared" si="93"/>
        <v>72.599999999999994</v>
      </c>
      <c r="BO36" s="6">
        <f t="shared" si="93"/>
        <v>72.599999999999994</v>
      </c>
      <c r="BP36" s="6">
        <f t="shared" si="93"/>
        <v>72.599999999999994</v>
      </c>
    </row>
    <row r="38" spans="2:106" s="10" customFormat="1" x14ac:dyDescent="0.2">
      <c r="B38" s="7" t="s">
        <v>33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>
        <f>S26/O26-1</f>
        <v>0.25053868756121478</v>
      </c>
      <c r="T38" s="12">
        <f>T26/P26-1</f>
        <v>0.25626326963906587</v>
      </c>
      <c r="U38" s="12">
        <f>U26/Q26-1</f>
        <v>0.29053448790683811</v>
      </c>
      <c r="V38" s="12">
        <f>V26/R26-1</f>
        <v>6.2108288959050073E-2</v>
      </c>
      <c r="W38" s="12">
        <f>W26/S26-1</f>
        <v>7.9573934837092741E-2</v>
      </c>
      <c r="X38" s="12">
        <f t="shared" ref="X38:Z38" si="94">X26/T26-1</f>
        <v>-4.0054081460199509E-2</v>
      </c>
      <c r="Y38" s="12">
        <f>Y26/U26-1</f>
        <v>-8.4991516273330237E-2</v>
      </c>
      <c r="Z38" s="12">
        <f t="shared" si="94"/>
        <v>-1.2201073694485309E-2</v>
      </c>
      <c r="AA38" s="12">
        <f t="shared" ref="AA38" si="95">AA26/W26-1</f>
        <v>-0.10251015670342434</v>
      </c>
      <c r="AB38" s="12">
        <f t="shared" ref="AB38" si="96">AB26/X26-1</f>
        <v>2.4471830985915544E-2</v>
      </c>
      <c r="AC38" s="12">
        <f t="shared" ref="AC38" si="97">AC26/Y26-1</f>
        <v>-9.1115981119352818E-2</v>
      </c>
      <c r="AD38" s="12">
        <f t="shared" ref="AD38:AH38" si="98">AD26/Z26-1</f>
        <v>-0.19439453826805586</v>
      </c>
      <c r="AE38" s="12">
        <f t="shared" si="98"/>
        <v>-0.28720394470940103</v>
      </c>
      <c r="AF38" s="12">
        <f t="shared" si="98"/>
        <v>-0.19999999999999996</v>
      </c>
      <c r="AG38" s="12">
        <f t="shared" si="98"/>
        <v>-0.15000000000000002</v>
      </c>
      <c r="AH38" s="12">
        <f t="shared" si="98"/>
        <v>-9.9999999999999978E-2</v>
      </c>
      <c r="AO38" s="11"/>
      <c r="AP38" s="11"/>
      <c r="AQ38" s="11"/>
      <c r="AR38" s="12">
        <f t="shared" ref="AR38" si="99">AR26/AQ26-1</f>
        <v>0.3337272744364439</v>
      </c>
      <c r="AS38" s="12">
        <f t="shared" ref="AS38" si="100">AS26/AR26-1</f>
        <v>0.24132283200840376</v>
      </c>
      <c r="AT38" s="12">
        <f t="shared" ref="AT38" si="101">AT26/AS26-1</f>
        <v>3.0899748202823485E-2</v>
      </c>
      <c r="AU38" s="12">
        <f t="shared" ref="AU38" si="102">AU26/AT26-1</f>
        <v>4.3589241106821497E-2</v>
      </c>
      <c r="AV38" s="12">
        <f t="shared" ref="AV38" si="103">AV26/AU26-1</f>
        <v>8.1066531555780141E-3</v>
      </c>
      <c r="AW38" s="12">
        <f t="shared" ref="AW38" si="104">AW26/AV26-1</f>
        <v>-6.950421443903454E-2</v>
      </c>
      <c r="AX38" s="12">
        <f t="shared" ref="AX38" si="105">AX26/AW26-1</f>
        <v>1.719423408014209E-2</v>
      </c>
      <c r="AY38" s="12">
        <f t="shared" ref="AY38:BH38" si="106">AY26/AX26-1</f>
        <v>2.8375463244648458E-2</v>
      </c>
      <c r="AZ38" s="12">
        <f t="shared" si="106"/>
        <v>7.293459552495607E-3</v>
      </c>
      <c r="BA38" s="12">
        <f t="shared" si="106"/>
        <v>-8.0725773724342642E-2</v>
      </c>
      <c r="BB38" s="12">
        <f t="shared" si="106"/>
        <v>-7.0632790808444756E-3</v>
      </c>
      <c r="BC38" s="12">
        <f t="shared" si="106"/>
        <v>-3.0630272256086832E-2</v>
      </c>
      <c r="BD38" s="12">
        <f t="shared" si="106"/>
        <v>-0.21958166873860929</v>
      </c>
      <c r="BE38" s="12">
        <f t="shared" si="106"/>
        <v>-0.21283637488400875</v>
      </c>
      <c r="BF38" s="12">
        <f t="shared" si="106"/>
        <v>0.18093048842783621</v>
      </c>
      <c r="BG38" s="12">
        <f t="shared" si="106"/>
        <v>-1.3891892791189075E-2</v>
      </c>
      <c r="BH38" s="12">
        <f t="shared" si="106"/>
        <v>-0.11040626265352949</v>
      </c>
      <c r="BI38" s="12">
        <f t="shared" ref="BI38:BP38" si="107">BI26/BH26-1</f>
        <v>1.0000000000000009E-2</v>
      </c>
      <c r="BJ38" s="12">
        <f t="shared" si="107"/>
        <v>1.0000000000000009E-2</v>
      </c>
      <c r="BK38" s="12">
        <f>BK26/BJ26-1</f>
        <v>1.0000000000000009E-2</v>
      </c>
      <c r="BL38" s="12">
        <f t="shared" si="107"/>
        <v>1.0000000000000009E-2</v>
      </c>
      <c r="BM38" s="12">
        <f t="shared" si="107"/>
        <v>1.0000000000000009E-2</v>
      </c>
      <c r="BN38" s="12">
        <f t="shared" si="107"/>
        <v>1.0000000000000009E-2</v>
      </c>
      <c r="BO38" s="12">
        <f t="shared" si="107"/>
        <v>1.0000000000000009E-2</v>
      </c>
      <c r="BP38" s="12">
        <f t="shared" si="107"/>
        <v>1.0000000000000009E-2</v>
      </c>
    </row>
    <row r="39" spans="2:106" x14ac:dyDescent="0.2">
      <c r="B39" s="2" t="s">
        <v>107</v>
      </c>
      <c r="S39" s="9">
        <f t="shared" ref="S39:S40" si="108">S23/O23-1</f>
        <v>0.37107776261937242</v>
      </c>
      <c r="T39" s="9">
        <f t="shared" ref="T39:T40" si="109">T23/P23-1</f>
        <v>0.38043478260869557</v>
      </c>
      <c r="U39" s="9">
        <f t="shared" ref="U39:U40" si="110">U23/Q23-1</f>
        <v>0.62046444121915822</v>
      </c>
      <c r="V39" s="9">
        <f t="shared" ref="V39:W40" si="111">V23/R23-1</f>
        <v>2.2361744216048862E-2</v>
      </c>
      <c r="W39" s="9">
        <f t="shared" si="111"/>
        <v>-4.2217484008528872E-2</v>
      </c>
      <c r="X39" s="9">
        <f t="shared" ref="X39:X40" si="112">X23/T23-1</f>
        <v>-2.1653543307086687E-2</v>
      </c>
      <c r="Y39" s="9">
        <f t="shared" ref="Y39:Y40" si="113">Y23/U23-1</f>
        <v>-6.4039408866994996E-2</v>
      </c>
      <c r="Z39" s="9">
        <f t="shared" ref="Z39:Z40" si="114">Z23/V23-1</f>
        <v>4.5511903760410366E-2</v>
      </c>
      <c r="AA39" s="9">
        <f t="shared" ref="AA39:AA41" si="115">AA23/W23-1</f>
        <v>7.7174235678242775E-2</v>
      </c>
      <c r="AB39" s="9">
        <f t="shared" ref="AB39:AB41" si="116">AB23/X23-1</f>
        <v>1.006036217303885E-3</v>
      </c>
      <c r="AC39" s="9">
        <f t="shared" ref="AC39:AC41" si="117">AC23/Y23-1</f>
        <v>-7.5917065390749605E-2</v>
      </c>
      <c r="AD39" s="9">
        <f t="shared" ref="AD39:AD41" si="118">AD23/Z23-1</f>
        <v>-0.11924686192468603</v>
      </c>
      <c r="AE39" s="9">
        <f t="shared" ref="AE39:AE41" si="119">AE23/AA23-1</f>
        <v>-0.30380270046844859</v>
      </c>
      <c r="AF39" s="9">
        <f t="shared" ref="AF39:AF41" si="120">AF23/AB23-1</f>
        <v>-1</v>
      </c>
      <c r="AG39" s="9">
        <f t="shared" ref="AG39:AG41" si="121">AG23/AC23-1</f>
        <v>-1</v>
      </c>
      <c r="AH39" s="9">
        <f t="shared" ref="AH39:AH41" si="122">AH23/AD23-1</f>
        <v>-1</v>
      </c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spans="2:106" x14ac:dyDescent="0.2">
      <c r="B40" s="2" t="s">
        <v>106</v>
      </c>
      <c r="S40" s="9">
        <f t="shared" si="108"/>
        <v>-4.5803357314148752E-2</v>
      </c>
      <c r="T40" s="9">
        <f t="shared" si="109"/>
        <v>2.6131953428201848E-2</v>
      </c>
      <c r="U40" s="9">
        <f t="shared" si="110"/>
        <v>-2.2277227722772186E-2</v>
      </c>
      <c r="V40" s="9">
        <f t="shared" si="111"/>
        <v>7.480853391684894E-2</v>
      </c>
      <c r="W40" s="9">
        <f t="shared" ref="W40" si="123">W24/S24-1</f>
        <v>0.21563206835888415</v>
      </c>
      <c r="X40" s="9">
        <f t="shared" si="112"/>
        <v>-0.20221886031265768</v>
      </c>
      <c r="Y40" s="9">
        <f t="shared" si="113"/>
        <v>-0.18964326812428078</v>
      </c>
      <c r="Z40" s="9">
        <f t="shared" si="114"/>
        <v>-0.14696526275607602</v>
      </c>
      <c r="AA40" s="9">
        <f t="shared" si="115"/>
        <v>-0.30059954517262766</v>
      </c>
      <c r="AB40" s="9">
        <f t="shared" si="116"/>
        <v>0.25474083438685224</v>
      </c>
      <c r="AC40" s="9">
        <f t="shared" si="117"/>
        <v>-8.74751491053678E-2</v>
      </c>
      <c r="AD40" s="9">
        <f t="shared" si="118"/>
        <v>-0.30578758949880647</v>
      </c>
      <c r="AE40" s="9">
        <f t="shared" si="119"/>
        <v>-0.29145728643216084</v>
      </c>
      <c r="AF40" s="9">
        <f t="shared" si="120"/>
        <v>-1</v>
      </c>
      <c r="AG40" s="9">
        <f t="shared" si="121"/>
        <v>-1</v>
      </c>
      <c r="AH40" s="9">
        <f t="shared" si="122"/>
        <v>-1</v>
      </c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</row>
    <row r="41" spans="2:106" x14ac:dyDescent="0.2">
      <c r="B41" s="2" t="s">
        <v>105</v>
      </c>
      <c r="S41" s="9">
        <f t="shared" ref="S41:V41" si="124">S25/O25-1</f>
        <v>0.92959295929592956</v>
      </c>
      <c r="T41" s="9">
        <f t="shared" si="124"/>
        <v>0.55575065847234395</v>
      </c>
      <c r="U41" s="9">
        <f t="shared" si="124"/>
        <v>0.30837304288631717</v>
      </c>
      <c r="V41" s="9">
        <f t="shared" si="124"/>
        <v>0.2239263803680982</v>
      </c>
      <c r="W41" s="9">
        <f>W25/S25-1</f>
        <v>0.25940706955530213</v>
      </c>
      <c r="X41" s="9">
        <f t="shared" ref="X41:Z41" si="125">X25/T25-1</f>
        <v>0.25959367945823919</v>
      </c>
      <c r="Y41" s="9">
        <f t="shared" si="125"/>
        <v>7.8563995837669154E-2</v>
      </c>
      <c r="Z41" s="9">
        <f t="shared" si="125"/>
        <v>0.12137486573576761</v>
      </c>
      <c r="AA41" s="9">
        <f t="shared" si="115"/>
        <v>-0.21684019918515163</v>
      </c>
      <c r="AB41" s="9">
        <f t="shared" si="116"/>
        <v>-0.23924731182795689</v>
      </c>
      <c r="AC41" s="9">
        <f t="shared" si="117"/>
        <v>-0.1432706222865413</v>
      </c>
      <c r="AD41" s="9">
        <f t="shared" si="118"/>
        <v>-0.25415070242656446</v>
      </c>
      <c r="AE41" s="9">
        <f t="shared" si="119"/>
        <v>-0.20924855491329475</v>
      </c>
      <c r="AF41" s="9">
        <f t="shared" si="120"/>
        <v>-1</v>
      </c>
      <c r="AG41" s="9">
        <f t="shared" si="121"/>
        <v>-1</v>
      </c>
      <c r="AH41" s="9">
        <f t="shared" si="122"/>
        <v>-1</v>
      </c>
      <c r="BC41" s="9">
        <f>BC25/BB25-1</f>
        <v>0.11757309022320017</v>
      </c>
      <c r="BD41" s="9">
        <f t="shared" ref="BD41:BP41" si="126">BD25/BC25-1</f>
        <v>3.7271448663853679E-2</v>
      </c>
      <c r="BE41" s="9">
        <f t="shared" si="126"/>
        <v>-0.21369491525423734</v>
      </c>
      <c r="BF41" s="9">
        <f t="shared" si="126"/>
        <v>0.42127953095361281</v>
      </c>
      <c r="BG41" s="9">
        <f t="shared" si="126"/>
        <v>0.17034700315457418</v>
      </c>
      <c r="BH41" s="9">
        <f t="shared" si="126"/>
        <v>-0.21832884097035044</v>
      </c>
      <c r="BI41" s="9">
        <f t="shared" si="126"/>
        <v>0.10000000000000009</v>
      </c>
      <c r="BJ41" s="9">
        <f t="shared" si="126"/>
        <v>0.10000000000000009</v>
      </c>
      <c r="BK41" s="9">
        <f t="shared" si="126"/>
        <v>0.10000000000000009</v>
      </c>
      <c r="BL41" s="9">
        <f t="shared" si="126"/>
        <v>0.10000000000000009</v>
      </c>
      <c r="BM41" s="9">
        <f t="shared" si="126"/>
        <v>0.10000000000000009</v>
      </c>
      <c r="BN41" s="9">
        <f t="shared" si="126"/>
        <v>0.10000000000000009</v>
      </c>
      <c r="BO41" s="9">
        <f t="shared" si="126"/>
        <v>0.10000000000000009</v>
      </c>
      <c r="BP41" s="9">
        <f t="shared" si="126"/>
        <v>0.10000000000000009</v>
      </c>
    </row>
    <row r="42" spans="2:106" x14ac:dyDescent="0.2">
      <c r="B42" t="s">
        <v>24</v>
      </c>
      <c r="C42" s="9">
        <f t="shared" ref="C42:F42" si="127">C28/C26</f>
        <v>0.34336966616159148</v>
      </c>
      <c r="D42" s="9">
        <f t="shared" si="127"/>
        <v>0.36957809907561023</v>
      </c>
      <c r="E42" s="9">
        <f t="shared" si="127"/>
        <v>0.34667605350497832</v>
      </c>
      <c r="F42" s="9">
        <f t="shared" si="127"/>
        <v>0.33023008849557456</v>
      </c>
      <c r="G42" s="9">
        <f t="shared" ref="G42:J42" si="128">G28/G26</f>
        <v>0.30445176713833433</v>
      </c>
      <c r="H42" s="9">
        <f t="shared" si="128"/>
        <v>0.3104145601617796</v>
      </c>
      <c r="I42" s="9">
        <f t="shared" si="128"/>
        <v>0.30663885992353146</v>
      </c>
      <c r="J42" s="9">
        <f t="shared" si="128"/>
        <v>0.31557964610459743</v>
      </c>
      <c r="K42" s="9">
        <f t="shared" ref="K42:M42" si="129">K28/K26</f>
        <v>0.30445176713833433</v>
      </c>
      <c r="L42" s="9">
        <f t="shared" si="129"/>
        <v>0.3104145601617796</v>
      </c>
      <c r="M42" s="9">
        <f t="shared" si="129"/>
        <v>0.30663885992353146</v>
      </c>
      <c r="N42" s="9">
        <f t="shared" ref="N42" si="130">N28/N26</f>
        <v>0.27223007155553536</v>
      </c>
      <c r="O42" s="9">
        <f t="shared" ref="O42" si="131">O28/O26</f>
        <v>0.27659157688540642</v>
      </c>
      <c r="P42" s="9">
        <f t="shared" ref="P42:V42" si="132">P28/P26</f>
        <v>0.26772823779193211</v>
      </c>
      <c r="Q42" s="9">
        <f t="shared" si="132"/>
        <v>0.27500746491489997</v>
      </c>
      <c r="R42" s="9">
        <f t="shared" si="132"/>
        <v>0.21139437349795012</v>
      </c>
      <c r="S42" s="9">
        <f t="shared" si="132"/>
        <v>0.25853696741854643</v>
      </c>
      <c r="T42" s="9">
        <f t="shared" si="132"/>
        <v>0.27116782153118141</v>
      </c>
      <c r="U42" s="9">
        <f t="shared" si="132"/>
        <v>0.24571957427117083</v>
      </c>
      <c r="V42" s="9">
        <f t="shared" si="132"/>
        <v>0.16779803895470075</v>
      </c>
      <c r="W42" s="9">
        <f>W28/W26</f>
        <v>0.21655542658154381</v>
      </c>
      <c r="X42" s="9">
        <f>X28/X26</f>
        <v>0.24841549295774651</v>
      </c>
      <c r="Y42" s="9">
        <f t="shared" ref="Y42:Z42" si="133">Y28/Y26</f>
        <v>0.24578556979096436</v>
      </c>
      <c r="Z42" s="9">
        <f t="shared" si="133"/>
        <v>0.21999999999999992</v>
      </c>
      <c r="AA42" s="9">
        <f t="shared" ref="AA42:AD42" si="134">AA28/AA26</f>
        <v>0.2322366825640611</v>
      </c>
      <c r="AB42" s="9">
        <f t="shared" si="134"/>
        <v>0.26284584980237152</v>
      </c>
      <c r="AC42" s="9">
        <f t="shared" si="134"/>
        <v>0.26133729017898538</v>
      </c>
      <c r="AD42" s="9">
        <f t="shared" si="134"/>
        <v>0.23371989295272091</v>
      </c>
      <c r="AE42" s="9">
        <f t="shared" ref="AE42:AH42" si="135">AE28/AE26</f>
        <v>0.27727375822181904</v>
      </c>
      <c r="AF42" s="9">
        <f t="shared" si="135"/>
        <v>0</v>
      </c>
      <c r="AG42" s="9">
        <f t="shared" si="135"/>
        <v>0</v>
      </c>
      <c r="AH42" s="9">
        <f t="shared" si="135"/>
        <v>0</v>
      </c>
      <c r="AP42" s="9">
        <f t="shared" ref="AP42" si="136">AP28/AP26</f>
        <v>0.28204760812773721</v>
      </c>
      <c r="AQ42" s="9">
        <f t="shared" ref="AQ42" si="137">AQ28/AQ26</f>
        <v>0.27664404294120959</v>
      </c>
      <c r="AR42" s="9">
        <f t="shared" ref="AR42" si="138">AR28/AR26</f>
        <v>0.25566911691943095</v>
      </c>
      <c r="AS42" s="9">
        <f t="shared" ref="AS42" si="139">AS28/AS26</f>
        <v>0.25779713298940482</v>
      </c>
      <c r="AT42" s="9">
        <f t="shared" ref="AT42" si="140">AT28/AT26</f>
        <v>0.26819264205529031</v>
      </c>
      <c r="AU42" s="9">
        <f t="shared" ref="AU42" si="141">AU28/AU26</f>
        <v>0.26785733134889222</v>
      </c>
      <c r="AV42" s="9">
        <f t="shared" ref="AV42" si="142">AV28/AV26</f>
        <v>0.28056122716088161</v>
      </c>
      <c r="AW42" s="9">
        <f t="shared" ref="AW42:AX42" si="143">AW28/AW26</f>
        <v>0.29836722292864626</v>
      </c>
      <c r="AX42" s="9">
        <f t="shared" si="143"/>
        <v>0.29438575142430451</v>
      </c>
      <c r="AY42" s="9">
        <f t="shared" ref="AY42" si="144">AY28/AY26</f>
        <v>0.29861230636833042</v>
      </c>
      <c r="AZ42" s="9">
        <f t="shared" ref="AZ42:BC42" si="145">AZ28/AZ26</f>
        <v>0.31165766035156661</v>
      </c>
      <c r="BA42" s="9">
        <f t="shared" si="145"/>
        <v>0.34959746279580378</v>
      </c>
      <c r="BB42" s="9">
        <f t="shared" si="145"/>
        <v>0.29073018918697557</v>
      </c>
      <c r="BC42" s="9">
        <f t="shared" si="145"/>
        <v>0.27857772198954772</v>
      </c>
      <c r="BD42" s="9">
        <f t="shared" ref="BD42" si="146">BD28/BD26</f>
        <v>0.29519022579647386</v>
      </c>
      <c r="BE42" s="9">
        <f t="shared" ref="BE42:BF42" si="147">BE28/BE26</f>
        <v>0.24745569570513562</v>
      </c>
      <c r="BF42" s="9">
        <f t="shared" si="147"/>
        <v>0.22423345034688144</v>
      </c>
      <c r="BG42" s="9">
        <f t="shared" ref="BG42:BP42" si="148">BG28/BG26</f>
        <v>0.22980631664192203</v>
      </c>
      <c r="BH42" s="9">
        <f t="shared" si="148"/>
        <v>0.24544833864360505</v>
      </c>
      <c r="BI42" s="9">
        <f t="shared" si="148"/>
        <v>0.24000000000000002</v>
      </c>
      <c r="BJ42" s="9">
        <f t="shared" si="148"/>
        <v>0.24999999999999994</v>
      </c>
      <c r="BK42" s="9">
        <f t="shared" si="148"/>
        <v>0.25</v>
      </c>
      <c r="BL42" s="9">
        <f t="shared" si="148"/>
        <v>0.26</v>
      </c>
      <c r="BM42" s="9">
        <f t="shared" si="148"/>
        <v>0.26</v>
      </c>
      <c r="BN42" s="9">
        <f t="shared" si="148"/>
        <v>0.27</v>
      </c>
      <c r="BO42" s="9">
        <f t="shared" si="148"/>
        <v>0.27</v>
      </c>
      <c r="BP42" s="9">
        <f t="shared" si="148"/>
        <v>0.28000000000000008</v>
      </c>
    </row>
    <row r="43" spans="2:106" x14ac:dyDescent="0.2">
      <c r="B43" t="s">
        <v>99</v>
      </c>
      <c r="C43" s="9">
        <f t="shared" ref="C43:F43" si="149">C32/C26</f>
        <v>6.1146683611124686E-2</v>
      </c>
      <c r="D43" s="9">
        <f t="shared" si="149"/>
        <v>3.9642095283242376E-2</v>
      </c>
      <c r="E43" s="9">
        <f t="shared" si="149"/>
        <v>5.5516443729256681E-2</v>
      </c>
      <c r="F43" s="9">
        <f t="shared" si="149"/>
        <v>0.12053097345132663</v>
      </c>
      <c r="G43" s="9">
        <f t="shared" ref="G43:J43" si="150">G32/G26</f>
        <v>2.1257349615558582E-2</v>
      </c>
      <c r="H43" s="9">
        <f t="shared" si="150"/>
        <v>-4.1378237535972612E-2</v>
      </c>
      <c r="I43" s="9">
        <f t="shared" si="150"/>
        <v>-3.2672923183872009E-3</v>
      </c>
      <c r="J43" s="9">
        <f t="shared" si="150"/>
        <v>0.16838508218935949</v>
      </c>
      <c r="K43" s="9">
        <f t="shared" ref="K43:M43" si="151">K32/K26</f>
        <v>2.1257349615558582E-2</v>
      </c>
      <c r="L43" s="9">
        <f t="shared" si="151"/>
        <v>-4.1378237535972612E-2</v>
      </c>
      <c r="M43" s="9">
        <f t="shared" si="151"/>
        <v>-3.2672923183872009E-3</v>
      </c>
      <c r="N43" s="9">
        <f t="shared" ref="N43" si="152">N32/N26</f>
        <v>1.7410327697005634E-2</v>
      </c>
      <c r="O43" s="9">
        <f t="shared" ref="O43:V43" si="153">O32/O26</f>
        <v>-0.10852105778648387</v>
      </c>
      <c r="P43" s="9">
        <f t="shared" si="153"/>
        <v>-0.10987261146496809</v>
      </c>
      <c r="Q43" s="9">
        <f t="shared" si="153"/>
        <v>-9.3361202348959921E-2</v>
      </c>
      <c r="R43" s="9">
        <f t="shared" si="153"/>
        <v>1.003722727486918E-2</v>
      </c>
      <c r="S43" s="9">
        <f t="shared" si="153"/>
        <v>-5.0830200501253031E-2</v>
      </c>
      <c r="T43" s="9">
        <f t="shared" si="153"/>
        <v>-4.9433834713537163E-2</v>
      </c>
      <c r="U43" s="9">
        <f t="shared" si="153"/>
        <v>-7.9978405059385971E-2</v>
      </c>
      <c r="V43" s="9">
        <f t="shared" si="153"/>
        <v>-7.169794578286523E-2</v>
      </c>
      <c r="W43" s="9">
        <f>W32/W26</f>
        <v>-0.11201392919326754</v>
      </c>
      <c r="X43" s="9">
        <f t="shared" ref="X43:Z43" si="154">X32/X26</f>
        <v>-9.2429577464788693E-2</v>
      </c>
      <c r="Y43" s="9">
        <f t="shared" si="154"/>
        <v>-7.8051247471341734E-2</v>
      </c>
      <c r="Z43" s="9">
        <f t="shared" si="154"/>
        <v>1.8014732303269786E-2</v>
      </c>
      <c r="AA43" s="9">
        <f t="shared" ref="AA43:AD43" si="155">AA32/AA26</f>
        <v>-4.0902109772855903E-2</v>
      </c>
      <c r="AB43" s="9">
        <f t="shared" si="155"/>
        <v>-2.5777625021481555E-3</v>
      </c>
      <c r="AC43" s="9">
        <f t="shared" si="155"/>
        <v>-3.9877585087638367E-3</v>
      </c>
      <c r="AD43" s="9">
        <f t="shared" si="155"/>
        <v>3.9250669045495186E-2</v>
      </c>
      <c r="AE43" s="9">
        <f t="shared" ref="AE43:AH43" si="156">AE32/AE26</f>
        <v>-4.0485370832388325E-2</v>
      </c>
      <c r="AF43" s="9">
        <f t="shared" si="156"/>
        <v>0</v>
      </c>
      <c r="AG43" s="9">
        <f t="shared" si="156"/>
        <v>0</v>
      </c>
      <c r="AH43" s="9">
        <f t="shared" si="156"/>
        <v>0</v>
      </c>
      <c r="AP43" s="9">
        <f t="shared" ref="AP43" si="157">AP30/AP26</f>
        <v>8.8003265429688879E-2</v>
      </c>
      <c r="AQ43" s="9">
        <f t="shared" ref="AQ43" si="158">AQ30/AQ26</f>
        <v>8.466581436011196E-2</v>
      </c>
      <c r="AR43" s="9">
        <f t="shared" ref="AR43" si="159">AR30/AR26</f>
        <v>8.9046290352274265E-2</v>
      </c>
      <c r="AS43" s="9">
        <f t="shared" ref="AS43" si="160">AS30/AS26</f>
        <v>9.3654967801690275E-2</v>
      </c>
      <c r="AT43" s="9">
        <f t="shared" ref="AT43" si="161">AT30/AT26</f>
        <v>8.8073172969764052E-2</v>
      </c>
      <c r="AU43" s="9">
        <f t="shared" ref="AU43" si="162">AU30/AU26</f>
        <v>8.8539852433579314E-2</v>
      </c>
      <c r="AV43" s="9">
        <f t="shared" ref="AV43" si="163">AV30/AV26</f>
        <v>8.7681273231767984E-2</v>
      </c>
      <c r="AW43" s="9">
        <f t="shared" ref="AW43:AX43" si="164">AW30/AW26</f>
        <v>9.1777600234057718E-2</v>
      </c>
      <c r="AX43" s="9">
        <f t="shared" si="164"/>
        <v>8.5037889263786748E-2</v>
      </c>
      <c r="AY43" s="9">
        <f t="shared" ref="AY43" si="165">AY30/AY26</f>
        <v>8.3358433734939716E-2</v>
      </c>
      <c r="AZ43" s="9">
        <f t="shared" ref="AZ43:BF43" si="166">AZ30/AZ26</f>
        <v>8.6439266109912566E-2</v>
      </c>
      <c r="BA43" s="9">
        <f t="shared" si="166"/>
        <v>8.7907619744653095E-2</v>
      </c>
      <c r="BB43" s="9">
        <f t="shared" si="166"/>
        <v>6.7309379789636123E-2</v>
      </c>
      <c r="BC43" s="9">
        <f t="shared" si="166"/>
        <v>3.7886377077474498E-2</v>
      </c>
      <c r="BD43" s="9">
        <f t="shared" si="166"/>
        <v>-2.1651716671822188E-3</v>
      </c>
      <c r="BE43" s="9">
        <f t="shared" si="166"/>
        <v>-5.0041258988565561E-2</v>
      </c>
      <c r="BF43" s="9">
        <f t="shared" si="166"/>
        <v>-6.0192656429367587E-2</v>
      </c>
      <c r="BG43" s="9">
        <f>BG30/BG26</f>
        <v>-5.3801457686597318E-2</v>
      </c>
      <c r="BH43" s="9">
        <f t="shared" ref="BH43:BP43" si="167">BH30/BH26</f>
        <v>-5.6326809285387955E-3</v>
      </c>
      <c r="BI43" s="9">
        <f t="shared" si="167"/>
        <v>-6.1091181944775905E-3</v>
      </c>
      <c r="BJ43" s="9">
        <f t="shared" si="167"/>
        <v>8.7643296905615242E-3</v>
      </c>
      <c r="BK43" s="9">
        <f t="shared" si="167"/>
        <v>1.3541273657085094E-2</v>
      </c>
      <c r="BL43" s="9">
        <f t="shared" si="167"/>
        <v>1.8858922640393735E-2</v>
      </c>
      <c r="BM43" s="9">
        <f t="shared" si="167"/>
        <v>1.4083851801589596E-2</v>
      </c>
      <c r="BN43" s="9">
        <f t="shared" si="167"/>
        <v>1.9214225104591382E-2</v>
      </c>
      <c r="BO43" s="9">
        <f t="shared" si="167"/>
        <v>1.4248170156167417E-2</v>
      </c>
      <c r="BP43" s="9">
        <f t="shared" si="167"/>
        <v>1.9183777485992613E-2</v>
      </c>
    </row>
    <row r="44" spans="2:106" x14ac:dyDescent="0.2">
      <c r="B44" t="s">
        <v>98</v>
      </c>
      <c r="C44" s="9">
        <f t="shared" ref="C44:F44" si="168">C33/C32</f>
        <v>0.22541966426858515</v>
      </c>
      <c r="D44" s="9">
        <f t="shared" si="168"/>
        <v>0.10463378176382686</v>
      </c>
      <c r="E44" s="9">
        <f t="shared" si="168"/>
        <v>0.12952898550724656</v>
      </c>
      <c r="F44" s="9">
        <f t="shared" si="168"/>
        <v>0.29955947136564098</v>
      </c>
      <c r="G44" s="9">
        <f t="shared" ref="G44:J44" si="169">G33/G32</f>
        <v>9.1185410334346448E-2</v>
      </c>
      <c r="H44" s="9">
        <f t="shared" si="169"/>
        <v>0.75375939849624074</v>
      </c>
      <c r="I44" s="9">
        <f t="shared" si="169"/>
        <v>-6.7234042553191653</v>
      </c>
      <c r="J44" s="9">
        <f t="shared" si="169"/>
        <v>0.26580359225565681</v>
      </c>
      <c r="K44" s="9">
        <f t="shared" ref="K44:M44" si="170">K33/K32</f>
        <v>9.1185410334346448E-2</v>
      </c>
      <c r="L44" s="9">
        <f t="shared" si="170"/>
        <v>0.75375939849624074</v>
      </c>
      <c r="M44" s="9">
        <f t="shared" si="170"/>
        <v>-6.7234042553191653</v>
      </c>
      <c r="N44" s="9">
        <f t="shared" ref="N44" si="171">N33/N32</f>
        <v>1.1282722513088985</v>
      </c>
      <c r="O44" s="9">
        <f t="shared" ref="O44:V44" si="172">O33/O32</f>
        <v>-0.45487364620938614</v>
      </c>
      <c r="P44" s="9">
        <f t="shared" si="172"/>
        <v>-0.17294685990338171</v>
      </c>
      <c r="Q44" s="9">
        <f t="shared" si="172"/>
        <v>0.57462686567164167</v>
      </c>
      <c r="R44" s="9">
        <f t="shared" si="172"/>
        <v>-3.2723004694835858</v>
      </c>
      <c r="S44" s="9">
        <f t="shared" si="172"/>
        <v>-2.003081664098617E-2</v>
      </c>
      <c r="T44" s="9">
        <f t="shared" si="172"/>
        <v>-5.2991452991453095E-2</v>
      </c>
      <c r="U44" s="9">
        <f t="shared" si="172"/>
        <v>-1.6393442622950841E-2</v>
      </c>
      <c r="V44" s="9">
        <f t="shared" si="172"/>
        <v>0.12500000000000006</v>
      </c>
      <c r="W44" s="9">
        <f>W33/W32</f>
        <v>-2.2668393782383424E-2</v>
      </c>
      <c r="X44" s="9">
        <f t="shared" ref="X44:Z44" si="173">X33/X32</f>
        <v>-1.1428571428571432E-2</v>
      </c>
      <c r="Y44" s="9">
        <f t="shared" si="173"/>
        <v>-2.2678185745140429E-2</v>
      </c>
      <c r="Z44" s="9">
        <f t="shared" si="173"/>
        <v>0</v>
      </c>
      <c r="AA44" s="9">
        <f t="shared" ref="AA44:AD44" si="174">AA33/AA32</f>
        <v>1.9762845849802357E-3</v>
      </c>
      <c r="AB44" s="9">
        <f t="shared" si="174"/>
        <v>-6.6666666666666152E-2</v>
      </c>
      <c r="AC44" s="9">
        <f t="shared" si="174"/>
        <v>0.27906976744185752</v>
      </c>
      <c r="AD44" s="9">
        <f t="shared" si="174"/>
        <v>0</v>
      </c>
      <c r="AE44" s="9">
        <f t="shared" ref="AE44:AH44" si="175">AE33/AE32</f>
        <v>-9.5238095238095177E-2</v>
      </c>
      <c r="AF44" s="9" t="e">
        <f t="shared" si="175"/>
        <v>#DIV/0!</v>
      </c>
      <c r="AG44" s="9" t="e">
        <f t="shared" si="175"/>
        <v>#DIV/0!</v>
      </c>
      <c r="AH44" s="9" t="e">
        <f t="shared" si="175"/>
        <v>#DIV/0!</v>
      </c>
      <c r="AP44" s="9"/>
      <c r="AQ44" s="9">
        <f t="shared" ref="AQ44" si="176">AQ33/AQ32</f>
        <v>0</v>
      </c>
      <c r="AR44" s="9">
        <f t="shared" ref="AR44" si="177">AR33/AR32</f>
        <v>0</v>
      </c>
      <c r="AS44" s="9">
        <f t="shared" ref="AS44" si="178">AS33/AS32</f>
        <v>0</v>
      </c>
      <c r="AT44" s="9">
        <f t="shared" ref="AT44" si="179">AT33/AT32</f>
        <v>0</v>
      </c>
      <c r="AU44" s="9">
        <f t="shared" ref="AU44" si="180">AU33/AU32</f>
        <v>0</v>
      </c>
      <c r="AV44" s="9">
        <f t="shared" ref="AV44" si="181">AV33/AV32</f>
        <v>0</v>
      </c>
      <c r="AW44" s="9">
        <f t="shared" ref="AW44:AX44" si="182">AW33/AW32</f>
        <v>0</v>
      </c>
      <c r="AX44" s="9">
        <f t="shared" si="182"/>
        <v>0.28089005235602083</v>
      </c>
      <c r="AY44" s="9">
        <f t="shared" ref="AY44" si="183">AY33/AY32</f>
        <v>0.2813439665315729</v>
      </c>
      <c r="AZ44" s="9">
        <f t="shared" ref="AZ44:BF44" si="184">AZ33/AZ32</f>
        <v>0.28280773143438481</v>
      </c>
      <c r="BA44" s="9">
        <f t="shared" si="184"/>
        <v>0.21529060679266754</v>
      </c>
      <c r="BB44" s="9">
        <f t="shared" si="184"/>
        <v>0.29519230769230836</v>
      </c>
      <c r="BC44" s="9">
        <f t="shared" si="184"/>
        <v>0.15867579908675838</v>
      </c>
      <c r="BD44" s="9">
        <f t="shared" si="184"/>
        <v>-0.9126213592232959</v>
      </c>
      <c r="BE44" s="9">
        <f t="shared" si="184"/>
        <v>0.19281729428172875</v>
      </c>
      <c r="BF44" s="9">
        <f t="shared" si="184"/>
        <v>3.6274762027270417E-2</v>
      </c>
      <c r="BG44" s="9">
        <f>BG33/BG32</f>
        <v>-2.1802418785990051E-2</v>
      </c>
      <c r="BH44" s="9">
        <f t="shared" ref="BH44:BP44" si="185">BH33/BH32</f>
        <v>-8.799999999999554E-2</v>
      </c>
      <c r="BI44" s="9">
        <f t="shared" si="185"/>
        <v>0</v>
      </c>
      <c r="BJ44" s="9">
        <f t="shared" si="185"/>
        <v>0</v>
      </c>
      <c r="BK44" s="9">
        <f t="shared" si="185"/>
        <v>0.1</v>
      </c>
      <c r="BL44" s="9">
        <f t="shared" si="185"/>
        <v>0.1</v>
      </c>
      <c r="BM44" s="9">
        <f t="shared" si="185"/>
        <v>0.2</v>
      </c>
      <c r="BN44" s="9">
        <f t="shared" si="185"/>
        <v>0.2</v>
      </c>
      <c r="BO44" s="9">
        <f t="shared" si="185"/>
        <v>0.25</v>
      </c>
      <c r="BP44" s="9">
        <f t="shared" si="185"/>
        <v>0.25</v>
      </c>
    </row>
    <row r="46" spans="2:106" x14ac:dyDescent="0.2">
      <c r="B46" s="2" t="s">
        <v>3</v>
      </c>
      <c r="S46" s="6">
        <f>694.7+57.4+18.7</f>
        <v>770.80000000000007</v>
      </c>
      <c r="T46" s="6">
        <f>1720.4+36.7+18.5</f>
        <v>1775.6000000000001</v>
      </c>
      <c r="U46" s="6">
        <f>1413+39.5+15.6</f>
        <v>1468.1</v>
      </c>
      <c r="V46" s="6">
        <f>1271.4+33.1+15.4</f>
        <v>1319.9</v>
      </c>
      <c r="W46" s="6">
        <f>1035+33.3+15.3</f>
        <v>1083.5999999999999</v>
      </c>
      <c r="X46" s="6">
        <v>908.9</v>
      </c>
      <c r="Y46" s="6">
        <f>803.8+238.3</f>
        <v>1042.0999999999999</v>
      </c>
      <c r="Z46" s="6">
        <f>1139+251.6</f>
        <v>1390.6</v>
      </c>
      <c r="AA46" s="6">
        <f>1057+253.1</f>
        <v>1310.0999999999999</v>
      </c>
      <c r="AB46" s="6">
        <f>894.7+300</f>
        <v>1194.7</v>
      </c>
      <c r="AC46" s="6">
        <f>909+300.5</f>
        <v>1209.5</v>
      </c>
      <c r="AD46" s="6">
        <f>921.7+277.6</f>
        <v>1199.3000000000002</v>
      </c>
      <c r="AE46" s="6">
        <f>999.9+83</f>
        <v>1082.9000000000001</v>
      </c>
      <c r="AF46" s="6"/>
      <c r="AG46" s="6"/>
      <c r="AH46" s="6"/>
      <c r="BD46" s="6">
        <v>499.4</v>
      </c>
      <c r="BE46" s="6">
        <f>508.5+110+16.5</f>
        <v>635</v>
      </c>
      <c r="BF46" s="6"/>
      <c r="BG46" s="6"/>
      <c r="BH46" s="6">
        <f>AD46</f>
        <v>1199.3000000000002</v>
      </c>
      <c r="BI46" s="6"/>
      <c r="BJ46" s="6"/>
      <c r="BK46" s="6"/>
      <c r="BL46" s="6"/>
      <c r="BM46" s="6"/>
      <c r="BN46" s="6"/>
      <c r="BO46" s="6"/>
      <c r="BP46" s="6"/>
    </row>
    <row r="47" spans="2:106" x14ac:dyDescent="0.2">
      <c r="B47" s="2" t="s">
        <v>51</v>
      </c>
      <c r="S47" s="6">
        <v>102.1</v>
      </c>
      <c r="T47" s="6">
        <v>68.5</v>
      </c>
      <c r="U47" s="6">
        <v>83.4</v>
      </c>
      <c r="V47" s="6">
        <v>141.1</v>
      </c>
      <c r="W47" s="6">
        <v>103.4</v>
      </c>
      <c r="X47" s="6">
        <v>99.6</v>
      </c>
      <c r="Y47" s="6">
        <v>125.3</v>
      </c>
      <c r="Z47" s="6">
        <v>153.9</v>
      </c>
      <c r="AA47" s="6">
        <v>119.2</v>
      </c>
      <c r="AB47" s="6">
        <v>75.599999999999994</v>
      </c>
      <c r="AC47" s="6">
        <v>88.3</v>
      </c>
      <c r="AD47" s="6">
        <v>91</v>
      </c>
      <c r="AE47" s="6">
        <v>58.9</v>
      </c>
      <c r="BD47" s="6">
        <v>141.9</v>
      </c>
      <c r="BE47" s="6">
        <v>105.3</v>
      </c>
      <c r="BF47" s="6"/>
    </row>
    <row r="48" spans="2:106" x14ac:dyDescent="0.2">
      <c r="B48" s="2" t="s">
        <v>54</v>
      </c>
      <c r="S48" s="6">
        <v>570.9</v>
      </c>
      <c r="T48" s="6">
        <v>596.4</v>
      </c>
      <c r="U48" s="6">
        <v>1140.9000000000001</v>
      </c>
      <c r="V48" s="6">
        <v>915</v>
      </c>
      <c r="W48" s="6">
        <v>917.6</v>
      </c>
      <c r="X48" s="6">
        <v>734.8</v>
      </c>
      <c r="Y48" s="6">
        <v>1131.3</v>
      </c>
      <c r="Z48" s="6">
        <v>682.9</v>
      </c>
      <c r="AA48" s="6">
        <v>759.5</v>
      </c>
      <c r="AB48" s="6">
        <v>676.9</v>
      </c>
      <c r="AC48" s="6">
        <v>1021.3</v>
      </c>
      <c r="AD48" s="6">
        <v>632.5</v>
      </c>
      <c r="AE48" s="6">
        <v>675.8</v>
      </c>
      <c r="BD48" s="6">
        <v>859.7</v>
      </c>
      <c r="BE48" s="6">
        <v>602.5</v>
      </c>
      <c r="BF48" s="6"/>
    </row>
    <row r="49" spans="2:68" x14ac:dyDescent="0.2">
      <c r="B49" s="2" t="s">
        <v>55</v>
      </c>
      <c r="S49" s="6">
        <v>232.1</v>
      </c>
      <c r="T49" s="6">
        <v>235</v>
      </c>
      <c r="U49" s="6">
        <v>236.3</v>
      </c>
      <c r="V49" s="6">
        <v>238.2</v>
      </c>
      <c r="W49" s="6">
        <v>240.3</v>
      </c>
      <c r="X49" s="6">
        <v>275.89999999999998</v>
      </c>
      <c r="Y49" s="6">
        <v>283.10000000000002</v>
      </c>
      <c r="Z49" s="6">
        <v>96.3</v>
      </c>
      <c r="AA49" s="6">
        <v>65.8</v>
      </c>
      <c r="AB49" s="6">
        <v>58</v>
      </c>
      <c r="AC49" s="6">
        <v>57.7</v>
      </c>
      <c r="AD49" s="6">
        <v>51.4</v>
      </c>
      <c r="AE49" s="6">
        <v>62.1</v>
      </c>
      <c r="BD49" s="6">
        <v>120.9</v>
      </c>
      <c r="BE49" s="6">
        <v>224.9</v>
      </c>
      <c r="BF49" s="6"/>
    </row>
    <row r="50" spans="2:68" x14ac:dyDescent="0.2">
      <c r="B50" s="2" t="s">
        <v>56</v>
      </c>
      <c r="S50" s="6">
        <v>192.6</v>
      </c>
      <c r="T50" s="6">
        <v>186.6</v>
      </c>
      <c r="U50" s="6">
        <v>179.6</v>
      </c>
      <c r="V50" s="6">
        <v>163.6</v>
      </c>
      <c r="W50" s="6">
        <v>157.4</v>
      </c>
      <c r="X50" s="6">
        <v>146.80000000000001</v>
      </c>
      <c r="Y50" s="6">
        <v>138.5</v>
      </c>
      <c r="Z50" s="6">
        <v>136.5</v>
      </c>
      <c r="AA50" s="6">
        <v>123.6</v>
      </c>
      <c r="AB50" s="6">
        <v>119.3</v>
      </c>
      <c r="AC50" s="6">
        <v>114.5</v>
      </c>
      <c r="AD50" s="6">
        <v>94.9</v>
      </c>
      <c r="AE50" s="6">
        <v>82.4</v>
      </c>
      <c r="BD50" s="6">
        <v>275.89999999999998</v>
      </c>
      <c r="BE50" s="6">
        <v>201.2</v>
      </c>
      <c r="BF50" s="6"/>
    </row>
    <row r="51" spans="2:68" x14ac:dyDescent="0.2">
      <c r="B51" s="2" t="s">
        <v>57</v>
      </c>
      <c r="S51" s="6">
        <v>654.20000000000005</v>
      </c>
      <c r="T51" s="6">
        <v>645.20000000000005</v>
      </c>
      <c r="U51" s="6">
        <f>615.8</f>
        <v>615.79999999999995</v>
      </c>
      <c r="V51" s="6">
        <v>586.6</v>
      </c>
      <c r="W51" s="6">
        <v>568.70000000000005</v>
      </c>
      <c r="X51" s="6">
        <v>554.29999999999995</v>
      </c>
      <c r="Y51" s="6">
        <v>523.20000000000005</v>
      </c>
      <c r="Z51" s="6">
        <v>560.79999999999995</v>
      </c>
      <c r="AA51" s="6">
        <v>595.79999999999995</v>
      </c>
      <c r="AB51" s="6">
        <v>583</v>
      </c>
      <c r="AC51" s="6">
        <v>570.4</v>
      </c>
      <c r="AD51" s="6">
        <v>555.79999999999995</v>
      </c>
      <c r="AE51" s="6">
        <v>542</v>
      </c>
      <c r="BD51" s="6">
        <v>767</v>
      </c>
      <c r="BE51" s="6">
        <v>662.1</v>
      </c>
      <c r="BF51" s="6"/>
    </row>
    <row r="52" spans="2:68" x14ac:dyDescent="0.2">
      <c r="B52" s="2" t="s">
        <v>58</v>
      </c>
      <c r="S52" s="6">
        <v>0</v>
      </c>
      <c r="T52" s="6">
        <v>0</v>
      </c>
      <c r="U52" s="6">
        <v>0</v>
      </c>
      <c r="V52" s="6">
        <v>16.3</v>
      </c>
      <c r="W52" s="6">
        <v>16.7</v>
      </c>
      <c r="X52" s="6">
        <v>16.7</v>
      </c>
      <c r="Y52" s="6">
        <v>14.3</v>
      </c>
      <c r="Z52" s="6">
        <v>18.3</v>
      </c>
      <c r="AA52" s="6">
        <v>17.5</v>
      </c>
      <c r="AB52" s="6">
        <v>17.600000000000001</v>
      </c>
      <c r="AC52" s="6">
        <v>16.600000000000001</v>
      </c>
      <c r="AD52" s="6">
        <v>17.3</v>
      </c>
      <c r="AE52" s="6">
        <v>17.5</v>
      </c>
      <c r="BD52" s="6">
        <v>83</v>
      </c>
      <c r="BE52" s="6">
        <v>0</v>
      </c>
      <c r="BF52" s="6"/>
    </row>
    <row r="53" spans="2:68" x14ac:dyDescent="0.2">
      <c r="B53" t="s">
        <v>52</v>
      </c>
      <c r="S53" s="6">
        <v>40</v>
      </c>
      <c r="T53" s="6">
        <v>38.5</v>
      </c>
      <c r="U53" s="6">
        <v>37.9</v>
      </c>
      <c r="V53" s="6">
        <v>118.6</v>
      </c>
      <c r="W53" s="6">
        <v>37.799999999999997</v>
      </c>
      <c r="X53" s="6">
        <v>62.5</v>
      </c>
      <c r="Y53" s="6">
        <v>64.7</v>
      </c>
      <c r="Z53" s="6">
        <v>74.099999999999994</v>
      </c>
      <c r="AA53" s="6">
        <v>78.7</v>
      </c>
      <c r="AB53" s="6">
        <v>78.599999999999994</v>
      </c>
      <c r="AC53" s="6">
        <v>68.599999999999994</v>
      </c>
      <c r="AD53" s="6">
        <v>66.8</v>
      </c>
      <c r="AE53" s="6">
        <v>65.5</v>
      </c>
      <c r="BD53" s="6">
        <f>60.1+11.8</f>
        <v>71.900000000000006</v>
      </c>
      <c r="BE53" s="6">
        <v>41.6</v>
      </c>
      <c r="BF53" s="6"/>
    </row>
    <row r="54" spans="2:68" x14ac:dyDescent="0.2">
      <c r="B54" t="s">
        <v>53</v>
      </c>
      <c r="S54" s="6">
        <f>SUM(S46:S53)</f>
        <v>2562.6999999999998</v>
      </c>
      <c r="T54" s="6">
        <f t="shared" ref="T54" si="186">SUM(T46:T53)</f>
        <v>3545.8</v>
      </c>
      <c r="U54" s="6">
        <f t="shared" ref="U54" si="187">SUM(U46:U53)</f>
        <v>3762.0000000000005</v>
      </c>
      <c r="V54" s="6">
        <f t="shared" ref="V54" si="188">SUM(V46:V53)</f>
        <v>3499.2999999999997</v>
      </c>
      <c r="W54" s="6">
        <f t="shared" ref="W54:AB54" si="189">SUM(W46:W53)</f>
        <v>3125.5</v>
      </c>
      <c r="X54" s="6">
        <f t="shared" si="189"/>
        <v>2799.5</v>
      </c>
      <c r="Y54" s="6">
        <f t="shared" si="189"/>
        <v>3322.5</v>
      </c>
      <c r="Z54" s="6">
        <f t="shared" si="189"/>
        <v>3113.4</v>
      </c>
      <c r="AA54" s="6">
        <f t="shared" si="189"/>
        <v>3070.2</v>
      </c>
      <c r="AB54" s="6">
        <f t="shared" si="189"/>
        <v>2803.7</v>
      </c>
      <c r="AC54" s="6">
        <f t="shared" ref="AC54" si="190">SUM(AC46:AC53)</f>
        <v>3146.8999999999996</v>
      </c>
      <c r="AD54" s="6">
        <f>SUM(AD46:AD53)</f>
        <v>2709.0000000000009</v>
      </c>
      <c r="AE54" s="6">
        <f>SUM(AE46:AE53)</f>
        <v>2587.1000000000004</v>
      </c>
      <c r="BD54" s="6">
        <f>SUM(BD46:BD53)</f>
        <v>2819.7000000000003</v>
      </c>
      <c r="BE54" s="6">
        <f>SUM(BE46:BE53)</f>
        <v>2472.6</v>
      </c>
      <c r="BF54" s="6"/>
    </row>
    <row r="55" spans="2:68" x14ac:dyDescent="0.2">
      <c r="S55" s="6"/>
      <c r="AA55" s="6"/>
      <c r="AB55" s="6"/>
      <c r="AC55" s="6"/>
      <c r="AD55" s="6"/>
      <c r="BD55" s="6"/>
    </row>
    <row r="56" spans="2:68" x14ac:dyDescent="0.2">
      <c r="B56" t="s">
        <v>59</v>
      </c>
      <c r="S56" s="6">
        <v>388.6</v>
      </c>
      <c r="T56" s="6">
        <v>409.7</v>
      </c>
      <c r="U56" s="6">
        <v>711.5</v>
      </c>
      <c r="V56" s="6">
        <v>471</v>
      </c>
      <c r="W56" s="6">
        <v>386.8</v>
      </c>
      <c r="X56" s="6">
        <v>217.4</v>
      </c>
      <c r="Y56" s="6">
        <v>888.4</v>
      </c>
      <c r="Z56" s="6">
        <v>531.29999999999995</v>
      </c>
      <c r="AA56" s="6">
        <v>561.4</v>
      </c>
      <c r="AB56" s="6">
        <v>378</v>
      </c>
      <c r="AC56" s="6">
        <v>812.7</v>
      </c>
      <c r="AD56" s="6">
        <v>324</v>
      </c>
      <c r="AE56" s="6">
        <v>282.7</v>
      </c>
      <c r="BD56" s="6">
        <v>380.8</v>
      </c>
      <c r="BE56" s="6">
        <v>341.8</v>
      </c>
      <c r="BF56" s="6"/>
    </row>
    <row r="57" spans="2:68" x14ac:dyDescent="0.2">
      <c r="B57" t="s">
        <v>60</v>
      </c>
      <c r="S57" s="6">
        <v>561.79999999999995</v>
      </c>
      <c r="T57" s="6">
        <v>563.1</v>
      </c>
      <c r="U57" s="6">
        <v>608.5</v>
      </c>
      <c r="V57" s="6">
        <v>668.9</v>
      </c>
      <c r="W57" s="6">
        <v>533.29999999999995</v>
      </c>
      <c r="X57" s="6">
        <v>512.1</v>
      </c>
      <c r="Y57" s="6">
        <v>504.2</v>
      </c>
      <c r="Z57" s="6">
        <v>602.29999999999995</v>
      </c>
      <c r="AA57" s="6">
        <v>546.4</v>
      </c>
      <c r="AB57" s="6">
        <v>487.5</v>
      </c>
      <c r="AC57" s="6">
        <v>425.7</v>
      </c>
      <c r="AD57" s="6">
        <v>412</v>
      </c>
      <c r="AE57" s="6">
        <v>377.1</v>
      </c>
      <c r="BD57" s="6">
        <v>617.5</v>
      </c>
      <c r="BE57" s="6">
        <v>626.79999999999995</v>
      </c>
      <c r="BF57" s="6"/>
    </row>
    <row r="58" spans="2:68" x14ac:dyDescent="0.2">
      <c r="B58" t="s">
        <v>57</v>
      </c>
      <c r="S58" s="6">
        <f>219.4+445</f>
        <v>664.4</v>
      </c>
      <c r="T58" s="6">
        <f>432+221.5</f>
        <v>653.5</v>
      </c>
      <c r="U58" s="6">
        <v>211.9</v>
      </c>
      <c r="V58" s="6">
        <f>210.7+393.7</f>
        <v>604.4</v>
      </c>
      <c r="W58" s="6">
        <f>200.3+374.5</f>
        <v>574.79999999999995</v>
      </c>
      <c r="X58" s="6">
        <f>194+367.4</f>
        <v>561.4</v>
      </c>
      <c r="Y58" s="6">
        <f>186.2+349.6</f>
        <v>535.79999999999995</v>
      </c>
      <c r="Z58" s="6">
        <f>194.7+382.4</f>
        <v>577.09999999999991</v>
      </c>
      <c r="AA58" s="6">
        <f>200.8+412.5</f>
        <v>613.29999999999995</v>
      </c>
      <c r="AB58" s="6">
        <f>194.9+405.7</f>
        <v>600.6</v>
      </c>
      <c r="AC58" s="6">
        <f>188.9+394.8</f>
        <v>583.70000000000005</v>
      </c>
      <c r="AD58" s="6">
        <f>187.7+386.6</f>
        <v>574.29999999999995</v>
      </c>
      <c r="AE58" s="6">
        <f>177.7+385.3</f>
        <v>563</v>
      </c>
      <c r="BD58" s="6">
        <f>239.4+529.3</f>
        <v>768.69999999999993</v>
      </c>
      <c r="BE58" s="6">
        <f>227.4+456.7</f>
        <v>684.1</v>
      </c>
      <c r="BF58" s="6"/>
    </row>
    <row r="59" spans="2:68" x14ac:dyDescent="0.2">
      <c r="B59" t="s">
        <v>4</v>
      </c>
      <c r="S59" s="6">
        <f>48.1</f>
        <v>48.1</v>
      </c>
      <c r="T59" s="6">
        <v>47.5</v>
      </c>
      <c r="U59" s="6">
        <f>1.4+44.8</f>
        <v>46.199999999999996</v>
      </c>
      <c r="V59" s="6">
        <v>44.6</v>
      </c>
      <c r="W59" s="6">
        <f>6.5+35.7</f>
        <v>42.2</v>
      </c>
      <c r="X59" s="6">
        <f>8.9+32.1</f>
        <v>41</v>
      </c>
      <c r="Y59" s="6">
        <f>9.9+28.8</f>
        <v>38.700000000000003</v>
      </c>
      <c r="Z59" s="6">
        <f>28.7+10.8</f>
        <v>39.5</v>
      </c>
      <c r="AA59" s="6">
        <f>10.9+26.3</f>
        <v>37.200000000000003</v>
      </c>
      <c r="AB59" s="6">
        <f>11+23.6</f>
        <v>34.6</v>
      </c>
      <c r="AC59" s="6">
        <f>10.5+20</f>
        <v>30.5</v>
      </c>
      <c r="AD59" s="6">
        <f>17.7+10.8</f>
        <v>28.5</v>
      </c>
      <c r="AE59" s="6">
        <f>10.8+14.9</f>
        <v>25.700000000000003</v>
      </c>
      <c r="BD59" s="6">
        <v>419.8</v>
      </c>
      <c r="BE59" s="6">
        <f>121.7+216+25</f>
        <v>362.7</v>
      </c>
      <c r="BF59" s="6"/>
    </row>
    <row r="60" spans="2:68" x14ac:dyDescent="0.2">
      <c r="B60" t="s">
        <v>61</v>
      </c>
      <c r="S60" s="6">
        <v>20.3</v>
      </c>
      <c r="T60" s="6">
        <v>20</v>
      </c>
      <c r="U60" s="6">
        <f>19.3+409.7</f>
        <v>429</v>
      </c>
      <c r="V60" s="6">
        <v>107.9</v>
      </c>
      <c r="W60" s="6">
        <v>137.69999999999999</v>
      </c>
      <c r="X60" s="6">
        <v>124.1</v>
      </c>
      <c r="Y60" s="6">
        <v>110.4</v>
      </c>
      <c r="Z60" s="6">
        <v>40.9</v>
      </c>
      <c r="AA60" s="6">
        <v>40.299999999999997</v>
      </c>
      <c r="AB60" s="6">
        <v>35.799999999999997</v>
      </c>
      <c r="AC60" s="6">
        <v>31.5</v>
      </c>
      <c r="AD60" s="6">
        <v>31.6</v>
      </c>
      <c r="AE60" s="6">
        <v>31.3</v>
      </c>
      <c r="BD60" s="6">
        <v>21.4</v>
      </c>
      <c r="BE60" s="6">
        <v>20.5</v>
      </c>
      <c r="BF60" s="6"/>
    </row>
    <row r="61" spans="2:68" x14ac:dyDescent="0.2">
      <c r="B61" t="s">
        <v>62</v>
      </c>
      <c r="S61" s="6">
        <v>879.5</v>
      </c>
      <c r="T61" s="6">
        <v>1852</v>
      </c>
      <c r="U61" s="6">
        <v>1754.9</v>
      </c>
      <c r="V61" s="6">
        <v>1602.5</v>
      </c>
      <c r="W61" s="6">
        <v>1450.7</v>
      </c>
      <c r="X61" s="6">
        <v>1343.5</v>
      </c>
      <c r="Y61" s="6">
        <v>1245</v>
      </c>
      <c r="Z61" s="6">
        <v>1322.3</v>
      </c>
      <c r="AA61" s="6">
        <v>1271.5999999999999</v>
      </c>
      <c r="AB61" s="6">
        <v>1267.2</v>
      </c>
      <c r="AC61" s="6">
        <v>1262.8</v>
      </c>
      <c r="AD61" s="6">
        <v>1338.6</v>
      </c>
      <c r="AE61" s="6">
        <v>1307.3</v>
      </c>
      <c r="BD61" s="6">
        <v>611.5</v>
      </c>
      <c r="BE61" s="6">
        <v>436.7</v>
      </c>
      <c r="BF61" s="6"/>
    </row>
    <row r="62" spans="2:68" x14ac:dyDescent="0.2">
      <c r="B62" t="s">
        <v>63</v>
      </c>
      <c r="S62" s="6">
        <f>SUM(S56:S61)</f>
        <v>2562.6999999999998</v>
      </c>
      <c r="T62" s="6">
        <f>SUM(T56:T61)</f>
        <v>3545.8</v>
      </c>
      <c r="U62" s="6">
        <f>SUM(U56:U61)</f>
        <v>3762</v>
      </c>
      <c r="V62" s="6">
        <f t="shared" ref="V62" si="191">SUM(V56:V61)</f>
        <v>3499.3</v>
      </c>
      <c r="W62" s="6">
        <f t="shared" ref="W62:AB62" si="192">SUM(W56:W61)</f>
        <v>3125.5</v>
      </c>
      <c r="X62" s="6">
        <f t="shared" si="192"/>
        <v>2799.5</v>
      </c>
      <c r="Y62" s="6">
        <f t="shared" si="192"/>
        <v>3322.5</v>
      </c>
      <c r="Z62" s="6">
        <f t="shared" si="192"/>
        <v>3113.3999999999996</v>
      </c>
      <c r="AA62" s="6">
        <f t="shared" si="192"/>
        <v>3070.2</v>
      </c>
      <c r="AB62" s="6">
        <f t="shared" si="192"/>
        <v>2803.7</v>
      </c>
      <c r="AC62" s="6">
        <f t="shared" ref="AC62" si="193">SUM(AC56:AC61)</f>
        <v>3146.9</v>
      </c>
      <c r="AD62" s="6">
        <f>SUM(AD56:AD61)</f>
        <v>2709</v>
      </c>
      <c r="AE62" s="6">
        <f>SUM(AE56:AE61)</f>
        <v>2587.1</v>
      </c>
      <c r="BD62" s="6">
        <f>SUM(BD56:BD61)</f>
        <v>2819.7000000000003</v>
      </c>
      <c r="BE62" s="6">
        <f>SUM(BE56:BE61)</f>
        <v>2472.6</v>
      </c>
      <c r="BF62" s="6"/>
    </row>
    <row r="63" spans="2:68" x14ac:dyDescent="0.2">
      <c r="S63" s="6"/>
      <c r="V63" s="6"/>
      <c r="W63" s="6"/>
    </row>
    <row r="64" spans="2:68" s="2" customFormat="1" x14ac:dyDescent="0.2">
      <c r="B64" s="2" t="s">
        <v>34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f t="shared" ref="S64:Z64" si="194">S34</f>
        <v>-66.199999999999875</v>
      </c>
      <c r="T64" s="6">
        <f t="shared" si="194"/>
        <v>-61.599999999999888</v>
      </c>
      <c r="U64" s="6">
        <f t="shared" si="194"/>
        <v>-105.39999999999986</v>
      </c>
      <c r="V64" s="6">
        <f t="shared" si="194"/>
        <v>-141.39999999999995</v>
      </c>
      <c r="W64" s="6">
        <f t="shared" si="194"/>
        <v>-157.89999999999998</v>
      </c>
      <c r="X64" s="6">
        <f t="shared" si="194"/>
        <v>-106.19999999999996</v>
      </c>
      <c r="Y64" s="6">
        <f t="shared" si="194"/>
        <v>-94.699999999999832</v>
      </c>
      <c r="Z64" s="6">
        <f t="shared" si="194"/>
        <v>40.107999999999848</v>
      </c>
      <c r="AA64" s="6">
        <f>AA34</f>
        <v>-50.500000000000036</v>
      </c>
      <c r="AB64" s="6">
        <f>AB34</f>
        <v>-3.2000000000000233</v>
      </c>
      <c r="AC64" s="6">
        <f>AC34</f>
        <v>-3.1000000000000449</v>
      </c>
      <c r="AD64" s="6">
        <f>+AD34</f>
        <v>70.400000000000176</v>
      </c>
      <c r="AE64" s="6">
        <f>+AE34</f>
        <v>-39.100000000000023</v>
      </c>
      <c r="AF64" s="6"/>
      <c r="AG64" s="6"/>
      <c r="AH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AZ64" s="6"/>
      <c r="BA64" s="6"/>
      <c r="BB64" s="6">
        <f t="shared" ref="BB64:BP64" si="195">BB34</f>
        <v>366.49999999999886</v>
      </c>
      <c r="BC64" s="6">
        <f t="shared" si="195"/>
        <v>221.0999999999994</v>
      </c>
      <c r="BD64" s="6">
        <f t="shared" si="195"/>
        <v>-78.800000000000239</v>
      </c>
      <c r="BE64" s="6">
        <f t="shared" si="195"/>
        <v>-231.50000000000097</v>
      </c>
      <c r="BF64" s="6">
        <f t="shared" si="195"/>
        <v>-374.59999999999968</v>
      </c>
      <c r="BG64" s="6">
        <f t="shared" si="195"/>
        <v>-318.69199999999961</v>
      </c>
      <c r="BH64" s="6">
        <f t="shared" si="195"/>
        <v>13.600000000000632</v>
      </c>
      <c r="BI64" s="6">
        <f t="shared" si="195"/>
        <v>-8.5482799999998491</v>
      </c>
      <c r="BJ64" s="6">
        <f t="shared" si="195"/>
        <v>47.1414299999999</v>
      </c>
      <c r="BK64" s="6">
        <f t="shared" si="195"/>
        <v>66.207538890000095</v>
      </c>
      <c r="BL64" s="6">
        <f t="shared" si="195"/>
        <v>93.129266464452215</v>
      </c>
      <c r="BM64" s="6">
        <f t="shared" si="195"/>
        <v>62.439526508802189</v>
      </c>
      <c r="BN64" s="6">
        <f t="shared" si="195"/>
        <v>86.036434209362056</v>
      </c>
      <c r="BO64" s="6">
        <f t="shared" si="195"/>
        <v>60.410338810554833</v>
      </c>
      <c r="BP64" s="6">
        <f t="shared" si="195"/>
        <v>82.150021353051102</v>
      </c>
    </row>
    <row r="65" spans="2:72" s="2" customFormat="1" x14ac:dyDescent="0.2">
      <c r="B65" s="2" t="s">
        <v>35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-66.8</v>
      </c>
      <c r="T65" s="6">
        <f>-128.4-S65</f>
        <v>-61.600000000000009</v>
      </c>
      <c r="U65" s="6">
        <f>-233.8-T65-S65</f>
        <v>-105.39999999999999</v>
      </c>
      <c r="V65" s="6">
        <f>-383.3-U65-T65-S65</f>
        <v>-149.5</v>
      </c>
      <c r="W65" s="6">
        <v>-157.9</v>
      </c>
      <c r="X65" s="6">
        <v>-108.7</v>
      </c>
      <c r="Y65" s="6">
        <f>-361.3-X65-W65</f>
        <v>-94.700000000000017</v>
      </c>
      <c r="Z65" s="6">
        <f>-313.1-Y65-X65-W65</f>
        <v>48.2</v>
      </c>
      <c r="AA65" s="6">
        <v>-50.5</v>
      </c>
      <c r="AB65" s="6">
        <f>-53.3-AA65</f>
        <v>-2.7999999999999972</v>
      </c>
      <c r="AC65" s="6">
        <f>-56.4-AB65-AA65</f>
        <v>-3.1000000000000014</v>
      </c>
      <c r="AD65" s="6">
        <f>6.7-AC65-AB65-AA65</f>
        <v>63.099999999999994</v>
      </c>
      <c r="AE65" s="6">
        <v>-32.299999999999997</v>
      </c>
      <c r="AF65" s="6"/>
      <c r="AG65" s="6"/>
      <c r="AH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AZ65" s="6"/>
      <c r="BA65" s="6"/>
      <c r="BB65" s="6">
        <v>34.700000000000003</v>
      </c>
      <c r="BC65" s="6">
        <v>-673</v>
      </c>
      <c r="BD65" s="6">
        <v>-470.9</v>
      </c>
      <c r="BE65" s="6">
        <v>-215.3</v>
      </c>
      <c r="BF65" s="6">
        <v>-381.3</v>
      </c>
      <c r="BG65" s="6">
        <f>SUM(W65:Z65)</f>
        <v>-313.10000000000008</v>
      </c>
      <c r="BH65" s="2">
        <f>SUM(AA65:AD65)</f>
        <v>6.6999999999999957</v>
      </c>
    </row>
    <row r="66" spans="2:72" s="2" customFormat="1" x14ac:dyDescent="0.2">
      <c r="B66" s="2" t="s">
        <v>36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>
        <v>18.7</v>
      </c>
      <c r="T66" s="6">
        <f>36.3-S66</f>
        <v>17.599999999999998</v>
      </c>
      <c r="U66" s="6">
        <f>53.2-T66-S66</f>
        <v>16.900000000000009</v>
      </c>
      <c r="V66" s="6">
        <f>77.2-U66-T66-S66</f>
        <v>24.000000000000004</v>
      </c>
      <c r="W66" s="6">
        <v>17.100000000000001</v>
      </c>
      <c r="X66" s="6">
        <v>15.3</v>
      </c>
      <c r="Y66" s="6">
        <f>47.5-X66-W66</f>
        <v>15.100000000000001</v>
      </c>
      <c r="Z66" s="6">
        <f>61.7-Y66-X66-W66</f>
        <v>14.2</v>
      </c>
      <c r="AA66" s="6">
        <v>13.7</v>
      </c>
      <c r="AB66" s="6">
        <f>26.3-AA66</f>
        <v>12.600000000000001</v>
      </c>
      <c r="AC66" s="6">
        <f>37.6-AB66-AA66</f>
        <v>11.3</v>
      </c>
      <c r="AD66" s="6">
        <f>56.2-AC66-AB66-AA66</f>
        <v>18.600000000000005</v>
      </c>
      <c r="AE66" s="6">
        <v>16.8</v>
      </c>
      <c r="AF66" s="6"/>
      <c r="AG66" s="6"/>
      <c r="AH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AZ66" s="6"/>
      <c r="BA66" s="6"/>
      <c r="BB66" s="6">
        <v>151.9</v>
      </c>
      <c r="BC66" s="6">
        <v>126.9</v>
      </c>
      <c r="BD66" s="6">
        <v>96.2</v>
      </c>
      <c r="BE66" s="6">
        <v>80.7</v>
      </c>
      <c r="BF66" s="6">
        <v>77.2</v>
      </c>
      <c r="BG66" s="6">
        <f t="shared" ref="BG66:BG76" si="196">SUM(W66:Z66)</f>
        <v>61.7</v>
      </c>
      <c r="BH66" s="2">
        <f t="shared" ref="BH66:BH76" si="197">SUM(AA66:AD66)</f>
        <v>56.2</v>
      </c>
      <c r="BS66" s="10" t="s">
        <v>94</v>
      </c>
      <c r="BT66" s="13">
        <v>0.1</v>
      </c>
    </row>
    <row r="67" spans="2:72" s="2" customFormat="1" x14ac:dyDescent="0.2">
      <c r="B67" s="2" t="s">
        <v>84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18.2</v>
      </c>
      <c r="T67" s="6">
        <f>18.2-S67</f>
        <v>0</v>
      </c>
      <c r="U67" s="6">
        <f>18.2-T67-S67</f>
        <v>0</v>
      </c>
      <c r="V67" s="6">
        <f>18.2-U67-T67-S67</f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/>
      <c r="AG67" s="6"/>
      <c r="AH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AZ67" s="6"/>
      <c r="BA67" s="6"/>
      <c r="BB67" s="6">
        <v>0</v>
      </c>
      <c r="BC67" s="6">
        <v>0</v>
      </c>
      <c r="BD67" s="6">
        <v>0</v>
      </c>
      <c r="BE67" s="6">
        <v>0</v>
      </c>
      <c r="BF67" s="6">
        <v>18.2</v>
      </c>
      <c r="BG67" s="6">
        <f t="shared" si="196"/>
        <v>0</v>
      </c>
      <c r="BH67" s="2">
        <f t="shared" si="197"/>
        <v>0</v>
      </c>
      <c r="BS67" t="s">
        <v>95</v>
      </c>
      <c r="BT67" s="14">
        <v>0</v>
      </c>
    </row>
    <row r="68" spans="2:72" s="2" customFormat="1" x14ac:dyDescent="0.2">
      <c r="B68" s="2" t="s">
        <v>85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>
        <v>0.6</v>
      </c>
      <c r="T68" s="6">
        <f>0.6-S68</f>
        <v>0</v>
      </c>
      <c r="U68" s="6">
        <f>0.6-T68-S68</f>
        <v>0</v>
      </c>
      <c r="V68" s="6">
        <f>6.7-U68-T68-S68</f>
        <v>6.1000000000000005</v>
      </c>
      <c r="W68" s="6">
        <v>0</v>
      </c>
      <c r="X68" s="6">
        <v>0</v>
      </c>
      <c r="Y68" s="6">
        <f>2.5-X68-W68</f>
        <v>2.5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/>
      <c r="AG68" s="6"/>
      <c r="AH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AZ68" s="6"/>
      <c r="BA68" s="6"/>
      <c r="BB68" s="6">
        <v>0</v>
      </c>
      <c r="BC68" s="6">
        <v>0</v>
      </c>
      <c r="BD68" s="6">
        <v>0</v>
      </c>
      <c r="BE68" s="6">
        <v>0</v>
      </c>
      <c r="BF68" s="6">
        <v>6.7</v>
      </c>
      <c r="BG68" s="6">
        <f t="shared" si="196"/>
        <v>2.5</v>
      </c>
      <c r="BH68" s="2">
        <f t="shared" si="197"/>
        <v>0</v>
      </c>
      <c r="BS68" s="2" t="s">
        <v>100</v>
      </c>
      <c r="BT68" s="14">
        <v>0.02</v>
      </c>
    </row>
    <row r="69" spans="2:72" s="2" customFormat="1" x14ac:dyDescent="0.2">
      <c r="B69" s="2" t="s">
        <v>81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/>
      <c r="AG69" s="6"/>
      <c r="AH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AZ69" s="6"/>
      <c r="BA69" s="6"/>
      <c r="BB69" s="6">
        <v>59.1</v>
      </c>
      <c r="BC69" s="6">
        <v>57.3</v>
      </c>
      <c r="BD69" s="6">
        <v>0</v>
      </c>
      <c r="BE69" s="6">
        <v>0</v>
      </c>
      <c r="BF69" s="6">
        <v>0</v>
      </c>
      <c r="BG69" s="6">
        <f t="shared" si="196"/>
        <v>0</v>
      </c>
      <c r="BH69" s="2">
        <f t="shared" si="197"/>
        <v>0</v>
      </c>
      <c r="BS69" t="s">
        <v>96</v>
      </c>
      <c r="BT69" s="2">
        <f>NPV(BT66,BG34:DB34)+Main!M5-Main!M6</f>
        <v>1335.0007431851029</v>
      </c>
    </row>
    <row r="70" spans="2:72" s="2" customFormat="1" x14ac:dyDescent="0.2">
      <c r="B70" s="2" t="s">
        <v>82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/>
      <c r="AG70" s="6"/>
      <c r="AH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AZ70" s="6"/>
      <c r="BA70" s="6"/>
      <c r="BB70" s="6">
        <v>395.1</v>
      </c>
      <c r="BC70" s="6">
        <v>1015.9</v>
      </c>
      <c r="BD70" s="6">
        <v>385.6</v>
      </c>
      <c r="BE70" s="6">
        <v>15.5</v>
      </c>
      <c r="BF70" s="6">
        <v>0</v>
      </c>
      <c r="BG70" s="6">
        <f t="shared" si="196"/>
        <v>0</v>
      </c>
      <c r="BH70" s="2">
        <f t="shared" si="197"/>
        <v>0</v>
      </c>
      <c r="BS70" s="7" t="s">
        <v>0</v>
      </c>
      <c r="BT70" s="15">
        <f>BT69/Main!M3</f>
        <v>4.3831151178582974</v>
      </c>
    </row>
    <row r="71" spans="2:72" s="2" customFormat="1" x14ac:dyDescent="0.2">
      <c r="B71" s="2" t="s">
        <v>37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>
        <v>5.7</v>
      </c>
      <c r="T71" s="6">
        <f>14.5-S71</f>
        <v>8.8000000000000007</v>
      </c>
      <c r="U71" s="6">
        <f>20.7-T71-S71</f>
        <v>6.1999999999999984</v>
      </c>
      <c r="V71" s="6">
        <f>30.5-U71-T71-S71</f>
        <v>9.8000000000000007</v>
      </c>
      <c r="W71" s="6">
        <v>11.1</v>
      </c>
      <c r="X71" s="6">
        <v>7.8</v>
      </c>
      <c r="Y71" s="6">
        <f>32.2-X71-W71</f>
        <v>13.300000000000002</v>
      </c>
      <c r="Z71" s="6">
        <f>40.1-Y71-X71-W71</f>
        <v>7.8999999999999968</v>
      </c>
      <c r="AA71" s="6">
        <v>7.9</v>
      </c>
      <c r="AB71" s="6">
        <f>7.6-AA71</f>
        <v>-0.30000000000000071</v>
      </c>
      <c r="AC71" s="6">
        <f>14-AB71-AA71</f>
        <v>6.4</v>
      </c>
      <c r="AD71" s="6">
        <f>22.2-AC71-AB71-AA71</f>
        <v>8.2000000000000011</v>
      </c>
      <c r="AE71" s="6">
        <v>0</v>
      </c>
      <c r="AF71" s="6"/>
      <c r="AG71" s="6"/>
      <c r="AH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AZ71" s="6"/>
      <c r="BA71" s="6"/>
      <c r="BB71" s="6">
        <v>25.6</v>
      </c>
      <c r="BC71" s="6">
        <v>10.7</v>
      </c>
      <c r="BD71" s="6">
        <v>8.9</v>
      </c>
      <c r="BE71" s="6">
        <v>7.9</v>
      </c>
      <c r="BF71" s="6">
        <v>30.5</v>
      </c>
      <c r="BG71" s="6">
        <f t="shared" si="196"/>
        <v>40.1</v>
      </c>
      <c r="BH71" s="2">
        <f t="shared" si="197"/>
        <v>22.200000000000003</v>
      </c>
      <c r="BS71" s="2" t="s">
        <v>97</v>
      </c>
      <c r="BT71" s="14">
        <f>BT70/Main!M2-1</f>
        <v>-0.84468054153585048</v>
      </c>
    </row>
    <row r="72" spans="2:72" s="2" customFormat="1" x14ac:dyDescent="0.2">
      <c r="B72" s="2" t="s">
        <v>58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>
        <v>0</v>
      </c>
      <c r="T72" s="6">
        <v>0</v>
      </c>
      <c r="U72" s="6">
        <v>0</v>
      </c>
      <c r="V72" s="6">
        <f>-16.3-U72-T72-S72</f>
        <v>-16.3</v>
      </c>
      <c r="W72" s="6">
        <v>0</v>
      </c>
      <c r="X72" s="6">
        <v>0</v>
      </c>
      <c r="Y72" s="6">
        <v>0</v>
      </c>
      <c r="Z72" s="6">
        <f>-2.6-Y72-X72-W72</f>
        <v>-2.6</v>
      </c>
      <c r="AA72" s="6">
        <v>0</v>
      </c>
      <c r="AB72" s="6">
        <v>0</v>
      </c>
      <c r="AC72" s="6">
        <v>0</v>
      </c>
      <c r="AD72" s="6">
        <f>-0.1-AC72-AB72-AA72</f>
        <v>-0.1</v>
      </c>
      <c r="AE72" s="6">
        <v>0</v>
      </c>
      <c r="AF72" s="6"/>
      <c r="AG72" s="6"/>
      <c r="AH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AZ72" s="6"/>
      <c r="BA72" s="6"/>
      <c r="BB72" s="6">
        <v>-107.9</v>
      </c>
      <c r="BC72" s="6">
        <v>-4.0999999999999996</v>
      </c>
      <c r="BD72" s="6">
        <v>61.4</v>
      </c>
      <c r="BE72" s="6">
        <v>80.3</v>
      </c>
      <c r="BF72" s="6">
        <v>-16.3</v>
      </c>
      <c r="BG72" s="6">
        <f t="shared" si="196"/>
        <v>-2.6</v>
      </c>
      <c r="BH72" s="2">
        <f t="shared" si="197"/>
        <v>-0.1</v>
      </c>
    </row>
    <row r="73" spans="2:72" s="2" customFormat="1" x14ac:dyDescent="0.2">
      <c r="B73" s="2" t="s">
        <v>38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0.4</v>
      </c>
      <c r="T73" s="6">
        <f>0.5-S73</f>
        <v>9.9999999999999978E-2</v>
      </c>
      <c r="U73" s="6">
        <v>0</v>
      </c>
      <c r="V73" s="6">
        <f>5.4-U73-T73-S73</f>
        <v>4.9000000000000004</v>
      </c>
      <c r="W73" s="6">
        <v>-6.9</v>
      </c>
      <c r="X73" s="6">
        <v>0</v>
      </c>
      <c r="Y73" s="6">
        <f>-7.1-X73-W73</f>
        <v>-0.19999999999999929</v>
      </c>
      <c r="Z73" s="6">
        <f>-7.2-Y73-X73-W73</f>
        <v>-0.10000000000000053</v>
      </c>
      <c r="AA73" s="6">
        <v>0</v>
      </c>
      <c r="AB73" s="6">
        <v>0</v>
      </c>
      <c r="AC73" s="6">
        <f>-5-AB73-AA73</f>
        <v>-5</v>
      </c>
      <c r="AD73" s="6">
        <f>4.8-AC73-AB73-AA73</f>
        <v>9.8000000000000007</v>
      </c>
      <c r="AE73" s="6">
        <v>0</v>
      </c>
      <c r="AF73" s="6"/>
      <c r="AG73" s="6"/>
      <c r="AH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AZ73" s="6"/>
      <c r="BA73" s="6"/>
      <c r="BB73" s="6">
        <v>-6.4</v>
      </c>
      <c r="BC73" s="6">
        <v>-100.8</v>
      </c>
      <c r="BD73" s="6">
        <v>1.9</v>
      </c>
      <c r="BE73" s="6">
        <v>-27.3</v>
      </c>
      <c r="BF73" s="6">
        <v>0</v>
      </c>
      <c r="BG73" s="6">
        <f t="shared" si="196"/>
        <v>-7.2</v>
      </c>
      <c r="BH73" s="2">
        <f t="shared" si="197"/>
        <v>4.8000000000000007</v>
      </c>
    </row>
    <row r="74" spans="2:72" s="2" customFormat="1" x14ac:dyDescent="0.2">
      <c r="B74" s="2" t="s">
        <v>39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0</v>
      </c>
      <c r="T74" s="6">
        <v>0</v>
      </c>
      <c r="U74" s="6">
        <v>0</v>
      </c>
      <c r="V74" s="6">
        <v>0</v>
      </c>
      <c r="W74" s="6">
        <v>33.700000000000003</v>
      </c>
      <c r="X74" s="6">
        <v>2.5</v>
      </c>
      <c r="Y74" s="6">
        <f>33.9-X74-W74</f>
        <v>-2.3000000000000043</v>
      </c>
      <c r="Z74" s="6">
        <f>34-Y74-X74-W74</f>
        <v>0.10000000000000142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/>
      <c r="AG74" s="6"/>
      <c r="AH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AZ74" s="6"/>
      <c r="BA74" s="6"/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f t="shared" si="196"/>
        <v>34</v>
      </c>
      <c r="BH74" s="2">
        <f t="shared" si="197"/>
        <v>0</v>
      </c>
    </row>
    <row r="75" spans="2:72" s="2" customFormat="1" x14ac:dyDescent="0.2">
      <c r="B75" s="2" t="s">
        <v>40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0</v>
      </c>
      <c r="T75" s="6">
        <v>0</v>
      </c>
      <c r="U75" s="6">
        <f>1.9-T75-S75</f>
        <v>1.9</v>
      </c>
      <c r="V75" s="6">
        <v>0</v>
      </c>
      <c r="W75" s="6">
        <v>0.4</v>
      </c>
      <c r="X75" s="6">
        <v>1.2</v>
      </c>
      <c r="Y75" s="6">
        <f>5.1-X75-W75</f>
        <v>3.4999999999999996</v>
      </c>
      <c r="Z75" s="6">
        <f>2.5-Y75-X75-W75</f>
        <v>-2.5999999999999992</v>
      </c>
      <c r="AA75" s="6">
        <v>0.6</v>
      </c>
      <c r="AB75" s="6">
        <f>0.6-AA75</f>
        <v>0</v>
      </c>
      <c r="AC75" s="6">
        <v>0</v>
      </c>
      <c r="AD75" s="6">
        <f>1.5-AC75-AB75-AA75</f>
        <v>0.9</v>
      </c>
      <c r="AE75" s="6">
        <v>0.3</v>
      </c>
      <c r="AF75" s="6"/>
      <c r="AG75" s="6"/>
      <c r="AH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AZ75" s="6"/>
      <c r="BA75" s="6"/>
      <c r="BB75" s="6">
        <v>8.5</v>
      </c>
      <c r="BC75" s="6">
        <v>2</v>
      </c>
      <c r="BD75" s="6">
        <v>9.1</v>
      </c>
      <c r="BE75" s="6">
        <v>0</v>
      </c>
      <c r="BF75" s="6">
        <v>5.4</v>
      </c>
      <c r="BG75" s="6">
        <f t="shared" si="196"/>
        <v>2.5000000000000004</v>
      </c>
      <c r="BH75" s="2">
        <f t="shared" si="197"/>
        <v>1.5</v>
      </c>
    </row>
    <row r="76" spans="2:72" s="2" customFormat="1" x14ac:dyDescent="0.2">
      <c r="B76" s="2" t="s">
        <v>41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-0.5</v>
      </c>
      <c r="T76" s="6">
        <f>-0.6-S76</f>
        <v>-9.9999999999999978E-2</v>
      </c>
      <c r="U76" s="6">
        <f>-1.4-T76-S76</f>
        <v>-0.79999999999999982</v>
      </c>
      <c r="V76" s="6">
        <f>-3.5-U76-T76-S76</f>
        <v>-2.1</v>
      </c>
      <c r="W76" s="6">
        <v>-4.8</v>
      </c>
      <c r="X76" s="6">
        <v>-0.2</v>
      </c>
      <c r="Y76" s="6">
        <f>6.9-X76-W76</f>
        <v>11.9</v>
      </c>
      <c r="Z76" s="6">
        <f>1.2-Y76-X76-W76</f>
        <v>-5.700000000000002</v>
      </c>
      <c r="AA76" s="6">
        <v>0.2</v>
      </c>
      <c r="AB76" s="6">
        <f>-2.9-AA76</f>
        <v>-3.1</v>
      </c>
      <c r="AC76" s="6">
        <f>2.9-AB76-AA76</f>
        <v>5.8</v>
      </c>
      <c r="AD76" s="6">
        <f>0.8-AC76-AB76-AA76</f>
        <v>-2.1</v>
      </c>
      <c r="AE76" s="6">
        <v>-0.6</v>
      </c>
      <c r="AF76" s="6"/>
      <c r="AG76" s="6"/>
      <c r="AH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AZ76" s="6"/>
      <c r="BA76" s="6"/>
      <c r="BB76" s="6">
        <v>-34.200000000000003</v>
      </c>
      <c r="BC76" s="6">
        <v>-36.200000000000003</v>
      </c>
      <c r="BD76" s="6">
        <v>4.0999999999999996</v>
      </c>
      <c r="BE76" s="6">
        <v>0.9</v>
      </c>
      <c r="BF76" s="6">
        <v>-3.5</v>
      </c>
      <c r="BG76" s="6">
        <f t="shared" si="196"/>
        <v>1.1999999999999984</v>
      </c>
      <c r="BH76" s="2">
        <f t="shared" si="197"/>
        <v>0.79999999999999982</v>
      </c>
    </row>
    <row r="77" spans="2:72" s="2" customFormat="1" x14ac:dyDescent="0.2">
      <c r="B77" s="2" t="s">
        <v>42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f>3.1+32.4-2.9-1.2-11.4-15-0.1</f>
        <v>4.9000000000000004</v>
      </c>
      <c r="T77" s="6">
        <f>36.2+1.2-4-13.8+25.2-16.1-0.1-S77</f>
        <v>23.700000000000003</v>
      </c>
      <c r="U77" s="6">
        <f>21-545.2-5.1-12.9+376.9-18.1-T77-S77</f>
        <v>-212.00000000000009</v>
      </c>
      <c r="V77" s="6">
        <f>-38.4-329.6-6.5-21.7+224.4-0.9+1.5-U77-T77-S77</f>
        <v>12.200000000000093</v>
      </c>
      <c r="W77" s="6">
        <f>36.3-9.9-30.3+3.5-179.8-16.4</f>
        <v>-196.60000000000002</v>
      </c>
      <c r="X77" s="6">
        <f>3+179.5+2.9-2.6-204.2+0.6-0.5</f>
        <v>-21.299999999999976</v>
      </c>
      <c r="Y77" s="6">
        <f>13.3-245-38.7+0.9+288.7-7.7-1.2-X77-W77</f>
        <v>228.2</v>
      </c>
      <c r="Z77" s="6">
        <f>-16.8+229.6-25.2+172.4-66.2-4.9-Y77-X77-W77</f>
        <v>278.60000000000002</v>
      </c>
      <c r="AA77" s="6">
        <f>35.6-83.1-4-0.2-22.3-0.6</f>
        <v>-74.599999999999994</v>
      </c>
      <c r="AB77" s="6">
        <f>79+0.4+4-1.3-267.4-3.4-1.4-AA77</f>
        <v>-115.49999999999997</v>
      </c>
      <c r="AC77" s="6">
        <f>65.7-357.1+5.7-5.1+114.5-7.1-2.4-AB77-AA77</f>
        <v>4.2999999999998977</v>
      </c>
      <c r="AD77" s="6">
        <f>65+39.9+10.4-2.4-397.7-8.1-2.9-AC77-AB77-AA77</f>
        <v>-109.99999999999989</v>
      </c>
      <c r="AE77" s="6">
        <f>33.4-43.2+8.5-5.1-87.8+1.1-1.5</f>
        <v>-94.600000000000009</v>
      </c>
      <c r="AF77" s="6"/>
      <c r="AG77" s="6"/>
      <c r="AH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AZ77" s="6"/>
      <c r="BA77" s="6"/>
      <c r="BB77" s="6">
        <f>35.7-256.3-1.2-24.7+169.8-14.8</f>
        <v>-91.499999999999986</v>
      </c>
      <c r="BC77" s="6">
        <f>-34.4-44.7+2.2-18.7+17.1+4.9</f>
        <v>-73.599999999999994</v>
      </c>
      <c r="BD77" s="6">
        <f>-10.9+361.1+3.6-75.9-792.8+4.1</f>
        <v>-510.79999999999984</v>
      </c>
      <c r="BE77" s="6">
        <f>39.8+282.4+8.4-87-78.6+19-3</f>
        <v>180.99999999999997</v>
      </c>
      <c r="BF77" s="6">
        <f>-38.4-329.6-6.5-21.7+224.4-0.9+1.5</f>
        <v>-171.2</v>
      </c>
      <c r="BG77" s="6">
        <f t="shared" ref="BG77" si="198">SUM(W77:Z77)</f>
        <v>288.89999999999998</v>
      </c>
      <c r="BH77" s="2">
        <f t="shared" ref="BH77" si="199">SUM(AA77:AD77)</f>
        <v>-295.79999999999995</v>
      </c>
    </row>
    <row r="78" spans="2:72" s="2" customFormat="1" x14ac:dyDescent="0.2">
      <c r="B78" s="2" t="s">
        <v>43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f>SUM(S65:S77)</f>
        <v>-18.799999999999997</v>
      </c>
      <c r="T78" s="6">
        <f>SUM(T65:T77)</f>
        <v>-11.500000000000014</v>
      </c>
      <c r="U78" s="6">
        <f t="shared" ref="U78:V78" si="200">SUM(U65:U77)</f>
        <v>-293.20000000000005</v>
      </c>
      <c r="V78" s="6">
        <f t="shared" si="200"/>
        <v>-110.89999999999991</v>
      </c>
      <c r="W78" s="6">
        <f t="shared" ref="W78:AE78" si="201">SUM(W65:W77)</f>
        <v>-303.90000000000003</v>
      </c>
      <c r="X78" s="6">
        <f t="shared" si="201"/>
        <v>-103.39999999999998</v>
      </c>
      <c r="Y78" s="6">
        <f t="shared" si="201"/>
        <v>177.29999999999998</v>
      </c>
      <c r="Z78" s="6">
        <f t="shared" si="201"/>
        <v>338.00000000000006</v>
      </c>
      <c r="AA78" s="6">
        <f t="shared" si="201"/>
        <v>-102.69999999999999</v>
      </c>
      <c r="AB78" s="6">
        <f t="shared" si="201"/>
        <v>-109.09999999999997</v>
      </c>
      <c r="AC78" s="6">
        <f t="shared" si="201"/>
        <v>19.699999999999896</v>
      </c>
      <c r="AD78" s="6">
        <f t="shared" si="201"/>
        <v>-11.599999999999866</v>
      </c>
      <c r="AE78" s="6">
        <f t="shared" si="201"/>
        <v>-110.4</v>
      </c>
      <c r="AF78" s="6"/>
      <c r="AG78" s="6"/>
      <c r="AH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AZ78" s="6"/>
      <c r="BA78" s="6"/>
      <c r="BB78" s="20">
        <f>SUM(BB65:BB77)</f>
        <v>434.90000000000009</v>
      </c>
      <c r="BC78" s="20">
        <f>SUM(BC65:BC77)</f>
        <v>325.09999999999991</v>
      </c>
      <c r="BD78" s="20">
        <f t="shared" ref="BD78:BG78" si="202">SUM(BD65:BD77)</f>
        <v>-414.49999999999983</v>
      </c>
      <c r="BE78" s="20">
        <f t="shared" si="202"/>
        <v>123.69999999999996</v>
      </c>
      <c r="BF78" s="16">
        <f t="shared" si="202"/>
        <v>-434.30000000000007</v>
      </c>
      <c r="BG78" s="16">
        <f t="shared" si="202"/>
        <v>107.99999999999989</v>
      </c>
      <c r="BH78" s="16">
        <f t="shared" ref="BH78" si="203">SUM(BH65:BH77)</f>
        <v>-203.69999999999996</v>
      </c>
      <c r="BI78" s="16">
        <f t="shared" ref="BI78" si="204">SUM(BI65:BI77)</f>
        <v>0</v>
      </c>
      <c r="BJ78" s="16">
        <f t="shared" ref="BJ78" si="205">SUM(BJ65:BJ77)</f>
        <v>0</v>
      </c>
      <c r="BK78" s="16">
        <f t="shared" ref="BK78" si="206">SUM(BK65:BK77)</f>
        <v>0</v>
      </c>
      <c r="BL78" s="16">
        <f t="shared" ref="BL78" si="207">SUM(BL65:BL77)</f>
        <v>0</v>
      </c>
      <c r="BM78" s="16">
        <f t="shared" ref="BM78" si="208">SUM(BM65:BM77)</f>
        <v>0</v>
      </c>
      <c r="BN78" s="16">
        <f t="shared" ref="BN78" si="209">SUM(BN65:BN77)</f>
        <v>0</v>
      </c>
      <c r="BO78" s="16">
        <f t="shared" ref="BO78" si="210">SUM(BO65:BO77)</f>
        <v>0</v>
      </c>
      <c r="BP78" s="16">
        <f t="shared" ref="BP78" si="211">SUM(BP65:BP77)</f>
        <v>0</v>
      </c>
    </row>
    <row r="79" spans="2:72" s="2" customFormat="1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2:72" s="2" customFormat="1" x14ac:dyDescent="0.2">
      <c r="B80" s="2" t="s">
        <v>44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>
        <v>-14.7</v>
      </c>
      <c r="T80" s="6">
        <f>-28.2-S80</f>
        <v>-13.5</v>
      </c>
      <c r="U80" s="6">
        <f>-40.7-T80-S80</f>
        <v>-12.500000000000004</v>
      </c>
      <c r="V80" s="6">
        <f>-62-U80-T80-S80</f>
        <v>-21.3</v>
      </c>
      <c r="W80" s="6">
        <v>76.900000000000006</v>
      </c>
      <c r="X80" s="6">
        <v>-20.5</v>
      </c>
      <c r="Y80" s="6">
        <f>-44.3-X80-W80</f>
        <v>-100.7</v>
      </c>
      <c r="Z80" s="6">
        <f>-55.9-Y80-X80-W80</f>
        <v>-11.599999999999994</v>
      </c>
      <c r="AA80" s="6">
        <v>-9.1</v>
      </c>
      <c r="AB80" s="6">
        <f>-19.2-AA80</f>
        <v>-10.1</v>
      </c>
      <c r="AC80" s="6">
        <f>-27.2-AB80-AA80+13.1</f>
        <v>5.0999999999999979</v>
      </c>
      <c r="AD80" s="6">
        <f>-34.9-AC80-AB80-AA80+13.1</f>
        <v>-7.6999999999999975</v>
      </c>
      <c r="AE80" s="6">
        <v>-4.9000000000000004</v>
      </c>
      <c r="AF80" s="6"/>
      <c r="AG80" s="6"/>
      <c r="AH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>
        <v>113.4</v>
      </c>
      <c r="BC80" s="6">
        <v>93.7</v>
      </c>
      <c r="BD80" s="6">
        <v>78.5</v>
      </c>
      <c r="BE80" s="6">
        <v>60</v>
      </c>
      <c r="BF80" s="6">
        <v>62</v>
      </c>
      <c r="BG80" s="6">
        <f t="shared" ref="BG80" si="212">SUM(W80:Z80)</f>
        <v>-55.899999999999991</v>
      </c>
      <c r="BH80" s="2">
        <f t="shared" ref="BH80" si="213">SUM(AA80:AD80)</f>
        <v>-21.799999999999997</v>
      </c>
    </row>
    <row r="81" spans="2:59" s="2" customFormat="1" x14ac:dyDescent="0.2">
      <c r="B81" s="2" t="s">
        <v>45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>
        <v>0</v>
      </c>
      <c r="T81" s="6">
        <v>0</v>
      </c>
      <c r="U81" s="6">
        <v>0</v>
      </c>
      <c r="V81" s="6">
        <v>0</v>
      </c>
      <c r="W81" s="6">
        <v>-10.8</v>
      </c>
      <c r="X81" s="6">
        <v>0.4</v>
      </c>
      <c r="Y81" s="6">
        <f>77.4-X81-W81</f>
        <v>87.8</v>
      </c>
      <c r="Z81" s="6">
        <f>81.9-Y81-X81-W81</f>
        <v>4.5000000000000089</v>
      </c>
      <c r="AA81" s="6">
        <v>1.3</v>
      </c>
      <c r="AB81" s="6">
        <f>2.8-AA81</f>
        <v>1.4999999999999998</v>
      </c>
      <c r="AC81" s="6">
        <f>2.8-AB81-AA81</f>
        <v>0</v>
      </c>
      <c r="AD81" s="6">
        <f>2.8-AC81-AB81-AA81</f>
        <v>0</v>
      </c>
      <c r="AE81" s="6">
        <v>0</v>
      </c>
      <c r="AF81" s="6"/>
      <c r="AG81" s="6"/>
      <c r="AH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2:59" s="2" customFormat="1" x14ac:dyDescent="0.2">
      <c r="B82" s="2" t="s">
        <v>41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>
        <v>0</v>
      </c>
      <c r="T82" s="6">
        <f>-0.1-S82</f>
        <v>-0.1</v>
      </c>
      <c r="U82" s="6">
        <f>-0.4-T82-S82</f>
        <v>-0.30000000000000004</v>
      </c>
      <c r="V82" s="6">
        <f>-2.8-U82-T82-S82</f>
        <v>-2.4</v>
      </c>
      <c r="W82" s="6">
        <v>0</v>
      </c>
      <c r="X82" s="6">
        <v>0</v>
      </c>
      <c r="Y82" s="6">
        <f>0.3-X82-W82-237</f>
        <v>-236.7</v>
      </c>
      <c r="Z82" s="6">
        <f>0.6-276.8-Y82-X82-W82+27.5</f>
        <v>-12</v>
      </c>
      <c r="AA82" s="6">
        <f>-211+212.2-0.1</f>
        <v>1.0999999999999885</v>
      </c>
      <c r="AB82" s="6">
        <f>-313+270.5-AA82</f>
        <v>-43.599999999999987</v>
      </c>
      <c r="AC82" s="6">
        <f>-313+270.5-AB82-AA82</f>
        <v>0</v>
      </c>
      <c r="AD82" s="6">
        <f>312.6-326.8-AC82-AB82-AA82</f>
        <v>28.300000000000011</v>
      </c>
      <c r="AE82" s="6">
        <f>-7.5+201.9+0.3</f>
        <v>194.70000000000002</v>
      </c>
      <c r="AF82" s="6"/>
      <c r="AG82" s="6"/>
      <c r="AH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2:59" s="2" customFormat="1" x14ac:dyDescent="0.2">
      <c r="B83" s="2" t="s">
        <v>46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>
        <f>S80+S81+S82</f>
        <v>-14.7</v>
      </c>
      <c r="T83" s="6">
        <f>T80+T81+T82</f>
        <v>-13.6</v>
      </c>
      <c r="U83" s="6">
        <f t="shared" ref="U83:Z83" si="214">U80+U81+U82</f>
        <v>-12.800000000000004</v>
      </c>
      <c r="V83" s="6">
        <f t="shared" si="214"/>
        <v>-23.7</v>
      </c>
      <c r="W83" s="6">
        <f t="shared" si="214"/>
        <v>66.100000000000009</v>
      </c>
      <c r="X83" s="6">
        <f t="shared" si="214"/>
        <v>-20.100000000000001</v>
      </c>
      <c r="Y83" s="6">
        <f t="shared" si="214"/>
        <v>-249.6</v>
      </c>
      <c r="Z83" s="6">
        <f t="shared" si="214"/>
        <v>-19.099999999999987</v>
      </c>
      <c r="AA83" s="6">
        <f>SUM(AA80:AA82)</f>
        <v>-6.7000000000000117</v>
      </c>
      <c r="AB83" s="6">
        <f>SUM(AB80:AB82)</f>
        <v>-52.199999999999989</v>
      </c>
      <c r="AC83" s="6">
        <f>SUM(AC80:AC82)</f>
        <v>5.0999999999999979</v>
      </c>
      <c r="AD83" s="6">
        <f>SUM(AD80:AD82)</f>
        <v>20.600000000000016</v>
      </c>
      <c r="AE83" s="6">
        <f>SUM(AE80:AE82)</f>
        <v>189.8</v>
      </c>
      <c r="AF83" s="6"/>
      <c r="AG83" s="6"/>
      <c r="AH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2:59" s="2" customFormat="1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2:59" s="2" customFormat="1" x14ac:dyDescent="0.2">
      <c r="B85" s="2" t="s">
        <v>115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551.70000000000005</v>
      </c>
      <c r="T85" s="6">
        <f>1672.8-S85</f>
        <v>1121.0999999999999</v>
      </c>
      <c r="U85" s="6">
        <f>1672.8-T85-S85</f>
        <v>0</v>
      </c>
      <c r="V85" s="6">
        <f>1672.8-U85-T85-S85</f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/>
      <c r="AG85" s="6"/>
      <c r="AH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2:59" s="2" customFormat="1" x14ac:dyDescent="0.2">
      <c r="B86" s="2" t="s">
        <v>4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f>-25-307.4-0.1</f>
        <v>-332.5</v>
      </c>
      <c r="T86" s="6">
        <v>0</v>
      </c>
      <c r="U86" s="6">
        <f>-25-307.4-0.1-T86-S86</f>
        <v>0</v>
      </c>
      <c r="V86" s="6">
        <f>-307.4-25-U86-T86-S86-3</f>
        <v>-2.8999999999999773</v>
      </c>
      <c r="W86" s="6">
        <v>0</v>
      </c>
      <c r="X86" s="6">
        <v>0</v>
      </c>
      <c r="Y86" s="6">
        <v>0</v>
      </c>
      <c r="Z86" s="6">
        <f>-3.9-Y86-X86-W86</f>
        <v>-3.9</v>
      </c>
      <c r="AA86" s="6">
        <v>-2.7</v>
      </c>
      <c r="AB86" s="6">
        <f>-5.4-AA86</f>
        <v>-2.7</v>
      </c>
      <c r="AC86" s="6">
        <f>-8-AB86-AA86</f>
        <v>-2.5999999999999996</v>
      </c>
      <c r="AD86" s="6">
        <f>-10.7-AC86-AB86-AA86</f>
        <v>-2.6999999999999993</v>
      </c>
      <c r="AE86" s="6">
        <v>-2.7</v>
      </c>
      <c r="AF86" s="6"/>
      <c r="AG86" s="6"/>
      <c r="AH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2:59" s="2" customFormat="1" x14ac:dyDescent="0.2">
      <c r="B87" s="2" t="s">
        <v>47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-49.9</v>
      </c>
      <c r="T87" s="6">
        <f>-136.6-S87</f>
        <v>-86.699999999999989</v>
      </c>
      <c r="U87" s="6">
        <f>-136.6-T87-S87</f>
        <v>0</v>
      </c>
      <c r="V87" s="6">
        <f>-136.8-U87-T87-S87</f>
        <v>-0.20000000000002416</v>
      </c>
      <c r="W87" s="6">
        <v>-1.1000000000000001</v>
      </c>
      <c r="X87" s="6">
        <v>-1.9</v>
      </c>
      <c r="Y87" s="6">
        <f>-3.3-X87-W87</f>
        <v>-0.29999999999999982</v>
      </c>
      <c r="Z87" s="6">
        <f>-4-Y87-X87-W87</f>
        <v>-0.70000000000000018</v>
      </c>
      <c r="AA87" s="6">
        <v>-0.1</v>
      </c>
      <c r="AB87" s="6">
        <f>-0.1-AA87</f>
        <v>0</v>
      </c>
      <c r="AC87" s="6">
        <f>-0.1-AB87-AA87</f>
        <v>0</v>
      </c>
      <c r="AD87" s="6">
        <f>-0.9-AC87-AB87-AA87</f>
        <v>-0.8</v>
      </c>
      <c r="AE87" s="6">
        <v>0</v>
      </c>
      <c r="AF87" s="6"/>
      <c r="AG87" s="6"/>
      <c r="AH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2:59" s="2" customFormat="1" x14ac:dyDescent="0.2">
      <c r="B88" s="2" t="s">
        <v>48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f t="shared" ref="S88:AE88" si="215">SUM(S85:S87)</f>
        <v>169.30000000000004</v>
      </c>
      <c r="T88" s="6">
        <f t="shared" si="215"/>
        <v>1034.3999999999999</v>
      </c>
      <c r="U88" s="6">
        <f t="shared" si="215"/>
        <v>0</v>
      </c>
      <c r="V88" s="6">
        <f t="shared" si="215"/>
        <v>-3.1000000000000014</v>
      </c>
      <c r="W88" s="6">
        <f t="shared" si="215"/>
        <v>-1.1000000000000001</v>
      </c>
      <c r="X88" s="6">
        <f t="shared" si="215"/>
        <v>-1.9</v>
      </c>
      <c r="Y88" s="6">
        <f t="shared" si="215"/>
        <v>-0.29999999999999982</v>
      </c>
      <c r="Z88" s="6">
        <f t="shared" si="215"/>
        <v>-4.5999999999999996</v>
      </c>
      <c r="AA88" s="6">
        <f t="shared" si="215"/>
        <v>-2.8000000000000003</v>
      </c>
      <c r="AB88" s="6">
        <f t="shared" si="215"/>
        <v>-2.7</v>
      </c>
      <c r="AC88" s="6">
        <f t="shared" si="215"/>
        <v>-2.5999999999999996</v>
      </c>
      <c r="AD88" s="6">
        <f t="shared" si="215"/>
        <v>-3.4999999999999991</v>
      </c>
      <c r="AE88" s="6">
        <f t="shared" si="215"/>
        <v>-2.7</v>
      </c>
      <c r="AF88" s="6"/>
      <c r="AG88" s="6"/>
      <c r="AH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2:59" s="2" customFormat="1" x14ac:dyDescent="0.2">
      <c r="B89" s="2" t="s">
        <v>49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0</v>
      </c>
      <c r="T89" s="6">
        <f>-4.5-S89</f>
        <v>-4.5</v>
      </c>
      <c r="U89" s="6">
        <f>-5.5-T89-S89</f>
        <v>-1</v>
      </c>
      <c r="V89" s="6">
        <f>-16.6-U89-T89-S89</f>
        <v>-11.100000000000001</v>
      </c>
      <c r="W89" s="6">
        <v>2.6</v>
      </c>
      <c r="X89" s="6">
        <v>-1.2</v>
      </c>
      <c r="Y89" s="6">
        <f>-23.5-X89-W89</f>
        <v>-24.900000000000002</v>
      </c>
      <c r="Z89" s="6">
        <f>-1.5-Y89-X89-W89</f>
        <v>22</v>
      </c>
      <c r="AA89" s="6">
        <v>-4</v>
      </c>
      <c r="AB89" s="6">
        <f>-4.6-AA89</f>
        <v>-0.59999999999999964</v>
      </c>
      <c r="AC89" s="6">
        <f>-12.2-AB89-AA89</f>
        <v>-7.6</v>
      </c>
      <c r="AD89" s="6">
        <f>-8.6-AC89-AB89-AA89</f>
        <v>3.5999999999999996</v>
      </c>
      <c r="AE89" s="6">
        <v>1.3</v>
      </c>
      <c r="AF89" s="6"/>
      <c r="AG89" s="6"/>
      <c r="AH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2:59" s="2" customFormat="1" x14ac:dyDescent="0.2">
      <c r="B90" s="2" t="s">
        <v>50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f t="shared" ref="S90:Z90" si="216">S88+S83+S78+S89</f>
        <v>135.80000000000007</v>
      </c>
      <c r="T90" s="6">
        <f t="shared" si="216"/>
        <v>1004.7999999999998</v>
      </c>
      <c r="U90" s="6">
        <f t="shared" si="216"/>
        <v>-307.00000000000006</v>
      </c>
      <c r="V90" s="6">
        <f t="shared" si="216"/>
        <v>-148.7999999999999</v>
      </c>
      <c r="W90" s="6">
        <f t="shared" si="216"/>
        <v>-236.30000000000004</v>
      </c>
      <c r="X90" s="6">
        <f t="shared" si="216"/>
        <v>-126.59999999999998</v>
      </c>
      <c r="Y90" s="6">
        <f t="shared" si="216"/>
        <v>-97.500000000000028</v>
      </c>
      <c r="Z90" s="6">
        <f t="shared" si="216"/>
        <v>336.30000000000007</v>
      </c>
      <c r="AA90" s="6">
        <f>+AA89+AA88+AA83+AA78</f>
        <v>-116.2</v>
      </c>
      <c r="AB90" s="6">
        <f>+AB89+AB88+AB83+AB78</f>
        <v>-164.59999999999997</v>
      </c>
      <c r="AC90" s="6">
        <f>+AC89+AC88+AC83+AC78</f>
        <v>14.599999999999895</v>
      </c>
      <c r="AD90" s="6">
        <f>+AD89+AD88+AD83+AD78</f>
        <v>9.1000000000001506</v>
      </c>
      <c r="AE90" s="6">
        <f>+AE89+AE88+AE83+AE78</f>
        <v>78</v>
      </c>
      <c r="AF90" s="6"/>
      <c r="AG90" s="6"/>
      <c r="AH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2:59" s="2" customFormat="1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2:59" s="2" customFormat="1" x14ac:dyDescent="0.2">
      <c r="B92" s="2" t="s">
        <v>83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>
        <f>S78+S80</f>
        <v>-33.5</v>
      </c>
      <c r="T92" s="6">
        <f>T78+T80</f>
        <v>-25.000000000000014</v>
      </c>
      <c r="U92" s="6">
        <f t="shared" ref="U92:Z92" si="217">U78+U80</f>
        <v>-305.70000000000005</v>
      </c>
      <c r="V92" s="6">
        <f t="shared" si="217"/>
        <v>-132.1999999999999</v>
      </c>
      <c r="W92" s="6">
        <f t="shared" si="217"/>
        <v>-227.00000000000003</v>
      </c>
      <c r="X92" s="6">
        <f t="shared" si="217"/>
        <v>-123.89999999999998</v>
      </c>
      <c r="Y92" s="6">
        <f t="shared" si="217"/>
        <v>76.59999999999998</v>
      </c>
      <c r="Z92" s="6">
        <f t="shared" si="217"/>
        <v>326.40000000000009</v>
      </c>
      <c r="AA92" s="6">
        <f t="shared" ref="AA92:AE92" si="218">AA78+AA80</f>
        <v>-111.79999999999998</v>
      </c>
      <c r="AB92" s="6">
        <f t="shared" si="218"/>
        <v>-119.19999999999996</v>
      </c>
      <c r="AC92" s="6">
        <f t="shared" si="218"/>
        <v>24.799999999999894</v>
      </c>
      <c r="AD92" s="6">
        <f t="shared" si="218"/>
        <v>-19.299999999999862</v>
      </c>
      <c r="AE92" s="6">
        <f t="shared" si="218"/>
        <v>-115.30000000000001</v>
      </c>
      <c r="AF92" s="6"/>
      <c r="AG92" s="6"/>
      <c r="AH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AZ92" s="6"/>
      <c r="BA92" s="6"/>
      <c r="BB92" s="6">
        <f>BB78-BB80</f>
        <v>321.50000000000011</v>
      </c>
      <c r="BC92" s="6">
        <f>BC78-BC80</f>
        <v>231.39999999999992</v>
      </c>
      <c r="BD92" s="6">
        <f t="shared" ref="BD92:BF92" si="219">BD78-BD80</f>
        <v>-492.99999999999983</v>
      </c>
      <c r="BE92" s="6">
        <f t="shared" si="219"/>
        <v>63.69999999999996</v>
      </c>
      <c r="BF92" s="2">
        <f t="shared" si="219"/>
        <v>-496.30000000000007</v>
      </c>
      <c r="BG92" s="6"/>
    </row>
    <row r="93" spans="2:59" s="2" customFormat="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2:59" s="2" customFormat="1" x14ac:dyDescent="0.2">
      <c r="B94" s="2" t="s">
        <v>79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>
        <v>163.1</v>
      </c>
      <c r="W94" s="6">
        <v>150</v>
      </c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2:59" s="2" customFormat="1" x14ac:dyDescent="0.2">
      <c r="B95" s="2" t="s">
        <v>66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>
        <v>590.29999999999995</v>
      </c>
      <c r="W95" s="6">
        <v>525.6</v>
      </c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2:59" s="2" customFormat="1" x14ac:dyDescent="0.2">
      <c r="B96" s="2" t="s">
        <v>76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>
        <v>977.1</v>
      </c>
      <c r="W96" s="6">
        <v>810.4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2:60" s="2" customFormat="1" x14ac:dyDescent="0.2">
      <c r="B97" s="2" t="s">
        <v>77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255</v>
      </c>
      <c r="W97" s="6">
        <v>312.5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2:60" x14ac:dyDescent="0.2">
      <c r="B98" s="2" t="s">
        <v>78</v>
      </c>
      <c r="V98" s="6">
        <v>162.4</v>
      </c>
      <c r="W98" s="6">
        <v>171.6</v>
      </c>
    </row>
    <row r="99" spans="2:60" x14ac:dyDescent="0.2">
      <c r="B99" s="2" t="s">
        <v>67</v>
      </c>
      <c r="V99" s="6">
        <v>208.2</v>
      </c>
      <c r="W99" s="6">
        <v>233.3</v>
      </c>
    </row>
    <row r="100" spans="2:60" x14ac:dyDescent="0.2">
      <c r="B100" s="2" t="s">
        <v>41</v>
      </c>
      <c r="V100" s="6">
        <v>128.80000000000001</v>
      </c>
      <c r="W100" s="6">
        <v>104.7</v>
      </c>
    </row>
    <row r="101" spans="2:60" x14ac:dyDescent="0.2">
      <c r="B101" s="2" t="s">
        <v>80</v>
      </c>
      <c r="V101" s="6">
        <f>SUM(V94:V100)</f>
        <v>2484.9</v>
      </c>
      <c r="W101" s="6">
        <f>SUM(W94:W100)</f>
        <v>2308.1</v>
      </c>
    </row>
    <row r="103" spans="2:60" x14ac:dyDescent="0.2">
      <c r="B103" s="2" t="s">
        <v>149</v>
      </c>
      <c r="BE103" s="9">
        <v>0.31</v>
      </c>
    </row>
    <row r="104" spans="2:60" x14ac:dyDescent="0.2">
      <c r="B104" t="s">
        <v>153</v>
      </c>
      <c r="BE104" s="9">
        <v>0.22</v>
      </c>
    </row>
    <row r="105" spans="2:60" x14ac:dyDescent="0.2">
      <c r="B105" t="s">
        <v>152</v>
      </c>
      <c r="BE105" s="9">
        <v>0.09</v>
      </c>
    </row>
    <row r="106" spans="2:60" x14ac:dyDescent="0.2">
      <c r="B106" t="s">
        <v>151</v>
      </c>
      <c r="BE106" s="9">
        <v>0.03</v>
      </c>
    </row>
    <row r="107" spans="2:60" x14ac:dyDescent="0.2">
      <c r="B107" t="s">
        <v>150</v>
      </c>
      <c r="BE107" s="9">
        <v>0.03</v>
      </c>
    </row>
    <row r="110" spans="2:60" x14ac:dyDescent="0.2">
      <c r="B110" t="s">
        <v>154</v>
      </c>
      <c r="AD110" s="6">
        <v>8000</v>
      </c>
      <c r="BE110" s="6">
        <v>12000</v>
      </c>
      <c r="BH110" s="6">
        <v>8000</v>
      </c>
    </row>
    <row r="111" spans="2:60" x14ac:dyDescent="0.2">
      <c r="B111" t="s">
        <v>157</v>
      </c>
      <c r="BE111" s="6">
        <f>+BE26*1000/BE110</f>
        <v>424.14999999999992</v>
      </c>
      <c r="BH111" s="6">
        <f>+BH26*1000/BH110</f>
        <v>659.1</v>
      </c>
    </row>
    <row r="112" spans="2:60" x14ac:dyDescent="0.2">
      <c r="B112" t="s">
        <v>158</v>
      </c>
      <c r="BD112" s="5"/>
      <c r="BE112" s="5">
        <f>BE110/BE4</f>
        <v>2.4916943521594686</v>
      </c>
      <c r="BH112" s="1">
        <f>BH110/BH4</f>
        <v>1.9189254017750059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9EC6-7A86-4495-B418-D721A35ECE84}">
  <dimension ref="A1:E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2.75" x14ac:dyDescent="0.2"/>
  <cols>
    <col min="1" max="1" width="5" bestFit="1" customWidth="1"/>
    <col min="2" max="2" width="19.28515625" customWidth="1"/>
    <col min="3" max="3" width="14.7109375" customWidth="1"/>
  </cols>
  <sheetData>
    <row r="1" spans="1:5" x14ac:dyDescent="0.2">
      <c r="A1" s="17" t="s">
        <v>7</v>
      </c>
    </row>
    <row r="2" spans="1:5" x14ac:dyDescent="0.2">
      <c r="B2" t="s">
        <v>170</v>
      </c>
      <c r="C2" t="s">
        <v>173</v>
      </c>
      <c r="D2" t="s">
        <v>177</v>
      </c>
      <c r="E2" t="s">
        <v>189</v>
      </c>
    </row>
    <row r="3" spans="1:5" x14ac:dyDescent="0.2">
      <c r="B3" t="s">
        <v>171</v>
      </c>
      <c r="C3" t="s">
        <v>174</v>
      </c>
      <c r="E3" t="s">
        <v>190</v>
      </c>
    </row>
    <row r="4" spans="1:5" x14ac:dyDescent="0.2">
      <c r="B4" t="s">
        <v>172</v>
      </c>
      <c r="C4" t="s">
        <v>193</v>
      </c>
    </row>
    <row r="5" spans="1:5" x14ac:dyDescent="0.2">
      <c r="B5" t="s">
        <v>175</v>
      </c>
      <c r="C5" t="s">
        <v>176</v>
      </c>
      <c r="D5" t="s">
        <v>185</v>
      </c>
      <c r="E5" t="s">
        <v>192</v>
      </c>
    </row>
    <row r="6" spans="1:5" x14ac:dyDescent="0.2">
      <c r="B6" t="s">
        <v>178</v>
      </c>
    </row>
    <row r="7" spans="1:5" x14ac:dyDescent="0.2">
      <c r="B7" t="s">
        <v>179</v>
      </c>
      <c r="C7" t="s">
        <v>182</v>
      </c>
      <c r="D7" t="s">
        <v>183</v>
      </c>
      <c r="E7" t="s">
        <v>192</v>
      </c>
    </row>
    <row r="8" spans="1:5" x14ac:dyDescent="0.2">
      <c r="B8" t="s">
        <v>180</v>
      </c>
      <c r="C8" t="s">
        <v>181</v>
      </c>
      <c r="D8" t="s">
        <v>184</v>
      </c>
      <c r="E8" t="s">
        <v>191</v>
      </c>
    </row>
    <row r="9" spans="1:5" x14ac:dyDescent="0.2">
      <c r="B9" t="s">
        <v>187</v>
      </c>
      <c r="C9" t="s">
        <v>186</v>
      </c>
      <c r="D9" t="s">
        <v>188</v>
      </c>
      <c r="E9" t="s">
        <v>190</v>
      </c>
    </row>
  </sheetData>
  <hyperlinks>
    <hyperlink ref="A1" location="Main!A1" display="Main" xr:uid="{D538A45F-C482-4F2E-9E26-744CF86FB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Second 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2024-06-08T22:46:02Z</dcterms:modified>
</cp:coreProperties>
</file>