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46176F5B-6838-44D6-8935-770D20E5E84F}" xr6:coauthVersionLast="47" xr6:coauthVersionMax="47" xr10:uidLastSave="{00000000-0000-0000-0000-000000000000}"/>
  <bookViews>
    <workbookView xWindow="-50850" yWindow="360" windowWidth="29100" windowHeight="20670" activeTab="1" xr2:uid="{A60D6F5D-C7AD-4CE4-9596-6485E651EC61}"/>
  </bookViews>
  <sheets>
    <sheet name="Main" sheetId="1" r:id="rId1"/>
    <sheet name="Model" sheetId="9" r:id="rId2"/>
    <sheet name="Dupixent" sheetId="8" r:id="rId3"/>
    <sheet name="Eylea" sheetId="3" r:id="rId4"/>
    <sheet name="Arcalyst" sheetId="2" r:id="rId5"/>
    <sheet name="Zaltrap" sheetId="4" r:id="rId6"/>
    <sheet name="VEGF Trap" sheetId="5" r:id="rId7"/>
    <sheet name="REGN727" sheetId="6" r:id="rId8"/>
    <sheet name="REGN88"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M30" i="9" l="1"/>
  <c r="AL30" i="9"/>
  <c r="AK30" i="9"/>
  <c r="AJ30" i="9"/>
  <c r="AM31" i="9"/>
  <c r="AL31" i="9"/>
  <c r="AK31" i="9"/>
  <c r="AJ31" i="9"/>
  <c r="AM29" i="9"/>
  <c r="AL29" i="9"/>
  <c r="AK29" i="9"/>
  <c r="AJ29" i="9"/>
  <c r="AM28" i="9"/>
  <c r="AL28" i="9"/>
  <c r="AK28" i="9"/>
  <c r="AJ28" i="9"/>
  <c r="AM27" i="9"/>
  <c r="AL27" i="9"/>
  <c r="AK27" i="9"/>
  <c r="AJ27" i="9"/>
  <c r="AM26" i="9"/>
  <c r="AL26" i="9"/>
  <c r="AK26" i="9"/>
  <c r="AJ26" i="9"/>
  <c r="AM25" i="9"/>
  <c r="AL25" i="9"/>
  <c r="AK25" i="9"/>
  <c r="AJ25" i="9"/>
  <c r="AM24" i="9"/>
  <c r="AL24" i="9"/>
  <c r="AK24" i="9"/>
  <c r="AJ24" i="9"/>
  <c r="AM23" i="9"/>
  <c r="AL23" i="9"/>
  <c r="AK23" i="9"/>
  <c r="AJ23" i="9"/>
  <c r="AM22" i="9"/>
  <c r="AL22" i="9"/>
  <c r="AK22" i="9"/>
  <c r="AJ22" i="9"/>
  <c r="AM21" i="9"/>
  <c r="AL21" i="9"/>
  <c r="AK21" i="9"/>
  <c r="AJ21" i="9"/>
  <c r="AM20" i="9"/>
  <c r="AL20" i="9"/>
  <c r="AK20" i="9"/>
  <c r="AJ20" i="9"/>
  <c r="AM19" i="9"/>
  <c r="AM18" i="9"/>
  <c r="AM17" i="9"/>
  <c r="AM16" i="9"/>
  <c r="AM15" i="9"/>
  <c r="AM14" i="9"/>
  <c r="AM13" i="9"/>
  <c r="AM12" i="9"/>
  <c r="AM11" i="9"/>
  <c r="AM10" i="9"/>
  <c r="AM9" i="9"/>
  <c r="AM8" i="9"/>
  <c r="AM7" i="9"/>
  <c r="AM6" i="9"/>
  <c r="AM5" i="9"/>
  <c r="AM4" i="9"/>
  <c r="AM3" i="9"/>
  <c r="AL19" i="9"/>
  <c r="AL18" i="9"/>
  <c r="AL17" i="9"/>
  <c r="AL16" i="9"/>
  <c r="AL15" i="9"/>
  <c r="AL14" i="9"/>
  <c r="AL13" i="9"/>
  <c r="AL12" i="9"/>
  <c r="AL11" i="9"/>
  <c r="AL10" i="9"/>
  <c r="AL9" i="9"/>
  <c r="AL8" i="9"/>
  <c r="AL7" i="9"/>
  <c r="AL6" i="9"/>
  <c r="AL5" i="9"/>
  <c r="AL4" i="9"/>
  <c r="AL3" i="9"/>
  <c r="AK19" i="9"/>
  <c r="AK18" i="9"/>
  <c r="AK17" i="9"/>
  <c r="AK16" i="9"/>
  <c r="AK15" i="9"/>
  <c r="AK14" i="9"/>
  <c r="AK13" i="9"/>
  <c r="AK12" i="9"/>
  <c r="AK11" i="9"/>
  <c r="AK10" i="9"/>
  <c r="AK9" i="9"/>
  <c r="AK8" i="9"/>
  <c r="AK7" i="9"/>
  <c r="AK6" i="9"/>
  <c r="AK5" i="9"/>
  <c r="AK4" i="9"/>
  <c r="AK3" i="9"/>
  <c r="AJ19" i="9"/>
  <c r="AJ18" i="9"/>
  <c r="AJ17" i="9"/>
  <c r="AJ16" i="9"/>
  <c r="AJ15" i="9"/>
  <c r="AJ14" i="9"/>
  <c r="AJ13" i="9"/>
  <c r="AJ12" i="9"/>
  <c r="AJ11" i="9"/>
  <c r="AJ10" i="9"/>
  <c r="AJ9" i="9"/>
  <c r="AJ8" i="9"/>
  <c r="AJ7" i="9"/>
  <c r="AJ6" i="9"/>
  <c r="AJ5" i="9"/>
  <c r="AJ4" i="9"/>
  <c r="AJ3" i="9"/>
  <c r="G26" i="9"/>
  <c r="G23" i="9"/>
  <c r="G24" i="9"/>
  <c r="G25" i="9" s="1"/>
  <c r="G21" i="9"/>
  <c r="G38" i="9" s="1"/>
  <c r="G20" i="9"/>
  <c r="G12" i="9"/>
  <c r="G9" i="9" s="1"/>
  <c r="D9" i="9"/>
  <c r="C9" i="9"/>
  <c r="K36" i="9"/>
  <c r="K34" i="9"/>
  <c r="C19" i="9"/>
  <c r="D19" i="9"/>
  <c r="H26" i="9"/>
  <c r="H24" i="9"/>
  <c r="H25" i="9" s="1"/>
  <c r="H20" i="9"/>
  <c r="H21" i="9"/>
  <c r="H38" i="9" s="1"/>
  <c r="H12" i="9"/>
  <c r="H9" i="9" s="1"/>
  <c r="L36" i="9"/>
  <c r="L34" i="9"/>
  <c r="Q34" i="9"/>
  <c r="P34" i="9"/>
  <c r="O34" i="9"/>
  <c r="N34" i="9"/>
  <c r="M34" i="9"/>
  <c r="V36" i="9"/>
  <c r="U36" i="9"/>
  <c r="T36" i="9"/>
  <c r="S36" i="9"/>
  <c r="U3" i="9"/>
  <c r="U34" i="9" s="1"/>
  <c r="T3" i="9"/>
  <c r="T34" i="9" s="1"/>
  <c r="S3" i="9"/>
  <c r="S34" i="9" s="1"/>
  <c r="R6" i="9"/>
  <c r="S6" i="9" s="1"/>
  <c r="T6" i="9" s="1"/>
  <c r="U6" i="9" s="1"/>
  <c r="V6" i="9" s="1"/>
  <c r="U16" i="9"/>
  <c r="T16" i="9"/>
  <c r="S16" i="9"/>
  <c r="R16" i="9"/>
  <c r="V16" i="9" s="1"/>
  <c r="U23" i="9"/>
  <c r="U24" i="9" s="1"/>
  <c r="S23" i="9"/>
  <c r="S24" i="9" s="1"/>
  <c r="R23" i="9"/>
  <c r="V23" i="9" s="1"/>
  <c r="V24" i="9" s="1"/>
  <c r="Q9" i="9"/>
  <c r="U9" i="9" s="1"/>
  <c r="U35" i="9" s="1"/>
  <c r="Q4" i="9"/>
  <c r="R4" i="9" s="1"/>
  <c r="S4" i="9" s="1"/>
  <c r="T4" i="9" s="1"/>
  <c r="U4" i="9" s="1"/>
  <c r="V4" i="9" s="1"/>
  <c r="AA2" i="9"/>
  <c r="AB2" i="9" s="1"/>
  <c r="AC2" i="9" s="1"/>
  <c r="AD2" i="9" s="1"/>
  <c r="AE2" i="9" s="1"/>
  <c r="AF2" i="9" s="1"/>
  <c r="AG2" i="9" s="1"/>
  <c r="AH2" i="9" s="1"/>
  <c r="AI2" i="9" s="1"/>
  <c r="AJ2" i="9" s="1"/>
  <c r="AK2" i="9" s="1"/>
  <c r="AL2" i="9" s="1"/>
  <c r="AM2" i="9" s="1"/>
  <c r="AN2" i="9" s="1"/>
  <c r="AO2" i="9" s="1"/>
  <c r="AP2" i="9" s="1"/>
  <c r="AQ2" i="9" s="1"/>
  <c r="AR2" i="9" s="1"/>
  <c r="AS2" i="9" s="1"/>
  <c r="AT2" i="9" s="1"/>
  <c r="AU2" i="9" s="1"/>
  <c r="AV2" i="9" s="1"/>
  <c r="AW2" i="9" s="1"/>
  <c r="AX2" i="9" s="1"/>
  <c r="AY2" i="9" s="1"/>
  <c r="AZ2" i="9" s="1"/>
  <c r="BA2" i="9" s="1"/>
  <c r="BB2" i="9" s="1"/>
  <c r="BC2" i="9" s="1"/>
  <c r="BD2" i="9" s="1"/>
  <c r="BE2" i="9" s="1"/>
  <c r="BF2" i="9" s="1"/>
  <c r="BG2" i="9" s="1"/>
  <c r="BH2" i="9" s="1"/>
  <c r="R31" i="9"/>
  <c r="S31" i="9" s="1"/>
  <c r="T31" i="9" s="1"/>
  <c r="Q24" i="9"/>
  <c r="R36" i="9"/>
  <c r="Q36" i="9"/>
  <c r="P36" i="9"/>
  <c r="O36" i="9"/>
  <c r="N36" i="9"/>
  <c r="M36" i="9"/>
  <c r="R18" i="9"/>
  <c r="S18" i="9" s="1"/>
  <c r="T18" i="9" s="1"/>
  <c r="R17" i="9"/>
  <c r="S17" i="9" s="1"/>
  <c r="I12" i="9"/>
  <c r="I9" i="9" s="1"/>
  <c r="I19" i="9" s="1"/>
  <c r="I21" i="9" s="1"/>
  <c r="I38" i="9" s="1"/>
  <c r="M12" i="9"/>
  <c r="M9" i="9" s="1"/>
  <c r="M24" i="9"/>
  <c r="L24" i="9"/>
  <c r="K24" i="9"/>
  <c r="J24" i="9"/>
  <c r="I24" i="9"/>
  <c r="R7" i="9"/>
  <c r="S7" i="9" s="1"/>
  <c r="T7" i="9" s="1"/>
  <c r="U7" i="9" s="1"/>
  <c r="V7" i="9" s="1"/>
  <c r="R5" i="9"/>
  <c r="S5" i="9" s="1"/>
  <c r="T5" i="9" s="1"/>
  <c r="U5" i="9" s="1"/>
  <c r="V5" i="9" s="1"/>
  <c r="R3" i="9"/>
  <c r="V3" i="9" s="1"/>
  <c r="V34" i="9" s="1"/>
  <c r="N26" i="9"/>
  <c r="J20" i="9"/>
  <c r="N20" i="9"/>
  <c r="J12" i="9"/>
  <c r="J9" i="9" s="1"/>
  <c r="J19" i="9" s="1"/>
  <c r="J21" i="9" s="1"/>
  <c r="J38" i="9" s="1"/>
  <c r="N12" i="9"/>
  <c r="N9" i="9" s="1"/>
  <c r="R9" i="9" s="1"/>
  <c r="N24" i="9"/>
  <c r="K12" i="9"/>
  <c r="K9" i="9" s="1"/>
  <c r="K19" i="9" s="1"/>
  <c r="O12" i="9"/>
  <c r="O9" i="9" s="1"/>
  <c r="O19" i="9" s="1"/>
  <c r="O33" i="9" s="1"/>
  <c r="K26" i="9"/>
  <c r="K20" i="9"/>
  <c r="O26" i="9"/>
  <c r="O24" i="9"/>
  <c r="O20" i="9"/>
  <c r="L12" i="9"/>
  <c r="L9" i="9" s="1"/>
  <c r="P12" i="9"/>
  <c r="P9" i="9" s="1"/>
  <c r="P19" i="9" s="1"/>
  <c r="P23" i="9"/>
  <c r="T23" i="9" s="1"/>
  <c r="T24" i="9" s="1"/>
  <c r="P22" i="9"/>
  <c r="L26" i="9"/>
  <c r="L20" i="9"/>
  <c r="P26" i="9"/>
  <c r="P20" i="9"/>
  <c r="G27" i="9" l="1"/>
  <c r="G29" i="9" s="1"/>
  <c r="G30" i="9" s="1"/>
  <c r="K35" i="9"/>
  <c r="G19" i="9"/>
  <c r="K33" i="9" s="1"/>
  <c r="H27" i="9"/>
  <c r="H29" i="9" s="1"/>
  <c r="H30" i="9" s="1"/>
  <c r="L35" i="9"/>
  <c r="H19" i="9"/>
  <c r="L33" i="9" s="1"/>
  <c r="P35" i="9"/>
  <c r="Q35" i="9"/>
  <c r="M35" i="9"/>
  <c r="S9" i="9"/>
  <c r="S35" i="9" s="1"/>
  <c r="O35" i="9"/>
  <c r="R24" i="9"/>
  <c r="R34" i="9"/>
  <c r="V9" i="9"/>
  <c r="V35" i="9" s="1"/>
  <c r="R35" i="9"/>
  <c r="N35" i="9"/>
  <c r="T9" i="9"/>
  <c r="T35" i="9" s="1"/>
  <c r="S19" i="9"/>
  <c r="S33" i="9" s="1"/>
  <c r="T17" i="9"/>
  <c r="T19" i="9" s="1"/>
  <c r="T33" i="9" s="1"/>
  <c r="U17" i="9"/>
  <c r="U18" i="9"/>
  <c r="V18" i="9" s="1"/>
  <c r="S21" i="9"/>
  <c r="S25" i="9" s="1"/>
  <c r="S27" i="9" s="1"/>
  <c r="S28" i="9" s="1"/>
  <c r="S29" i="9" s="1"/>
  <c r="S30" i="9" s="1"/>
  <c r="S20" i="9"/>
  <c r="U31" i="9"/>
  <c r="O21" i="9"/>
  <c r="O38" i="9" s="1"/>
  <c r="N19" i="9"/>
  <c r="R19" i="9"/>
  <c r="M19" i="9"/>
  <c r="M33" i="9" s="1"/>
  <c r="L19" i="9"/>
  <c r="P33" i="9" s="1"/>
  <c r="M21" i="9"/>
  <c r="I25" i="9"/>
  <c r="I27" i="9" s="1"/>
  <c r="I29" i="9" s="1"/>
  <c r="I30" i="9" s="1"/>
  <c r="J25" i="9"/>
  <c r="Q19" i="9"/>
  <c r="Q21" i="9" s="1"/>
  <c r="J27" i="9"/>
  <c r="J29" i="9" s="1"/>
  <c r="J30" i="9" s="1"/>
  <c r="K21" i="9"/>
  <c r="K38" i="9" s="1"/>
  <c r="P21" i="9"/>
  <c r="P38" i="9" s="1"/>
  <c r="P24" i="9"/>
  <c r="J3" i="1"/>
  <c r="J4" i="1" s="1"/>
  <c r="J5" i="1"/>
  <c r="O25" i="9" l="1"/>
  <c r="O27" i="9" s="1"/>
  <c r="O29" i="9" s="1"/>
  <c r="O30" i="9" s="1"/>
  <c r="L21" i="9"/>
  <c r="L38" i="9" s="1"/>
  <c r="R21" i="9"/>
  <c r="R20" i="9"/>
  <c r="U19" i="9"/>
  <c r="U33" i="9" s="1"/>
  <c r="T21" i="9"/>
  <c r="T25" i="9" s="1"/>
  <c r="T27" i="9" s="1"/>
  <c r="T28" i="9" s="1"/>
  <c r="T29" i="9" s="1"/>
  <c r="T30" i="9" s="1"/>
  <c r="T20" i="9"/>
  <c r="V17" i="9"/>
  <c r="V19" i="9" s="1"/>
  <c r="V31" i="9"/>
  <c r="R25" i="9"/>
  <c r="R27" i="9" s="1"/>
  <c r="Q25" i="9"/>
  <c r="Q27" i="9" s="1"/>
  <c r="Q29" i="9" s="1"/>
  <c r="Q30" i="9" s="1"/>
  <c r="N21" i="9"/>
  <c r="N33" i="9"/>
  <c r="R33" i="9"/>
  <c r="Q33" i="9"/>
  <c r="M25" i="9"/>
  <c r="M27" i="9" s="1"/>
  <c r="M29" i="9" s="1"/>
  <c r="M30" i="9" s="1"/>
  <c r="M38" i="9"/>
  <c r="L25" i="9"/>
  <c r="L27" i="9" s="1"/>
  <c r="L29" i="9" s="1"/>
  <c r="L30" i="9" s="1"/>
  <c r="K25" i="9"/>
  <c r="K27" i="9" s="1"/>
  <c r="K29" i="9" s="1"/>
  <c r="K30" i="9" s="1"/>
  <c r="J7" i="1"/>
  <c r="P25" i="9"/>
  <c r="P27" i="9" s="1"/>
  <c r="P29" i="9" s="1"/>
  <c r="P30" i="9" s="1"/>
  <c r="V21" i="9" l="1"/>
  <c r="V33" i="9"/>
  <c r="R28" i="9"/>
  <c r="R29" i="9" s="1"/>
  <c r="R30" i="9" s="1"/>
  <c r="V20" i="9"/>
  <c r="V25" i="9"/>
  <c r="V27" i="9" s="1"/>
  <c r="V28" i="9" s="1"/>
  <c r="V29" i="9" s="1"/>
  <c r="V30" i="9" s="1"/>
  <c r="U21" i="9"/>
  <c r="U25" i="9" s="1"/>
  <c r="U27" i="9" s="1"/>
  <c r="U28" i="9" s="1"/>
  <c r="U29" i="9" s="1"/>
  <c r="U30" i="9" s="1"/>
  <c r="R38" i="9"/>
  <c r="Q38" i="9"/>
  <c r="N38" i="9"/>
  <c r="N25" i="9"/>
  <c r="N27" i="9" s="1"/>
  <c r="N29" i="9" s="1"/>
  <c r="N30" i="9" s="1"/>
  <c r="U20"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tc={CFF3BC2E-892D-4995-B558-D2A9395BF1AF}</author>
    <author>tc={E621A5CA-53E8-48F9-80F2-12D076620DD9}</author>
  </authors>
  <commentList>
    <comment ref="J29" authorId="0" shapeId="0" xr:uid="{CFF3BC2E-892D-4995-B558-D2A9395BF1AF}">
      <text>
        <t>[Threaded comment]
Your version of Excel allows you to read this threaded comment; however, any edits to it will get removed if the file is opened in a newer version of Excel. Learn more: https://go.microsoft.com/fwlink/?linkid=870924
Comment:
    NGNI 1080.2</t>
      </text>
    </comment>
    <comment ref="N29" authorId="1" shapeId="0" xr:uid="{E621A5CA-53E8-48F9-80F2-12D076620DD9}">
      <text>
        <t>[Threaded comment]
Your version of Excel allows you to read this threaded comment; however, any edits to it will get removed if the file is opened in a newer version of Excel. Learn more: https://go.microsoft.com/fwlink/?linkid=870924
Comment:
    NGNI 2711.5</t>
      </text>
    </comment>
  </commentList>
</comments>
</file>

<file path=xl/sharedStrings.xml><?xml version="1.0" encoding="utf-8"?>
<sst xmlns="http://schemas.openxmlformats.org/spreadsheetml/2006/main" count="362" uniqueCount="270">
  <si>
    <t>Nov. 11:  Eylea approved. Priced at $1,700/injection.</t>
  </si>
  <si>
    <t>2012: final results for Ph3 VENICE study of ZALTRAP in prostate cancer</t>
  </si>
  <si>
    <t>2012: Bayer will submit application for regulatory approval of VEGF-Trap in CRVO</t>
  </si>
  <si>
    <t>2H11: results fr Ph2 AFFIRM study of ZALTRAP plus FOLFOX in first-line mCRC</t>
  </si>
  <si>
    <t>2H11: plan to initiate another DME study of VEGF-Trap in US</t>
  </si>
  <si>
    <t>2H11: plan to submit regulatory application for ZALTRAP in second-line mCRC to FDA &amp; EMA</t>
  </si>
  <si>
    <t>Aug 20, 2011: PDUFA for VEGF-Trap for wet AMD</t>
  </si>
  <si>
    <t>mid-'11: submit sBLA for Arcalyst in gout to FDA</t>
  </si>
  <si>
    <t>mid-'11: interim analysis of Ph3 VENICE study of ZALTRAP as first-line tx for hormone-refractory prostate cancer in combo w docetaxel/prednisone</t>
  </si>
  <si>
    <t>1H11: plan to submit application for marketing approval of VEGF-Trap in CRVO in the US</t>
  </si>
  <si>
    <t>1H11: Bayer will submit application for VEGF-Trap in EU</t>
  </si>
  <si>
    <t>Apr 2011: announced positive Ph3 VELOUR study of ZALTRAP plus FOLFIRI in second-line mCRC</t>
  </si>
  <si>
    <t>Apr 2011: Bayer initiated Ph3 VIVID-DME study ex-US</t>
  </si>
  <si>
    <t>Apr 2011: BLA for VEGF-Trap accepted and granted Priority Review</t>
  </si>
  <si>
    <t>Apr 2011: announced positive GALILEO study of VEGF-Trap inCRVO (Bayer-led)</t>
  </si>
  <si>
    <t>Feb 2011: BLA for VEGF-Trap submitted to FDA</t>
  </si>
  <si>
    <t>Feb 2011: announced positive results of PRE-SURGE 2 and RE-SURGE of Arcalyst in gout</t>
  </si>
  <si>
    <t>Dec 2010: announced positive COPERNICUS study of VEGF-Trap for CRVO</t>
  </si>
  <si>
    <t>Nov 2010: announced positive VIEW 1 &amp; 2 results of VEGF-Trap in wet AMD</t>
  </si>
  <si>
    <t>Jun 2010: announced positive results of PRE-SURGE 1 of Arcalyst in gout prevention</t>
  </si>
  <si>
    <t>PCSK9 antibody</t>
  </si>
  <si>
    <t>Sanofi</t>
  </si>
  <si>
    <t>II</t>
  </si>
  <si>
    <t>LDL reduction</t>
  </si>
  <si>
    <t>alirocumab (REGN727)</t>
  </si>
  <si>
    <t>NGF</t>
  </si>
  <si>
    <t>I (on hold)</t>
  </si>
  <si>
    <t>Pain</t>
  </si>
  <si>
    <t>fasinumab (REGN475)</t>
  </si>
  <si>
    <t>IL-6R antibody</t>
  </si>
  <si>
    <t>II, II/III</t>
  </si>
  <si>
    <t>RA</t>
  </si>
  <si>
    <t>sarilumab (REGN88)</t>
  </si>
  <si>
    <t>EV</t>
  </si>
  <si>
    <t>Phase</t>
  </si>
  <si>
    <t>Q222</t>
  </si>
  <si>
    <t>Debt</t>
  </si>
  <si>
    <t>Antibody</t>
  </si>
  <si>
    <t>Bayer (ex NA)</t>
  </si>
  <si>
    <t>AMD</t>
  </si>
  <si>
    <t>Eylea</t>
  </si>
  <si>
    <t>Cash</t>
  </si>
  <si>
    <t>Dupixent (dupilumab)</t>
  </si>
  <si>
    <t>MC</t>
  </si>
  <si>
    <t>Colorectal cancer</t>
  </si>
  <si>
    <t>Zaltrap</t>
  </si>
  <si>
    <t>Shares</t>
  </si>
  <si>
    <t>IL-1</t>
  </si>
  <si>
    <t>CAPS</t>
  </si>
  <si>
    <t>Arcalyst (rilonacept)</t>
  </si>
  <si>
    <t>Price</t>
  </si>
  <si>
    <t>IP</t>
  </si>
  <si>
    <t>Mechanism</t>
  </si>
  <si>
    <t>Economics</t>
  </si>
  <si>
    <t>Competition</t>
  </si>
  <si>
    <t>Approved</t>
  </si>
  <si>
    <t>Indication</t>
  </si>
  <si>
    <t>Name</t>
  </si>
  <si>
    <t>sBLA expected to be filed in 2011.</t>
  </si>
  <si>
    <t>Would be used when patients start on urate inhibitors, but just be used short term.  REGN estimates ~750K/year in US.</t>
  </si>
  <si>
    <t>Drug appears to reduce gout flares, which occur even with urate inhibitors.</t>
  </si>
  <si>
    <t># gout flares</t>
  </si>
  <si>
    <t>160 mg Artcalyst</t>
  </si>
  <si>
    <t>80 mg Arcalyst</t>
  </si>
  <si>
    <t>PBO</t>
  </si>
  <si>
    <t>16 week study, Arcalyst dosed SC.</t>
  </si>
  <si>
    <t>Phase 3 gout study (n = 248)</t>
  </si>
  <si>
    <t>The senior investigators in this study are Raphaela Goldbach-Mansky, M.D., Staff Clinician with NIAMS, and Daniel Kastner, M.D., Ph.D., Chief, Genetics and Genomics Branch with NIAMS</t>
  </si>
  <si>
    <t xml:space="preserve">the study was conducted with the National Institute of Arthriits and Musculoskeletal and Skin Diseases </t>
  </si>
  <si>
    <t xml:space="preserve">this includes a sizable reduction in daily patient diary scores and acute phase reactant levels </t>
  </si>
  <si>
    <t>all 4 patients enrolled to date experienced a positive response to a subcutaneous loading dose regimen</t>
  </si>
  <si>
    <t>(a family of autoinflammitory diseases)</t>
  </si>
  <si>
    <t xml:space="preserve">preliminary results from once weekly dosing of interleukin-1 trap in patients with cias1 associated periodic syndrome (caps) </t>
  </si>
  <si>
    <t>6/10/2005 - Phase II results</t>
  </si>
  <si>
    <t>Clinical Trials</t>
  </si>
  <si>
    <t>Once attached to the trap, IL1 cannot bind to the cell surface and is flushed from the body together with the trap</t>
  </si>
  <si>
    <t>The Il 1 trap is designed to attach to and neutralize IL1 in the bloodstream before it can generate signals that can trigger disease activity</t>
  </si>
  <si>
    <t>In excess it is harmful and has been linked to a variety of inflammitory diseases</t>
  </si>
  <si>
    <t>acts as a messenger to help regulate immune and inflammitory responses by attaching to cell surface receptors in cells that participate in the immune system</t>
  </si>
  <si>
    <t>IL1 is a Protein secreted naturally by the body</t>
  </si>
  <si>
    <t>IL-1 receptor.</t>
  </si>
  <si>
    <t>1000 patients WW</t>
  </si>
  <si>
    <t>Gout and CAPS (CIAS1-associated periodic syndrome, Cryopyrin-Associated Periodic Syndromes).</t>
  </si>
  <si>
    <t>rilonacept</t>
  </si>
  <si>
    <t>Generic Name</t>
  </si>
  <si>
    <t>Arcalyst, fka IL-1 TRAP</t>
  </si>
  <si>
    <t>Brand Name</t>
  </si>
  <si>
    <t>Main</t>
  </si>
  <si>
    <t>additional patients are now being tested at the 4mg level</t>
  </si>
  <si>
    <t>maximum tolerated dose has not yet been reached, and no evidence of ocular inflamation</t>
  </si>
  <si>
    <t>patients received a single dose of VEGF trap at levels up to 2mg intravitreally</t>
  </si>
  <si>
    <t>patients demonstrated rapid, substantial and prolonged (up to 6 week) reductions in retinal thickness as measured by optical coherene topography. Lucentis only stabilizes retinal lesions.</t>
  </si>
  <si>
    <t xml:space="preserve">18 patients with the neovascular form of wet amd </t>
  </si>
  <si>
    <t xml:space="preserve">  This compares favorably with 0.5 letter and 2.0 letter improvement at 52 weeks for 0.3mg and 0.5mg of Lucentis in SAILOR.</t>
  </si>
  <si>
    <t>5.4 letter improvement and 9.0 letter improvement at 52 weeks at 0.5mg and 2.0mg.</t>
  </si>
  <si>
    <t>5.9 letter improvement.</t>
  </si>
  <si>
    <t>Phase II in AMD - March 2007</t>
  </si>
  <si>
    <t>97% did not require additional dose at week 16.</t>
  </si>
  <si>
    <t>Phase II in AMD - monthly dosing for 12 weeks - ARVO 2008 32-week update</t>
  </si>
  <si>
    <r>
      <t xml:space="preserve">An editorial by Rosenfeld in </t>
    </r>
    <r>
      <rPr>
        <i/>
        <sz val="10"/>
        <rFont val="Arial"/>
        <family val="2"/>
      </rPr>
      <t>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1966) suggested that even in the absence of long term safety data there is no reason not to use Avastin, and challenges that healthcare rpvodiers will need to justify uise of the more expensive Lucentis.</t>
    </r>
  </si>
  <si>
    <t>Average # of injections/ year is &lt;7.</t>
  </si>
  <si>
    <t>Given as needed, Lucentis afforded improvement of 6.8 letters, compared to 5.9 for Avastin (p = 0.45).</t>
  </si>
  <si>
    <t>Dosing as needed was equivalent to monthly dosing for both.</t>
  </si>
  <si>
    <t>No stat sig differecnes in AEs</t>
  </si>
  <si>
    <t>Monthly, 2 were equivalent in visual acquity.</t>
  </si>
  <si>
    <t>Dosing was monthly or as needed, primary endpoint was change in visual acquity at 1 year.</t>
  </si>
  <si>
    <t>n = 1208, single blind, non-inferiority study</t>
  </si>
  <si>
    <r>
      <rPr>
        <i/>
        <sz val="10"/>
        <rFont val="Arial"/>
        <family val="2"/>
      </rPr>
      <t>Martin</t>
    </r>
    <r>
      <rPr>
        <sz val="10"/>
        <rFont val="Arial"/>
        <family val="2"/>
      </rPr>
      <t xml:space="preserve"> et al.</t>
    </r>
    <r>
      <rPr>
        <i/>
        <sz val="10"/>
        <rFont val="Arial"/>
        <family val="2"/>
      </rPr>
      <t>, 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1897.</t>
    </r>
  </si>
  <si>
    <t>CATT study, Lucentis comparison with Avastin</t>
  </si>
  <si>
    <t>Aug 2011, PDUFA date extended to Nov. 18, 2011, based on responses to questions on CMC section tha FDA considered major amendements.</t>
  </si>
  <si>
    <t>June 2011, Ad Panel voted unanimously (10 to 0) to approve Eylea for wet AMD at the 2 mg/q8 week dose, following 3 initial doses given q4 weeks.</t>
  </si>
  <si>
    <t>Filed BLA Feb 2011, and receive priority review.  PDUFA date of Aug. 28, 2011.</t>
  </si>
  <si>
    <t>FDA action</t>
  </si>
  <si>
    <r>
      <t xml:space="preserve">% gaining </t>
    </r>
    <r>
      <rPr>
        <u/>
        <sz val="10"/>
        <rFont val="Arial"/>
        <family val="2"/>
      </rPr>
      <t>&gt;</t>
    </r>
    <r>
      <rPr>
        <sz val="10"/>
        <rFont val="Arial"/>
        <family val="2"/>
      </rPr>
      <t>15 letters</t>
    </r>
  </si>
  <si>
    <t>* p = NS vs luc</t>
  </si>
  <si>
    <t>8.9*</t>
  </si>
  <si>
    <t>9.7*</t>
  </si>
  <si>
    <t>7.6*</t>
  </si>
  <si>
    <t>Change vis acquity 1 yr</t>
  </si>
  <si>
    <t>Vision maint at 1 yr</t>
  </si>
  <si>
    <t>ETDRS BCVA</t>
  </si>
  <si>
    <t>Female</t>
  </si>
  <si>
    <t>2mg/q8wk Eyl</t>
  </si>
  <si>
    <t>Age</t>
  </si>
  <si>
    <t>0.5mg/q4wk Eyl</t>
  </si>
  <si>
    <t>n</t>
  </si>
  <si>
    <t>2mg/q4wk Eyl</t>
  </si>
  <si>
    <t>Luc</t>
  </si>
  <si>
    <t xml:space="preserve">Luc: </t>
  </si>
  <si>
    <t>% completing 52 weeks</t>
  </si>
  <si>
    <t>Secondary endpoint was mean change in BCVA.</t>
  </si>
  <si>
    <t>Primary endpoint was vision maintenance at 1 year, measured by letters readable.</t>
  </si>
  <si>
    <t>4 groups.  Eylea 2 mg/q4 weeks, 0.5 mg/q4 weeks, 2 mg/8 weeks, Lucentis 0.5 mg/q4 weeks.</t>
  </si>
  <si>
    <t>n = 1240, double blinded, radomized, Lucentis control</t>
  </si>
  <si>
    <t xml:space="preserve">Phase 3 - VIEW-2 </t>
  </si>
  <si>
    <t>7.9*</t>
  </si>
  <si>
    <t>6.9*</t>
  </si>
  <si>
    <t>Female %</t>
  </si>
  <si>
    <t>n = 1217, double blinded, radomized, Lucentis control</t>
  </si>
  <si>
    <t xml:space="preserve">Phase 3 - VIEW-1 </t>
  </si>
  <si>
    <t>Phase III head-to-head vs Lucentis in 1H07?</t>
  </si>
  <si>
    <t>Uses a direct formulation specifically designed for direct injection into a patients eye</t>
  </si>
  <si>
    <t>Administration</t>
  </si>
  <si>
    <t>Bayer 50/50 outside US, all Regeneron in the US.</t>
  </si>
  <si>
    <t>Lucentis, Avastin, Macugen.</t>
  </si>
  <si>
    <t>VEGF A/B trap.  Intraocular half life estimated to be 65% longer than Lucentis, but on par with Avastin.</t>
  </si>
  <si>
    <t xml:space="preserve">aflibercept </t>
  </si>
  <si>
    <t>Did not improve OS</t>
  </si>
  <si>
    <t>n = 913, in combination with Docetaxel</t>
  </si>
  <si>
    <t>Phase 3, 2nd line NSCLC</t>
  </si>
  <si>
    <t>Not clear why this drug would garner much market share</t>
  </si>
  <si>
    <t>Expect BLA filing by end of year.</t>
  </si>
  <si>
    <t>Median OS (mths)</t>
  </si>
  <si>
    <t>Median PFS (mths)</t>
  </si>
  <si>
    <t>ORR</t>
  </si>
  <si>
    <t>ZAL + FOL</t>
  </si>
  <si>
    <t>FOLFIRI</t>
  </si>
  <si>
    <t>AV + Folfox</t>
  </si>
  <si>
    <t>FOLFOX</t>
  </si>
  <si>
    <t>Velour</t>
  </si>
  <si>
    <t>ECOG 3200</t>
  </si>
  <si>
    <t>Phase 3 Refractory metastatic colorectal cancer (VELOUR)'</t>
  </si>
  <si>
    <t>IV</t>
  </si>
  <si>
    <t>50/50 with SNY</t>
  </si>
  <si>
    <t xml:space="preserve">VEGF A/B trap. </t>
  </si>
  <si>
    <t>Abstract: Background: Vascular endothelial growth factor (VEGF) is an important target in MCRC. Aflibercept (VEGF Trap) is a recombinant fusion protein of the human VEGFR1 and R2 extracellular domains and the Fc portion of human IgG1. Methods: This is an open-label, multi-centre, 2-stage phase II trial in pts with MCRC. Eligibility criteria: &gt;1 prior systemic therapy for MCRC, ECOG &lt; 2. Exclusion criteria: prior treatment with a VEGF or VEGFR inhibitor other than bevacizumab (BEV). IV VEGF Trap (4 mg/kg) was administered every 2 weeks (1 cycle). The primary endpoint was RR and 4-month PFS. Pts were enrolled in two cohorts: BEV naïve and prior BEV. Planned sample size in each cohort was 40 pts. Results: In total, 51 pts were enrolled (BEV naive = 24 pts; prior BEV = 27; median age=59, range 39-80; M:F = 30:21; ECOG 0:1:2 = 21:27:3; median # prior regimens for MCRC = 2, range 1-6). After 287 cycles of therapy, most common treatment adverse events (TAEs) of any grade were (#pts): fatigue (40), hypertension (28), proteinuria (25), headache (22), voice alteration (16), anorexia (12), and joint pain (9). Grade 3+ TAEs in &gt; 1 pt were (#pts): hypertension (4), proteinuria (4), fatigue (3), headache (3). One pt died on treatment due to PD. In the BEV naïve cohort (n=24), 4 pts were inevaluable: 7 pts maintained 4-mo PFS, disease control rate (PR + SD &gt; 16 wks) = 29% [95% CI 13-51%], and median PFS was 2.0 mo [95% CI 1.7- not reached(NR)]. In the prior BEV cohort (n=27), 1 pt was inevaluable. There was 1 confirmed PR and 7 pts maintained 4-mo PFS, disease control rate 30% [95% CI 14-50%], and median PFS was 3.4 mo [95% CI 1.9-NR]. Conclusions: Aflibercept (VEGF Trap) is well tolerated in pretreated pts with MCRC. Single agent activity has been observed in the prior BEV cohort, and accrual is ongoing in this stratum. Based on the study results, studies of aflibercept as single agent or in combination should be explored.</t>
  </si>
  <si>
    <t xml:space="preserve">Phase II trial of aflibercept (VEGF Trap) in previously treated patients with metastatic colorectal cancer (MCRC): A PMH phase II consortium trial. </t>
  </si>
  <si>
    <t>n=215 failed to demonstrate &gt;5% RR with ORR of 4.6% to 0.9%.</t>
  </si>
  <si>
    <t>Phase II mOC - Failed</t>
  </si>
  <si>
    <t xml:space="preserve">32% RR update? </t>
  </si>
  <si>
    <t>30% RR, 3% 6-month PFS vs 43% with Avastin. Lower PFS was a function of patient advancement.</t>
  </si>
  <si>
    <t>Phase II GBM - AAN 2008, ASCO 2008</t>
  </si>
  <si>
    <t>Final data expected in 1H09 and may support approval - Birchenough.</t>
  </si>
  <si>
    <t>77.5% response rate, 80% rate of doubling in time to paracentesis in symptomatic malignant ascites.</t>
  </si>
  <si>
    <t>Phase II malignant ascites</t>
  </si>
  <si>
    <t>Phase III mPC n=650 "VANILLA"? - terminated</t>
  </si>
  <si>
    <t>Phase III mCRC 2L n=1200 - IFL combination - 2010 data? "VELOUR"?</t>
  </si>
  <si>
    <t>Phase III mNSCLC 2L n=900 - Taxotere combination - 2010 data? "VITAL"?</t>
  </si>
  <si>
    <t>Phase III HRPC n=1200 - Taxotere combination - 2009 data? "VENICE"?</t>
  </si>
  <si>
    <t>WW collaboration with SNY who pays 100% of expenses. REGN repays 50% of dev costs paid by SNY out of VEGF trap profits.</t>
  </si>
  <si>
    <t>VEGF and PLGF binder.</t>
  </si>
  <si>
    <t>Cancer</t>
  </si>
  <si>
    <t>afilbercept</t>
  </si>
  <si>
    <t>ZALTRAP</t>
  </si>
  <si>
    <t>at highest dose tested (at the time), in 11 pts, a single dose achieved ~40% max mean add'l reduction of LDL fr baseline</t>
  </si>
  <si>
    <t>dose-escalating, randomized, double-blind, on pts on stalbe doses of statins whose LDL levels were &gt;100 mg/dL</t>
  </si>
  <si>
    <t>Phase 1 in hyperlipidemic pts (familial &amp; non-familial hypercholesterolemia) -- July 2010 interim analyses</t>
  </si>
  <si>
    <t>at highest SC dose, single dose achieved &gt;60% mas mean reduction of LDL fr baseline that lasted for &gt;2 wks</t>
  </si>
  <si>
    <t>at highest IV dose, single dose achieved &gt;60% max mean reduction of LDL fr baseline that lasted for &gt;1 mo</t>
  </si>
  <si>
    <t>July 2010 further data presented</t>
  </si>
  <si>
    <t>dose-escalating, randomized, double-blind, each dosing cohort consisted of 6 tx and 2 placebo pts</t>
  </si>
  <si>
    <t>Phase 1 in healthy volunteers -- May 2010 announced interim analyses of Ph1 healthy volunteer study</t>
  </si>
  <si>
    <t>Phase 2 in hypercholesterolemia pts in combo w statin tx -- started in early 2011</t>
  </si>
  <si>
    <t>IV, SC</t>
  </si>
  <si>
    <t>statins</t>
  </si>
  <si>
    <t>reduce LDL</t>
  </si>
  <si>
    <t>fully human monoclonal antibody against PCSK9 antibody (proprotein convertase subtilisin/kexin type 9)</t>
  </si>
  <si>
    <t>REGN727</t>
  </si>
  <si>
    <t>dose-related reductions in biomarkers of inflammation</t>
  </si>
  <si>
    <t>Phase 1 data from EULAR 2010 and ACR 2010</t>
  </si>
  <si>
    <t>Phase 2 in ankylosing spondylitis -- initial results expected mid-2011</t>
  </si>
  <si>
    <t>Phase 2/3 in RA -- initial results expected mid-2011</t>
  </si>
  <si>
    <t>Actemra (IL-6R antibody tocilizumab fr DNA), TNFs, etc</t>
  </si>
  <si>
    <t>RA, ankylosing spondylitis</t>
  </si>
  <si>
    <t>fully human monoclonal antibody against IL-R6</t>
  </si>
  <si>
    <t>REGN88</t>
  </si>
  <si>
    <t>Phase 1 in asthma</t>
  </si>
  <si>
    <t>Phase 2 in eosinophilic asthma</t>
  </si>
  <si>
    <t>allergic and immune conditions</t>
  </si>
  <si>
    <t>IR-4R antibody</t>
  </si>
  <si>
    <t>Dupixent, fka REGN668</t>
  </si>
  <si>
    <t>dupilumab</t>
  </si>
  <si>
    <t>Q120</t>
  </si>
  <si>
    <t>Q220</t>
  </si>
  <si>
    <t>Q320</t>
  </si>
  <si>
    <t>Q420</t>
  </si>
  <si>
    <t>Q121</t>
  </si>
  <si>
    <t>Q221</t>
  </si>
  <si>
    <t>Q321</t>
  </si>
  <si>
    <t>Q421</t>
  </si>
  <si>
    <t>Q122</t>
  </si>
  <si>
    <t>Q322</t>
  </si>
  <si>
    <t>Q422</t>
  </si>
  <si>
    <t>Libtayo</t>
  </si>
  <si>
    <t>Praluent</t>
  </si>
  <si>
    <t>Evkeeza</t>
  </si>
  <si>
    <t>Bayer</t>
  </si>
  <si>
    <t>Roche</t>
  </si>
  <si>
    <t>Other</t>
  </si>
  <si>
    <t>Revenue</t>
  </si>
  <si>
    <t>COGS</t>
  </si>
  <si>
    <t>Gross Margin</t>
  </si>
  <si>
    <t>R&amp;D</t>
  </si>
  <si>
    <t>SG&amp;A</t>
  </si>
  <si>
    <t>OpEx</t>
  </si>
  <si>
    <t>OpInc</t>
  </si>
  <si>
    <t>Interest Expense</t>
  </si>
  <si>
    <t>Pretax Income</t>
  </si>
  <si>
    <t>Taxes</t>
  </si>
  <si>
    <t>Net Income</t>
  </si>
  <si>
    <t>EPS</t>
  </si>
  <si>
    <t xml:space="preserve">  P&amp;L Share</t>
  </si>
  <si>
    <t xml:space="preserve">  Reimbursement</t>
  </si>
  <si>
    <t xml:space="preserve">  Other</t>
  </si>
  <si>
    <t xml:space="preserve">  Dupixent</t>
  </si>
  <si>
    <t xml:space="preserve">  Praluent</t>
  </si>
  <si>
    <t xml:space="preserve">  Kevzara</t>
  </si>
  <si>
    <t>Arcalyst</t>
  </si>
  <si>
    <t>mCRC</t>
  </si>
  <si>
    <t>SNY</t>
  </si>
  <si>
    <t>IL-4</t>
  </si>
  <si>
    <t>Asthma, AD</t>
  </si>
  <si>
    <t>Libtayo (cemiplimab)</t>
  </si>
  <si>
    <t>PD-1</t>
  </si>
  <si>
    <t>VEGF</t>
  </si>
  <si>
    <t>100%?</t>
  </si>
  <si>
    <t>pozelimab</t>
  </si>
  <si>
    <t>Revenue y/y</t>
  </si>
  <si>
    <t>Sanofi y/y</t>
  </si>
  <si>
    <t>Dupixent y/y</t>
  </si>
  <si>
    <t>Q123</t>
  </si>
  <si>
    <t>Q223</t>
  </si>
  <si>
    <t>Q323</t>
  </si>
  <si>
    <t>Q423</t>
  </si>
  <si>
    <t>Inmazeb/REGEN-COV</t>
  </si>
  <si>
    <t>Eylea y/y</t>
  </si>
  <si>
    <t>Q119</t>
  </si>
  <si>
    <t>Q219</t>
  </si>
  <si>
    <t>Q319</t>
  </si>
  <si>
    <t>Q419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</si>
</sst>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0"/>
      <color theme="1"/>
      <name val="Arial"/>
      <family val="2"/>
    </font>
    <font>
      <b/>
      <sz val="10"/>
      <color theme="1"/>
      <name val="Arial"/>
      <family val="2"/>
    </font>
    <font>
      <sz val="10"/>
      <name val="Arial"/>
      <family val="2"/>
    </font>
    <font>
      <i/>
      <sz val="10"/>
      <name val="Arial"/>
      <family val="2"/>
    </font>
    <font>
      <u/>
      <sz val="10"/>
      <color indexed="12"/>
      <name val="Arial"/>
      <family val="2"/>
    </font>
    <font>
      <b/>
      <u/>
      <sz val="10"/>
      <name val="Arial"/>
      <family val="2"/>
    </font>
    <font>
      <sz val="8"/>
      <name val="Verdana"/>
      <family val="2"/>
    </font>
    <font>
      <b/>
      <sz val="10"/>
      <name val="Arial"/>
      <family val="2"/>
    </font>
    <font>
      <u/>
      <sz val="10"/>
      <name val="Arial"/>
      <family val="2"/>
    </font>
    <font>
      <sz val="8"/>
      <name val="Arial"/>
      <family val="2"/>
    </font>
  </fonts>
  <fills count="3">
    <fill>
      <patternFill patternType="none"/>
    </fill>
    <fill>
      <patternFill patternType="gray125"/>
    </fill>
    <fill>
      <patternFill patternType="solid">
        <fgColor indexed="9"/>
        <bgColor indexed="64"/>
      </patternFill>
    </fill>
  </fills>
  <borders count="12">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3">
    <xf numFmtId="0" fontId="0" fillId="0" borderId="0"/>
    <xf numFmtId="0" fontId="4" fillId="0" borderId="0" applyNumberFormat="0" applyFill="0" applyBorder="0" applyAlignment="0" applyProtection="0">
      <alignment vertical="top"/>
      <protection locked="0"/>
    </xf>
    <xf numFmtId="0" fontId="2" fillId="0" borderId="0"/>
  </cellStyleXfs>
  <cellXfs count="54">
    <xf numFmtId="0" fontId="0" fillId="0" borderId="0" xfId="0"/>
    <xf numFmtId="3" fontId="0" fillId="0" borderId="0" xfId="0" applyNumberFormat="1"/>
    <xf numFmtId="0" fontId="2" fillId="2" borderId="0" xfId="2" applyFill="1"/>
    <xf numFmtId="3" fontId="2" fillId="2" borderId="0" xfId="2" applyNumberFormat="1" applyFill="1"/>
    <xf numFmtId="0" fontId="2" fillId="2" borderId="0" xfId="2" applyFill="1" applyAlignment="1">
      <alignment horizontal="right"/>
    </xf>
    <xf numFmtId="0" fontId="5" fillId="2" borderId="0" xfId="2" applyFont="1" applyFill="1"/>
    <xf numFmtId="0" fontId="6" fillId="2" borderId="0" xfId="2" applyFont="1" applyFill="1"/>
    <xf numFmtId="14" fontId="5" fillId="2" borderId="0" xfId="2" applyNumberFormat="1" applyFont="1" applyFill="1"/>
    <xf numFmtId="0" fontId="4" fillId="2" borderId="0" xfId="1" applyFill="1" applyAlignment="1" applyProtection="1"/>
    <xf numFmtId="0" fontId="2" fillId="2" borderId="0" xfId="2" applyFill="1" applyAlignment="1">
      <alignment horizontal="center"/>
    </xf>
    <xf numFmtId="9" fontId="2" fillId="2" borderId="0" xfId="2" applyNumberFormat="1" applyFill="1" applyAlignment="1">
      <alignment horizontal="center"/>
    </xf>
    <xf numFmtId="9" fontId="2" fillId="2" borderId="0" xfId="2" applyNumberFormat="1" applyFill="1"/>
    <xf numFmtId="0" fontId="2" fillId="0" borderId="0" xfId="2"/>
    <xf numFmtId="0" fontId="5" fillId="0" borderId="0" xfId="2" applyFont="1"/>
    <xf numFmtId="164" fontId="2" fillId="0" borderId="0" xfId="2" applyNumberFormat="1"/>
    <xf numFmtId="0" fontId="9" fillId="2" borderId="0" xfId="2" applyFont="1" applyFill="1"/>
    <xf numFmtId="0" fontId="4" fillId="0" borderId="0" xfId="1" applyAlignment="1" applyProtection="1"/>
    <xf numFmtId="0" fontId="0" fillId="0" borderId="0" xfId="0" applyAlignment="1">
      <alignment horizontal="right"/>
    </xf>
    <xf numFmtId="3" fontId="0" fillId="0" borderId="0" xfId="0" applyNumberFormat="1" applyAlignment="1">
      <alignment horizontal="right"/>
    </xf>
    <xf numFmtId="4" fontId="0" fillId="0" borderId="0" xfId="0" applyNumberFormat="1" applyAlignment="1">
      <alignment horizontal="right"/>
    </xf>
    <xf numFmtId="3" fontId="1" fillId="0" borderId="0" xfId="0" applyNumberFormat="1" applyFont="1"/>
    <xf numFmtId="3" fontId="1" fillId="0" borderId="0" xfId="0" applyNumberFormat="1" applyFont="1" applyAlignment="1">
      <alignment horizontal="right"/>
    </xf>
    <xf numFmtId="0" fontId="0" fillId="0" borderId="8" xfId="0" applyBorder="1"/>
    <xf numFmtId="0" fontId="0" fillId="0" borderId="7" xfId="0" applyBorder="1" applyAlignment="1">
      <alignment horizontal="center"/>
    </xf>
    <xf numFmtId="0" fontId="0" fillId="0" borderId="6" xfId="0" applyBorder="1" applyAlignment="1">
      <alignment horizontal="center"/>
    </xf>
    <xf numFmtId="4" fontId="0" fillId="0" borderId="0" xfId="0" applyNumberFormat="1"/>
    <xf numFmtId="0" fontId="2" fillId="0" borderId="0" xfId="0" applyFont="1" applyAlignment="1">
      <alignment horizontal="right"/>
    </xf>
    <xf numFmtId="0" fontId="4" fillId="0" borderId="11" xfId="1" applyFill="1" applyBorder="1" applyAlignment="1" applyProtection="1"/>
    <xf numFmtId="0" fontId="0" fillId="0" borderId="10" xfId="0" applyBorder="1" applyAlignment="1">
      <alignment horizontal="center"/>
    </xf>
    <xf numFmtId="17" fontId="0" fillId="0" borderId="10" xfId="0" applyNumberFormat="1" applyBorder="1" applyAlignment="1">
      <alignment horizontal="center"/>
    </xf>
    <xf numFmtId="9" fontId="0" fillId="0" borderId="10" xfId="0" applyNumberFormat="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3" fontId="2" fillId="0" borderId="0" xfId="0" applyNumberFormat="1" applyFont="1"/>
    <xf numFmtId="0" fontId="4" fillId="0" borderId="5" xfId="1" applyFill="1" applyBorder="1" applyAlignment="1" applyProtection="1"/>
    <xf numFmtId="0" fontId="2" fillId="0" borderId="0" xfId="0" applyFont="1" applyAlignment="1">
      <alignment horizontal="center"/>
    </xf>
    <xf numFmtId="0" fontId="0" fillId="0" borderId="4" xfId="0" applyBorder="1" applyAlignment="1">
      <alignment horizontal="center"/>
    </xf>
    <xf numFmtId="0" fontId="4" fillId="0" borderId="3" xfId="1" applyFill="1" applyBorder="1" applyAlignment="1" applyProtection="1"/>
    <xf numFmtId="0" fontId="0" fillId="0" borderId="2" xfId="0" applyBorder="1" applyAlignment="1">
      <alignment horizontal="center"/>
    </xf>
    <xf numFmtId="0" fontId="2" fillId="0" borderId="2" xfId="0" applyFont="1" applyBorder="1" applyAlignment="1">
      <alignment horizontal="center"/>
    </xf>
    <xf numFmtId="0" fontId="2" fillId="0" borderId="1" xfId="0" applyFont="1" applyBorder="1" applyAlignment="1">
      <alignment horizontal="center"/>
    </xf>
    <xf numFmtId="0" fontId="2" fillId="0" borderId="0" xfId="0" applyFont="1"/>
    <xf numFmtId="0" fontId="0" fillId="0" borderId="0" xfId="0" applyAlignment="1">
      <alignment horizontal="center"/>
    </xf>
    <xf numFmtId="2" fontId="0" fillId="0" borderId="0" xfId="0" applyNumberFormat="1"/>
    <xf numFmtId="0" fontId="2" fillId="0" borderId="5" xfId="1" applyFont="1" applyFill="1" applyBorder="1" applyAlignment="1" applyProtection="1"/>
    <xf numFmtId="0" fontId="0" fillId="0" borderId="1" xfId="0" applyBorder="1" applyAlignment="1">
      <alignment horizontal="center"/>
    </xf>
    <xf numFmtId="0" fontId="3"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9" fontId="0" fillId="0" borderId="0" xfId="0" applyNumberFormat="1" applyAlignment="1">
      <alignment horizontal="right"/>
    </xf>
    <xf numFmtId="0" fontId="1" fillId="0" borderId="0" xfId="0" applyFont="1" applyAlignment="1">
      <alignment horizontal="right"/>
    </xf>
    <xf numFmtId="9" fontId="1" fillId="0" borderId="0" xfId="0" applyNumberFormat="1" applyFont="1" applyAlignment="1">
      <alignment horizontal="right"/>
    </xf>
    <xf numFmtId="0" fontId="1" fillId="0" borderId="0" xfId="0" applyFont="1"/>
    <xf numFmtId="9" fontId="0" fillId="0" borderId="0" xfId="0" applyNumberFormat="1" applyFont="1" applyAlignment="1">
      <alignment horizontal="right"/>
    </xf>
  </cellXfs>
  <cellStyles count="3">
    <cellStyle name="Hyperlink" xfId="1" builtinId="8"/>
    <cellStyle name="Normal" xfId="0" builtinId="0"/>
    <cellStyle name="Normal 2" xfId="2" xr:uid="{E14D3674-039E-4586-B983-DD274F8F71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17</xdr:col>
      <xdr:colOff>31531</xdr:colOff>
      <xdr:row>0</xdr:row>
      <xdr:rowOff>15437</xdr:rowOff>
    </xdr:from>
    <xdr:to>
      <xdr:col>17</xdr:col>
      <xdr:colOff>31531</xdr:colOff>
      <xdr:row>44</xdr:row>
      <xdr:rowOff>63062</xdr:rowOff>
    </xdr:to>
    <xdr:cxnSp macro="">
      <xdr:nvCxnSpPr>
        <xdr:cNvPr id="3" name="Straight Connector 2">
          <a:extLst>
            <a:ext uri="{FF2B5EF4-FFF2-40B4-BE49-F238E27FC236}">
              <a16:creationId xmlns:a16="http://schemas.microsoft.com/office/drawing/2014/main" id="{658D8025-20DF-13C6-84BC-98AAA2145166}"/>
            </a:ext>
          </a:extLst>
        </xdr:cNvPr>
        <xdr:cNvCxnSpPr/>
      </xdr:nvCxnSpPr>
      <xdr:spPr>
        <a:xfrm>
          <a:off x="8104790" y="15437"/>
          <a:ext cx="0" cy="71092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24962</xdr:colOff>
      <xdr:row>0</xdr:row>
      <xdr:rowOff>0</xdr:rowOff>
    </xdr:from>
    <xdr:to>
      <xdr:col>37</xdr:col>
      <xdr:colOff>24962</xdr:colOff>
      <xdr:row>44</xdr:row>
      <xdr:rowOff>47625</xdr:rowOff>
    </xdr:to>
    <xdr:cxnSp macro="">
      <xdr:nvCxnSpPr>
        <xdr:cNvPr id="2" name="Straight Connector 1">
          <a:extLst>
            <a:ext uri="{FF2B5EF4-FFF2-40B4-BE49-F238E27FC236}">
              <a16:creationId xmlns:a16="http://schemas.microsoft.com/office/drawing/2014/main" id="{648F258B-0BD1-4851-812D-88247FE41913}"/>
            </a:ext>
          </a:extLst>
        </xdr:cNvPr>
        <xdr:cNvCxnSpPr/>
      </xdr:nvCxnSpPr>
      <xdr:spPr>
        <a:xfrm>
          <a:off x="22760152" y="0"/>
          <a:ext cx="0" cy="72734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artin Shkreli" id="{6AE02F28-EECC-4040-93BD-26CB9CF8932E}"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29" dT="2022-09-16T10:03:00.58" personId="{6AE02F28-EECC-4040-93BD-26CB9CF8932E}" id="{CFF3BC2E-892D-4995-B558-D2A9395BF1AF}">
    <text>NGNI 1080.2</text>
  </threadedComment>
  <threadedComment ref="N29" dT="2022-09-16T10:02:53.72" personId="{6AE02F28-EECC-4040-93BD-26CB9CF8932E}" id="{E621A5CA-53E8-48F9-80F2-12D076620DD9}">
    <text>NGNI 2711.5</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5CF22-E8A9-4919-AD75-F071CE6857D9}">
  <dimension ref="B2:K33"/>
  <sheetViews>
    <sheetView zoomScale="160" zoomScaleNormal="160" workbookViewId="0">
      <selection activeCell="B12" sqref="B12"/>
    </sheetView>
  </sheetViews>
  <sheetFormatPr defaultRowHeight="12.75" x14ac:dyDescent="0.2"/>
  <cols>
    <col min="1" max="1" width="3.7109375" customWidth="1"/>
    <col min="2" max="2" width="23.42578125" customWidth="1"/>
    <col min="3" max="3" width="12.140625" customWidth="1"/>
  </cols>
  <sheetData>
    <row r="2" spans="2:11" x14ac:dyDescent="0.2">
      <c r="B2" s="22" t="s">
        <v>57</v>
      </c>
      <c r="C2" s="23" t="s">
        <v>56</v>
      </c>
      <c r="D2" s="23" t="s">
        <v>55</v>
      </c>
      <c r="E2" s="23" t="s">
        <v>53</v>
      </c>
      <c r="F2" s="23" t="s">
        <v>52</v>
      </c>
      <c r="G2" s="24" t="s">
        <v>51</v>
      </c>
      <c r="I2" t="s">
        <v>50</v>
      </c>
      <c r="J2" s="25">
        <v>705</v>
      </c>
      <c r="K2" s="26"/>
    </row>
    <row r="3" spans="2:11" x14ac:dyDescent="0.2">
      <c r="B3" s="27" t="s">
        <v>49</v>
      </c>
      <c r="C3" s="28" t="s">
        <v>48</v>
      </c>
      <c r="D3" s="29">
        <v>39479</v>
      </c>
      <c r="E3" s="30">
        <v>1</v>
      </c>
      <c r="F3" s="31" t="s">
        <v>47</v>
      </c>
      <c r="G3" s="32" t="s">
        <v>37</v>
      </c>
      <c r="I3" t="s">
        <v>46</v>
      </c>
      <c r="J3" s="33">
        <f>128.3-20.6+1.818146</f>
        <v>109.51814600000002</v>
      </c>
      <c r="K3" s="26" t="s">
        <v>35</v>
      </c>
    </row>
    <row r="4" spans="2:11" x14ac:dyDescent="0.2">
      <c r="B4" s="34" t="s">
        <v>45</v>
      </c>
      <c r="C4" s="35" t="s">
        <v>248</v>
      </c>
      <c r="D4" s="35"/>
      <c r="E4" s="35" t="s">
        <v>249</v>
      </c>
      <c r="F4" s="35" t="s">
        <v>254</v>
      </c>
      <c r="G4" s="36"/>
      <c r="I4" t="s">
        <v>43</v>
      </c>
      <c r="J4" s="1">
        <f>J2*J3</f>
        <v>77210.292930000011</v>
      </c>
      <c r="K4" s="17"/>
    </row>
    <row r="5" spans="2:11" x14ac:dyDescent="0.2">
      <c r="B5" s="34" t="s">
        <v>42</v>
      </c>
      <c r="C5" s="35" t="s">
        <v>251</v>
      </c>
      <c r="D5" s="35"/>
      <c r="E5" s="35" t="s">
        <v>249</v>
      </c>
      <c r="F5" s="35" t="s">
        <v>250</v>
      </c>
      <c r="G5" s="36"/>
      <c r="I5" t="s">
        <v>41</v>
      </c>
      <c r="J5" s="1">
        <f>3395.1+4171.3+6415.9</f>
        <v>13982.3</v>
      </c>
      <c r="K5" s="26" t="s">
        <v>35</v>
      </c>
    </row>
    <row r="6" spans="2:11" x14ac:dyDescent="0.2">
      <c r="B6" s="34" t="s">
        <v>252</v>
      </c>
      <c r="C6" s="35"/>
      <c r="D6" s="35"/>
      <c r="E6" s="35" t="s">
        <v>255</v>
      </c>
      <c r="F6" s="35" t="s">
        <v>253</v>
      </c>
      <c r="G6" s="36"/>
      <c r="I6" t="s">
        <v>36</v>
      </c>
      <c r="J6" s="1">
        <v>1980.7</v>
      </c>
      <c r="K6" s="26" t="s">
        <v>35</v>
      </c>
    </row>
    <row r="7" spans="2:11" x14ac:dyDescent="0.2">
      <c r="B7" s="37" t="s">
        <v>40</v>
      </c>
      <c r="C7" s="38" t="s">
        <v>39</v>
      </c>
      <c r="D7" s="39"/>
      <c r="E7" s="39" t="s">
        <v>38</v>
      </c>
      <c r="F7" s="39" t="s">
        <v>254</v>
      </c>
      <c r="G7" s="40" t="s">
        <v>37</v>
      </c>
      <c r="I7" s="41" t="s">
        <v>33</v>
      </c>
      <c r="J7" s="1">
        <f>J4-J5+J6</f>
        <v>65208.692930000005</v>
      </c>
    </row>
    <row r="8" spans="2:11" x14ac:dyDescent="0.2">
      <c r="B8" s="22"/>
      <c r="C8" s="23"/>
      <c r="D8" s="23" t="s">
        <v>34</v>
      </c>
      <c r="E8" s="23"/>
      <c r="F8" s="23"/>
      <c r="G8" s="24"/>
      <c r="I8" s="41"/>
      <c r="J8" s="43"/>
    </row>
    <row r="9" spans="2:11" x14ac:dyDescent="0.2">
      <c r="B9" s="34" t="s">
        <v>32</v>
      </c>
      <c r="C9" s="42" t="s">
        <v>31</v>
      </c>
      <c r="D9" s="35" t="s">
        <v>30</v>
      </c>
      <c r="E9" s="42"/>
      <c r="F9" s="35" t="s">
        <v>29</v>
      </c>
      <c r="G9" s="36"/>
    </row>
    <row r="10" spans="2:11" x14ac:dyDescent="0.2">
      <c r="B10" s="44" t="s">
        <v>28</v>
      </c>
      <c r="C10" s="35" t="s">
        <v>27</v>
      </c>
      <c r="D10" s="35" t="s">
        <v>26</v>
      </c>
      <c r="E10" s="42"/>
      <c r="F10" s="35" t="s">
        <v>25</v>
      </c>
      <c r="G10" s="36"/>
    </row>
    <row r="11" spans="2:11" x14ac:dyDescent="0.2">
      <c r="B11" s="44" t="s">
        <v>256</v>
      </c>
      <c r="C11" s="35"/>
      <c r="D11" s="35"/>
      <c r="E11" s="42"/>
      <c r="F11" s="35"/>
      <c r="G11" s="36"/>
    </row>
    <row r="12" spans="2:11" x14ac:dyDescent="0.2">
      <c r="B12" s="37" t="s">
        <v>24</v>
      </c>
      <c r="C12" s="39" t="s">
        <v>23</v>
      </c>
      <c r="D12" s="39" t="s">
        <v>22</v>
      </c>
      <c r="E12" s="39" t="s">
        <v>21</v>
      </c>
      <c r="F12" s="39" t="s">
        <v>20</v>
      </c>
      <c r="G12" s="45"/>
    </row>
    <row r="13" spans="2:11" x14ac:dyDescent="0.2">
      <c r="C13" s="42"/>
      <c r="D13" s="42"/>
      <c r="E13" s="42"/>
      <c r="F13" s="42"/>
      <c r="G13" s="42"/>
    </row>
    <row r="14" spans="2:11" x14ac:dyDescent="0.2">
      <c r="B14" s="41"/>
      <c r="C14" s="42"/>
      <c r="D14" s="42"/>
      <c r="E14" s="42"/>
      <c r="F14" s="46" t="s">
        <v>19</v>
      </c>
      <c r="G14" s="42"/>
    </row>
    <row r="15" spans="2:11" x14ac:dyDescent="0.2">
      <c r="B15" s="41"/>
      <c r="C15" s="42"/>
      <c r="D15" s="42"/>
      <c r="E15" s="47"/>
      <c r="F15" s="46" t="s">
        <v>18</v>
      </c>
      <c r="G15" s="42"/>
    </row>
    <row r="16" spans="2:11" x14ac:dyDescent="0.2">
      <c r="B16" s="41"/>
      <c r="C16" s="42"/>
      <c r="D16" s="42"/>
      <c r="E16" s="47"/>
      <c r="F16" s="46" t="s">
        <v>17</v>
      </c>
      <c r="G16" s="42"/>
    </row>
    <row r="17" spans="2:7" x14ac:dyDescent="0.2">
      <c r="B17" s="41"/>
      <c r="C17" s="42"/>
      <c r="D17" s="42"/>
      <c r="E17" s="47"/>
      <c r="F17" s="46" t="s">
        <v>16</v>
      </c>
      <c r="G17" s="42"/>
    </row>
    <row r="18" spans="2:7" x14ac:dyDescent="0.2">
      <c r="C18" s="42"/>
      <c r="D18" s="42"/>
      <c r="E18" s="42"/>
      <c r="F18" s="46" t="s">
        <v>15</v>
      </c>
      <c r="G18" s="42"/>
    </row>
    <row r="19" spans="2:7" x14ac:dyDescent="0.2">
      <c r="C19" s="42"/>
      <c r="D19" s="42"/>
      <c r="E19" s="42"/>
      <c r="F19" s="46" t="s">
        <v>14</v>
      </c>
      <c r="G19" s="42"/>
    </row>
    <row r="20" spans="2:7" x14ac:dyDescent="0.2">
      <c r="C20" s="42"/>
      <c r="D20" s="42"/>
      <c r="E20" s="42"/>
      <c r="F20" s="46" t="s">
        <v>13</v>
      </c>
      <c r="G20" s="42"/>
    </row>
    <row r="21" spans="2:7" x14ac:dyDescent="0.2">
      <c r="C21" s="42"/>
      <c r="D21" s="42"/>
      <c r="E21" s="42"/>
      <c r="F21" s="46" t="s">
        <v>12</v>
      </c>
      <c r="G21" s="42"/>
    </row>
    <row r="22" spans="2:7" x14ac:dyDescent="0.2">
      <c r="C22" s="42"/>
      <c r="D22" s="42"/>
      <c r="E22" s="42"/>
      <c r="F22" s="46" t="s">
        <v>11</v>
      </c>
      <c r="G22" s="42"/>
    </row>
    <row r="23" spans="2:7" x14ac:dyDescent="0.2">
      <c r="C23" s="42"/>
      <c r="D23" s="42"/>
      <c r="E23" s="42"/>
      <c r="F23" s="48" t="s">
        <v>10</v>
      </c>
      <c r="G23" s="42"/>
    </row>
    <row r="24" spans="2:7" x14ac:dyDescent="0.2">
      <c r="C24" s="42"/>
      <c r="D24" s="42"/>
      <c r="E24" s="42"/>
      <c r="F24" s="48" t="s">
        <v>9</v>
      </c>
      <c r="G24" s="42"/>
    </row>
    <row r="25" spans="2:7" x14ac:dyDescent="0.2">
      <c r="C25" s="42"/>
      <c r="D25" s="42"/>
      <c r="E25" s="42"/>
      <c r="F25" s="48" t="s">
        <v>8</v>
      </c>
      <c r="G25" s="42"/>
    </row>
    <row r="26" spans="2:7" x14ac:dyDescent="0.2">
      <c r="C26" s="42"/>
      <c r="D26" s="42"/>
      <c r="E26" s="42"/>
      <c r="F26" s="48" t="s">
        <v>7</v>
      </c>
      <c r="G26" s="42"/>
    </row>
    <row r="27" spans="2:7" x14ac:dyDescent="0.2">
      <c r="C27" s="42"/>
      <c r="D27" s="42"/>
      <c r="E27" s="42"/>
      <c r="F27" s="48" t="s">
        <v>6</v>
      </c>
      <c r="G27" s="42"/>
    </row>
    <row r="28" spans="2:7" x14ac:dyDescent="0.2">
      <c r="C28" s="42"/>
      <c r="D28" s="42"/>
      <c r="E28" s="42"/>
      <c r="F28" s="48" t="s">
        <v>5</v>
      </c>
      <c r="G28" s="42"/>
    </row>
    <row r="29" spans="2:7" x14ac:dyDescent="0.2">
      <c r="C29" s="42"/>
      <c r="D29" s="42"/>
      <c r="E29" s="42"/>
      <c r="F29" s="48" t="s">
        <v>4</v>
      </c>
      <c r="G29" s="42"/>
    </row>
    <row r="30" spans="2:7" x14ac:dyDescent="0.2">
      <c r="C30" s="42"/>
      <c r="D30" s="42"/>
      <c r="E30" s="42"/>
      <c r="F30" s="48" t="s">
        <v>3</v>
      </c>
      <c r="G30" s="42"/>
    </row>
    <row r="31" spans="2:7" x14ac:dyDescent="0.2">
      <c r="C31" s="42"/>
      <c r="D31" s="42"/>
      <c r="E31" s="42"/>
      <c r="F31" s="48" t="s">
        <v>2</v>
      </c>
      <c r="G31" s="42"/>
    </row>
    <row r="32" spans="2:7" x14ac:dyDescent="0.2">
      <c r="C32" s="42"/>
      <c r="D32" s="42"/>
      <c r="E32" s="42"/>
      <c r="F32" s="48" t="s">
        <v>1</v>
      </c>
      <c r="G32" s="42"/>
    </row>
    <row r="33" spans="3:7" x14ac:dyDescent="0.2">
      <c r="C33" s="42"/>
      <c r="D33" s="42"/>
      <c r="E33" s="42"/>
      <c r="F33" s="48" t="s">
        <v>0</v>
      </c>
      <c r="G33" s="42"/>
    </row>
  </sheetData>
  <hyperlinks>
    <hyperlink ref="B3" location="Arcalyst!A1" display="Arcalyst" xr:uid="{BDF22BBF-5632-43C4-825A-494559AE5BB9}"/>
    <hyperlink ref="B12" location="REGN727!A1" display="REGN727" xr:uid="{8D796E16-1B6A-4863-8C76-1C9033CFEB9D}"/>
    <hyperlink ref="B9" location="REGN88!A1" display="REGN88" xr:uid="{8D20C485-61D6-4E03-A982-1D64315E19D9}"/>
    <hyperlink ref="B4" location="Zaltrap!A1" display="Zaltrap" xr:uid="{B1A779BE-0169-48CB-AB42-981661C5EA87}"/>
    <hyperlink ref="B7" location="'VEGF Trap-Eye'!A1" display="VEGF Trap-Eye" xr:uid="{632465B5-10C7-43D8-A04F-89D049587F0F}"/>
    <hyperlink ref="B5" location="Dupixent!A1" display="Dupixent (dupilumab)" xr:uid="{4B303E05-22EB-4F26-B307-EFDE2890518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ECB6-C670-4D66-9069-7BDB54779CF7}">
  <dimension ref="A1:BH38"/>
  <sheetViews>
    <sheetView tabSelected="1" zoomScale="145" zoomScaleNormal="145" workbookViewId="0">
      <pane xSplit="2" ySplit="2" topLeftCell="Z3" activePane="bottomRight" state="frozen"/>
      <selection pane="topRight" activeCell="C1" sqref="C1"/>
      <selection pane="bottomLeft" activeCell="A3" sqref="A3"/>
      <selection pane="bottomRight" activeCell="AP27" sqref="AP27"/>
    </sheetView>
  </sheetViews>
  <sheetFormatPr defaultRowHeight="12.75" x14ac:dyDescent="0.2"/>
  <cols>
    <col min="1" max="1" width="5" bestFit="1" customWidth="1"/>
    <col min="2" max="2" width="15.28515625" bestFit="1" customWidth="1"/>
    <col min="3" max="18" width="9.140625" style="17"/>
  </cols>
  <sheetData>
    <row r="1" spans="1:60" x14ac:dyDescent="0.2">
      <c r="A1" s="16" t="s">
        <v>87</v>
      </c>
    </row>
    <row r="2" spans="1:60" x14ac:dyDescent="0.2">
      <c r="C2" s="17" t="s">
        <v>266</v>
      </c>
      <c r="D2" s="17" t="s">
        <v>267</v>
      </c>
      <c r="E2" s="17" t="s">
        <v>268</v>
      </c>
      <c r="F2" s="17" t="s">
        <v>269</v>
      </c>
      <c r="G2" s="17" t="s">
        <v>212</v>
      </c>
      <c r="H2" s="17" t="s">
        <v>213</v>
      </c>
      <c r="I2" s="17" t="s">
        <v>214</v>
      </c>
      <c r="J2" s="17" t="s">
        <v>215</v>
      </c>
      <c r="K2" s="17" t="s">
        <v>216</v>
      </c>
      <c r="L2" s="17" t="s">
        <v>217</v>
      </c>
      <c r="M2" s="17" t="s">
        <v>218</v>
      </c>
      <c r="N2" s="17" t="s">
        <v>219</v>
      </c>
      <c r="O2" s="17" t="s">
        <v>220</v>
      </c>
      <c r="P2" s="17" t="s">
        <v>35</v>
      </c>
      <c r="Q2" s="17" t="s">
        <v>221</v>
      </c>
      <c r="R2" s="17" t="s">
        <v>222</v>
      </c>
      <c r="S2" s="17" t="s">
        <v>260</v>
      </c>
      <c r="T2" s="17" t="s">
        <v>261</v>
      </c>
      <c r="U2" s="17" t="s">
        <v>262</v>
      </c>
      <c r="V2" s="17" t="s">
        <v>263</v>
      </c>
      <c r="Z2">
        <v>2010</v>
      </c>
      <c r="AA2">
        <f>+Z2+1</f>
        <v>2011</v>
      </c>
      <c r="AB2">
        <f t="shared" ref="AB2:BH2" si="0">+AA2+1</f>
        <v>2012</v>
      </c>
      <c r="AC2">
        <f t="shared" si="0"/>
        <v>2013</v>
      </c>
      <c r="AD2">
        <f t="shared" si="0"/>
        <v>2014</v>
      </c>
      <c r="AE2">
        <f t="shared" si="0"/>
        <v>2015</v>
      </c>
      <c r="AF2">
        <f t="shared" si="0"/>
        <v>2016</v>
      </c>
      <c r="AG2">
        <f t="shared" si="0"/>
        <v>2017</v>
      </c>
      <c r="AH2">
        <f t="shared" si="0"/>
        <v>2018</v>
      </c>
      <c r="AI2">
        <f t="shared" si="0"/>
        <v>2019</v>
      </c>
      <c r="AJ2">
        <f t="shared" si="0"/>
        <v>2020</v>
      </c>
      <c r="AK2">
        <f t="shared" si="0"/>
        <v>2021</v>
      </c>
      <c r="AL2">
        <f t="shared" si="0"/>
        <v>2022</v>
      </c>
      <c r="AM2">
        <f t="shared" si="0"/>
        <v>2023</v>
      </c>
      <c r="AN2">
        <f t="shared" si="0"/>
        <v>2024</v>
      </c>
      <c r="AO2">
        <f t="shared" si="0"/>
        <v>2025</v>
      </c>
      <c r="AP2">
        <f t="shared" si="0"/>
        <v>2026</v>
      </c>
      <c r="AQ2">
        <f t="shared" si="0"/>
        <v>2027</v>
      </c>
      <c r="AR2">
        <f t="shared" si="0"/>
        <v>2028</v>
      </c>
      <c r="AS2">
        <f t="shared" si="0"/>
        <v>2029</v>
      </c>
      <c r="AT2">
        <f t="shared" si="0"/>
        <v>2030</v>
      </c>
      <c r="AU2">
        <f t="shared" si="0"/>
        <v>2031</v>
      </c>
      <c r="AV2">
        <f t="shared" si="0"/>
        <v>2032</v>
      </c>
      <c r="AW2">
        <f t="shared" si="0"/>
        <v>2033</v>
      </c>
      <c r="AX2">
        <f t="shared" si="0"/>
        <v>2034</v>
      </c>
      <c r="AY2">
        <f t="shared" si="0"/>
        <v>2035</v>
      </c>
      <c r="AZ2">
        <f t="shared" si="0"/>
        <v>2036</v>
      </c>
      <c r="BA2">
        <f t="shared" si="0"/>
        <v>2037</v>
      </c>
      <c r="BB2">
        <f t="shared" si="0"/>
        <v>2038</v>
      </c>
      <c r="BC2">
        <f t="shared" si="0"/>
        <v>2039</v>
      </c>
      <c r="BD2">
        <f t="shared" si="0"/>
        <v>2040</v>
      </c>
      <c r="BE2">
        <f t="shared" si="0"/>
        <v>2041</v>
      </c>
      <c r="BF2">
        <f t="shared" si="0"/>
        <v>2042</v>
      </c>
      <c r="BG2">
        <f t="shared" si="0"/>
        <v>2043</v>
      </c>
      <c r="BH2">
        <f t="shared" si="0"/>
        <v>2044</v>
      </c>
    </row>
    <row r="3" spans="1:60" s="1" customFormat="1" x14ac:dyDescent="0.2">
      <c r="B3" s="1" t="s">
        <v>40</v>
      </c>
      <c r="C3" s="18">
        <v>1074.0999999999999</v>
      </c>
      <c r="D3" s="18">
        <v>1160</v>
      </c>
      <c r="E3" s="18"/>
      <c r="F3" s="18"/>
      <c r="G3" s="18">
        <v>1172</v>
      </c>
      <c r="H3" s="18">
        <v>1114</v>
      </c>
      <c r="I3" s="18">
        <v>1318</v>
      </c>
      <c r="J3" s="18">
        <v>1343</v>
      </c>
      <c r="K3" s="18">
        <v>1347</v>
      </c>
      <c r="L3" s="18">
        <v>1425</v>
      </c>
      <c r="M3" s="18">
        <v>1473</v>
      </c>
      <c r="N3" s="18">
        <v>1547</v>
      </c>
      <c r="O3" s="18">
        <v>1518</v>
      </c>
      <c r="P3" s="18">
        <v>1621</v>
      </c>
      <c r="Q3" s="18">
        <v>1629</v>
      </c>
      <c r="R3" s="18">
        <f>+N3*1.1</f>
        <v>1701.7</v>
      </c>
      <c r="S3" s="18">
        <f t="shared" ref="S3:V3" si="1">+O3*1.1</f>
        <v>1669.8000000000002</v>
      </c>
      <c r="T3" s="18">
        <f t="shared" si="1"/>
        <v>1783.1000000000001</v>
      </c>
      <c r="U3" s="18">
        <f t="shared" si="1"/>
        <v>1791.9</v>
      </c>
      <c r="V3" s="18">
        <f t="shared" si="1"/>
        <v>1871.8700000000001</v>
      </c>
      <c r="AJ3" s="1">
        <f>SUM(G3:J3)</f>
        <v>4947</v>
      </c>
      <c r="AK3" s="1">
        <f>SUM(K3:N3)</f>
        <v>5792</v>
      </c>
      <c r="AL3" s="1">
        <f>SUM(O3:R3)</f>
        <v>6469.7</v>
      </c>
      <c r="AM3" s="1">
        <f>SUM(S3:V3)</f>
        <v>7116.670000000001</v>
      </c>
    </row>
    <row r="4" spans="1:60" s="1" customFormat="1" x14ac:dyDescent="0.2">
      <c r="B4" s="1" t="s">
        <v>223</v>
      </c>
      <c r="C4" s="18">
        <v>26.8</v>
      </c>
      <c r="D4" s="18">
        <v>40.799999999999997</v>
      </c>
      <c r="E4" s="18"/>
      <c r="F4" s="18"/>
      <c r="G4" s="18">
        <v>61.7</v>
      </c>
      <c r="H4" s="18">
        <v>63.3</v>
      </c>
      <c r="I4" s="18">
        <v>72</v>
      </c>
      <c r="J4" s="18">
        <v>74</v>
      </c>
      <c r="K4" s="18">
        <v>69</v>
      </c>
      <c r="L4" s="18">
        <v>78</v>
      </c>
      <c r="M4" s="18">
        <v>78</v>
      </c>
      <c r="N4" s="18">
        <v>81</v>
      </c>
      <c r="O4" s="18">
        <v>79</v>
      </c>
      <c r="P4" s="18">
        <v>91</v>
      </c>
      <c r="Q4" s="18">
        <f>95+31</f>
        <v>126</v>
      </c>
      <c r="R4" s="18">
        <f>+Q4+5</f>
        <v>131</v>
      </c>
      <c r="S4" s="1">
        <f>+R4+5</f>
        <v>136</v>
      </c>
      <c r="T4" s="1">
        <f>+S4+5</f>
        <v>141</v>
      </c>
      <c r="U4" s="1">
        <f>+T4+5</f>
        <v>146</v>
      </c>
      <c r="V4" s="1">
        <f>+U4+5</f>
        <v>151</v>
      </c>
      <c r="AJ4" s="1">
        <f t="shared" ref="AJ4:AJ18" si="2">SUM(G4:J4)</f>
        <v>271</v>
      </c>
      <c r="AK4" s="1">
        <f t="shared" ref="AK4:AK18" si="3">SUM(K4:N4)</f>
        <v>306</v>
      </c>
      <c r="AL4" s="1">
        <f t="shared" ref="AL4:AL18" si="4">SUM(O4:R4)</f>
        <v>427</v>
      </c>
      <c r="AM4" s="1">
        <f t="shared" ref="AM4:AM18" si="5">SUM(S4:V4)</f>
        <v>574</v>
      </c>
    </row>
    <row r="5" spans="1:60" s="1" customFormat="1" x14ac:dyDescent="0.2">
      <c r="B5" s="1" t="s">
        <v>224</v>
      </c>
      <c r="C5" s="18">
        <v>0</v>
      </c>
      <c r="D5" s="18">
        <v>26.5</v>
      </c>
      <c r="E5" s="18"/>
      <c r="F5" s="18"/>
      <c r="G5" s="18">
        <v>0</v>
      </c>
      <c r="H5" s="18">
        <v>47.2</v>
      </c>
      <c r="I5" s="18">
        <v>49</v>
      </c>
      <c r="J5" s="18">
        <v>55</v>
      </c>
      <c r="K5" s="18">
        <v>43</v>
      </c>
      <c r="L5" s="18">
        <v>42</v>
      </c>
      <c r="M5" s="18">
        <v>45</v>
      </c>
      <c r="N5" s="18">
        <v>40</v>
      </c>
      <c r="O5" s="18">
        <v>34</v>
      </c>
      <c r="P5" s="18">
        <v>31</v>
      </c>
      <c r="Q5" s="18">
        <v>30</v>
      </c>
      <c r="R5" s="18">
        <f t="shared" ref="R5" si="6">+N5*1.1</f>
        <v>44</v>
      </c>
      <c r="S5" s="1">
        <f>+R5+1</f>
        <v>45</v>
      </c>
      <c r="T5" s="1">
        <f>+S5+1</f>
        <v>46</v>
      </c>
      <c r="U5" s="1">
        <f>+T5+1</f>
        <v>47</v>
      </c>
      <c r="V5" s="1">
        <f>+U5+1</f>
        <v>48</v>
      </c>
      <c r="AJ5" s="1">
        <f t="shared" si="2"/>
        <v>151.19999999999999</v>
      </c>
      <c r="AK5" s="1">
        <f t="shared" si="3"/>
        <v>170</v>
      </c>
      <c r="AL5" s="1">
        <f t="shared" si="4"/>
        <v>139</v>
      </c>
      <c r="AM5" s="1">
        <f t="shared" si="5"/>
        <v>186</v>
      </c>
    </row>
    <row r="6" spans="1:60" s="1" customFormat="1" x14ac:dyDescent="0.2">
      <c r="B6" s="1" t="s">
        <v>264</v>
      </c>
      <c r="C6" s="18">
        <v>0</v>
      </c>
      <c r="D6" s="18">
        <v>0</v>
      </c>
      <c r="E6" s="18"/>
      <c r="F6" s="18"/>
      <c r="G6" s="18">
        <v>0</v>
      </c>
      <c r="H6" s="18">
        <v>0</v>
      </c>
      <c r="I6" s="18">
        <v>40</v>
      </c>
      <c r="J6" s="18">
        <v>146</v>
      </c>
      <c r="K6" s="18">
        <v>262</v>
      </c>
      <c r="L6" s="18">
        <v>2591</v>
      </c>
      <c r="M6" s="18">
        <v>677</v>
      </c>
      <c r="N6" s="18">
        <v>2298</v>
      </c>
      <c r="O6" s="18">
        <v>0</v>
      </c>
      <c r="P6" s="18">
        <v>0</v>
      </c>
      <c r="Q6" s="18">
        <v>3</v>
      </c>
      <c r="R6" s="18">
        <f>+Q6</f>
        <v>3</v>
      </c>
      <c r="S6" s="18">
        <f>+R6</f>
        <v>3</v>
      </c>
      <c r="T6" s="18">
        <f>+S6</f>
        <v>3</v>
      </c>
      <c r="U6" s="18">
        <f>+T6</f>
        <v>3</v>
      </c>
      <c r="V6" s="18">
        <f>+U6</f>
        <v>3</v>
      </c>
      <c r="AJ6" s="1">
        <f t="shared" si="2"/>
        <v>186</v>
      </c>
      <c r="AK6" s="1">
        <f t="shared" si="3"/>
        <v>5828</v>
      </c>
      <c r="AL6" s="1">
        <f t="shared" si="4"/>
        <v>6</v>
      </c>
      <c r="AM6" s="1">
        <f t="shared" si="5"/>
        <v>12</v>
      </c>
    </row>
    <row r="7" spans="1:60" s="1" customFormat="1" x14ac:dyDescent="0.2">
      <c r="B7" s="1" t="s">
        <v>225</v>
      </c>
      <c r="C7" s="18">
        <v>0</v>
      </c>
      <c r="D7" s="18">
        <v>0</v>
      </c>
      <c r="E7" s="18"/>
      <c r="F7" s="18"/>
      <c r="G7" s="18">
        <v>0</v>
      </c>
      <c r="H7" s="18">
        <v>0</v>
      </c>
      <c r="I7" s="18">
        <v>0</v>
      </c>
      <c r="J7" s="18">
        <v>0</v>
      </c>
      <c r="K7" s="18">
        <v>1</v>
      </c>
      <c r="L7" s="18">
        <v>2</v>
      </c>
      <c r="M7" s="18">
        <v>7</v>
      </c>
      <c r="N7" s="18">
        <v>9</v>
      </c>
      <c r="O7" s="18">
        <v>8</v>
      </c>
      <c r="P7" s="18">
        <v>11</v>
      </c>
      <c r="Q7" s="18">
        <v>14</v>
      </c>
      <c r="R7" s="18">
        <f>+Q7+2</f>
        <v>16</v>
      </c>
      <c r="S7" s="1">
        <f>+R7+1</f>
        <v>17</v>
      </c>
      <c r="T7" s="1">
        <f>+S7+1</f>
        <v>18</v>
      </c>
      <c r="U7" s="1">
        <f>+T7+1</f>
        <v>19</v>
      </c>
      <c r="V7" s="1">
        <f>+U7+1</f>
        <v>20</v>
      </c>
      <c r="AJ7" s="1">
        <f t="shared" si="2"/>
        <v>0</v>
      </c>
      <c r="AK7" s="1">
        <f t="shared" si="3"/>
        <v>19</v>
      </c>
      <c r="AL7" s="1">
        <f t="shared" si="4"/>
        <v>49</v>
      </c>
      <c r="AM7" s="1">
        <f t="shared" si="5"/>
        <v>74</v>
      </c>
    </row>
    <row r="8" spans="1:60" s="1" customFormat="1" x14ac:dyDescent="0.2">
      <c r="B8" s="1" t="s">
        <v>247</v>
      </c>
      <c r="C8" s="18">
        <v>3.5</v>
      </c>
      <c r="D8" s="18">
        <v>4.2</v>
      </c>
      <c r="E8" s="18"/>
      <c r="F8" s="18"/>
      <c r="G8" s="18">
        <v>3</v>
      </c>
      <c r="H8" s="18">
        <v>2.7</v>
      </c>
      <c r="I8" s="18">
        <v>3</v>
      </c>
      <c r="J8" s="18">
        <v>4</v>
      </c>
      <c r="K8" s="18">
        <v>3</v>
      </c>
      <c r="L8" s="18">
        <v>0</v>
      </c>
      <c r="M8" s="18">
        <v>0</v>
      </c>
      <c r="N8" s="18">
        <v>0</v>
      </c>
      <c r="O8" s="18">
        <v>0</v>
      </c>
      <c r="P8" s="18">
        <v>0</v>
      </c>
      <c r="Q8" s="18">
        <v>0</v>
      </c>
      <c r="R8" s="18">
        <v>0</v>
      </c>
      <c r="S8" s="18">
        <v>0</v>
      </c>
      <c r="T8" s="18">
        <v>0</v>
      </c>
      <c r="U8" s="18">
        <v>0</v>
      </c>
      <c r="V8" s="18">
        <v>0</v>
      </c>
      <c r="AJ8" s="1">
        <f t="shared" si="2"/>
        <v>12.7</v>
      </c>
      <c r="AK8" s="1">
        <f t="shared" si="3"/>
        <v>3</v>
      </c>
      <c r="AL8" s="1">
        <f t="shared" si="4"/>
        <v>0</v>
      </c>
      <c r="AM8" s="1">
        <f t="shared" si="5"/>
        <v>0</v>
      </c>
    </row>
    <row r="9" spans="1:60" s="1" customFormat="1" x14ac:dyDescent="0.2">
      <c r="B9" s="1" t="s">
        <v>21</v>
      </c>
      <c r="C9" s="18">
        <f t="shared" ref="C9:D9" si="7">SUM(C10:C12)</f>
        <v>0</v>
      </c>
      <c r="D9" s="18">
        <f t="shared" si="7"/>
        <v>0</v>
      </c>
      <c r="E9" s="18"/>
      <c r="F9" s="18"/>
      <c r="G9" s="18">
        <f t="shared" ref="G9:M9" si="8">SUM(G10:G12)</f>
        <v>246.9</v>
      </c>
      <c r="H9" s="18">
        <f t="shared" si="8"/>
        <v>269.10000000000002</v>
      </c>
      <c r="I9" s="18">
        <f t="shared" si="8"/>
        <v>353.3</v>
      </c>
      <c r="J9" s="18">
        <f t="shared" si="8"/>
        <v>317.10000000000002</v>
      </c>
      <c r="K9" s="18">
        <f t="shared" si="8"/>
        <v>364.80000000000007</v>
      </c>
      <c r="L9" s="18">
        <f t="shared" si="8"/>
        <v>437.7</v>
      </c>
      <c r="M9" s="18">
        <f t="shared" si="8"/>
        <v>581.80000000000007</v>
      </c>
      <c r="N9" s="18">
        <f>SUM(N10:N12)</f>
        <v>517.9</v>
      </c>
      <c r="O9" s="18">
        <f>SUM(O10:O12)</f>
        <v>630.9</v>
      </c>
      <c r="P9" s="18">
        <f>SUM(P10:P12)</f>
        <v>677.5</v>
      </c>
      <c r="Q9" s="18">
        <f>SUM(Q10:Q12)</f>
        <v>711.4</v>
      </c>
      <c r="R9" s="18">
        <f>+N9*1.4</f>
        <v>725.06</v>
      </c>
      <c r="S9" s="18">
        <f>+O9*1.3</f>
        <v>820.17</v>
      </c>
      <c r="T9" s="18">
        <f>+P9*1.3</f>
        <v>880.75</v>
      </c>
      <c r="U9" s="18">
        <f>+Q9*1.2</f>
        <v>853.68</v>
      </c>
      <c r="V9" s="18">
        <f>+R9*1.2</f>
        <v>870.07199999999989</v>
      </c>
      <c r="AJ9" s="1">
        <f t="shared" si="2"/>
        <v>1186.4000000000001</v>
      </c>
      <c r="AK9" s="1">
        <f t="shared" si="3"/>
        <v>1902.2000000000003</v>
      </c>
      <c r="AL9" s="1">
        <f t="shared" si="4"/>
        <v>2744.86</v>
      </c>
      <c r="AM9" s="1">
        <f t="shared" si="5"/>
        <v>3424.6719999999996</v>
      </c>
    </row>
    <row r="10" spans="1:60" s="1" customFormat="1" x14ac:dyDescent="0.2">
      <c r="B10" s="1" t="s">
        <v>241</v>
      </c>
      <c r="C10" s="18"/>
      <c r="D10" s="18"/>
      <c r="E10" s="18"/>
      <c r="F10" s="18"/>
      <c r="G10" s="18">
        <v>170.9</v>
      </c>
      <c r="H10" s="18">
        <v>171.9</v>
      </c>
      <c r="I10" s="18">
        <v>212.8</v>
      </c>
      <c r="J10" s="18">
        <v>229.6</v>
      </c>
      <c r="K10" s="18">
        <v>260.60000000000002</v>
      </c>
      <c r="L10" s="18">
        <v>327.60000000000002</v>
      </c>
      <c r="M10" s="18">
        <v>387</v>
      </c>
      <c r="N10" s="18">
        <v>387.8</v>
      </c>
      <c r="O10" s="18">
        <v>415.3</v>
      </c>
      <c r="P10" s="18">
        <v>496.6</v>
      </c>
      <c r="Q10" s="18">
        <v>551.1</v>
      </c>
      <c r="R10" s="18"/>
      <c r="AJ10" s="1">
        <f t="shared" si="2"/>
        <v>785.2</v>
      </c>
      <c r="AK10" s="1">
        <f t="shared" si="3"/>
        <v>1363</v>
      </c>
      <c r="AL10" s="1">
        <f t="shared" si="4"/>
        <v>1463</v>
      </c>
      <c r="AM10" s="1">
        <f t="shared" si="5"/>
        <v>0</v>
      </c>
    </row>
    <row r="11" spans="1:60" s="1" customFormat="1" x14ac:dyDescent="0.2">
      <c r="B11" s="1" t="s">
        <v>242</v>
      </c>
      <c r="C11" s="18"/>
      <c r="D11" s="18"/>
      <c r="E11" s="18"/>
      <c r="F11" s="18"/>
      <c r="G11" s="18">
        <v>80.099999999999994</v>
      </c>
      <c r="H11" s="18">
        <v>100.6</v>
      </c>
      <c r="I11" s="18">
        <v>94.3</v>
      </c>
      <c r="J11" s="18">
        <v>93</v>
      </c>
      <c r="K11" s="18">
        <v>105.6</v>
      </c>
      <c r="L11" s="18">
        <v>110.9</v>
      </c>
      <c r="M11" s="18">
        <v>144.69999999999999</v>
      </c>
      <c r="N11" s="18">
        <v>127.6</v>
      </c>
      <c r="O11" s="18">
        <v>160.80000000000001</v>
      </c>
      <c r="P11" s="18">
        <v>145.5</v>
      </c>
      <c r="Q11" s="18">
        <v>160.5</v>
      </c>
      <c r="R11" s="18"/>
      <c r="AJ11" s="1">
        <f t="shared" si="2"/>
        <v>368</v>
      </c>
      <c r="AK11" s="1">
        <f t="shared" si="3"/>
        <v>488.79999999999995</v>
      </c>
      <c r="AL11" s="1">
        <f t="shared" si="4"/>
        <v>466.8</v>
      </c>
      <c r="AM11" s="1">
        <f t="shared" si="5"/>
        <v>0</v>
      </c>
    </row>
    <row r="12" spans="1:60" s="1" customFormat="1" x14ac:dyDescent="0.2">
      <c r="B12" s="1" t="s">
        <v>243</v>
      </c>
      <c r="C12" s="18"/>
      <c r="D12" s="18"/>
      <c r="E12" s="18"/>
      <c r="F12" s="18"/>
      <c r="G12" s="18">
        <f>-6.2+2.1</f>
        <v>-4.0999999999999996</v>
      </c>
      <c r="H12" s="18">
        <f>-6.4+3</f>
        <v>-3.4000000000000004</v>
      </c>
      <c r="I12" s="18">
        <f>50-4.7+0.9</f>
        <v>46.199999999999996</v>
      </c>
      <c r="J12" s="18">
        <f>-8.4+2.9</f>
        <v>-5.5</v>
      </c>
      <c r="K12" s="18">
        <f>-6.1+4.7</f>
        <v>-1.3999999999999995</v>
      </c>
      <c r="L12" s="18">
        <f>-3.5+2.7</f>
        <v>-0.79999999999999982</v>
      </c>
      <c r="M12" s="18">
        <f>50+3.1-3</f>
        <v>50.1</v>
      </c>
      <c r="N12" s="18">
        <f>-1+3.5</f>
        <v>2.5</v>
      </c>
      <c r="O12" s="18">
        <f>50+2.8+2</f>
        <v>54.8</v>
      </c>
      <c r="P12" s="18">
        <f>28.9+3.9+2.6</f>
        <v>35.4</v>
      </c>
      <c r="Q12" s="18">
        <v>-0.2</v>
      </c>
      <c r="R12" s="18"/>
      <c r="AJ12" s="1">
        <f t="shared" si="2"/>
        <v>33.199999999999996</v>
      </c>
      <c r="AK12" s="1">
        <f t="shared" si="3"/>
        <v>50.400000000000006</v>
      </c>
      <c r="AL12" s="1">
        <f t="shared" si="4"/>
        <v>89.999999999999986</v>
      </c>
      <c r="AM12" s="1">
        <f t="shared" si="5"/>
        <v>0</v>
      </c>
    </row>
    <row r="13" spans="1:60" s="1" customFormat="1" x14ac:dyDescent="0.2">
      <c r="B13" s="1" t="s">
        <v>244</v>
      </c>
      <c r="C13" s="18"/>
      <c r="D13" s="18">
        <v>557.29999999999995</v>
      </c>
      <c r="E13" s="18"/>
      <c r="F13" s="18"/>
      <c r="G13" s="18">
        <v>855</v>
      </c>
      <c r="H13" s="18">
        <v>945</v>
      </c>
      <c r="I13" s="18">
        <v>1072.5999999999999</v>
      </c>
      <c r="J13" s="18">
        <v>1172</v>
      </c>
      <c r="K13" s="18">
        <v>1262.9000000000001</v>
      </c>
      <c r="L13" s="18">
        <v>1499</v>
      </c>
      <c r="M13" s="18">
        <v>1662.9</v>
      </c>
      <c r="N13" s="18">
        <v>1773.8</v>
      </c>
      <c r="O13" s="18">
        <v>1810.4</v>
      </c>
      <c r="P13" s="18">
        <v>2091.8000000000002</v>
      </c>
      <c r="Q13" s="18">
        <v>2330.1</v>
      </c>
      <c r="R13" s="18"/>
      <c r="AJ13" s="1">
        <f t="shared" si="2"/>
        <v>4044.6</v>
      </c>
      <c r="AK13" s="1">
        <f t="shared" si="3"/>
        <v>6198.6</v>
      </c>
      <c r="AL13" s="1">
        <f t="shared" si="4"/>
        <v>6232.3</v>
      </c>
      <c r="AM13" s="1">
        <f t="shared" si="5"/>
        <v>0</v>
      </c>
    </row>
    <row r="14" spans="1:60" s="1" customFormat="1" x14ac:dyDescent="0.2">
      <c r="B14" s="1" t="s">
        <v>245</v>
      </c>
      <c r="C14" s="18"/>
      <c r="D14" s="18">
        <v>73.7</v>
      </c>
      <c r="E14" s="18"/>
      <c r="F14" s="18"/>
      <c r="G14" s="18"/>
      <c r="H14" s="18">
        <v>86.6</v>
      </c>
      <c r="I14" s="18">
        <v>91.5</v>
      </c>
      <c r="J14" s="18">
        <v>100.9</v>
      </c>
      <c r="K14" s="18">
        <v>104.6</v>
      </c>
      <c r="L14" s="18">
        <v>99.4</v>
      </c>
      <c r="M14" s="18">
        <v>114.5</v>
      </c>
      <c r="N14" s="18">
        <v>102.6</v>
      </c>
      <c r="O14" s="18">
        <v>111.4</v>
      </c>
      <c r="P14" s="18">
        <v>108.9</v>
      </c>
      <c r="Q14" s="18">
        <v>113.7</v>
      </c>
      <c r="R14" s="18"/>
      <c r="AJ14" s="1">
        <f t="shared" si="2"/>
        <v>279</v>
      </c>
      <c r="AK14" s="1">
        <f t="shared" si="3"/>
        <v>421.1</v>
      </c>
      <c r="AL14" s="1">
        <f t="shared" si="4"/>
        <v>334</v>
      </c>
      <c r="AM14" s="1">
        <f t="shared" si="5"/>
        <v>0</v>
      </c>
    </row>
    <row r="15" spans="1:60" s="1" customFormat="1" x14ac:dyDescent="0.2">
      <c r="B15" s="1" t="s">
        <v>246</v>
      </c>
      <c r="C15" s="18"/>
      <c r="D15" s="18">
        <v>58.5</v>
      </c>
      <c r="E15" s="18"/>
      <c r="F15" s="18"/>
      <c r="G15" s="18"/>
      <c r="H15" s="18">
        <v>68.3</v>
      </c>
      <c r="I15" s="18">
        <v>70</v>
      </c>
      <c r="J15" s="18">
        <v>71.5</v>
      </c>
      <c r="K15" s="18">
        <v>69.099999999999994</v>
      </c>
      <c r="L15" s="18">
        <v>66.7</v>
      </c>
      <c r="M15" s="18">
        <v>97.8</v>
      </c>
      <c r="N15" s="18">
        <v>103.9</v>
      </c>
      <c r="O15" s="18">
        <v>106.4</v>
      </c>
      <c r="P15" s="18">
        <v>82.3</v>
      </c>
      <c r="Q15" s="18">
        <v>88.1</v>
      </c>
      <c r="R15" s="18"/>
      <c r="AJ15" s="1">
        <f t="shared" si="2"/>
        <v>209.8</v>
      </c>
      <c r="AK15" s="1">
        <f t="shared" si="3"/>
        <v>337.5</v>
      </c>
      <c r="AL15" s="1">
        <f t="shared" si="4"/>
        <v>276.79999999999995</v>
      </c>
      <c r="AM15" s="1">
        <f t="shared" si="5"/>
        <v>0</v>
      </c>
    </row>
    <row r="16" spans="1:60" s="1" customFormat="1" x14ac:dyDescent="0.2">
      <c r="B16" s="1" t="s">
        <v>226</v>
      </c>
      <c r="C16" s="18">
        <v>264</v>
      </c>
      <c r="D16" s="18"/>
      <c r="E16" s="18"/>
      <c r="F16" s="18"/>
      <c r="G16" s="18">
        <v>281.39999999999998</v>
      </c>
      <c r="H16" s="18">
        <v>244.2</v>
      </c>
      <c r="I16" s="18">
        <v>299.89999999999998</v>
      </c>
      <c r="J16" s="18">
        <v>360.6</v>
      </c>
      <c r="K16" s="18">
        <v>322.8</v>
      </c>
      <c r="L16" s="18">
        <v>349</v>
      </c>
      <c r="M16" s="18">
        <v>365</v>
      </c>
      <c r="N16" s="18">
        <v>372.4</v>
      </c>
      <c r="O16" s="18">
        <v>385.3</v>
      </c>
      <c r="P16" s="18">
        <v>358</v>
      </c>
      <c r="Q16" s="18">
        <v>333</v>
      </c>
      <c r="R16" s="18">
        <f>+N16*1.01</f>
        <v>376.12399999999997</v>
      </c>
      <c r="S16" s="18">
        <f t="shared" ref="S16:V16" si="9">+O16*1.01</f>
        <v>389.15300000000002</v>
      </c>
      <c r="T16" s="18">
        <f t="shared" si="9"/>
        <v>361.58</v>
      </c>
      <c r="U16" s="18">
        <f t="shared" si="9"/>
        <v>336.33</v>
      </c>
      <c r="V16" s="18">
        <f t="shared" si="9"/>
        <v>379.88523999999995</v>
      </c>
      <c r="AJ16" s="1">
        <f t="shared" si="2"/>
        <v>1186.0999999999999</v>
      </c>
      <c r="AK16" s="1">
        <f t="shared" si="3"/>
        <v>1409.1999999999998</v>
      </c>
      <c r="AL16" s="1">
        <f t="shared" si="4"/>
        <v>1452.424</v>
      </c>
      <c r="AM16" s="1">
        <f t="shared" si="5"/>
        <v>1466.9482399999997</v>
      </c>
    </row>
    <row r="17" spans="2:39" s="1" customFormat="1" x14ac:dyDescent="0.2">
      <c r="B17" s="1" t="s">
        <v>227</v>
      </c>
      <c r="C17" s="18">
        <v>0</v>
      </c>
      <c r="D17" s="18">
        <v>0</v>
      </c>
      <c r="E17" s="18">
        <v>0</v>
      </c>
      <c r="F17" s="18">
        <v>0</v>
      </c>
      <c r="G17" s="18">
        <v>0</v>
      </c>
      <c r="H17" s="18">
        <v>0</v>
      </c>
      <c r="I17" s="18">
        <v>0</v>
      </c>
      <c r="J17" s="18">
        <v>0</v>
      </c>
      <c r="K17" s="18">
        <v>66.8</v>
      </c>
      <c r="L17" s="18">
        <v>168</v>
      </c>
      <c r="M17" s="18">
        <v>127.1</v>
      </c>
      <c r="N17" s="18">
        <v>0</v>
      </c>
      <c r="O17" s="18">
        <v>216.3</v>
      </c>
      <c r="P17" s="18">
        <v>8</v>
      </c>
      <c r="Q17" s="18">
        <v>6</v>
      </c>
      <c r="R17" s="18">
        <f t="shared" ref="R17:R18" si="10">+N17*1.1</f>
        <v>0</v>
      </c>
      <c r="S17" s="1">
        <f t="shared" ref="S17:V17" si="11">AVERAGE(O17:R17)</f>
        <v>57.575000000000003</v>
      </c>
      <c r="T17" s="1">
        <f t="shared" si="11"/>
        <v>17.893750000000001</v>
      </c>
      <c r="U17" s="1">
        <f t="shared" si="11"/>
        <v>20.3671875</v>
      </c>
      <c r="V17" s="1">
        <f t="shared" si="11"/>
        <v>23.958984375</v>
      </c>
      <c r="AJ17" s="1">
        <f t="shared" si="2"/>
        <v>0</v>
      </c>
      <c r="AK17" s="1">
        <f t="shared" si="3"/>
        <v>361.9</v>
      </c>
      <c r="AL17" s="1">
        <f t="shared" si="4"/>
        <v>230.3</v>
      </c>
      <c r="AM17" s="1">
        <f t="shared" si="5"/>
        <v>119.794921875</v>
      </c>
    </row>
    <row r="18" spans="2:39" s="1" customFormat="1" x14ac:dyDescent="0.2">
      <c r="B18" s="1" t="s">
        <v>228</v>
      </c>
      <c r="C18" s="18">
        <v>22.2</v>
      </c>
      <c r="D18" s="18"/>
      <c r="E18" s="18"/>
      <c r="F18" s="18"/>
      <c r="G18" s="18">
        <v>63.2</v>
      </c>
      <c r="H18" s="18">
        <v>211.8</v>
      </c>
      <c r="I18" s="18">
        <v>158.6</v>
      </c>
      <c r="J18" s="18"/>
      <c r="K18" s="18">
        <v>50</v>
      </c>
      <c r="L18" s="18">
        <v>46</v>
      </c>
      <c r="M18" s="18">
        <v>99</v>
      </c>
      <c r="N18" s="18">
        <v>86.2</v>
      </c>
      <c r="O18" s="18">
        <v>94</v>
      </c>
      <c r="P18" s="18">
        <v>59</v>
      </c>
      <c r="Q18" s="18">
        <v>84</v>
      </c>
      <c r="R18" s="18">
        <f t="shared" si="10"/>
        <v>94.820000000000007</v>
      </c>
      <c r="S18" s="1">
        <f>AVERAGE(O18:R18)</f>
        <v>82.954999999999998</v>
      </c>
      <c r="T18" s="1">
        <f t="shared" ref="T18:V18" si="12">AVERAGE(P18:S18)</f>
        <v>80.193749999999994</v>
      </c>
      <c r="U18" s="1">
        <f t="shared" si="12"/>
        <v>85.4921875</v>
      </c>
      <c r="V18" s="1">
        <f t="shared" si="12"/>
        <v>85.865234375</v>
      </c>
      <c r="AJ18" s="1">
        <f t="shared" si="2"/>
        <v>433.6</v>
      </c>
      <c r="AK18" s="1">
        <f t="shared" si="3"/>
        <v>281.2</v>
      </c>
      <c r="AL18" s="1">
        <f t="shared" si="4"/>
        <v>331.82</v>
      </c>
      <c r="AM18" s="1">
        <f t="shared" si="5"/>
        <v>334.50617187500001</v>
      </c>
    </row>
    <row r="19" spans="2:39" s="20" customFormat="1" x14ac:dyDescent="0.2">
      <c r="B19" s="20" t="s">
        <v>229</v>
      </c>
      <c r="C19" s="21">
        <f t="shared" ref="C19:D19" si="13">SUM(C3:C9)+C16+C17+C18</f>
        <v>1390.6</v>
      </c>
      <c r="D19" s="21">
        <f t="shared" si="13"/>
        <v>1231.5</v>
      </c>
      <c r="E19" s="21"/>
      <c r="F19" s="21"/>
      <c r="G19" s="21">
        <f t="shared" ref="G19:J19" si="14">SUM(G3:G9)+G16+G17+G18</f>
        <v>1828.2</v>
      </c>
      <c r="H19" s="21">
        <f t="shared" si="14"/>
        <v>1952.3000000000002</v>
      </c>
      <c r="I19" s="21">
        <f t="shared" si="14"/>
        <v>2293.7999999999997</v>
      </c>
      <c r="J19" s="21">
        <f t="shared" si="14"/>
        <v>2299.6999999999998</v>
      </c>
      <c r="K19" s="21">
        <f t="shared" ref="K19:P19" si="15">SUM(K3:K9)+K16+K17+K18</f>
        <v>2529.4000000000005</v>
      </c>
      <c r="L19" s="21">
        <f t="shared" si="15"/>
        <v>5138.7</v>
      </c>
      <c r="M19" s="21">
        <f>SUM(M3:M9)+M16+M17+M18</f>
        <v>3452.9</v>
      </c>
      <c r="N19" s="21">
        <f t="shared" si="15"/>
        <v>4951.4999999999991</v>
      </c>
      <c r="O19" s="21">
        <f t="shared" si="15"/>
        <v>2965.5000000000005</v>
      </c>
      <c r="P19" s="21">
        <f t="shared" si="15"/>
        <v>2856.5</v>
      </c>
      <c r="Q19" s="21">
        <f t="shared" ref="Q19:V19" si="16">SUM(Q3:Q9)+Q16+Q17+Q18</f>
        <v>2936.4</v>
      </c>
      <c r="R19" s="21">
        <f t="shared" si="16"/>
        <v>3091.7040000000002</v>
      </c>
      <c r="S19" s="21">
        <f t="shared" si="16"/>
        <v>3220.6530000000002</v>
      </c>
      <c r="T19" s="21">
        <f t="shared" si="16"/>
        <v>3331.5175000000004</v>
      </c>
      <c r="U19" s="21">
        <f t="shared" si="16"/>
        <v>3302.7693749999999</v>
      </c>
      <c r="V19" s="21">
        <f t="shared" si="16"/>
        <v>3453.6514587500001</v>
      </c>
      <c r="AJ19" s="21">
        <f t="shared" ref="AJ19:AM19" si="17">SUM(AJ3:AJ9)+AJ16+AJ17+AJ18</f>
        <v>8374</v>
      </c>
      <c r="AK19" s="21">
        <f t="shared" si="17"/>
        <v>16072.500000000002</v>
      </c>
      <c r="AL19" s="21">
        <f t="shared" si="17"/>
        <v>11850.103999999999</v>
      </c>
      <c r="AM19" s="21">
        <f t="shared" si="17"/>
        <v>13308.591333750001</v>
      </c>
    </row>
    <row r="20" spans="2:39" s="1" customFormat="1" x14ac:dyDescent="0.2">
      <c r="B20" s="1" t="s">
        <v>230</v>
      </c>
      <c r="C20" s="18"/>
      <c r="D20" s="18">
        <v>58.2</v>
      </c>
      <c r="E20" s="18"/>
      <c r="F20" s="18"/>
      <c r="G20" s="18">
        <f>78.8+138.5</f>
        <v>217.3</v>
      </c>
      <c r="H20" s="18">
        <f>93.2+173</f>
        <v>266.2</v>
      </c>
      <c r="I20" s="18">
        <v>122</v>
      </c>
      <c r="J20" s="18">
        <f>166+173.5</f>
        <v>339.5</v>
      </c>
      <c r="K20" s="18">
        <f>183.2+124.8</f>
        <v>308</v>
      </c>
      <c r="L20" s="18">
        <f>539.4+154.3</f>
        <v>693.7</v>
      </c>
      <c r="M20" s="18">
        <v>224</v>
      </c>
      <c r="N20" s="18">
        <f>559+170.9</f>
        <v>729.9</v>
      </c>
      <c r="O20" s="18">
        <f>207.3+197.6</f>
        <v>404.9</v>
      </c>
      <c r="P20" s="18">
        <f>149.2+147.9</f>
        <v>297.10000000000002</v>
      </c>
      <c r="Q20" s="18">
        <v>109</v>
      </c>
      <c r="R20" s="18">
        <f>+R19-R21</f>
        <v>309.17039999999997</v>
      </c>
      <c r="S20" s="18">
        <f t="shared" ref="S20:V20" si="18">+S19-S21</f>
        <v>322.06529999999975</v>
      </c>
      <c r="T20" s="18">
        <f t="shared" si="18"/>
        <v>333.15174999999999</v>
      </c>
      <c r="U20" s="18">
        <f t="shared" si="18"/>
        <v>330.2769374999998</v>
      </c>
      <c r="V20" s="18">
        <f t="shared" si="18"/>
        <v>345.36514587500005</v>
      </c>
      <c r="AJ20" s="1">
        <f t="shared" ref="AJ20" si="19">SUM(G20:J20)</f>
        <v>945</v>
      </c>
      <c r="AK20" s="1">
        <f t="shared" ref="AK20" si="20">SUM(K20:N20)</f>
        <v>1955.6</v>
      </c>
      <c r="AL20" s="1">
        <f t="shared" ref="AL20" si="21">SUM(O20:R20)</f>
        <v>1120.1704</v>
      </c>
      <c r="AM20" s="1">
        <f t="shared" ref="AM20" si="22">SUM(S20:V20)</f>
        <v>1330.8591333749996</v>
      </c>
    </row>
    <row r="21" spans="2:39" s="1" customFormat="1" x14ac:dyDescent="0.2">
      <c r="B21" s="1" t="s">
        <v>231</v>
      </c>
      <c r="C21" s="18"/>
      <c r="D21" s="18"/>
      <c r="E21" s="18"/>
      <c r="F21" s="18"/>
      <c r="G21" s="18">
        <f t="shared" ref="G21" si="23">+G19-G20</f>
        <v>1610.9</v>
      </c>
      <c r="H21" s="18">
        <f t="shared" ref="H21:P21" si="24">+H19-H20</f>
        <v>1686.1000000000001</v>
      </c>
      <c r="I21" s="18">
        <f t="shared" si="24"/>
        <v>2171.7999999999997</v>
      </c>
      <c r="J21" s="18">
        <f t="shared" si="24"/>
        <v>1960.1999999999998</v>
      </c>
      <c r="K21" s="18">
        <f t="shared" si="24"/>
        <v>2221.4000000000005</v>
      </c>
      <c r="L21" s="18">
        <f t="shared" si="24"/>
        <v>4445</v>
      </c>
      <c r="M21" s="18">
        <f t="shared" si="24"/>
        <v>3228.9</v>
      </c>
      <c r="N21" s="18">
        <f t="shared" si="24"/>
        <v>4221.5999999999995</v>
      </c>
      <c r="O21" s="18">
        <f t="shared" si="24"/>
        <v>2560.6000000000004</v>
      </c>
      <c r="P21" s="18">
        <f t="shared" si="24"/>
        <v>2559.4</v>
      </c>
      <c r="Q21" s="18">
        <f>+Q19-Q20</f>
        <v>2827.4</v>
      </c>
      <c r="R21" s="18">
        <f>+R19*0.9</f>
        <v>2782.5336000000002</v>
      </c>
      <c r="S21" s="18">
        <f t="shared" ref="S21:V21" si="25">+S19*0.9</f>
        <v>2898.5877000000005</v>
      </c>
      <c r="T21" s="18">
        <f t="shared" si="25"/>
        <v>2998.3657500000004</v>
      </c>
      <c r="U21" s="18">
        <f t="shared" si="25"/>
        <v>2972.4924375000001</v>
      </c>
      <c r="V21" s="18">
        <f t="shared" si="25"/>
        <v>3108.286312875</v>
      </c>
      <c r="AJ21" s="1">
        <f>+AJ19-AJ20</f>
        <v>7429</v>
      </c>
      <c r="AK21" s="1">
        <f t="shared" ref="AK21:AM21" si="26">+AK19-AK20</f>
        <v>14116.900000000001</v>
      </c>
      <c r="AL21" s="1">
        <f t="shared" si="26"/>
        <v>10729.9336</v>
      </c>
      <c r="AM21" s="1">
        <f t="shared" si="26"/>
        <v>11977.732200375001</v>
      </c>
    </row>
    <row r="22" spans="2:39" s="1" customFormat="1" x14ac:dyDescent="0.2">
      <c r="B22" s="1" t="s">
        <v>232</v>
      </c>
      <c r="C22" s="18"/>
      <c r="D22" s="18">
        <v>426.2</v>
      </c>
      <c r="E22" s="18"/>
      <c r="F22" s="18"/>
      <c r="G22" s="18">
        <v>583.9</v>
      </c>
      <c r="H22" s="18">
        <v>580.1</v>
      </c>
      <c r="I22" s="18">
        <v>629</v>
      </c>
      <c r="J22" s="18">
        <v>675</v>
      </c>
      <c r="K22" s="18">
        <v>742.9</v>
      </c>
      <c r="L22" s="18">
        <v>714.2</v>
      </c>
      <c r="M22" s="18">
        <v>592</v>
      </c>
      <c r="N22" s="18">
        <v>639</v>
      </c>
      <c r="O22" s="18">
        <v>843.8</v>
      </c>
      <c r="P22" s="18">
        <f>794.3-14.6</f>
        <v>779.69999999999993</v>
      </c>
      <c r="Q22" s="18">
        <v>817</v>
      </c>
      <c r="R22" s="18"/>
      <c r="AJ22" s="1">
        <f t="shared" ref="AJ22:AJ23" si="27">SUM(G22:J22)</f>
        <v>2468</v>
      </c>
      <c r="AK22" s="1">
        <f t="shared" ref="AK22:AK23" si="28">SUM(K22:N22)</f>
        <v>2688.1</v>
      </c>
      <c r="AL22" s="1">
        <f t="shared" ref="AL22:AL23" si="29">SUM(O22:R22)</f>
        <v>2440.5</v>
      </c>
      <c r="AM22" s="1">
        <f t="shared" ref="AM22:AM23" si="30">SUM(S22:V22)</f>
        <v>0</v>
      </c>
    </row>
    <row r="23" spans="2:39" s="1" customFormat="1" x14ac:dyDescent="0.2">
      <c r="B23" s="1" t="s">
        <v>233</v>
      </c>
      <c r="C23" s="18"/>
      <c r="D23" s="18">
        <v>251.9</v>
      </c>
      <c r="E23" s="18"/>
      <c r="F23" s="18"/>
      <c r="G23" s="18">
        <f>367.3-20.2</f>
        <v>347.1</v>
      </c>
      <c r="H23" s="18">
        <v>301.39999999999998</v>
      </c>
      <c r="I23" s="18">
        <v>291</v>
      </c>
      <c r="J23" s="18">
        <v>381</v>
      </c>
      <c r="K23" s="18">
        <v>405.6</v>
      </c>
      <c r="L23" s="18">
        <v>414.7</v>
      </c>
      <c r="M23" s="18">
        <v>391</v>
      </c>
      <c r="N23" s="18">
        <v>495</v>
      </c>
      <c r="O23" s="18">
        <v>450</v>
      </c>
      <c r="P23" s="18">
        <f>476.3-1.1</f>
        <v>475.2</v>
      </c>
      <c r="Q23" s="18">
        <v>467</v>
      </c>
      <c r="R23" s="18">
        <f>+N23</f>
        <v>495</v>
      </c>
      <c r="S23" s="18">
        <f t="shared" ref="S23:V23" si="31">+O23</f>
        <v>450</v>
      </c>
      <c r="T23" s="18">
        <f t="shared" si="31"/>
        <v>475.2</v>
      </c>
      <c r="U23" s="18">
        <f t="shared" si="31"/>
        <v>467</v>
      </c>
      <c r="V23" s="18">
        <f t="shared" si="31"/>
        <v>495</v>
      </c>
      <c r="AJ23" s="1">
        <f t="shared" si="27"/>
        <v>1320.5</v>
      </c>
      <c r="AK23" s="1">
        <f t="shared" si="28"/>
        <v>1706.3</v>
      </c>
      <c r="AL23" s="1">
        <f t="shared" si="29"/>
        <v>1887.2</v>
      </c>
      <c r="AM23" s="1">
        <f t="shared" si="30"/>
        <v>1887.2</v>
      </c>
    </row>
    <row r="24" spans="2:39" s="1" customFormat="1" x14ac:dyDescent="0.2">
      <c r="B24" s="1" t="s">
        <v>234</v>
      </c>
      <c r="C24" s="18"/>
      <c r="D24" s="18"/>
      <c r="E24" s="18"/>
      <c r="F24" s="18"/>
      <c r="G24" s="18">
        <f t="shared" ref="G24" si="32">+G23+G22</f>
        <v>931</v>
      </c>
      <c r="H24" s="18">
        <f>+H23+H22</f>
        <v>881.5</v>
      </c>
      <c r="I24" s="18">
        <f t="shared" ref="I24:M24" si="33">+I23+I22</f>
        <v>920</v>
      </c>
      <c r="J24" s="18">
        <f t="shared" si="33"/>
        <v>1056</v>
      </c>
      <c r="K24" s="18">
        <f t="shared" si="33"/>
        <v>1148.5</v>
      </c>
      <c r="L24" s="18">
        <f t="shared" si="33"/>
        <v>1128.9000000000001</v>
      </c>
      <c r="M24" s="18">
        <f t="shared" si="33"/>
        <v>983</v>
      </c>
      <c r="N24" s="18">
        <f>+N23+N22</f>
        <v>1134</v>
      </c>
      <c r="O24" s="18">
        <f>+O23+O22</f>
        <v>1293.8</v>
      </c>
      <c r="P24" s="18">
        <f>+P23+P22</f>
        <v>1254.8999999999999</v>
      </c>
      <c r="Q24" s="18">
        <f>+Q23+Q22</f>
        <v>1284</v>
      </c>
      <c r="R24" s="18">
        <f t="shared" ref="R24:V24" si="34">+R23+R22</f>
        <v>495</v>
      </c>
      <c r="S24" s="18">
        <f t="shared" si="34"/>
        <v>450</v>
      </c>
      <c r="T24" s="18">
        <f t="shared" si="34"/>
        <v>475.2</v>
      </c>
      <c r="U24" s="18">
        <f t="shared" si="34"/>
        <v>467</v>
      </c>
      <c r="V24" s="18">
        <f t="shared" si="34"/>
        <v>495</v>
      </c>
      <c r="AJ24" s="1">
        <f>+AJ22+AJ23</f>
        <v>3788.5</v>
      </c>
      <c r="AK24" s="1">
        <f t="shared" ref="AK24:AM24" si="35">+AK22+AK23</f>
        <v>4394.3999999999996</v>
      </c>
      <c r="AL24" s="1">
        <f t="shared" si="35"/>
        <v>4327.7</v>
      </c>
      <c r="AM24" s="1">
        <f t="shared" si="35"/>
        <v>1887.2</v>
      </c>
    </row>
    <row r="25" spans="2:39" s="1" customFormat="1" x14ac:dyDescent="0.2">
      <c r="B25" s="1" t="s">
        <v>235</v>
      </c>
      <c r="C25" s="18"/>
      <c r="D25" s="18"/>
      <c r="E25" s="18"/>
      <c r="F25" s="18"/>
      <c r="G25" s="18">
        <f>+G21-G24</f>
        <v>679.90000000000009</v>
      </c>
      <c r="H25" s="18">
        <f>+H21-H24</f>
        <v>804.60000000000014</v>
      </c>
      <c r="I25" s="18">
        <f t="shared" ref="I25:M25" si="36">+I21-I24</f>
        <v>1251.7999999999997</v>
      </c>
      <c r="J25" s="18">
        <f t="shared" si="36"/>
        <v>904.19999999999982</v>
      </c>
      <c r="K25" s="18">
        <f t="shared" si="36"/>
        <v>1072.9000000000005</v>
      </c>
      <c r="L25" s="18">
        <f t="shared" si="36"/>
        <v>3316.1</v>
      </c>
      <c r="M25" s="18">
        <f t="shared" si="36"/>
        <v>2245.9</v>
      </c>
      <c r="N25" s="18">
        <f>+N21-N24</f>
        <v>3087.5999999999995</v>
      </c>
      <c r="O25" s="18">
        <f>+O21-O24</f>
        <v>1266.8000000000004</v>
      </c>
      <c r="P25" s="18">
        <f>+P21-P24</f>
        <v>1304.5000000000002</v>
      </c>
      <c r="Q25" s="18">
        <f>+Q21-Q24</f>
        <v>1543.4</v>
      </c>
      <c r="R25" s="18">
        <f t="shared" ref="R25:V25" si="37">+R21-R24</f>
        <v>2287.5336000000002</v>
      </c>
      <c r="S25" s="18">
        <f t="shared" si="37"/>
        <v>2448.5877000000005</v>
      </c>
      <c r="T25" s="18">
        <f t="shared" si="37"/>
        <v>2523.1657500000006</v>
      </c>
      <c r="U25" s="18">
        <f t="shared" si="37"/>
        <v>2505.4924375000001</v>
      </c>
      <c r="V25" s="18">
        <f t="shared" si="37"/>
        <v>2613.286312875</v>
      </c>
      <c r="AJ25" s="1">
        <f>+AJ21-AJ24</f>
        <v>3640.5</v>
      </c>
      <c r="AK25" s="1">
        <f t="shared" ref="AK25:AM25" si="38">+AK21-AK24</f>
        <v>9722.5000000000018</v>
      </c>
      <c r="AL25" s="1">
        <f t="shared" si="38"/>
        <v>6402.2336000000005</v>
      </c>
      <c r="AM25" s="1">
        <f t="shared" si="38"/>
        <v>10090.532200375001</v>
      </c>
    </row>
    <row r="26" spans="2:39" s="1" customFormat="1" x14ac:dyDescent="0.2">
      <c r="B26" s="1" t="s">
        <v>236</v>
      </c>
      <c r="C26" s="18"/>
      <c r="D26" s="18"/>
      <c r="E26" s="18"/>
      <c r="F26" s="18"/>
      <c r="G26" s="18">
        <f>40.4+25.3</f>
        <v>65.7</v>
      </c>
      <c r="H26" s="18">
        <f>-50.2+7.9</f>
        <v>-42.300000000000004</v>
      </c>
      <c r="I26" s="18">
        <v>-54.8</v>
      </c>
      <c r="J26" s="18">
        <v>57.6</v>
      </c>
      <c r="K26" s="18">
        <f>40.5-14.6</f>
        <v>25.9</v>
      </c>
      <c r="L26" s="18">
        <f>-14.4-31.3</f>
        <v>-45.7</v>
      </c>
      <c r="M26" s="18">
        <v>-30.6</v>
      </c>
      <c r="N26" s="18">
        <f>15.8-136.3</f>
        <v>-120.50000000000001</v>
      </c>
      <c r="O26" s="18">
        <f>20.2-197.4</f>
        <v>-177.20000000000002</v>
      </c>
      <c r="P26" s="18">
        <f>-133.6-13.1-17.4</f>
        <v>-164.1</v>
      </c>
      <c r="Q26" s="18">
        <v>32.6</v>
      </c>
      <c r="R26" s="18"/>
      <c r="AJ26" s="1">
        <f t="shared" ref="AJ26" si="39">SUM(G26:J26)</f>
        <v>26.200000000000003</v>
      </c>
      <c r="AK26" s="1">
        <f t="shared" ref="AK26" si="40">SUM(K26:N26)</f>
        <v>-170.90000000000003</v>
      </c>
      <c r="AL26" s="1">
        <f t="shared" ref="AL26" si="41">SUM(O26:R26)</f>
        <v>-308.7</v>
      </c>
      <c r="AM26" s="1">
        <f t="shared" ref="AM26" si="42">SUM(S26:V26)</f>
        <v>0</v>
      </c>
    </row>
    <row r="27" spans="2:39" s="1" customFormat="1" x14ac:dyDescent="0.2">
      <c r="B27" s="1" t="s">
        <v>237</v>
      </c>
      <c r="C27" s="18"/>
      <c r="D27" s="18"/>
      <c r="E27" s="18"/>
      <c r="F27" s="18"/>
      <c r="G27" s="18">
        <f t="shared" ref="G27" si="43">G25+G26</f>
        <v>745.60000000000014</v>
      </c>
      <c r="H27" s="18">
        <f t="shared" ref="H27:R27" si="44">H25+H26</f>
        <v>762.30000000000018</v>
      </c>
      <c r="I27" s="18">
        <f t="shared" si="44"/>
        <v>1196.9999999999998</v>
      </c>
      <c r="J27" s="18">
        <f t="shared" si="44"/>
        <v>961.79999999999984</v>
      </c>
      <c r="K27" s="18">
        <f t="shared" si="44"/>
        <v>1098.8000000000006</v>
      </c>
      <c r="L27" s="18">
        <f t="shared" si="44"/>
        <v>3270.4</v>
      </c>
      <c r="M27" s="18">
        <f t="shared" si="44"/>
        <v>2215.3000000000002</v>
      </c>
      <c r="N27" s="18">
        <f t="shared" si="44"/>
        <v>2967.0999999999995</v>
      </c>
      <c r="O27" s="18">
        <f t="shared" si="44"/>
        <v>1089.6000000000004</v>
      </c>
      <c r="P27" s="18">
        <f t="shared" si="44"/>
        <v>1140.4000000000003</v>
      </c>
      <c r="Q27" s="18">
        <f t="shared" si="44"/>
        <v>1576</v>
      </c>
      <c r="R27" s="18">
        <f t="shared" si="44"/>
        <v>2287.5336000000002</v>
      </c>
      <c r="S27" s="18">
        <f t="shared" ref="S27" si="45">S25+S26</f>
        <v>2448.5877000000005</v>
      </c>
      <c r="T27" s="18">
        <f t="shared" ref="T27" si="46">T25+T26</f>
        <v>2523.1657500000006</v>
      </c>
      <c r="U27" s="18">
        <f t="shared" ref="U27" si="47">U25+U26</f>
        <v>2505.4924375000001</v>
      </c>
      <c r="V27" s="18">
        <f t="shared" ref="V27" si="48">V25+V26</f>
        <v>2613.286312875</v>
      </c>
      <c r="AJ27" s="1">
        <f>+AJ25+AJ26</f>
        <v>3666.7</v>
      </c>
      <c r="AK27" s="1">
        <f t="shared" ref="AK27:AM27" si="49">+AK25+AK26</f>
        <v>9551.6000000000022</v>
      </c>
      <c r="AL27" s="1">
        <f t="shared" si="49"/>
        <v>6093.5336000000007</v>
      </c>
      <c r="AM27" s="1">
        <f t="shared" si="49"/>
        <v>10090.532200375001</v>
      </c>
    </row>
    <row r="28" spans="2:39" s="1" customFormat="1" x14ac:dyDescent="0.2">
      <c r="B28" s="1" t="s">
        <v>238</v>
      </c>
      <c r="C28" s="18"/>
      <c r="D28" s="18"/>
      <c r="E28" s="18"/>
      <c r="F28" s="18"/>
      <c r="G28" s="18">
        <v>44</v>
      </c>
      <c r="H28" s="18">
        <v>21.6</v>
      </c>
      <c r="I28" s="18">
        <v>156.19999999999999</v>
      </c>
      <c r="J28" s="18">
        <v>75.400000000000006</v>
      </c>
      <c r="K28" s="18">
        <v>137.80000000000001</v>
      </c>
      <c r="L28" s="18">
        <v>653.9</v>
      </c>
      <c r="M28" s="18">
        <v>184.4</v>
      </c>
      <c r="N28" s="18">
        <v>274.39999999999998</v>
      </c>
      <c r="O28" s="18">
        <v>87.6</v>
      </c>
      <c r="P28" s="18">
        <v>111.1</v>
      </c>
      <c r="Q28" s="18">
        <v>194.1</v>
      </c>
      <c r="R28" s="18">
        <f>+R27*0.15</f>
        <v>343.13004000000001</v>
      </c>
      <c r="S28" s="18">
        <f t="shared" ref="S28:V28" si="50">+S27*0.15</f>
        <v>367.28815500000007</v>
      </c>
      <c r="T28" s="18">
        <f t="shared" si="50"/>
        <v>378.47486250000009</v>
      </c>
      <c r="U28" s="18">
        <f t="shared" si="50"/>
        <v>375.823865625</v>
      </c>
      <c r="V28" s="18">
        <f t="shared" si="50"/>
        <v>391.99294693125</v>
      </c>
      <c r="AJ28" s="1">
        <f t="shared" ref="AJ28" si="51">SUM(G28:J28)</f>
        <v>297.2</v>
      </c>
      <c r="AK28" s="1">
        <f t="shared" ref="AK28" si="52">SUM(K28:N28)</f>
        <v>1250.5</v>
      </c>
      <c r="AL28" s="1">
        <f t="shared" ref="AL28" si="53">SUM(O28:R28)</f>
        <v>735.93003999999996</v>
      </c>
      <c r="AM28" s="1">
        <f t="shared" ref="AM28" si="54">SUM(S28:V28)</f>
        <v>1513.5798300562501</v>
      </c>
    </row>
    <row r="29" spans="2:39" s="1" customFormat="1" x14ac:dyDescent="0.2">
      <c r="B29" s="1" t="s">
        <v>239</v>
      </c>
      <c r="C29" s="18"/>
      <c r="D29" s="18"/>
      <c r="E29" s="18"/>
      <c r="F29" s="18"/>
      <c r="G29" s="18">
        <f t="shared" ref="G29" si="55">+G27-G28</f>
        <v>701.60000000000014</v>
      </c>
      <c r="H29" s="18">
        <f t="shared" ref="H29:R29" si="56">+H27-H28</f>
        <v>740.70000000000016</v>
      </c>
      <c r="I29" s="18">
        <f t="shared" si="56"/>
        <v>1040.7999999999997</v>
      </c>
      <c r="J29" s="18">
        <f t="shared" si="56"/>
        <v>886.39999999999986</v>
      </c>
      <c r="K29" s="18">
        <f t="shared" si="56"/>
        <v>961.00000000000068</v>
      </c>
      <c r="L29" s="18">
        <f t="shared" si="56"/>
        <v>2616.5</v>
      </c>
      <c r="M29" s="18">
        <f t="shared" si="56"/>
        <v>2030.9</v>
      </c>
      <c r="N29" s="18">
        <f t="shared" si="56"/>
        <v>2692.6999999999994</v>
      </c>
      <c r="O29" s="18">
        <f t="shared" si="56"/>
        <v>1002.0000000000003</v>
      </c>
      <c r="P29" s="18">
        <f t="shared" si="56"/>
        <v>1029.3000000000004</v>
      </c>
      <c r="Q29" s="18">
        <f t="shared" si="56"/>
        <v>1381.9</v>
      </c>
      <c r="R29" s="18">
        <f t="shared" si="56"/>
        <v>1944.4035600000002</v>
      </c>
      <c r="S29" s="18">
        <f t="shared" ref="S29" si="57">+S27-S28</f>
        <v>2081.2995450000003</v>
      </c>
      <c r="T29" s="18">
        <f t="shared" ref="T29" si="58">+T27-T28</f>
        <v>2144.6908875000004</v>
      </c>
      <c r="U29" s="18">
        <f t="shared" ref="U29" si="59">+U27-U28</f>
        <v>2129.668571875</v>
      </c>
      <c r="V29" s="18">
        <f t="shared" ref="V29" si="60">+V27-V28</f>
        <v>2221.2933659437499</v>
      </c>
      <c r="AJ29" s="1">
        <f>+AJ27-AJ28</f>
        <v>3369.5</v>
      </c>
      <c r="AK29" s="1">
        <f t="shared" ref="AK29:AM29" si="61">+AK27-AK28</f>
        <v>8301.1000000000022</v>
      </c>
      <c r="AL29" s="1">
        <f t="shared" si="61"/>
        <v>5357.6035600000005</v>
      </c>
      <c r="AM29" s="1">
        <f t="shared" si="61"/>
        <v>8576.9523703187515</v>
      </c>
    </row>
    <row r="30" spans="2:39" x14ac:dyDescent="0.2">
      <c r="B30" s="1" t="s">
        <v>240</v>
      </c>
      <c r="G30" s="19">
        <f t="shared" ref="G30" si="62">+G29/G31</f>
        <v>6.0955690703735899</v>
      </c>
      <c r="H30" s="19">
        <f t="shared" ref="H30:R30" si="63">+H29/H31</f>
        <v>6.2087175188600181</v>
      </c>
      <c r="I30" s="19">
        <f t="shared" si="63"/>
        <v>9.1378402107111469</v>
      </c>
      <c r="J30" s="19">
        <f t="shared" si="63"/>
        <v>7.900178253119428</v>
      </c>
      <c r="K30" s="19">
        <f t="shared" si="63"/>
        <v>8.5727029438001843</v>
      </c>
      <c r="L30" s="19">
        <f t="shared" si="63"/>
        <v>23.319964349376114</v>
      </c>
      <c r="M30" s="19">
        <f t="shared" si="63"/>
        <v>17.830553116769096</v>
      </c>
      <c r="N30" s="19">
        <f t="shared" si="63"/>
        <v>23.787102473498226</v>
      </c>
      <c r="O30" s="19">
        <f t="shared" si="63"/>
        <v>8.7358326068003507</v>
      </c>
      <c r="P30" s="19">
        <f t="shared" si="63"/>
        <v>8.9194107452339715</v>
      </c>
      <c r="Q30" s="19">
        <f t="shared" si="63"/>
        <v>12.250886524822697</v>
      </c>
      <c r="R30" s="19">
        <f t="shared" si="63"/>
        <v>17.237620212765961</v>
      </c>
      <c r="S30" s="19">
        <f t="shared" ref="S30" si="64">+S29/S31</f>
        <v>18.451237101063832</v>
      </c>
      <c r="T30" s="19">
        <f t="shared" ref="T30" si="65">+T29/T31</f>
        <v>19.013217087765963</v>
      </c>
      <c r="U30" s="19">
        <f t="shared" ref="U30" si="66">+U29/U31</f>
        <v>18.880040530806738</v>
      </c>
      <c r="V30" s="19">
        <f t="shared" ref="V30" si="67">+V29/V31</f>
        <v>19.692317073969413</v>
      </c>
      <c r="AJ30" s="25">
        <f>+AJ29/AJ31</f>
        <v>29.268186753528777</v>
      </c>
      <c r="AK30" s="25">
        <f t="shared" ref="AK30:AM30" si="68">+AK29/AK31</f>
        <v>73.558706247230845</v>
      </c>
      <c r="AL30" s="25">
        <f t="shared" si="68"/>
        <v>47.027461575597982</v>
      </c>
      <c r="AM30" s="25">
        <f t="shared" si="68"/>
        <v>76.036811793605949</v>
      </c>
    </row>
    <row r="31" spans="2:39" s="1" customFormat="1" x14ac:dyDescent="0.2">
      <c r="B31" s="1" t="s">
        <v>46</v>
      </c>
      <c r="C31" s="18"/>
      <c r="D31" s="18"/>
      <c r="E31" s="18"/>
      <c r="F31" s="18"/>
      <c r="G31" s="18">
        <v>115.1</v>
      </c>
      <c r="H31" s="18">
        <v>119.3</v>
      </c>
      <c r="I31" s="18">
        <v>113.9</v>
      </c>
      <c r="J31" s="18">
        <v>112.2</v>
      </c>
      <c r="K31" s="18">
        <v>112.1</v>
      </c>
      <c r="L31" s="18">
        <v>112.2</v>
      </c>
      <c r="M31" s="18">
        <v>113.9</v>
      </c>
      <c r="N31" s="18">
        <v>113.2</v>
      </c>
      <c r="O31" s="18">
        <v>114.7</v>
      </c>
      <c r="P31" s="18">
        <v>115.4</v>
      </c>
      <c r="Q31" s="18">
        <v>112.8</v>
      </c>
      <c r="R31" s="18">
        <f>+Q31</f>
        <v>112.8</v>
      </c>
      <c r="S31" s="18">
        <f t="shared" ref="S31:V31" si="69">+R31</f>
        <v>112.8</v>
      </c>
      <c r="T31" s="18">
        <f t="shared" si="69"/>
        <v>112.8</v>
      </c>
      <c r="U31" s="18">
        <f t="shared" si="69"/>
        <v>112.8</v>
      </c>
      <c r="V31" s="18">
        <f t="shared" si="69"/>
        <v>112.8</v>
      </c>
      <c r="AJ31" s="1">
        <f>AVERAGE(G31:J31)</f>
        <v>115.12499999999999</v>
      </c>
      <c r="AK31" s="1">
        <f>AVERAGE(K31:N31)</f>
        <v>112.85000000000001</v>
      </c>
      <c r="AL31" s="1">
        <f>AVERAGE(O31:R31)</f>
        <v>113.92500000000001</v>
      </c>
      <c r="AM31" s="1">
        <f>AVERAGE(S31:V31)</f>
        <v>112.8</v>
      </c>
    </row>
    <row r="33" spans="2:22" s="52" customFormat="1" x14ac:dyDescent="0.2">
      <c r="B33" s="20" t="s">
        <v>257</v>
      </c>
      <c r="C33" s="50"/>
      <c r="D33" s="50"/>
      <c r="E33" s="50"/>
      <c r="F33" s="50"/>
      <c r="G33" s="50"/>
      <c r="H33" s="50"/>
      <c r="I33" s="50"/>
      <c r="J33" s="50"/>
      <c r="K33" s="51">
        <f t="shared" ref="K33" si="70">K19/G19-1</f>
        <v>0.38354665791488918</v>
      </c>
      <c r="L33" s="51">
        <f t="shared" ref="L33" si="71">L19/H19-1</f>
        <v>1.6321262101111507</v>
      </c>
      <c r="M33" s="51">
        <f t="shared" ref="M33:O33" si="72">M19/I19-1</f>
        <v>0.50531868515127765</v>
      </c>
      <c r="N33" s="51">
        <f t="shared" si="72"/>
        <v>1.153106926990477</v>
      </c>
      <c r="O33" s="51">
        <f t="shared" si="72"/>
        <v>0.17241242982525495</v>
      </c>
      <c r="P33" s="51">
        <f>P19/L19-1</f>
        <v>-0.44412010819857162</v>
      </c>
      <c r="Q33" s="51">
        <f t="shared" ref="Q33:R33" si="73">Q19/M19-1</f>
        <v>-0.14958440730979761</v>
      </c>
      <c r="R33" s="51">
        <f t="shared" si="73"/>
        <v>-0.37560254468342913</v>
      </c>
      <c r="S33" s="51">
        <f t="shared" ref="S33" si="74">S19/O19-1</f>
        <v>8.604046535154275E-2</v>
      </c>
      <c r="T33" s="51">
        <f t="shared" ref="T33" si="75">T19/P19-1</f>
        <v>0.16629354104673566</v>
      </c>
      <c r="U33" s="51">
        <f t="shared" ref="U33" si="76">U19/Q19-1</f>
        <v>0.12476821107478542</v>
      </c>
      <c r="V33" s="51">
        <f t="shared" ref="V33" si="77">V19/R19-1</f>
        <v>0.11707054063066846</v>
      </c>
    </row>
    <row r="34" spans="2:22" s="52" customFormat="1" x14ac:dyDescent="0.2">
      <c r="B34" s="20" t="s">
        <v>265</v>
      </c>
      <c r="C34" s="50"/>
      <c r="D34" s="50"/>
      <c r="E34" s="50"/>
      <c r="F34" s="50"/>
      <c r="G34" s="50"/>
      <c r="H34" s="50"/>
      <c r="I34" s="50"/>
      <c r="J34" s="50"/>
      <c r="K34" s="53">
        <f t="shared" ref="K34" si="78">+K3/G3-1</f>
        <v>0.14931740614334466</v>
      </c>
      <c r="L34" s="53">
        <f t="shared" ref="L34" si="79">+L3/H3-1</f>
        <v>0.2791741472172351</v>
      </c>
      <c r="M34" s="53">
        <f>+M3/I3-1</f>
        <v>0.11760242792109254</v>
      </c>
      <c r="N34" s="53">
        <f t="shared" ref="N34:V34" si="80">+N3/J3-1</f>
        <v>0.15189873417721511</v>
      </c>
      <c r="O34" s="53">
        <f t="shared" si="80"/>
        <v>0.12694877505567925</v>
      </c>
      <c r="P34" s="53">
        <f t="shared" si="80"/>
        <v>0.13754385964912275</v>
      </c>
      <c r="Q34" s="53">
        <f t="shared" si="80"/>
        <v>0.10590631364562109</v>
      </c>
      <c r="R34" s="53">
        <f t="shared" si="80"/>
        <v>0.10000000000000009</v>
      </c>
      <c r="S34" s="53">
        <f t="shared" si="80"/>
        <v>0.10000000000000009</v>
      </c>
      <c r="T34" s="53">
        <f t="shared" si="80"/>
        <v>0.10000000000000009</v>
      </c>
      <c r="U34" s="53">
        <f t="shared" si="80"/>
        <v>0.10000000000000009</v>
      </c>
      <c r="V34" s="53">
        <f t="shared" si="80"/>
        <v>0.10000000000000009</v>
      </c>
    </row>
    <row r="35" spans="2:22" x14ac:dyDescent="0.2">
      <c r="B35" s="1" t="s">
        <v>258</v>
      </c>
      <c r="K35" s="49">
        <f t="shared" ref="K35" si="81">K9/G9-1</f>
        <v>0.47752126366950209</v>
      </c>
      <c r="L35" s="49">
        <f t="shared" ref="L35" si="82">L9/H9-1</f>
        <v>0.6265328874024525</v>
      </c>
      <c r="M35" s="49">
        <f>M9/I9-1</f>
        <v>0.64675912821964343</v>
      </c>
      <c r="N35" s="49">
        <f t="shared" ref="N35:R35" si="83">N9/J9-1</f>
        <v>0.63323872595395758</v>
      </c>
      <c r="O35" s="49">
        <f t="shared" si="83"/>
        <v>0.72944078947368385</v>
      </c>
      <c r="P35" s="49">
        <f t="shared" si="83"/>
        <v>0.54786383367603375</v>
      </c>
      <c r="Q35" s="49">
        <f t="shared" si="83"/>
        <v>0.22275696115503596</v>
      </c>
      <c r="R35" s="49">
        <f t="shared" si="83"/>
        <v>0.39999999999999991</v>
      </c>
      <c r="S35" s="49">
        <f t="shared" ref="S35" si="84">S9/O9-1</f>
        <v>0.30000000000000004</v>
      </c>
      <c r="T35" s="49">
        <f t="shared" ref="T35" si="85">T9/P9-1</f>
        <v>0.30000000000000004</v>
      </c>
      <c r="U35" s="49">
        <f t="shared" ref="U35" si="86">U9/Q9-1</f>
        <v>0.19999999999999996</v>
      </c>
      <c r="V35" s="49">
        <f t="shared" ref="V35" si="87">V9/R9-1</f>
        <v>0.19999999999999996</v>
      </c>
    </row>
    <row r="36" spans="2:22" x14ac:dyDescent="0.2">
      <c r="B36" s="1" t="s">
        <v>259</v>
      </c>
      <c r="K36" s="49">
        <f t="shared" ref="K36" si="88">K13/G13-1</f>
        <v>0.47707602339181299</v>
      </c>
      <c r="L36" s="49">
        <f t="shared" ref="L36" si="89">L13/H13-1</f>
        <v>0.58624338624338623</v>
      </c>
      <c r="M36" s="49">
        <f>M13/I13-1</f>
        <v>0.55034495618124213</v>
      </c>
      <c r="N36" s="49">
        <f t="shared" ref="N36:R36" si="90">N13/J13-1</f>
        <v>0.51348122866894186</v>
      </c>
      <c r="O36" s="49">
        <f t="shared" si="90"/>
        <v>0.43352601156069359</v>
      </c>
      <c r="P36" s="49">
        <f t="shared" si="90"/>
        <v>0.39546364242828558</v>
      </c>
      <c r="Q36" s="49">
        <f t="shared" si="90"/>
        <v>0.40122677250586314</v>
      </c>
      <c r="R36" s="49">
        <f t="shared" si="90"/>
        <v>-1</v>
      </c>
      <c r="S36" s="49">
        <f t="shared" ref="S36" si="91">S13/O13-1</f>
        <v>-1</v>
      </c>
      <c r="T36" s="49">
        <f t="shared" ref="T36" si="92">T13/P13-1</f>
        <v>-1</v>
      </c>
      <c r="U36" s="49">
        <f t="shared" ref="U36" si="93">U13/Q13-1</f>
        <v>-1</v>
      </c>
      <c r="V36" s="49" t="e">
        <f t="shared" ref="V36" si="94">V13/R13-1</f>
        <v>#DIV/0!</v>
      </c>
    </row>
    <row r="38" spans="2:22" x14ac:dyDescent="0.2">
      <c r="B38" s="1" t="s">
        <v>231</v>
      </c>
      <c r="G38" s="49">
        <f t="shared" ref="G38:H38" si="95">+G21/G19</f>
        <v>0.88113991904605626</v>
      </c>
      <c r="H38" s="49">
        <f t="shared" ref="H38:O38" si="96">+H21/H19</f>
        <v>0.863648004917277</v>
      </c>
      <c r="I38" s="49">
        <f t="shared" si="96"/>
        <v>0.94681314848722642</v>
      </c>
      <c r="J38" s="49">
        <f t="shared" si="96"/>
        <v>0.85237204852806892</v>
      </c>
      <c r="K38" s="49">
        <f t="shared" si="96"/>
        <v>0.87823199177670597</v>
      </c>
      <c r="L38" s="49">
        <f t="shared" si="96"/>
        <v>0.86500476774281432</v>
      </c>
      <c r="M38" s="49">
        <f t="shared" si="96"/>
        <v>0.93512699470010718</v>
      </c>
      <c r="N38" s="49">
        <f t="shared" si="96"/>
        <v>0.85259012420478653</v>
      </c>
      <c r="O38" s="49">
        <f t="shared" si="96"/>
        <v>0.86346315966953291</v>
      </c>
      <c r="P38" s="49">
        <f>+P21/P19</f>
        <v>0.89599159810957474</v>
      </c>
      <c r="Q38" s="49">
        <f t="shared" ref="Q38:R38" si="97">+Q21/Q19</f>
        <v>0.96287971665985561</v>
      </c>
      <c r="R38" s="49">
        <f t="shared" si="97"/>
        <v>0.9</v>
      </c>
    </row>
  </sheetData>
  <hyperlinks>
    <hyperlink ref="A1" location="Main!A1" display="Main" xr:uid="{D2C01981-FEC3-4A39-A852-FDD02C9DCC1E}"/>
  </hyperlink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2A577-FE61-4AC6-8EA6-0BAD78F2F516}">
  <dimension ref="A1:C15"/>
  <sheetViews>
    <sheetView workbookViewId="0"/>
  </sheetViews>
  <sheetFormatPr defaultRowHeight="12.75" x14ac:dyDescent="0.2"/>
  <cols>
    <col min="1" max="1" width="5" style="12" bestFit="1" customWidth="1"/>
    <col min="2" max="2" width="12.85546875" style="12" bestFit="1" customWidth="1"/>
    <col min="3" max="16384" width="9.140625" style="12"/>
  </cols>
  <sheetData>
    <row r="1" spans="1:3" x14ac:dyDescent="0.2">
      <c r="A1" s="16" t="s">
        <v>87</v>
      </c>
    </row>
    <row r="2" spans="1:3" x14ac:dyDescent="0.2">
      <c r="B2" s="12" t="s">
        <v>86</v>
      </c>
      <c r="C2" s="12" t="s">
        <v>210</v>
      </c>
    </row>
    <row r="3" spans="1:3" x14ac:dyDescent="0.2">
      <c r="B3" s="12" t="s">
        <v>84</v>
      </c>
      <c r="C3" s="12" t="s">
        <v>211</v>
      </c>
    </row>
    <row r="4" spans="1:3" x14ac:dyDescent="0.2">
      <c r="B4" s="12" t="s">
        <v>52</v>
      </c>
      <c r="C4" s="12" t="s">
        <v>209</v>
      </c>
    </row>
    <row r="5" spans="1:3" x14ac:dyDescent="0.2">
      <c r="B5" s="12" t="s">
        <v>56</v>
      </c>
      <c r="C5" s="12" t="s">
        <v>208</v>
      </c>
    </row>
    <row r="6" spans="1:3" x14ac:dyDescent="0.2">
      <c r="B6" s="12" t="s">
        <v>54</v>
      </c>
    </row>
    <row r="7" spans="1:3" x14ac:dyDescent="0.2">
      <c r="B7" s="12" t="s">
        <v>53</v>
      </c>
    </row>
    <row r="8" spans="1:3" x14ac:dyDescent="0.2">
      <c r="B8" s="12" t="s">
        <v>142</v>
      </c>
    </row>
    <row r="9" spans="1:3" x14ac:dyDescent="0.2">
      <c r="B9" s="12" t="s">
        <v>74</v>
      </c>
    </row>
    <row r="11" spans="1:3" x14ac:dyDescent="0.2">
      <c r="C11" s="13" t="s">
        <v>207</v>
      </c>
    </row>
    <row r="15" spans="1:3" x14ac:dyDescent="0.2">
      <c r="C15" s="13" t="s">
        <v>206</v>
      </c>
    </row>
  </sheetData>
  <hyperlinks>
    <hyperlink ref="A1" location="Main!A1" display="Main" xr:uid="{7F512D4E-C7B1-4959-AD4C-AD4ABBB4780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D28E7-A294-46A1-850A-3A0B8CF7E06D}">
  <dimension ref="A1:L68"/>
  <sheetViews>
    <sheetView zoomScaleNormal="100" workbookViewId="0">
      <selection activeCell="C54" sqref="C54"/>
    </sheetView>
  </sheetViews>
  <sheetFormatPr defaultRowHeight="12.75" x14ac:dyDescent="0.2"/>
  <cols>
    <col min="1" max="1" width="5" style="2" bestFit="1" customWidth="1"/>
    <col min="2" max="2" width="13.140625" style="2" customWidth="1"/>
    <col min="3" max="6" width="9.140625" style="2"/>
    <col min="7" max="7" width="12.85546875" style="2" bestFit="1" customWidth="1"/>
    <col min="8" max="8" width="9.140625" style="2"/>
    <col min="9" max="9" width="12.7109375" style="2" bestFit="1" customWidth="1"/>
    <col min="10" max="10" width="14.42578125" style="2" bestFit="1" customWidth="1"/>
    <col min="11" max="11" width="12.7109375" style="2" bestFit="1" customWidth="1"/>
    <col min="12" max="16384" width="9.140625" style="2"/>
  </cols>
  <sheetData>
    <row r="1" spans="1:11" x14ac:dyDescent="0.2">
      <c r="A1" s="8" t="s">
        <v>87</v>
      </c>
    </row>
    <row r="2" spans="1:11" x14ac:dyDescent="0.2">
      <c r="B2" s="2" t="s">
        <v>86</v>
      </c>
      <c r="C2" s="2" t="s">
        <v>40</v>
      </c>
    </row>
    <row r="3" spans="1:11" x14ac:dyDescent="0.2">
      <c r="B3" s="2" t="s">
        <v>84</v>
      </c>
      <c r="C3" s="12" t="s">
        <v>146</v>
      </c>
    </row>
    <row r="4" spans="1:11" x14ac:dyDescent="0.2">
      <c r="B4" s="2" t="s">
        <v>52</v>
      </c>
      <c r="C4" s="2" t="s">
        <v>145</v>
      </c>
    </row>
    <row r="5" spans="1:11" x14ac:dyDescent="0.2">
      <c r="B5" s="2" t="s">
        <v>56</v>
      </c>
      <c r="C5" s="2" t="s">
        <v>39</v>
      </c>
    </row>
    <row r="6" spans="1:11" x14ac:dyDescent="0.2">
      <c r="B6" s="2" t="s">
        <v>54</v>
      </c>
      <c r="C6" s="2" t="s">
        <v>144</v>
      </c>
    </row>
    <row r="7" spans="1:11" x14ac:dyDescent="0.2">
      <c r="B7" s="2" t="s">
        <v>53</v>
      </c>
      <c r="C7" s="2" t="s">
        <v>143</v>
      </c>
    </row>
    <row r="8" spans="1:11" x14ac:dyDescent="0.2">
      <c r="B8" s="2" t="s">
        <v>142</v>
      </c>
      <c r="C8" s="2" t="s">
        <v>141</v>
      </c>
    </row>
    <row r="9" spans="1:11" x14ac:dyDescent="0.2">
      <c r="B9" s="2" t="s">
        <v>74</v>
      </c>
      <c r="C9" s="2" t="s">
        <v>140</v>
      </c>
    </row>
    <row r="11" spans="1:11" x14ac:dyDescent="0.2">
      <c r="C11" s="5" t="s">
        <v>139</v>
      </c>
    </row>
    <row r="12" spans="1:11" x14ac:dyDescent="0.2">
      <c r="C12" s="2" t="s">
        <v>138</v>
      </c>
    </row>
    <row r="13" spans="1:11" x14ac:dyDescent="0.2">
      <c r="C13" s="2" t="s">
        <v>132</v>
      </c>
    </row>
    <row r="14" spans="1:11" x14ac:dyDescent="0.2">
      <c r="C14" s="2" t="s">
        <v>131</v>
      </c>
    </row>
    <row r="15" spans="1:11" x14ac:dyDescent="0.2">
      <c r="C15" s="2" t="s">
        <v>130</v>
      </c>
    </row>
    <row r="16" spans="1:11" x14ac:dyDescent="0.2">
      <c r="C16" s="2" t="s">
        <v>129</v>
      </c>
      <c r="H16" s="2" t="s">
        <v>127</v>
      </c>
      <c r="I16" s="2" t="s">
        <v>126</v>
      </c>
      <c r="J16" s="2" t="s">
        <v>124</v>
      </c>
      <c r="K16" s="2" t="s">
        <v>122</v>
      </c>
    </row>
    <row r="17" spans="3:12" x14ac:dyDescent="0.2">
      <c r="C17" s="2" t="s">
        <v>128</v>
      </c>
      <c r="E17" s="11">
        <v>0.93</v>
      </c>
      <c r="G17" s="2" t="s">
        <v>125</v>
      </c>
      <c r="H17" s="9">
        <v>304</v>
      </c>
      <c r="I17" s="9">
        <v>304</v>
      </c>
      <c r="J17" s="9">
        <v>301</v>
      </c>
      <c r="K17" s="9">
        <v>301</v>
      </c>
    </row>
    <row r="18" spans="3:12" x14ac:dyDescent="0.2">
      <c r="C18" s="2" t="s">
        <v>126</v>
      </c>
      <c r="E18" s="11">
        <v>0.96</v>
      </c>
      <c r="G18" s="2" t="s">
        <v>123</v>
      </c>
      <c r="H18" s="9">
        <v>78</v>
      </c>
      <c r="I18" s="9">
        <v>78</v>
      </c>
      <c r="J18" s="9">
        <v>78</v>
      </c>
      <c r="K18" s="9">
        <v>78</v>
      </c>
    </row>
    <row r="19" spans="3:12" x14ac:dyDescent="0.2">
      <c r="C19" s="2" t="s">
        <v>124</v>
      </c>
      <c r="E19" s="11">
        <v>0.91</v>
      </c>
      <c r="G19" s="2" t="s">
        <v>137</v>
      </c>
      <c r="H19" s="9">
        <v>57</v>
      </c>
      <c r="I19" s="9">
        <v>64</v>
      </c>
      <c r="J19" s="9">
        <v>56</v>
      </c>
      <c r="K19" s="9">
        <v>59</v>
      </c>
    </row>
    <row r="20" spans="3:12" x14ac:dyDescent="0.2">
      <c r="C20" s="2" t="s">
        <v>122</v>
      </c>
      <c r="E20" s="11">
        <v>0.91</v>
      </c>
      <c r="G20" s="2" t="s">
        <v>120</v>
      </c>
      <c r="H20" s="9">
        <v>54</v>
      </c>
      <c r="I20" s="9">
        <v>55</v>
      </c>
      <c r="J20" s="9">
        <v>56</v>
      </c>
      <c r="K20" s="9">
        <v>56</v>
      </c>
    </row>
    <row r="21" spans="3:12" x14ac:dyDescent="0.2">
      <c r="G21" s="4" t="s">
        <v>119</v>
      </c>
      <c r="H21" s="10">
        <v>0.94</v>
      </c>
      <c r="I21" s="10">
        <v>0.95</v>
      </c>
      <c r="J21" s="10">
        <v>0.96</v>
      </c>
      <c r="K21" s="10">
        <v>0.96</v>
      </c>
    </row>
    <row r="22" spans="3:12" x14ac:dyDescent="0.2">
      <c r="G22" s="4" t="s">
        <v>118</v>
      </c>
      <c r="H22" s="9">
        <v>8.1</v>
      </c>
      <c r="I22" s="9">
        <v>10.9</v>
      </c>
      <c r="J22" s="9" t="s">
        <v>136</v>
      </c>
      <c r="K22" s="9" t="s">
        <v>135</v>
      </c>
      <c r="L22" s="2" t="s">
        <v>114</v>
      </c>
    </row>
    <row r="23" spans="3:12" x14ac:dyDescent="0.2">
      <c r="G23" s="4" t="s">
        <v>113</v>
      </c>
      <c r="H23" s="9">
        <v>31</v>
      </c>
      <c r="I23" s="9">
        <v>38</v>
      </c>
      <c r="J23" s="9">
        <v>25</v>
      </c>
      <c r="K23" s="9">
        <v>31</v>
      </c>
    </row>
    <row r="24" spans="3:12" x14ac:dyDescent="0.2">
      <c r="H24" s="9"/>
      <c r="I24" s="9"/>
      <c r="J24" s="9"/>
      <c r="K24" s="9"/>
    </row>
    <row r="25" spans="3:12" x14ac:dyDescent="0.2">
      <c r="C25" s="5" t="s">
        <v>134</v>
      </c>
    </row>
    <row r="26" spans="3:12" x14ac:dyDescent="0.2">
      <c r="C26" s="2" t="s">
        <v>133</v>
      </c>
    </row>
    <row r="27" spans="3:12" x14ac:dyDescent="0.2">
      <c r="C27" s="2" t="s">
        <v>132</v>
      </c>
    </row>
    <row r="28" spans="3:12" x14ac:dyDescent="0.2">
      <c r="C28" s="2" t="s">
        <v>131</v>
      </c>
    </row>
    <row r="29" spans="3:12" x14ac:dyDescent="0.2">
      <c r="C29" s="2" t="s">
        <v>130</v>
      </c>
    </row>
    <row r="30" spans="3:12" x14ac:dyDescent="0.2">
      <c r="C30" s="2" t="s">
        <v>129</v>
      </c>
    </row>
    <row r="31" spans="3:12" x14ac:dyDescent="0.2">
      <c r="C31" s="2" t="s">
        <v>128</v>
      </c>
      <c r="E31" s="11">
        <v>0.91</v>
      </c>
      <c r="H31" s="2" t="s">
        <v>127</v>
      </c>
      <c r="I31" s="2" t="s">
        <v>126</v>
      </c>
      <c r="J31" s="2" t="s">
        <v>124</v>
      </c>
      <c r="K31" s="2" t="s">
        <v>122</v>
      </c>
    </row>
    <row r="32" spans="3:12" x14ac:dyDescent="0.2">
      <c r="C32" s="2" t="s">
        <v>126</v>
      </c>
      <c r="E32" s="11">
        <v>0.9</v>
      </c>
      <c r="G32" s="2" t="s">
        <v>125</v>
      </c>
      <c r="H32" s="9">
        <v>291</v>
      </c>
      <c r="I32" s="9">
        <v>309</v>
      </c>
      <c r="J32" s="9">
        <v>296</v>
      </c>
      <c r="K32" s="9">
        <v>306</v>
      </c>
    </row>
    <row r="33" spans="3:12" x14ac:dyDescent="0.2">
      <c r="C33" s="2" t="s">
        <v>124</v>
      </c>
      <c r="E33" s="11">
        <v>0.88</v>
      </c>
      <c r="G33" s="2" t="s">
        <v>123</v>
      </c>
      <c r="H33" s="9">
        <v>73</v>
      </c>
      <c r="I33" s="9">
        <v>74</v>
      </c>
      <c r="J33" s="9">
        <v>75</v>
      </c>
      <c r="K33" s="9">
        <v>74</v>
      </c>
    </row>
    <row r="34" spans="3:12" x14ac:dyDescent="0.2">
      <c r="C34" s="2" t="s">
        <v>122</v>
      </c>
      <c r="E34" s="11">
        <v>0.91</v>
      </c>
      <c r="G34" s="2" t="s">
        <v>121</v>
      </c>
      <c r="H34" s="9">
        <v>58</v>
      </c>
      <c r="I34" s="9">
        <v>57</v>
      </c>
      <c r="J34" s="9">
        <v>50</v>
      </c>
      <c r="K34" s="9">
        <v>57</v>
      </c>
    </row>
    <row r="35" spans="3:12" x14ac:dyDescent="0.2">
      <c r="G35" s="2" t="s">
        <v>120</v>
      </c>
      <c r="H35" s="9">
        <v>54</v>
      </c>
      <c r="I35" s="9">
        <v>53</v>
      </c>
      <c r="J35" s="9">
        <v>52</v>
      </c>
      <c r="K35" s="9">
        <v>52</v>
      </c>
    </row>
    <row r="36" spans="3:12" x14ac:dyDescent="0.2">
      <c r="G36" s="4" t="s">
        <v>119</v>
      </c>
      <c r="H36" s="10">
        <v>0.94</v>
      </c>
      <c r="I36" s="10">
        <v>0.95</v>
      </c>
      <c r="J36" s="10">
        <v>0.96</v>
      </c>
      <c r="K36" s="10">
        <v>0.96</v>
      </c>
    </row>
    <row r="37" spans="3:12" x14ac:dyDescent="0.2">
      <c r="G37" s="4" t="s">
        <v>118</v>
      </c>
      <c r="H37" s="9">
        <v>9.4</v>
      </c>
      <c r="I37" s="9" t="s">
        <v>117</v>
      </c>
      <c r="J37" s="9" t="s">
        <v>116</v>
      </c>
      <c r="K37" s="9" t="s">
        <v>115</v>
      </c>
      <c r="L37" s="2" t="s">
        <v>114</v>
      </c>
    </row>
    <row r="38" spans="3:12" x14ac:dyDescent="0.2">
      <c r="G38" s="4" t="s">
        <v>113</v>
      </c>
      <c r="H38" s="9">
        <v>34</v>
      </c>
      <c r="I38" s="9">
        <v>29</v>
      </c>
      <c r="J38" s="9">
        <v>35</v>
      </c>
      <c r="K38" s="9">
        <v>31</v>
      </c>
    </row>
    <row r="39" spans="3:12" x14ac:dyDescent="0.2">
      <c r="G39" s="4"/>
      <c r="H39" s="9"/>
      <c r="I39" s="9"/>
      <c r="J39" s="9"/>
      <c r="K39" s="9"/>
    </row>
    <row r="40" spans="3:12" x14ac:dyDescent="0.2">
      <c r="C40" s="5" t="s">
        <v>112</v>
      </c>
      <c r="G40" s="4"/>
      <c r="H40" s="9"/>
      <c r="I40" s="9"/>
      <c r="J40" s="9"/>
      <c r="K40" s="9"/>
    </row>
    <row r="41" spans="3:12" x14ac:dyDescent="0.2">
      <c r="C41" s="2" t="s">
        <v>111</v>
      </c>
      <c r="G41" s="4"/>
      <c r="H41" s="9"/>
      <c r="I41" s="9"/>
      <c r="J41" s="9"/>
      <c r="K41" s="9"/>
    </row>
    <row r="42" spans="3:12" x14ac:dyDescent="0.2">
      <c r="C42" s="2" t="s">
        <v>110</v>
      </c>
      <c r="G42" s="4"/>
      <c r="H42" s="9"/>
      <c r="I42" s="9"/>
      <c r="J42" s="9"/>
      <c r="K42" s="9"/>
    </row>
    <row r="43" spans="3:12" x14ac:dyDescent="0.2">
      <c r="C43" s="2" t="s">
        <v>109</v>
      </c>
      <c r="G43" s="4"/>
      <c r="H43" s="9"/>
      <c r="I43" s="9"/>
      <c r="J43" s="9"/>
      <c r="K43" s="9"/>
    </row>
    <row r="44" spans="3:12" x14ac:dyDescent="0.2">
      <c r="G44" s="4"/>
      <c r="H44" s="9"/>
      <c r="I44" s="9"/>
      <c r="J44" s="9"/>
      <c r="K44" s="9"/>
    </row>
    <row r="45" spans="3:12" x14ac:dyDescent="0.2">
      <c r="C45" s="5" t="s">
        <v>108</v>
      </c>
      <c r="G45" s="4"/>
      <c r="H45" s="9"/>
      <c r="I45" s="9"/>
      <c r="J45" s="9"/>
      <c r="K45" s="9"/>
    </row>
    <row r="46" spans="3:12" x14ac:dyDescent="0.2">
      <c r="C46" s="2" t="s">
        <v>107</v>
      </c>
      <c r="G46" s="4"/>
      <c r="H46" s="9"/>
      <c r="I46" s="9"/>
      <c r="J46" s="9"/>
      <c r="K46" s="9"/>
    </row>
    <row r="47" spans="3:12" x14ac:dyDescent="0.2">
      <c r="C47" s="2" t="s">
        <v>106</v>
      </c>
      <c r="G47" s="4"/>
      <c r="H47" s="9"/>
      <c r="I47" s="9"/>
      <c r="J47" s="9"/>
      <c r="K47" s="9"/>
    </row>
    <row r="48" spans="3:12" x14ac:dyDescent="0.2">
      <c r="C48" s="2" t="s">
        <v>105</v>
      </c>
      <c r="G48" s="4"/>
      <c r="H48" s="9"/>
      <c r="I48" s="9"/>
      <c r="J48" s="9"/>
      <c r="K48" s="9"/>
    </row>
    <row r="49" spans="3:11" x14ac:dyDescent="0.2">
      <c r="C49" s="2" t="s">
        <v>104</v>
      </c>
      <c r="G49" s="4"/>
      <c r="H49" s="9"/>
      <c r="I49" s="9"/>
      <c r="J49" s="9"/>
      <c r="K49" s="9"/>
    </row>
    <row r="50" spans="3:11" x14ac:dyDescent="0.2">
      <c r="C50" s="2" t="s">
        <v>103</v>
      </c>
      <c r="G50" s="4"/>
      <c r="H50" s="9"/>
      <c r="I50" s="9"/>
      <c r="J50" s="9"/>
      <c r="K50" s="9"/>
    </row>
    <row r="51" spans="3:11" x14ac:dyDescent="0.2">
      <c r="C51" s="2" t="s">
        <v>102</v>
      </c>
      <c r="G51" s="4"/>
      <c r="H51" s="9"/>
      <c r="I51" s="9"/>
      <c r="J51" s="9"/>
      <c r="K51" s="9"/>
    </row>
    <row r="52" spans="3:11" x14ac:dyDescent="0.2">
      <c r="C52" s="2" t="s">
        <v>101</v>
      </c>
      <c r="G52" s="4"/>
      <c r="H52" s="9"/>
      <c r="I52" s="9"/>
      <c r="J52" s="9"/>
      <c r="K52" s="9"/>
    </row>
    <row r="53" spans="3:11" x14ac:dyDescent="0.2">
      <c r="C53" s="2" t="s">
        <v>100</v>
      </c>
      <c r="G53" s="4"/>
      <c r="H53" s="9"/>
      <c r="I53" s="9"/>
      <c r="J53" s="9"/>
      <c r="K53" s="9"/>
    </row>
    <row r="54" spans="3:11" x14ac:dyDescent="0.2">
      <c r="C54" s="2" t="s">
        <v>99</v>
      </c>
      <c r="G54" s="4"/>
      <c r="H54" s="9"/>
      <c r="I54" s="9"/>
      <c r="J54" s="9"/>
      <c r="K54" s="9"/>
    </row>
    <row r="56" spans="3:11" x14ac:dyDescent="0.2">
      <c r="C56" s="5" t="s">
        <v>98</v>
      </c>
    </row>
    <row r="57" spans="3:11" x14ac:dyDescent="0.2">
      <c r="C57" s="2" t="s">
        <v>97</v>
      </c>
    </row>
    <row r="59" spans="3:11" x14ac:dyDescent="0.2">
      <c r="C59" s="5" t="s">
        <v>96</v>
      </c>
    </row>
    <row r="60" spans="3:11" x14ac:dyDescent="0.2">
      <c r="C60" s="2" t="s">
        <v>95</v>
      </c>
    </row>
    <row r="61" spans="3:11" x14ac:dyDescent="0.2">
      <c r="C61" s="2" t="s">
        <v>94</v>
      </c>
    </row>
    <row r="62" spans="3:11" x14ac:dyDescent="0.2">
      <c r="C62" s="2" t="s">
        <v>93</v>
      </c>
    </row>
    <row r="64" spans="3:11" x14ac:dyDescent="0.2">
      <c r="C64" s="2" t="s">
        <v>92</v>
      </c>
    </row>
    <row r="65" spans="3:3" x14ac:dyDescent="0.2">
      <c r="C65" s="2" t="s">
        <v>91</v>
      </c>
    </row>
    <row r="66" spans="3:3" x14ac:dyDescent="0.2">
      <c r="C66" s="2" t="s">
        <v>90</v>
      </c>
    </row>
    <row r="67" spans="3:3" x14ac:dyDescent="0.2">
      <c r="C67" s="2" t="s">
        <v>89</v>
      </c>
    </row>
    <row r="68" spans="3:3" x14ac:dyDescent="0.2">
      <c r="C68" s="2" t="s">
        <v>88</v>
      </c>
    </row>
  </sheetData>
  <hyperlinks>
    <hyperlink ref="A1" location="Main!A1" display="Main" xr:uid="{55DDCF10-B603-4C33-8235-AC36ACB13C73}"/>
  </hyperlink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7B461-B0FA-4F01-9F54-E9771F481DED}">
  <dimension ref="A1:F28"/>
  <sheetViews>
    <sheetView zoomScale="110" zoomScaleNormal="110" workbookViewId="0"/>
  </sheetViews>
  <sheetFormatPr defaultRowHeight="12.75" x14ac:dyDescent="0.2"/>
  <cols>
    <col min="1" max="1" width="5" style="2" bestFit="1" customWidth="1"/>
    <col min="2" max="2" width="12.85546875" style="2" bestFit="1" customWidth="1"/>
    <col min="3" max="4" width="9.140625" style="2"/>
    <col min="5" max="5" width="13.7109375" style="2" bestFit="1" customWidth="1"/>
    <col min="6" max="16384" width="9.140625" style="2"/>
  </cols>
  <sheetData>
    <row r="1" spans="1:4" x14ac:dyDescent="0.2">
      <c r="A1" s="8" t="s">
        <v>87</v>
      </c>
    </row>
    <row r="2" spans="1:4" x14ac:dyDescent="0.2">
      <c r="B2" s="2" t="s">
        <v>86</v>
      </c>
      <c r="C2" s="2" t="s">
        <v>85</v>
      </c>
    </row>
    <row r="3" spans="1:4" x14ac:dyDescent="0.2">
      <c r="B3" s="2" t="s">
        <v>84</v>
      </c>
      <c r="C3" s="2" t="s">
        <v>83</v>
      </c>
    </row>
    <row r="4" spans="1:4" x14ac:dyDescent="0.2">
      <c r="B4" s="2" t="s">
        <v>56</v>
      </c>
      <c r="C4" s="2" t="s">
        <v>82</v>
      </c>
    </row>
    <row r="5" spans="1:4" x14ac:dyDescent="0.2">
      <c r="C5" s="2" t="s">
        <v>81</v>
      </c>
    </row>
    <row r="6" spans="1:4" x14ac:dyDescent="0.2">
      <c r="B6" s="2" t="s">
        <v>52</v>
      </c>
      <c r="C6" s="2" t="s">
        <v>80</v>
      </c>
    </row>
    <row r="7" spans="1:4" x14ac:dyDescent="0.2">
      <c r="C7" s="2" t="s">
        <v>79</v>
      </c>
    </row>
    <row r="8" spans="1:4" x14ac:dyDescent="0.2">
      <c r="C8" s="2" t="s">
        <v>78</v>
      </c>
    </row>
    <row r="9" spans="1:4" x14ac:dyDescent="0.2">
      <c r="C9" s="2" t="s">
        <v>77</v>
      </c>
    </row>
    <row r="10" spans="1:4" x14ac:dyDescent="0.2">
      <c r="C10" s="2" t="s">
        <v>76</v>
      </c>
    </row>
    <row r="11" spans="1:4" x14ac:dyDescent="0.2">
      <c r="C11" s="2" t="s">
        <v>75</v>
      </c>
    </row>
    <row r="12" spans="1:4" x14ac:dyDescent="0.2">
      <c r="B12" s="2" t="s">
        <v>74</v>
      </c>
    </row>
    <row r="13" spans="1:4" x14ac:dyDescent="0.2">
      <c r="C13" s="7" t="s">
        <v>73</v>
      </c>
    </row>
    <row r="14" spans="1:4" x14ac:dyDescent="0.2">
      <c r="C14" s="2" t="s">
        <v>72</v>
      </c>
    </row>
    <row r="15" spans="1:4" x14ac:dyDescent="0.2">
      <c r="D15" s="2" t="s">
        <v>71</v>
      </c>
    </row>
    <row r="16" spans="1:4" x14ac:dyDescent="0.2">
      <c r="C16" s="2" t="s">
        <v>70</v>
      </c>
    </row>
    <row r="17" spans="3:6" x14ac:dyDescent="0.2">
      <c r="D17" s="2" t="s">
        <v>69</v>
      </c>
    </row>
    <row r="18" spans="3:6" x14ac:dyDescent="0.2">
      <c r="C18" s="2" t="s">
        <v>68</v>
      </c>
    </row>
    <row r="19" spans="3:6" x14ac:dyDescent="0.2">
      <c r="D19" s="6" t="s">
        <v>67</v>
      </c>
    </row>
    <row r="21" spans="3:6" x14ac:dyDescent="0.2">
      <c r="C21" s="5" t="s">
        <v>66</v>
      </c>
    </row>
    <row r="22" spans="3:6" x14ac:dyDescent="0.2">
      <c r="C22" s="2" t="s">
        <v>65</v>
      </c>
      <c r="D22" s="3"/>
    </row>
    <row r="23" spans="3:6" x14ac:dyDescent="0.2">
      <c r="D23" s="2" t="s">
        <v>64</v>
      </c>
      <c r="E23" s="2" t="s">
        <v>63</v>
      </c>
      <c r="F23" s="2" t="s">
        <v>62</v>
      </c>
    </row>
    <row r="24" spans="3:6" x14ac:dyDescent="0.2">
      <c r="C24" s="4" t="s">
        <v>61</v>
      </c>
      <c r="D24" s="3">
        <v>1.23</v>
      </c>
      <c r="E24" s="2">
        <v>0.35</v>
      </c>
      <c r="F24" s="2">
        <v>0.34</v>
      </c>
    </row>
    <row r="26" spans="3:6" x14ac:dyDescent="0.2">
      <c r="C26" s="2" t="s">
        <v>60</v>
      </c>
    </row>
    <row r="27" spans="3:6" x14ac:dyDescent="0.2">
      <c r="C27" s="2" t="s">
        <v>59</v>
      </c>
    </row>
    <row r="28" spans="3:6" x14ac:dyDescent="0.2">
      <c r="C28" s="2" t="s">
        <v>58</v>
      </c>
    </row>
  </sheetData>
  <hyperlinks>
    <hyperlink ref="A1" location="Main!A1" display="Main" xr:uid="{3F382476-9EC9-4FBC-B2E6-2DD8F39075F6}"/>
  </hyperlinks>
  <pageMargins left="0.75" right="0.75" top="1" bottom="1" header="0.5" footer="0.5"/>
  <pageSetup orientation="portrait" horizontalDpi="200" verticalDpi="2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3CDFA-6D13-4032-9792-01B88E364A31}">
  <dimension ref="A1:F24"/>
  <sheetViews>
    <sheetView workbookViewId="0">
      <selection activeCell="C4" sqref="C4"/>
    </sheetView>
  </sheetViews>
  <sheetFormatPr defaultRowHeight="12.75" x14ac:dyDescent="0.2"/>
  <cols>
    <col min="1" max="1" width="9.140625" style="12"/>
    <col min="2" max="2" width="17.42578125" style="12" bestFit="1" customWidth="1"/>
    <col min="3" max="3" width="9.140625" style="12"/>
    <col min="4" max="4" width="10.85546875" style="12" bestFit="1" customWidth="1"/>
    <col min="5" max="16384" width="9.140625" style="12"/>
  </cols>
  <sheetData>
    <row r="1" spans="1:6" x14ac:dyDescent="0.2">
      <c r="A1" s="8" t="s">
        <v>87</v>
      </c>
      <c r="B1" s="2"/>
      <c r="C1" s="2"/>
      <c r="D1" s="2"/>
    </row>
    <row r="2" spans="1:6" x14ac:dyDescent="0.2">
      <c r="A2" s="2"/>
      <c r="B2" s="2" t="s">
        <v>86</v>
      </c>
      <c r="C2" s="2" t="s">
        <v>45</v>
      </c>
      <c r="D2" s="2"/>
    </row>
    <row r="3" spans="1:6" x14ac:dyDescent="0.2">
      <c r="A3" s="2"/>
      <c r="B3" s="2" t="s">
        <v>84</v>
      </c>
      <c r="C3" s="12" t="s">
        <v>146</v>
      </c>
      <c r="D3" s="2"/>
    </row>
    <row r="4" spans="1:6" x14ac:dyDescent="0.2">
      <c r="A4" s="2"/>
      <c r="B4" s="2" t="s">
        <v>52</v>
      </c>
      <c r="C4" s="2" t="s">
        <v>164</v>
      </c>
      <c r="D4" s="2"/>
    </row>
    <row r="5" spans="1:6" x14ac:dyDescent="0.2">
      <c r="A5" s="2"/>
      <c r="B5" s="2" t="s">
        <v>56</v>
      </c>
      <c r="C5" s="2" t="s">
        <v>44</v>
      </c>
      <c r="D5" s="2"/>
    </row>
    <row r="6" spans="1:6" x14ac:dyDescent="0.2">
      <c r="A6" s="2"/>
      <c r="B6" s="2" t="s">
        <v>54</v>
      </c>
      <c r="C6" s="2"/>
      <c r="D6" s="2"/>
    </row>
    <row r="7" spans="1:6" x14ac:dyDescent="0.2">
      <c r="A7" s="2"/>
      <c r="B7" s="2" t="s">
        <v>53</v>
      </c>
      <c r="C7" s="2" t="s">
        <v>163</v>
      </c>
      <c r="D7" s="2"/>
    </row>
    <row r="8" spans="1:6" x14ac:dyDescent="0.2">
      <c r="A8" s="2"/>
      <c r="B8" s="2" t="s">
        <v>142</v>
      </c>
      <c r="C8" s="2" t="s">
        <v>162</v>
      </c>
      <c r="D8" s="2"/>
    </row>
    <row r="9" spans="1:6" x14ac:dyDescent="0.2">
      <c r="A9" s="2"/>
      <c r="B9" s="2" t="s">
        <v>74</v>
      </c>
      <c r="C9" s="2"/>
      <c r="D9" s="2"/>
    </row>
    <row r="11" spans="1:6" x14ac:dyDescent="0.2">
      <c r="C11" s="13" t="s">
        <v>161</v>
      </c>
    </row>
    <row r="12" spans="1:6" x14ac:dyDescent="0.2">
      <c r="C12" s="12" t="s">
        <v>160</v>
      </c>
      <c r="E12" s="12" t="s">
        <v>159</v>
      </c>
    </row>
    <row r="13" spans="1:6" x14ac:dyDescent="0.2">
      <c r="C13" s="12" t="s">
        <v>158</v>
      </c>
      <c r="D13" s="12" t="s">
        <v>157</v>
      </c>
      <c r="E13" s="12" t="s">
        <v>156</v>
      </c>
      <c r="F13" s="12" t="s">
        <v>155</v>
      </c>
    </row>
    <row r="14" spans="1:6" x14ac:dyDescent="0.2">
      <c r="B14" s="12" t="s">
        <v>125</v>
      </c>
      <c r="C14" s="12">
        <v>292</v>
      </c>
      <c r="D14" s="12">
        <v>293</v>
      </c>
      <c r="E14" s="12">
        <v>612</v>
      </c>
      <c r="F14" s="12">
        <v>614</v>
      </c>
    </row>
    <row r="15" spans="1:6" x14ac:dyDescent="0.2">
      <c r="B15" s="12" t="s">
        <v>154</v>
      </c>
      <c r="C15" s="14">
        <v>8.5999999999999993E-2</v>
      </c>
      <c r="D15" s="14">
        <v>0.22700000000000001</v>
      </c>
      <c r="E15" s="14">
        <v>0.111</v>
      </c>
      <c r="F15" s="14">
        <v>0.19800000000000001</v>
      </c>
    </row>
    <row r="16" spans="1:6" x14ac:dyDescent="0.2">
      <c r="B16" s="12" t="s">
        <v>153</v>
      </c>
      <c r="C16" s="12">
        <v>4.5</v>
      </c>
      <c r="D16" s="12">
        <v>7.5</v>
      </c>
      <c r="E16" s="12">
        <v>4.7</v>
      </c>
      <c r="F16" s="12">
        <v>6.9</v>
      </c>
    </row>
    <row r="17" spans="2:6" x14ac:dyDescent="0.2">
      <c r="B17" s="12" t="s">
        <v>152</v>
      </c>
      <c r="C17" s="12">
        <v>10.8</v>
      </c>
      <c r="D17" s="12">
        <v>12.9</v>
      </c>
      <c r="E17" s="12">
        <v>12.1</v>
      </c>
      <c r="F17" s="12">
        <v>13.5</v>
      </c>
    </row>
    <row r="19" spans="2:6" x14ac:dyDescent="0.2">
      <c r="C19" s="12" t="s">
        <v>151</v>
      </c>
    </row>
    <row r="20" spans="2:6" x14ac:dyDescent="0.2">
      <c r="C20" s="12" t="s">
        <v>150</v>
      </c>
    </row>
    <row r="22" spans="2:6" x14ac:dyDescent="0.2">
      <c r="C22" s="13" t="s">
        <v>149</v>
      </c>
    </row>
    <row r="23" spans="2:6" x14ac:dyDescent="0.2">
      <c r="C23" s="12" t="s">
        <v>148</v>
      </c>
    </row>
    <row r="24" spans="2:6" x14ac:dyDescent="0.2">
      <c r="C24" s="12" t="s">
        <v>147</v>
      </c>
    </row>
  </sheetData>
  <hyperlinks>
    <hyperlink ref="A1" location="Main!A1" display="Main" xr:uid="{C182237B-2283-4E6B-8D81-C09B2FE4724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35DF0-8027-4157-B016-1C12AF5A0969}">
  <dimension ref="A1:C28"/>
  <sheetViews>
    <sheetView zoomScale="115" zoomScaleNormal="115" workbookViewId="0">
      <selection activeCell="C5" sqref="C5"/>
    </sheetView>
  </sheetViews>
  <sheetFormatPr defaultRowHeight="12.75" x14ac:dyDescent="0.2"/>
  <cols>
    <col min="1" max="1" width="5" style="2" bestFit="1" customWidth="1"/>
    <col min="2" max="2" width="12.42578125" style="2" customWidth="1"/>
    <col min="3" max="16384" width="9.140625" style="2"/>
  </cols>
  <sheetData>
    <row r="1" spans="1:3" x14ac:dyDescent="0.2">
      <c r="A1" s="8" t="s">
        <v>87</v>
      </c>
    </row>
    <row r="2" spans="1:3" x14ac:dyDescent="0.2">
      <c r="B2" s="2" t="s">
        <v>86</v>
      </c>
      <c r="C2" s="2" t="s">
        <v>183</v>
      </c>
    </row>
    <row r="3" spans="1:3" x14ac:dyDescent="0.2">
      <c r="B3" s="2" t="s">
        <v>84</v>
      </c>
      <c r="C3" s="2" t="s">
        <v>182</v>
      </c>
    </row>
    <row r="4" spans="1:3" x14ac:dyDescent="0.2">
      <c r="B4" s="2" t="s">
        <v>56</v>
      </c>
      <c r="C4" s="2" t="s">
        <v>181</v>
      </c>
    </row>
    <row r="5" spans="1:3" x14ac:dyDescent="0.2">
      <c r="B5" s="2" t="s">
        <v>52</v>
      </c>
      <c r="C5" s="2" t="s">
        <v>180</v>
      </c>
    </row>
    <row r="6" spans="1:3" x14ac:dyDescent="0.2">
      <c r="B6" s="2" t="s">
        <v>53</v>
      </c>
      <c r="C6" s="2" t="s">
        <v>179</v>
      </c>
    </row>
    <row r="7" spans="1:3" x14ac:dyDescent="0.2">
      <c r="B7" s="2" t="s">
        <v>74</v>
      </c>
    </row>
    <row r="8" spans="1:3" x14ac:dyDescent="0.2">
      <c r="C8" s="5" t="s">
        <v>178</v>
      </c>
    </row>
    <row r="10" spans="1:3" x14ac:dyDescent="0.2">
      <c r="C10" s="5" t="s">
        <v>177</v>
      </c>
    </row>
    <row r="11" spans="1:3" x14ac:dyDescent="0.2">
      <c r="C11" s="5"/>
    </row>
    <row r="12" spans="1:3" x14ac:dyDescent="0.2">
      <c r="C12" s="5" t="s">
        <v>176</v>
      </c>
    </row>
    <row r="13" spans="1:3" x14ac:dyDescent="0.2">
      <c r="C13" s="5"/>
    </row>
    <row r="14" spans="1:3" x14ac:dyDescent="0.2">
      <c r="C14" s="5" t="s">
        <v>175</v>
      </c>
    </row>
    <row r="16" spans="1:3" x14ac:dyDescent="0.2">
      <c r="C16" s="5" t="s">
        <v>174</v>
      </c>
    </row>
    <row r="17" spans="3:3" x14ac:dyDescent="0.2">
      <c r="C17" s="2" t="s">
        <v>173</v>
      </c>
    </row>
    <row r="18" spans="3:3" x14ac:dyDescent="0.2">
      <c r="C18" s="2" t="s">
        <v>172</v>
      </c>
    </row>
    <row r="20" spans="3:3" x14ac:dyDescent="0.2">
      <c r="C20" s="5" t="s">
        <v>171</v>
      </c>
    </row>
    <row r="21" spans="3:3" x14ac:dyDescent="0.2">
      <c r="C21" s="2" t="s">
        <v>170</v>
      </c>
    </row>
    <row r="22" spans="3:3" x14ac:dyDescent="0.2">
      <c r="C22" s="2" t="s">
        <v>169</v>
      </c>
    </row>
    <row r="24" spans="3:3" x14ac:dyDescent="0.2">
      <c r="C24" s="5" t="s">
        <v>168</v>
      </c>
    </row>
    <row r="25" spans="3:3" x14ac:dyDescent="0.2">
      <c r="C25" s="2" t="s">
        <v>167</v>
      </c>
    </row>
    <row r="27" spans="3:3" x14ac:dyDescent="0.2">
      <c r="C27" s="15" t="s">
        <v>166</v>
      </c>
    </row>
    <row r="28" spans="3:3" x14ac:dyDescent="0.2">
      <c r="C28" s="15" t="s">
        <v>165</v>
      </c>
    </row>
  </sheetData>
  <hyperlinks>
    <hyperlink ref="A1" location="Main!A1" display="Main" xr:uid="{3B461243-A27C-412E-8A2C-014DB1DF39EA}"/>
  </hyperlink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9AEC-5D41-41E2-A738-1BC200DF53F7}">
  <dimension ref="A1:C21"/>
  <sheetViews>
    <sheetView workbookViewId="0">
      <selection activeCell="B2" sqref="B2:B9"/>
    </sheetView>
  </sheetViews>
  <sheetFormatPr defaultRowHeight="12.75" x14ac:dyDescent="0.2"/>
  <cols>
    <col min="1" max="1" width="9.140625" style="12"/>
    <col min="2" max="2" width="12.85546875" style="12" bestFit="1" customWidth="1"/>
    <col min="3" max="16384" width="9.140625" style="12"/>
  </cols>
  <sheetData>
    <row r="1" spans="1:3" x14ac:dyDescent="0.2">
      <c r="A1" s="16" t="s">
        <v>87</v>
      </c>
    </row>
    <row r="2" spans="1:3" x14ac:dyDescent="0.2">
      <c r="B2" s="12" t="s">
        <v>86</v>
      </c>
    </row>
    <row r="3" spans="1:3" x14ac:dyDescent="0.2">
      <c r="B3" s="12" t="s">
        <v>84</v>
      </c>
      <c r="C3" s="12" t="s">
        <v>197</v>
      </c>
    </row>
    <row r="4" spans="1:3" x14ac:dyDescent="0.2">
      <c r="B4" s="12" t="s">
        <v>52</v>
      </c>
      <c r="C4" s="12" t="s">
        <v>196</v>
      </c>
    </row>
    <row r="5" spans="1:3" x14ac:dyDescent="0.2">
      <c r="B5" s="12" t="s">
        <v>56</v>
      </c>
      <c r="C5" s="12" t="s">
        <v>195</v>
      </c>
    </row>
    <row r="6" spans="1:3" x14ac:dyDescent="0.2">
      <c r="B6" s="12" t="s">
        <v>54</v>
      </c>
      <c r="C6" s="12" t="s">
        <v>194</v>
      </c>
    </row>
    <row r="7" spans="1:3" x14ac:dyDescent="0.2">
      <c r="B7" s="12" t="s">
        <v>53</v>
      </c>
      <c r="C7" s="12" t="s">
        <v>21</v>
      </c>
    </row>
    <row r="8" spans="1:3" x14ac:dyDescent="0.2">
      <c r="B8" s="12" t="s">
        <v>142</v>
      </c>
      <c r="C8" s="12" t="s">
        <v>193</v>
      </c>
    </row>
    <row r="9" spans="1:3" x14ac:dyDescent="0.2">
      <c r="B9" s="12" t="s">
        <v>74</v>
      </c>
    </row>
    <row r="10" spans="1:3" x14ac:dyDescent="0.2">
      <c r="C10" s="13" t="s">
        <v>192</v>
      </c>
    </row>
    <row r="13" spans="1:3" x14ac:dyDescent="0.2">
      <c r="C13" s="13" t="s">
        <v>191</v>
      </c>
    </row>
    <row r="14" spans="1:3" x14ac:dyDescent="0.2">
      <c r="C14" s="12" t="s">
        <v>190</v>
      </c>
    </row>
    <row r="15" spans="1:3" x14ac:dyDescent="0.2">
      <c r="C15" s="12" t="s">
        <v>189</v>
      </c>
    </row>
    <row r="16" spans="1:3" x14ac:dyDescent="0.2">
      <c r="C16" s="12" t="s">
        <v>188</v>
      </c>
    </row>
    <row r="17" spans="3:3" x14ac:dyDescent="0.2">
      <c r="C17" s="12" t="s">
        <v>187</v>
      </c>
    </row>
    <row r="19" spans="3:3" x14ac:dyDescent="0.2">
      <c r="C19" s="13" t="s">
        <v>186</v>
      </c>
    </row>
    <row r="20" spans="3:3" x14ac:dyDescent="0.2">
      <c r="C20" s="12" t="s">
        <v>185</v>
      </c>
    </row>
    <row r="21" spans="3:3" x14ac:dyDescent="0.2">
      <c r="C21" s="12" t="s">
        <v>184</v>
      </c>
    </row>
  </sheetData>
  <hyperlinks>
    <hyperlink ref="A1" location="Main!A1" display="Main" xr:uid="{018ACD3C-B36E-4B21-86E9-837BC80B5FD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00FF4-2FBC-49A7-B526-7ABB67AE6974}">
  <dimension ref="A1:C17"/>
  <sheetViews>
    <sheetView workbookViewId="0">
      <selection activeCell="B2" sqref="B2:B9"/>
    </sheetView>
  </sheetViews>
  <sheetFormatPr defaultRowHeight="12.75" x14ac:dyDescent="0.2"/>
  <cols>
    <col min="1" max="1" width="9.140625" style="12"/>
    <col min="2" max="2" width="12.85546875" style="12" bestFit="1" customWidth="1"/>
    <col min="3" max="16384" width="9.140625" style="12"/>
  </cols>
  <sheetData>
    <row r="1" spans="1:3" x14ac:dyDescent="0.2">
      <c r="A1" s="16" t="s">
        <v>87</v>
      </c>
    </row>
    <row r="2" spans="1:3" x14ac:dyDescent="0.2">
      <c r="B2" s="12" t="s">
        <v>86</v>
      </c>
    </row>
    <row r="3" spans="1:3" x14ac:dyDescent="0.2">
      <c r="B3" s="12" t="s">
        <v>84</v>
      </c>
      <c r="C3" s="12" t="s">
        <v>205</v>
      </c>
    </row>
    <row r="4" spans="1:3" x14ac:dyDescent="0.2">
      <c r="B4" s="12" t="s">
        <v>52</v>
      </c>
      <c r="C4" s="12" t="s">
        <v>204</v>
      </c>
    </row>
    <row r="5" spans="1:3" x14ac:dyDescent="0.2">
      <c r="B5" s="12" t="s">
        <v>56</v>
      </c>
      <c r="C5" s="12" t="s">
        <v>203</v>
      </c>
    </row>
    <row r="6" spans="1:3" x14ac:dyDescent="0.2">
      <c r="B6" s="12" t="s">
        <v>54</v>
      </c>
      <c r="C6" s="12" t="s">
        <v>202</v>
      </c>
    </row>
    <row r="7" spans="1:3" x14ac:dyDescent="0.2">
      <c r="B7" s="12" t="s">
        <v>53</v>
      </c>
      <c r="C7" s="12" t="s">
        <v>21</v>
      </c>
    </row>
    <row r="8" spans="1:3" x14ac:dyDescent="0.2">
      <c r="B8" s="12" t="s">
        <v>142</v>
      </c>
    </row>
    <row r="9" spans="1:3" x14ac:dyDescent="0.2">
      <c r="B9" s="12" t="s">
        <v>74</v>
      </c>
    </row>
    <row r="10" spans="1:3" x14ac:dyDescent="0.2">
      <c r="C10" s="13" t="s">
        <v>201</v>
      </c>
    </row>
    <row r="13" spans="1:3" x14ac:dyDescent="0.2">
      <c r="C13" s="13" t="s">
        <v>200</v>
      </c>
    </row>
    <row r="16" spans="1:3" x14ac:dyDescent="0.2">
      <c r="C16" s="13" t="s">
        <v>199</v>
      </c>
    </row>
    <row r="17" spans="3:3" x14ac:dyDescent="0.2">
      <c r="C17" s="12" t="s">
        <v>198</v>
      </c>
    </row>
  </sheetData>
  <hyperlinks>
    <hyperlink ref="A1" location="Main!A1" display="Main" xr:uid="{3A765EE9-AE7C-4B13-9916-378DECED3D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Model</vt:lpstr>
      <vt:lpstr>Dupixent</vt:lpstr>
      <vt:lpstr>Eylea</vt:lpstr>
      <vt:lpstr>Arcalyst</vt:lpstr>
      <vt:lpstr>Zaltrap</vt:lpstr>
      <vt:lpstr>VEGF Trap</vt:lpstr>
      <vt:lpstr>REGN727</vt:lpstr>
      <vt:lpstr>REGN88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2022-08-09T05:58:03Z</dcterms:created>
  <dcterms:modified xsi:type="dcterms:W3CDTF">2022-11-16T17:36:59Z</dcterms:modified>
</cp:coreProperties>
</file>