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48741BDA-4B74-406A-A28F-7234CF5E0D3A}" xr6:coauthVersionLast="47" xr6:coauthVersionMax="47" xr10:uidLastSave="{00000000-0000-0000-0000-000000000000}"/>
  <bookViews>
    <workbookView xWindow="20910" yWindow="1800" windowWidth="24165" windowHeight="18525" activeTab="1" xr2:uid="{4C738B13-F7F2-4EF0-BC23-FFCDB8FDE18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6" i="2" l="1"/>
  <c r="Q16" i="2"/>
  <c r="P16" i="2"/>
  <c r="O16" i="2"/>
  <c r="N36" i="2"/>
  <c r="W27" i="2"/>
  <c r="V27" i="2"/>
  <c r="U27" i="2"/>
  <c r="M8" i="2" l="1"/>
  <c r="L8" i="2"/>
  <c r="K8" i="2"/>
  <c r="J8" i="2"/>
  <c r="I8" i="2"/>
  <c r="N8" i="2"/>
  <c r="Z25" i="2"/>
  <c r="Z22" i="2"/>
  <c r="Z17" i="2"/>
  <c r="Z16" i="2"/>
  <c r="Z15" i="2"/>
  <c r="Z18" i="2" s="1"/>
  <c r="Z13" i="2"/>
  <c r="Z12" i="2"/>
  <c r="J33" i="2"/>
  <c r="O25" i="2"/>
  <c r="P25" i="2" s="1"/>
  <c r="Q25" i="2" s="1"/>
  <c r="R25" i="2" s="1"/>
  <c r="R18" i="2"/>
  <c r="Q18" i="2"/>
  <c r="P18" i="2"/>
  <c r="O18" i="2"/>
  <c r="O12" i="2"/>
  <c r="O14" i="2" s="1"/>
  <c r="O29" i="2" s="1"/>
  <c r="O3" i="2"/>
  <c r="P3" i="2"/>
  <c r="Q3" i="2"/>
  <c r="R3" i="2"/>
  <c r="N27" i="2"/>
  <c r="N33" i="2"/>
  <c r="R12" i="2"/>
  <c r="R14" i="2" s="1"/>
  <c r="R29" i="2" s="1"/>
  <c r="Q12" i="2"/>
  <c r="Q14" i="2" s="1"/>
  <c r="Q29" i="2" s="1"/>
  <c r="P12" i="2"/>
  <c r="P14" i="2" s="1"/>
  <c r="P29" i="2" s="1"/>
  <c r="N20" i="2"/>
  <c r="N18" i="2"/>
  <c r="N14" i="2"/>
  <c r="N29" i="2" s="1"/>
  <c r="N3" i="2"/>
  <c r="M3" i="2"/>
  <c r="L3" i="2"/>
  <c r="K3" i="2"/>
  <c r="J3" i="2"/>
  <c r="J28" i="2" s="1"/>
  <c r="I3" i="2"/>
  <c r="L28" i="2"/>
  <c r="H28" i="2"/>
  <c r="I28" i="2"/>
  <c r="K28" i="2"/>
  <c r="M36" i="2"/>
  <c r="L36" i="2"/>
  <c r="K36" i="2"/>
  <c r="M20" i="2"/>
  <c r="M18" i="2"/>
  <c r="M14" i="2"/>
  <c r="M29" i="2" s="1"/>
  <c r="M27" i="2"/>
  <c r="L5" i="1"/>
  <c r="L4" i="1"/>
  <c r="L3" i="1"/>
  <c r="X27" i="2"/>
  <c r="W20" i="2"/>
  <c r="W18" i="2"/>
  <c r="W14" i="2"/>
  <c r="Y22" i="2"/>
  <c r="Y16" i="2"/>
  <c r="Y17" i="2"/>
  <c r="Y15" i="2"/>
  <c r="Y13" i="2"/>
  <c r="Y12" i="2"/>
  <c r="Y14" i="2" s="1"/>
  <c r="X20" i="2"/>
  <c r="X14" i="2"/>
  <c r="X18" i="2"/>
  <c r="V2" i="2"/>
  <c r="W2" i="2" s="1"/>
  <c r="X2" i="2" s="1"/>
  <c r="Y2" i="2" s="1"/>
  <c r="Z2" i="2" s="1"/>
  <c r="AA2" i="2" s="1"/>
  <c r="AB2" i="2" s="1"/>
  <c r="AC2" i="2" s="1"/>
  <c r="I27" i="2"/>
  <c r="F20" i="2"/>
  <c r="J20" i="2"/>
  <c r="E20" i="2"/>
  <c r="E18" i="2"/>
  <c r="E14" i="2"/>
  <c r="I20" i="2"/>
  <c r="I18" i="2"/>
  <c r="I14" i="2"/>
  <c r="F18" i="2"/>
  <c r="F14" i="2"/>
  <c r="F29" i="2" s="1"/>
  <c r="J27" i="2"/>
  <c r="J18" i="2"/>
  <c r="J14" i="2"/>
  <c r="J29" i="2" s="1"/>
  <c r="G20" i="2"/>
  <c r="G18" i="2"/>
  <c r="G14" i="2"/>
  <c r="G29" i="2" s="1"/>
  <c r="K27" i="2"/>
  <c r="H20" i="2"/>
  <c r="L20" i="2"/>
  <c r="K20" i="2"/>
  <c r="K18" i="2"/>
  <c r="K14" i="2"/>
  <c r="K29" i="2" s="1"/>
  <c r="L33" i="2"/>
  <c r="L27" i="2"/>
  <c r="H18" i="2"/>
  <c r="H14" i="2"/>
  <c r="H29" i="2" s="1"/>
  <c r="L18" i="2"/>
  <c r="L14" i="2"/>
  <c r="L29" i="2" s="1"/>
  <c r="I19" i="2" l="1"/>
  <c r="I21" i="2" s="1"/>
  <c r="I23" i="2" s="1"/>
  <c r="I24" i="2" s="1"/>
  <c r="Z20" i="2"/>
  <c r="Z27" i="2"/>
  <c r="N28" i="2"/>
  <c r="Z14" i="2"/>
  <c r="Z19" i="2" s="1"/>
  <c r="Z21" i="2" s="1"/>
  <c r="Z23" i="2" s="1"/>
  <c r="Z24" i="2" s="1"/>
  <c r="AA12" i="2"/>
  <c r="R19" i="2"/>
  <c r="R21" i="2" s="1"/>
  <c r="R22" i="2" s="1"/>
  <c r="R23" i="2" s="1"/>
  <c r="R24" i="2" s="1"/>
  <c r="O19" i="2"/>
  <c r="O21" i="2" s="1"/>
  <c r="Q19" i="2"/>
  <c r="Q21" i="2" s="1"/>
  <c r="M28" i="2"/>
  <c r="N19" i="2"/>
  <c r="N21" i="2" s="1"/>
  <c r="N23" i="2" s="1"/>
  <c r="N24" i="2" s="1"/>
  <c r="P19" i="2"/>
  <c r="P21" i="2" s="1"/>
  <c r="Y20" i="2"/>
  <c r="Y27" i="2"/>
  <c r="E19" i="2"/>
  <c r="E21" i="2" s="1"/>
  <c r="E23" i="2" s="1"/>
  <c r="E24" i="2" s="1"/>
  <c r="I29" i="2"/>
  <c r="X19" i="2"/>
  <c r="X21" i="2" s="1"/>
  <c r="X23" i="2" s="1"/>
  <c r="X24" i="2" s="1"/>
  <c r="Y18" i="2"/>
  <c r="Y19" i="2" s="1"/>
  <c r="Y21" i="2" s="1"/>
  <c r="Y23" i="2" s="1"/>
  <c r="Y24" i="2" s="1"/>
  <c r="M19" i="2"/>
  <c r="M21" i="2" s="1"/>
  <c r="M23" i="2" s="1"/>
  <c r="M24" i="2" s="1"/>
  <c r="L7" i="1"/>
  <c r="W19" i="2"/>
  <c r="W21" i="2" s="1"/>
  <c r="W23" i="2" s="1"/>
  <c r="W24" i="2" s="1"/>
  <c r="K19" i="2"/>
  <c r="K21" i="2" s="1"/>
  <c r="K23" i="2" s="1"/>
  <c r="K24" i="2" s="1"/>
  <c r="F19" i="2"/>
  <c r="F21" i="2" s="1"/>
  <c r="F23" i="2" s="1"/>
  <c r="F24" i="2" s="1"/>
  <c r="J19" i="2"/>
  <c r="J21" i="2" s="1"/>
  <c r="J23" i="2" s="1"/>
  <c r="J24" i="2" s="1"/>
  <c r="G19" i="2"/>
  <c r="G21" i="2" s="1"/>
  <c r="G23" i="2" s="1"/>
  <c r="G24" i="2" s="1"/>
  <c r="L19" i="2"/>
  <c r="L21" i="2" s="1"/>
  <c r="L23" i="2" s="1"/>
  <c r="L24" i="2" s="1"/>
  <c r="H19" i="2"/>
  <c r="H21" i="2" s="1"/>
  <c r="H23" i="2" s="1"/>
  <c r="H24" i="2" s="1"/>
  <c r="P22" i="2" l="1"/>
  <c r="P23" i="2" s="1"/>
  <c r="P24" i="2" s="1"/>
  <c r="Q22" i="2"/>
  <c r="Q23" i="2" s="1"/>
  <c r="Q24" i="2" s="1"/>
  <c r="O22" i="2"/>
  <c r="O23" i="2" s="1"/>
  <c r="O24" i="2" s="1"/>
</calcChain>
</file>

<file path=xl/sharedStrings.xml><?xml version="1.0" encoding="utf-8"?>
<sst xmlns="http://schemas.openxmlformats.org/spreadsheetml/2006/main" count="64" uniqueCount="59">
  <si>
    <t>Price</t>
  </si>
  <si>
    <t>Shares</t>
  </si>
  <si>
    <t>MC</t>
  </si>
  <si>
    <t>Cash</t>
  </si>
  <si>
    <t>Debt</t>
  </si>
  <si>
    <t>EV</t>
  </si>
  <si>
    <t>Q222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</si>
  <si>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</si>
  <si>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</si>
  <si>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</si>
  <si>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</si>
  <si>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</si>
  <si>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</si>
  <si>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</si>
  <si>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</si>
  <si>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</si>
  <si>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</si>
  <si>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</si>
  <si>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Q322</t>
  </si>
  <si>
    <t>Q422</t>
  </si>
  <si>
    <t>COGS</t>
  </si>
  <si>
    <t>Gross Margin</t>
  </si>
  <si>
    <t>R&amp;D</t>
  </si>
  <si>
    <t>S&amp;M</t>
  </si>
  <si>
    <t>G&amp;A</t>
  </si>
  <si>
    <t>OpEx</t>
  </si>
  <si>
    <t>OpInc</t>
  </si>
  <si>
    <t>Interest</t>
  </si>
  <si>
    <t>Pretax</t>
  </si>
  <si>
    <t>Taxes</t>
  </si>
  <si>
    <t>Net Income</t>
  </si>
  <si>
    <t>EPS</t>
  </si>
  <si>
    <t>Revenue Growth</t>
  </si>
  <si>
    <t>FCF</t>
  </si>
  <si>
    <t>CapEx</t>
  </si>
  <si>
    <t>CFFO</t>
  </si>
  <si>
    <t>DAU</t>
  </si>
  <si>
    <t>US DAU</t>
  </si>
  <si>
    <t>EU DAU</t>
  </si>
  <si>
    <t>ROW DAU</t>
  </si>
  <si>
    <t>Headcount</t>
  </si>
  <si>
    <t>DAU Growth</t>
  </si>
  <si>
    <t>Q123</t>
  </si>
  <si>
    <t>Q223</t>
  </si>
  <si>
    <t>Q323</t>
  </si>
  <si>
    <t>Q423</t>
  </si>
  <si>
    <t>US Revenue</t>
  </si>
  <si>
    <t>EU Revenue</t>
  </si>
  <si>
    <t>US ARPU</t>
  </si>
  <si>
    <t>Snapchat+</t>
  </si>
  <si>
    <t>2 million paying subscribers</t>
  </si>
  <si>
    <t>Custom Story Expiration</t>
  </si>
  <si>
    <t>Custom Notification Sounds</t>
  </si>
  <si>
    <t>BigCommerce</t>
  </si>
  <si>
    <t>Smartly.io</t>
  </si>
  <si>
    <t>300,000 AR creators, 3 million AR lenses</t>
  </si>
  <si>
    <t>Lens Studio</t>
  </si>
  <si>
    <t>Spotlight</t>
  </si>
  <si>
    <t>Bitmoji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</si>
</sst>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4" fontId="0" fillId="0" borderId="0" xfId="0" applyNumberFormat="1"/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/>
    <xf numFmtId="0" fontId="2" fillId="0" borderId="0" xfId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46434</xdr:colOff>
      <xdr:row>0</xdr:row>
      <xdr:rowOff>0</xdr:rowOff>
    </xdr:from>
    <xdr:to>
      <xdr:col>14</xdr:col>
      <xdr:colOff>46434</xdr:colOff>
      <xdr:row>40</xdr:row>
      <xdr:rowOff>3572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DE861D2-15EA-13E3-B7EF-52CC528A2769}"/>
            </a:ext>
          </a:extLst>
        </xdr:cNvPr>
        <xdr:cNvCxnSpPr/>
      </xdr:nvCxnSpPr>
      <xdr:spPr>
        <a:xfrm>
          <a:off x="8636793" y="0"/>
          <a:ext cx="0" cy="611147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38100</xdr:colOff>
      <xdr:row>0</xdr:row>
      <xdr:rowOff>0</xdr:rowOff>
    </xdr:from>
    <xdr:to>
      <xdr:col>25</xdr:col>
      <xdr:colOff>38100</xdr:colOff>
      <xdr:row>34</xdr:row>
      <xdr:rowOff>66675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112D1156-06F8-4683-87B3-11DBEC0957F5}"/>
            </a:ext>
          </a:extLst>
        </xdr:cNvPr>
        <xdr:cNvCxnSpPr/>
      </xdr:nvCxnSpPr>
      <xdr:spPr>
        <a:xfrm>
          <a:off x="13535025" y="0"/>
          <a:ext cx="0" cy="52482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85157-91F5-47CC-BA2A-C0CCFCCECC0F}">
  <dimension ref="B2:M15"/>
  <sheetViews>
    <sheetView zoomScale="160" zoomScaleNormal="160" workbookViewId="0">
      <selection activeCell="L8" sqref="L8"/>
    </sheetView>
  </sheetViews>
  <sheetFormatPr defaultRowHeight="12.75" x14ac:dyDescent="0.2"/>
  <sheetData>
    <row r="2" spans="2:13" x14ac:dyDescent="0.2">
      <c r="B2" t="s">
        <v>49</v>
      </c>
      <c r="K2" t="s">
        <v>0</v>
      </c>
      <c r="L2" s="6">
        <v>11.71</v>
      </c>
    </row>
    <row r="3" spans="2:13" x14ac:dyDescent="0.2">
      <c r="C3" t="s">
        <v>50</v>
      </c>
      <c r="K3" t="s">
        <v>1</v>
      </c>
      <c r="L3" s="2">
        <f>1358.835657+22.638471+231.626943</f>
        <v>1613.101071</v>
      </c>
      <c r="M3" s="1" t="s">
        <v>18</v>
      </c>
    </row>
    <row r="4" spans="2:13" x14ac:dyDescent="0.2">
      <c r="C4" t="s">
        <v>51</v>
      </c>
      <c r="K4" t="s">
        <v>2</v>
      </c>
      <c r="L4" s="2">
        <f>+L2*L3</f>
        <v>18889.413541410002</v>
      </c>
      <c r="M4" s="1"/>
    </row>
    <row r="5" spans="2:13" x14ac:dyDescent="0.2">
      <c r="C5" t="s">
        <v>52</v>
      </c>
      <c r="K5" t="s">
        <v>3</v>
      </c>
      <c r="L5" s="2">
        <f>1918.845+2510.107</f>
        <v>4428.9520000000002</v>
      </c>
      <c r="M5" s="1" t="s">
        <v>18</v>
      </c>
    </row>
    <row r="6" spans="2:13" x14ac:dyDescent="0.2">
      <c r="K6" t="s">
        <v>4</v>
      </c>
      <c r="L6" s="2">
        <v>3740.8040000000001</v>
      </c>
      <c r="M6" s="1" t="s">
        <v>18</v>
      </c>
    </row>
    <row r="7" spans="2:13" x14ac:dyDescent="0.2">
      <c r="B7" t="s">
        <v>53</v>
      </c>
      <c r="K7" t="s">
        <v>5</v>
      </c>
      <c r="L7" s="2">
        <f>+L4-L5+L6</f>
        <v>18201.265541410001</v>
      </c>
    </row>
    <row r="8" spans="2:13" x14ac:dyDescent="0.2">
      <c r="B8" t="s">
        <v>54</v>
      </c>
    </row>
    <row r="10" spans="2:13" x14ac:dyDescent="0.2">
      <c r="B10" t="s">
        <v>55</v>
      </c>
    </row>
    <row r="11" spans="2:13" x14ac:dyDescent="0.2">
      <c r="B11" t="s">
        <v>56</v>
      </c>
    </row>
    <row r="13" spans="2:13" x14ac:dyDescent="0.2">
      <c r="B13" s="11" t="s">
        <v>57</v>
      </c>
    </row>
    <row r="15" spans="2:13" x14ac:dyDescent="0.2">
      <c r="B15" s="11" t="s">
        <v>58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A503D-F2D4-4640-BE5F-CC163C3A9620}">
  <dimension ref="A1:AC36"/>
  <sheetViews>
    <sheetView tabSelected="1" zoomScale="160" zoomScaleNormal="160" workbookViewId="0">
      <pane xSplit="2" ySplit="2" topLeftCell="R3" activePane="bottomRight" state="frozen"/>
      <selection pane="topRight" activeCell="C1" sqref="C1"/>
      <selection pane="bottomLeft" activeCell="A3" sqref="A3"/>
      <selection pane="bottomRight" activeCell="T2" sqref="T2"/>
    </sheetView>
  </sheetViews>
  <sheetFormatPr defaultRowHeight="12.75" x14ac:dyDescent="0.2"/>
  <cols>
    <col min="1" max="1" width="5" bestFit="1" customWidth="1"/>
    <col min="2" max="2" width="15.140625" customWidth="1"/>
    <col min="3" max="14" width="9.140625" style="1"/>
  </cols>
  <sheetData>
    <row r="1" spans="1:29" x14ac:dyDescent="0.2">
      <c r="A1" s="10" t="s">
        <v>7</v>
      </c>
    </row>
    <row r="2" spans="1:29" x14ac:dyDescent="0.2"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6</v>
      </c>
      <c r="M2" s="1" t="s">
        <v>18</v>
      </c>
      <c r="N2" s="1" t="s">
        <v>19</v>
      </c>
      <c r="O2" s="1" t="s">
        <v>42</v>
      </c>
      <c r="P2" s="1" t="s">
        <v>43</v>
      </c>
      <c r="Q2" s="1" t="s">
        <v>44</v>
      </c>
      <c r="R2" s="1" t="s">
        <v>45</v>
      </c>
      <c r="S2" s="1"/>
      <c r="T2">
        <v>2016</v>
      </c>
      <c r="U2">
        <v>2017</v>
      </c>
      <c r="V2">
        <f>+U2+1</f>
        <v>2018</v>
      </c>
      <c r="W2">
        <f t="shared" ref="W2:AC2" si="0">+V2+1</f>
        <v>2019</v>
      </c>
      <c r="X2">
        <f t="shared" si="0"/>
        <v>2020</v>
      </c>
      <c r="Y2">
        <f t="shared" si="0"/>
        <v>2021</v>
      </c>
      <c r="Z2">
        <f t="shared" si="0"/>
        <v>2022</v>
      </c>
      <c r="AA2">
        <f t="shared" si="0"/>
        <v>2023</v>
      </c>
      <c r="AB2">
        <f t="shared" si="0"/>
        <v>2024</v>
      </c>
      <c r="AC2">
        <f t="shared" si="0"/>
        <v>2025</v>
      </c>
    </row>
    <row r="3" spans="1:29" s="2" customFormat="1" x14ac:dyDescent="0.2">
      <c r="B3" s="2" t="s">
        <v>36</v>
      </c>
      <c r="C3" s="3"/>
      <c r="D3" s="3">
        <v>238</v>
      </c>
      <c r="E3" s="3">
        <v>249</v>
      </c>
      <c r="F3" s="3">
        <v>265</v>
      </c>
      <c r="G3" s="3">
        <v>280</v>
      </c>
      <c r="H3" s="3">
        <v>293</v>
      </c>
      <c r="I3" s="3">
        <f t="shared" ref="I3:N3" si="1">SUM(I4:I6)</f>
        <v>306</v>
      </c>
      <c r="J3" s="3">
        <f t="shared" si="1"/>
        <v>319</v>
      </c>
      <c r="K3" s="3">
        <f t="shared" si="1"/>
        <v>332</v>
      </c>
      <c r="L3" s="3">
        <f t="shared" si="1"/>
        <v>347</v>
      </c>
      <c r="M3" s="3">
        <f t="shared" si="1"/>
        <v>363</v>
      </c>
      <c r="N3" s="3">
        <f t="shared" si="1"/>
        <v>375</v>
      </c>
      <c r="O3" s="3">
        <f t="shared" ref="O3:R3" si="2">SUM(O4:O6)</f>
        <v>375</v>
      </c>
      <c r="P3" s="3">
        <f t="shared" si="2"/>
        <v>375</v>
      </c>
      <c r="Q3" s="3">
        <f t="shared" si="2"/>
        <v>375</v>
      </c>
      <c r="R3" s="3">
        <f t="shared" si="2"/>
        <v>375</v>
      </c>
    </row>
    <row r="4" spans="1:29" s="2" customFormat="1" x14ac:dyDescent="0.2">
      <c r="B4" s="2" t="s">
        <v>37</v>
      </c>
      <c r="C4" s="3"/>
      <c r="D4" s="3">
        <v>90</v>
      </c>
      <c r="E4" s="3">
        <v>90</v>
      </c>
      <c r="F4" s="3">
        <v>92</v>
      </c>
      <c r="G4" s="3">
        <v>93</v>
      </c>
      <c r="H4" s="3">
        <v>95</v>
      </c>
      <c r="I4" s="3">
        <v>96</v>
      </c>
      <c r="J4" s="3">
        <v>97</v>
      </c>
      <c r="K4" s="3">
        <v>98</v>
      </c>
      <c r="L4" s="3">
        <v>99</v>
      </c>
      <c r="M4" s="3">
        <v>100</v>
      </c>
      <c r="N4" s="3">
        <v>100</v>
      </c>
      <c r="O4" s="3">
        <v>100</v>
      </c>
      <c r="P4" s="3">
        <v>100</v>
      </c>
      <c r="Q4" s="3">
        <v>100</v>
      </c>
      <c r="R4" s="3">
        <v>100</v>
      </c>
    </row>
    <row r="5" spans="1:29" s="2" customFormat="1" x14ac:dyDescent="0.2">
      <c r="B5" s="2" t="s">
        <v>38</v>
      </c>
      <c r="C5" s="3"/>
      <c r="D5" s="3">
        <v>71</v>
      </c>
      <c r="E5" s="3">
        <v>72</v>
      </c>
      <c r="F5" s="3">
        <v>74</v>
      </c>
      <c r="G5" s="3">
        <v>77</v>
      </c>
      <c r="H5" s="3">
        <v>78</v>
      </c>
      <c r="I5" s="3">
        <v>80</v>
      </c>
      <c r="J5" s="3">
        <v>82</v>
      </c>
      <c r="K5" s="3">
        <v>84</v>
      </c>
      <c r="L5" s="3">
        <v>86</v>
      </c>
      <c r="M5" s="3">
        <v>88</v>
      </c>
      <c r="N5" s="3">
        <v>92</v>
      </c>
      <c r="O5" s="3">
        <v>92</v>
      </c>
      <c r="P5" s="3">
        <v>92</v>
      </c>
      <c r="Q5" s="3">
        <v>92</v>
      </c>
      <c r="R5" s="3">
        <v>92</v>
      </c>
    </row>
    <row r="6" spans="1:29" s="2" customFormat="1" x14ac:dyDescent="0.2">
      <c r="B6" s="2" t="s">
        <v>39</v>
      </c>
      <c r="C6" s="3"/>
      <c r="D6" s="3">
        <v>77</v>
      </c>
      <c r="E6" s="3">
        <v>87</v>
      </c>
      <c r="F6" s="3">
        <v>99</v>
      </c>
      <c r="G6" s="3">
        <v>111</v>
      </c>
      <c r="H6" s="3">
        <v>120</v>
      </c>
      <c r="I6" s="3">
        <v>130</v>
      </c>
      <c r="J6" s="3">
        <v>140</v>
      </c>
      <c r="K6" s="3">
        <v>150</v>
      </c>
      <c r="L6" s="3">
        <v>162</v>
      </c>
      <c r="M6" s="3">
        <v>175</v>
      </c>
      <c r="N6" s="3">
        <v>183</v>
      </c>
      <c r="O6" s="3">
        <v>183</v>
      </c>
      <c r="P6" s="3">
        <v>183</v>
      </c>
      <c r="Q6" s="3">
        <v>183</v>
      </c>
      <c r="R6" s="3">
        <v>183</v>
      </c>
    </row>
    <row r="7" spans="1:29" s="2" customFormat="1" x14ac:dyDescent="0.2"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29" s="2" customFormat="1" x14ac:dyDescent="0.2">
      <c r="B8" s="2" t="s">
        <v>48</v>
      </c>
      <c r="C8" s="3"/>
      <c r="D8" s="3"/>
      <c r="E8" s="3"/>
      <c r="F8" s="3"/>
      <c r="G8" s="3"/>
      <c r="H8" s="3"/>
      <c r="I8" s="4">
        <f t="shared" ref="I8:M8" si="3">+I11/I4</f>
        <v>8.1970520833333342</v>
      </c>
      <c r="J8" s="4">
        <f t="shared" si="3"/>
        <v>9.6090412371134022</v>
      </c>
      <c r="K8" s="4">
        <f t="shared" si="3"/>
        <v>7.7373571428571424</v>
      </c>
      <c r="L8" s="4">
        <f t="shared" si="3"/>
        <v>7.9361717171717174</v>
      </c>
      <c r="M8" s="4">
        <f t="shared" si="3"/>
        <v>8.1160199999999989</v>
      </c>
      <c r="N8" s="4">
        <f>+N11/N4</f>
        <v>8.8030999999999988</v>
      </c>
      <c r="O8" s="3"/>
      <c r="P8" s="3"/>
      <c r="Q8" s="3"/>
      <c r="R8" s="3"/>
    </row>
    <row r="9" spans="1:29" s="2" customFormat="1" x14ac:dyDescent="0.2"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29" s="2" customFormat="1" x14ac:dyDescent="0.2">
      <c r="B10" s="2" t="s">
        <v>47</v>
      </c>
      <c r="C10" s="3"/>
      <c r="D10" s="3"/>
      <c r="E10" s="3"/>
      <c r="F10" s="3"/>
      <c r="G10" s="3"/>
      <c r="H10" s="3"/>
      <c r="I10" s="3">
        <v>153.12100000000001</v>
      </c>
      <c r="J10" s="3">
        <v>208.91200000000001</v>
      </c>
      <c r="K10" s="3">
        <v>162.13200000000001</v>
      </c>
      <c r="L10" s="3">
        <v>170.09700000000001</v>
      </c>
      <c r="M10" s="3">
        <v>161.39599999999999</v>
      </c>
      <c r="N10" s="3">
        <v>218.55199999999999</v>
      </c>
    </row>
    <row r="11" spans="1:29" s="2" customFormat="1" x14ac:dyDescent="0.2">
      <c r="B11" s="2" t="s">
        <v>46</v>
      </c>
      <c r="C11" s="3"/>
      <c r="D11" s="3"/>
      <c r="E11" s="3"/>
      <c r="F11" s="3"/>
      <c r="G11" s="3"/>
      <c r="H11" s="3"/>
      <c r="I11" s="3">
        <v>786.91700000000003</v>
      </c>
      <c r="J11" s="3">
        <v>932.077</v>
      </c>
      <c r="K11" s="3">
        <v>758.26099999999997</v>
      </c>
      <c r="L11" s="3">
        <v>785.68100000000004</v>
      </c>
      <c r="M11" s="3">
        <v>811.60199999999998</v>
      </c>
      <c r="N11" s="3">
        <v>880.31</v>
      </c>
    </row>
    <row r="12" spans="1:29" s="7" customFormat="1" x14ac:dyDescent="0.2">
      <c r="B12" s="7" t="s">
        <v>8</v>
      </c>
      <c r="C12" s="8"/>
      <c r="D12" s="8"/>
      <c r="E12" s="8">
        <v>678.66800000000001</v>
      </c>
      <c r="F12" s="8">
        <v>911.322</v>
      </c>
      <c r="G12" s="8">
        <v>769.58399999999995</v>
      </c>
      <c r="H12" s="8">
        <v>982.10799999999995</v>
      </c>
      <c r="I12" s="8">
        <v>1067.471</v>
      </c>
      <c r="J12" s="8">
        <v>1297.885</v>
      </c>
      <c r="K12" s="8">
        <v>1062.7270000000001</v>
      </c>
      <c r="L12" s="8">
        <v>1110.9090000000001</v>
      </c>
      <c r="M12" s="8">
        <v>1128.4760000000001</v>
      </c>
      <c r="N12" s="8">
        <v>1300</v>
      </c>
      <c r="O12" s="7">
        <f>+K12*1.01</f>
        <v>1073.35427</v>
      </c>
      <c r="P12" s="7">
        <f>+L12*1.01</f>
        <v>1122.01809</v>
      </c>
      <c r="Q12" s="7">
        <f>+M12*1.01</f>
        <v>1139.7607600000001</v>
      </c>
      <c r="R12" s="7">
        <f>+N12*1.01</f>
        <v>1313</v>
      </c>
      <c r="T12" s="7">
        <v>404.48200000000003</v>
      </c>
      <c r="U12" s="7">
        <v>824.94899999999996</v>
      </c>
      <c r="V12" s="7">
        <v>1180.4459999999999</v>
      </c>
      <c r="W12" s="7">
        <v>1715.5340000000001</v>
      </c>
      <c r="X12" s="7">
        <v>2506.6260000000002</v>
      </c>
      <c r="Y12" s="7">
        <f>SUM(G12:J12)</f>
        <v>4117.0479999999998</v>
      </c>
      <c r="Z12" s="7">
        <f>SUM(K12:N12)</f>
        <v>4602.112000000001</v>
      </c>
      <c r="AA12" s="7">
        <f>SUM(O12:R12)</f>
        <v>4648.1331200000004</v>
      </c>
    </row>
    <row r="13" spans="1:29" s="2" customFormat="1" x14ac:dyDescent="0.2">
      <c r="B13" s="2" t="s">
        <v>20</v>
      </c>
      <c r="C13" s="3"/>
      <c r="D13" s="3"/>
      <c r="E13" s="3">
        <v>293.09500000000003</v>
      </c>
      <c r="F13" s="3">
        <v>385.54599999999999</v>
      </c>
      <c r="G13" s="3">
        <v>412.601</v>
      </c>
      <c r="H13" s="3">
        <v>445.02100000000002</v>
      </c>
      <c r="I13" s="3">
        <v>443.47300000000001</v>
      </c>
      <c r="J13" s="3">
        <v>449.15100000000001</v>
      </c>
      <c r="K13" s="3">
        <v>420.89699999999999</v>
      </c>
      <c r="L13" s="3">
        <v>446.37700000000001</v>
      </c>
      <c r="M13" s="3">
        <v>466.75700000000001</v>
      </c>
      <c r="N13" s="3">
        <v>481.31099999999998</v>
      </c>
      <c r="W13" s="2">
        <v>895.83799999999997</v>
      </c>
      <c r="X13" s="2">
        <v>1182.5050000000001</v>
      </c>
      <c r="Y13" s="2">
        <f>SUM(G13:J13)</f>
        <v>1750.2460000000001</v>
      </c>
      <c r="Z13" s="2">
        <f>SUM(K13:N13)</f>
        <v>1815.3419999999999</v>
      </c>
    </row>
    <row r="14" spans="1:29" s="2" customFormat="1" x14ac:dyDescent="0.2">
      <c r="B14" s="2" t="s">
        <v>21</v>
      </c>
      <c r="C14" s="3"/>
      <c r="D14" s="3"/>
      <c r="E14" s="3">
        <f t="shared" ref="E14" si="4">+E12-E13</f>
        <v>385.57299999999998</v>
      </c>
      <c r="F14" s="3">
        <f t="shared" ref="F14:G14" si="5">+F12-F13</f>
        <v>525.77600000000007</v>
      </c>
      <c r="G14" s="3">
        <f t="shared" si="5"/>
        <v>356.98299999999995</v>
      </c>
      <c r="H14" s="3">
        <f>+H12-H13</f>
        <v>537.08699999999999</v>
      </c>
      <c r="I14" s="3">
        <f t="shared" ref="I14" si="6">+I12-I13</f>
        <v>623.99800000000005</v>
      </c>
      <c r="J14" s="3">
        <f t="shared" ref="J14" si="7">+J12-J13</f>
        <v>848.73399999999992</v>
      </c>
      <c r="K14" s="3">
        <f>+K12-K13</f>
        <v>641.83000000000015</v>
      </c>
      <c r="L14" s="3">
        <f>+L12-L13</f>
        <v>664.53200000000015</v>
      </c>
      <c r="M14" s="3">
        <f>+M12-M13</f>
        <v>661.71900000000005</v>
      </c>
      <c r="N14" s="3">
        <f>+N12-N13</f>
        <v>818.68900000000008</v>
      </c>
      <c r="O14" s="2">
        <f>+O12*0.63</f>
        <v>676.21319010000002</v>
      </c>
      <c r="P14" s="2">
        <f t="shared" ref="P14:R14" si="8">+P12*0.63</f>
        <v>706.87139669999999</v>
      </c>
      <c r="Q14" s="2">
        <f t="shared" si="8"/>
        <v>718.04927880000002</v>
      </c>
      <c r="R14" s="2">
        <f t="shared" si="8"/>
        <v>827.19</v>
      </c>
      <c r="W14" s="2">
        <f t="shared" ref="W14" si="9">+W12-W13</f>
        <v>819.69600000000014</v>
      </c>
      <c r="X14" s="2">
        <f>+X12-X13</f>
        <v>1324.1210000000001</v>
      </c>
      <c r="Y14" s="2">
        <f>+Y12-Y13</f>
        <v>2366.8019999999997</v>
      </c>
      <c r="Z14" s="2">
        <f>+Z12-Z13</f>
        <v>2786.7700000000013</v>
      </c>
    </row>
    <row r="15" spans="1:29" s="2" customFormat="1" x14ac:dyDescent="0.2">
      <c r="B15" s="2" t="s">
        <v>22</v>
      </c>
      <c r="C15" s="3"/>
      <c r="D15" s="3"/>
      <c r="E15" s="3">
        <v>283.63900000000001</v>
      </c>
      <c r="F15" s="3">
        <v>318.44600000000003</v>
      </c>
      <c r="G15" s="3">
        <v>348.58</v>
      </c>
      <c r="H15" s="3">
        <v>370.67099999999999</v>
      </c>
      <c r="I15" s="3">
        <v>412.02100000000002</v>
      </c>
      <c r="J15" s="3">
        <v>434.19499999999999</v>
      </c>
      <c r="K15" s="3">
        <v>455.56299999999999</v>
      </c>
      <c r="L15" s="3">
        <v>505.03699999999998</v>
      </c>
      <c r="M15" s="3">
        <v>564.25800000000004</v>
      </c>
      <c r="N15" s="3">
        <v>584.94200000000001</v>
      </c>
      <c r="W15" s="2">
        <v>883.50900000000001</v>
      </c>
      <c r="X15" s="2">
        <v>1101.5609999999999</v>
      </c>
      <c r="Y15" s="2">
        <f>SUM(G15:J15)</f>
        <v>1565.4669999999999</v>
      </c>
      <c r="Z15" s="2">
        <f t="shared" ref="Z15:Z17" si="10">SUM(K15:N15)</f>
        <v>2109.8000000000002</v>
      </c>
    </row>
    <row r="16" spans="1:29" s="2" customFormat="1" x14ac:dyDescent="0.2">
      <c r="B16" s="2" t="s">
        <v>23</v>
      </c>
      <c r="C16" s="3"/>
      <c r="D16" s="3"/>
      <c r="E16" s="3">
        <v>143.511</v>
      </c>
      <c r="F16" s="3">
        <v>157.63399999999999</v>
      </c>
      <c r="G16" s="3">
        <v>150.286</v>
      </c>
      <c r="H16" s="3">
        <v>179.72399999999999</v>
      </c>
      <c r="I16" s="3">
        <v>217.52600000000001</v>
      </c>
      <c r="J16" s="3">
        <v>245.22800000000001</v>
      </c>
      <c r="K16" s="3">
        <v>241.886</v>
      </c>
      <c r="L16" s="3">
        <v>311.37400000000002</v>
      </c>
      <c r="M16" s="3">
        <v>270.33600000000001</v>
      </c>
      <c r="N16" s="3">
        <v>295.14999999999998</v>
      </c>
      <c r="O16" s="2">
        <f>+K16*0.9</f>
        <v>217.69739999999999</v>
      </c>
      <c r="P16" s="2">
        <f>+L16*0.9</f>
        <v>280.23660000000001</v>
      </c>
      <c r="Q16" s="2">
        <f>+M16*0.9</f>
        <v>243.30240000000001</v>
      </c>
      <c r="R16" s="2">
        <f>+N16*0.9</f>
        <v>265.63499999999999</v>
      </c>
      <c r="W16" s="2">
        <v>458.59800000000001</v>
      </c>
      <c r="X16" s="2">
        <v>555.46799999999996</v>
      </c>
      <c r="Y16" s="2">
        <f>SUM(G16:J16)</f>
        <v>792.76400000000012</v>
      </c>
      <c r="Z16" s="2">
        <f t="shared" si="10"/>
        <v>1118.7460000000001</v>
      </c>
    </row>
    <row r="17" spans="2:26" s="2" customFormat="1" x14ac:dyDescent="0.2">
      <c r="B17" s="2" t="s">
        <v>24</v>
      </c>
      <c r="C17" s="3"/>
      <c r="D17" s="3"/>
      <c r="E17" s="3">
        <v>126.28700000000001</v>
      </c>
      <c r="F17" s="3">
        <v>146.93199999999999</v>
      </c>
      <c r="G17" s="3">
        <v>161.72300000000001</v>
      </c>
      <c r="H17" s="3">
        <v>179.20400000000001</v>
      </c>
      <c r="I17" s="3">
        <v>175.27500000000001</v>
      </c>
      <c r="J17" s="3">
        <v>194.43799999999999</v>
      </c>
      <c r="K17" s="3">
        <v>215.90799999999999</v>
      </c>
      <c r="L17" s="3">
        <v>249.06100000000001</v>
      </c>
      <c r="M17" s="3">
        <v>262.36700000000002</v>
      </c>
      <c r="N17" s="3">
        <v>225.929</v>
      </c>
      <c r="W17" s="2">
        <v>580.91700000000003</v>
      </c>
      <c r="X17" s="2">
        <v>529.16399999999999</v>
      </c>
      <c r="Y17" s="2">
        <f>SUM(G17:J17)</f>
        <v>710.64</v>
      </c>
      <c r="Z17" s="2">
        <f t="shared" si="10"/>
        <v>953.26499999999999</v>
      </c>
    </row>
    <row r="18" spans="2:26" s="2" customFormat="1" x14ac:dyDescent="0.2">
      <c r="B18" s="2" t="s">
        <v>25</v>
      </c>
      <c r="C18" s="3"/>
      <c r="D18" s="3"/>
      <c r="E18" s="3">
        <f t="shared" ref="E18" si="11">SUM(E15:E17)</f>
        <v>553.43700000000001</v>
      </c>
      <c r="F18" s="3">
        <f t="shared" ref="F18:G18" si="12">SUM(F15:F17)</f>
        <v>623.01200000000006</v>
      </c>
      <c r="G18" s="3">
        <f t="shared" si="12"/>
        <v>660.58899999999994</v>
      </c>
      <c r="H18" s="3">
        <f>SUM(H15:H17)</f>
        <v>729.59899999999993</v>
      </c>
      <c r="I18" s="3">
        <f t="shared" ref="I18" si="13">SUM(I15:I17)</f>
        <v>804.822</v>
      </c>
      <c r="J18" s="3">
        <f t="shared" ref="J18" si="14">SUM(J15:J17)</f>
        <v>873.86099999999999</v>
      </c>
      <c r="K18" s="3">
        <f t="shared" ref="K18" si="15">SUM(K15:K17)</f>
        <v>913.35699999999997</v>
      </c>
      <c r="L18" s="3">
        <f>SUM(L15:L17)</f>
        <v>1065.472</v>
      </c>
      <c r="M18" s="3">
        <f>SUM(M15:M17)</f>
        <v>1096.961</v>
      </c>
      <c r="N18" s="3">
        <f>SUM(N15:N17)</f>
        <v>1106.021</v>
      </c>
      <c r="O18" s="3">
        <f t="shared" ref="O18:R18" si="16">SUM(O15:O17)</f>
        <v>217.69739999999999</v>
      </c>
      <c r="P18" s="3">
        <f t="shared" si="16"/>
        <v>280.23660000000001</v>
      </c>
      <c r="Q18" s="3">
        <f t="shared" si="16"/>
        <v>243.30240000000001</v>
      </c>
      <c r="R18" s="3">
        <f t="shared" si="16"/>
        <v>265.63499999999999</v>
      </c>
      <c r="W18" s="2">
        <f t="shared" ref="W18" si="17">SUM(W15:W17)</f>
        <v>1923.0239999999999</v>
      </c>
      <c r="X18" s="2">
        <f>SUM(X15:X17)</f>
        <v>2186.1930000000002</v>
      </c>
      <c r="Y18" s="2">
        <f t="shared" ref="Y18:Z18" si="18">SUM(Y15:Y17)</f>
        <v>3068.8709999999996</v>
      </c>
      <c r="Z18" s="2">
        <f t="shared" si="18"/>
        <v>4181.8110000000006</v>
      </c>
    </row>
    <row r="19" spans="2:26" s="2" customFormat="1" x14ac:dyDescent="0.2">
      <c r="B19" s="2" t="s">
        <v>26</v>
      </c>
      <c r="C19" s="3"/>
      <c r="D19" s="3"/>
      <c r="E19" s="3">
        <f t="shared" ref="E19" si="19">E14-E18</f>
        <v>-167.86400000000003</v>
      </c>
      <c r="F19" s="3">
        <f t="shared" ref="F19:G19" si="20">F14-F18</f>
        <v>-97.23599999999999</v>
      </c>
      <c r="G19" s="3">
        <f t="shared" si="20"/>
        <v>-303.60599999999999</v>
      </c>
      <c r="H19" s="3">
        <f>H14-H18</f>
        <v>-192.51199999999994</v>
      </c>
      <c r="I19" s="3">
        <f t="shared" ref="I19" si="21">I14-I18</f>
        <v>-180.82399999999996</v>
      </c>
      <c r="J19" s="3">
        <f t="shared" ref="J19" si="22">J14-J18</f>
        <v>-25.127000000000066</v>
      </c>
      <c r="K19" s="3">
        <f t="shared" ref="K19" si="23">K14-K18</f>
        <v>-271.52699999999982</v>
      </c>
      <c r="L19" s="3">
        <f>L14-L18</f>
        <v>-400.93999999999983</v>
      </c>
      <c r="M19" s="3">
        <f>M14-M18</f>
        <v>-435.24199999999996</v>
      </c>
      <c r="N19" s="3">
        <f>N14-N18</f>
        <v>-287.33199999999988</v>
      </c>
      <c r="O19" s="3">
        <f t="shared" ref="O19:R19" si="24">O14-O18</f>
        <v>458.5157901</v>
      </c>
      <c r="P19" s="3">
        <f t="shared" si="24"/>
        <v>426.63479669999998</v>
      </c>
      <c r="Q19" s="3">
        <f t="shared" si="24"/>
        <v>474.74687879999999</v>
      </c>
      <c r="R19" s="3">
        <f t="shared" si="24"/>
        <v>561.55500000000006</v>
      </c>
      <c r="W19" s="2">
        <f t="shared" ref="W19" si="25">+W14-W18</f>
        <v>-1103.3279999999997</v>
      </c>
      <c r="X19" s="2">
        <f>+X14-X18</f>
        <v>-862.07200000000012</v>
      </c>
      <c r="Y19" s="2">
        <f t="shared" ref="Y19:Z19" si="26">+Y14-Y18</f>
        <v>-702.06899999999996</v>
      </c>
      <c r="Z19" s="2">
        <f t="shared" si="26"/>
        <v>-1395.0409999999993</v>
      </c>
    </row>
    <row r="20" spans="2:26" s="2" customFormat="1" x14ac:dyDescent="0.2">
      <c r="B20" s="2" t="s">
        <v>27</v>
      </c>
      <c r="C20" s="3"/>
      <c r="D20" s="3"/>
      <c r="E20" s="3">
        <f t="shared" ref="E20" si="27">2.801-28.212</f>
        <v>-25.411000000000001</v>
      </c>
      <c r="F20" s="3">
        <f>1.969-29.176</f>
        <v>-27.206999999999997</v>
      </c>
      <c r="G20" s="3">
        <f>1.137-5.031</f>
        <v>-3.8939999999999997</v>
      </c>
      <c r="H20" s="3">
        <f>1.251-4.564</f>
        <v>-3.3130000000000002</v>
      </c>
      <c r="I20" s="3">
        <f t="shared" ref="I20" si="28">1.257-4.031</f>
        <v>-2.774</v>
      </c>
      <c r="J20" s="3">
        <f>1.554-4.05</f>
        <v>-2.4959999999999996</v>
      </c>
      <c r="K20" s="3">
        <f>3.123-5.173</f>
        <v>-2.0499999999999998</v>
      </c>
      <c r="L20" s="3">
        <f>8.331-5.549</f>
        <v>2.7819999999999991</v>
      </c>
      <c r="M20" s="3">
        <f>18.445-5.425</f>
        <v>13.02</v>
      </c>
      <c r="N20" s="3">
        <f>28.698-5.312</f>
        <v>23.385999999999999</v>
      </c>
      <c r="W20" s="2">
        <f>36.042-24.994</f>
        <v>11.048000000000002</v>
      </c>
      <c r="X20" s="2">
        <f>18.127-97.228</f>
        <v>-79.100999999999999</v>
      </c>
      <c r="Y20" s="2">
        <f>SUM(G20:J20)</f>
        <v>-12.477</v>
      </c>
      <c r="Z20" s="2">
        <f t="shared" ref="Z20:Z22" si="29">SUM(K20:N20)</f>
        <v>37.137999999999998</v>
      </c>
    </row>
    <row r="21" spans="2:26" s="2" customFormat="1" x14ac:dyDescent="0.2">
      <c r="B21" s="2" t="s">
        <v>28</v>
      </c>
      <c r="C21" s="3"/>
      <c r="D21" s="3"/>
      <c r="E21" s="3">
        <f t="shared" ref="E21" si="30">+E19+E20</f>
        <v>-193.27500000000003</v>
      </c>
      <c r="F21" s="3">
        <f t="shared" ref="F21:G21" si="31">+F19+F20</f>
        <v>-124.44299999999998</v>
      </c>
      <c r="G21" s="3">
        <f t="shared" si="31"/>
        <v>-307.5</v>
      </c>
      <c r="H21" s="3">
        <f>+H19+H20</f>
        <v>-195.82499999999993</v>
      </c>
      <c r="I21" s="3">
        <f t="shared" ref="I21" si="32">+I19+I20</f>
        <v>-183.59799999999996</v>
      </c>
      <c r="J21" s="3">
        <f t="shared" ref="J21" si="33">+J19+J20</f>
        <v>-27.623000000000065</v>
      </c>
      <c r="K21" s="3">
        <f>+K19+K20</f>
        <v>-273.57699999999983</v>
      </c>
      <c r="L21" s="3">
        <f>+L19+L20</f>
        <v>-398.15799999999984</v>
      </c>
      <c r="M21" s="3">
        <f>+M19+M20</f>
        <v>-422.22199999999998</v>
      </c>
      <c r="N21" s="3">
        <f>+N19+N20</f>
        <v>-263.94599999999986</v>
      </c>
      <c r="O21" s="3">
        <f t="shared" ref="O21:R21" si="34">+O19+O20</f>
        <v>458.5157901</v>
      </c>
      <c r="P21" s="3">
        <f t="shared" si="34"/>
        <v>426.63479669999998</v>
      </c>
      <c r="Q21" s="3">
        <f t="shared" si="34"/>
        <v>474.74687879999999</v>
      </c>
      <c r="R21" s="3">
        <f t="shared" si="34"/>
        <v>561.55500000000006</v>
      </c>
      <c r="W21" s="2">
        <f t="shared" ref="W21" si="35">+W19+W20</f>
        <v>-1092.2799999999997</v>
      </c>
      <c r="X21" s="2">
        <f>+X19+X20</f>
        <v>-941.17300000000012</v>
      </c>
      <c r="Y21" s="2">
        <f>+Y19+Y20</f>
        <v>-714.54599999999994</v>
      </c>
      <c r="Z21" s="2">
        <f>+Z19+Z20</f>
        <v>-1357.9029999999993</v>
      </c>
    </row>
    <row r="22" spans="2:26" s="2" customFormat="1" x14ac:dyDescent="0.2">
      <c r="B22" s="2" t="s">
        <v>29</v>
      </c>
      <c r="C22" s="3"/>
      <c r="D22" s="3"/>
      <c r="E22" s="3">
        <v>0.90900000000000003</v>
      </c>
      <c r="F22" s="3">
        <v>18.126999999999999</v>
      </c>
      <c r="G22" s="3">
        <v>1.44</v>
      </c>
      <c r="H22" s="3">
        <v>-1.879</v>
      </c>
      <c r="I22" s="3">
        <v>0.99199999999999999</v>
      </c>
      <c r="J22" s="3">
        <v>13.031000000000001</v>
      </c>
      <c r="K22" s="3">
        <v>8.51</v>
      </c>
      <c r="L22" s="3">
        <v>6.9989999999999997</v>
      </c>
      <c r="M22" s="3">
        <v>9.2409999999999997</v>
      </c>
      <c r="N22" s="3">
        <v>4.2060000000000004</v>
      </c>
      <c r="O22" s="2">
        <f>+O21*0.1</f>
        <v>45.851579010000002</v>
      </c>
      <c r="P22" s="2">
        <f>+P21*0.1</f>
        <v>42.663479670000001</v>
      </c>
      <c r="Q22" s="2">
        <f>+Q21*0.1</f>
        <v>47.474687880000005</v>
      </c>
      <c r="R22" s="2">
        <f>+R21*0.1</f>
        <v>56.155500000000011</v>
      </c>
      <c r="W22" s="2">
        <v>0.39300000000000002</v>
      </c>
      <c r="X22" s="2">
        <v>18.654</v>
      </c>
      <c r="Y22" s="2">
        <f>SUM(G22:J22)</f>
        <v>13.584</v>
      </c>
      <c r="Z22" s="2">
        <f t="shared" si="29"/>
        <v>28.956</v>
      </c>
    </row>
    <row r="23" spans="2:26" s="2" customFormat="1" x14ac:dyDescent="0.2">
      <c r="B23" s="2" t="s">
        <v>30</v>
      </c>
      <c r="C23" s="3"/>
      <c r="D23" s="3"/>
      <c r="E23" s="3">
        <f t="shared" ref="E23" si="36">+E21-E22</f>
        <v>-194.18400000000003</v>
      </c>
      <c r="F23" s="3">
        <f t="shared" ref="F23:G23" si="37">+F21-F22</f>
        <v>-142.57</v>
      </c>
      <c r="G23" s="3">
        <f t="shared" si="37"/>
        <v>-308.94</v>
      </c>
      <c r="H23" s="3">
        <f>+H21-H22</f>
        <v>-193.94599999999994</v>
      </c>
      <c r="I23" s="3">
        <f t="shared" ref="I23" si="38">+I21-I22</f>
        <v>-184.58999999999995</v>
      </c>
      <c r="J23" s="3">
        <f t="shared" ref="J23" si="39">+J21-J22</f>
        <v>-40.654000000000067</v>
      </c>
      <c r="K23" s="3">
        <f>+K21-K22</f>
        <v>-282.08699999999982</v>
      </c>
      <c r="L23" s="3">
        <f>+L21-L22</f>
        <v>-405.15699999999987</v>
      </c>
      <c r="M23" s="3">
        <f>+M21-M22</f>
        <v>-431.46299999999997</v>
      </c>
      <c r="N23" s="3">
        <f>+N21-N22</f>
        <v>-268.15199999999987</v>
      </c>
      <c r="O23" s="3">
        <f t="shared" ref="O23:R23" si="40">+O21-O22</f>
        <v>412.66421108999998</v>
      </c>
      <c r="P23" s="3">
        <f t="shared" si="40"/>
        <v>383.97131702999997</v>
      </c>
      <c r="Q23" s="3">
        <f t="shared" si="40"/>
        <v>427.27219091999996</v>
      </c>
      <c r="R23" s="3">
        <f t="shared" si="40"/>
        <v>505.39950000000005</v>
      </c>
      <c r="W23" s="2">
        <f t="shared" ref="W23" si="41">+W21-W22</f>
        <v>-1092.6729999999998</v>
      </c>
      <c r="X23" s="2">
        <f>+X21-X22</f>
        <v>-959.82700000000011</v>
      </c>
      <c r="Y23" s="2">
        <f>+Y21-Y22</f>
        <v>-728.12999999999988</v>
      </c>
      <c r="Z23" s="2">
        <f>+Z21-Z22</f>
        <v>-1386.8589999999992</v>
      </c>
    </row>
    <row r="24" spans="2:26" x14ac:dyDescent="0.2">
      <c r="B24" s="2" t="s">
        <v>31</v>
      </c>
      <c r="E24" s="4">
        <f t="shared" ref="E24" si="42">+E23/E25</f>
        <v>-0.1324204525306529</v>
      </c>
      <c r="F24" s="4">
        <f t="shared" ref="F24:G24" si="43">+F23/F25</f>
        <v>-9.6053499447879331E-2</v>
      </c>
      <c r="G24" s="4">
        <f t="shared" si="43"/>
        <v>-0.20573561102690666</v>
      </c>
      <c r="H24" s="4">
        <f>+H23/H25</f>
        <v>-0.12535014096122496</v>
      </c>
      <c r="I24" s="4">
        <f t="shared" ref="I24" si="44">+I23/I25</f>
        <v>-0.11675772913522489</v>
      </c>
      <c r="J24" s="4">
        <f t="shared" ref="J24" si="45">+J23/J25</f>
        <v>-2.4360064450448516E-2</v>
      </c>
      <c r="K24" s="4">
        <f t="shared" ref="K24" si="46">+K23/K25</f>
        <v>-0.1742231703407976</v>
      </c>
      <c r="L24" s="4">
        <f t="shared" ref="L24:R24" si="47">+L23/L25</f>
        <v>-0.24823667087382201</v>
      </c>
      <c r="M24" s="4">
        <f t="shared" si="47"/>
        <v>-0.26823551792545086</v>
      </c>
      <c r="N24" s="4">
        <f t="shared" si="47"/>
        <v>-0.17037606988575382</v>
      </c>
      <c r="O24" s="4">
        <f t="shared" si="47"/>
        <v>0.26219497325404745</v>
      </c>
      <c r="P24" s="4">
        <f t="shared" si="47"/>
        <v>0.24396433345426563</v>
      </c>
      <c r="Q24" s="4">
        <f t="shared" si="47"/>
        <v>0.27147646357448424</v>
      </c>
      <c r="R24" s="4">
        <f t="shared" si="47"/>
        <v>0.32111630915385708</v>
      </c>
      <c r="W24" s="6">
        <f t="shared" ref="W24" si="48">+W23/W25</f>
        <v>-0.79440435286471001</v>
      </c>
      <c r="X24" s="6">
        <f>+X23/X25</f>
        <v>-0.65936086798521398</v>
      </c>
      <c r="Y24" s="6">
        <f>+Y23/Y25</f>
        <v>-0.46705028938477744</v>
      </c>
      <c r="Z24" s="6">
        <f>+Z23/Z25</f>
        <v>-0.86225210257491069</v>
      </c>
    </row>
    <row r="25" spans="2:26" s="2" customFormat="1" x14ac:dyDescent="0.2">
      <c r="B25" s="2" t="s">
        <v>1</v>
      </c>
      <c r="C25" s="3"/>
      <c r="D25" s="3"/>
      <c r="E25" s="3">
        <v>1466.42</v>
      </c>
      <c r="F25" s="3">
        <v>1484.277</v>
      </c>
      <c r="G25" s="3">
        <v>1501.636</v>
      </c>
      <c r="H25" s="3">
        <v>1547.2339999999999</v>
      </c>
      <c r="I25" s="3">
        <v>1580.9659999999999</v>
      </c>
      <c r="J25" s="3">
        <v>1668.8789999999999</v>
      </c>
      <c r="K25" s="3">
        <v>1619.1130000000001</v>
      </c>
      <c r="L25" s="3">
        <v>1632.14</v>
      </c>
      <c r="M25" s="3">
        <v>1608.5229999999999</v>
      </c>
      <c r="N25" s="3">
        <v>1573.883</v>
      </c>
      <c r="O25" s="3">
        <f>+N25</f>
        <v>1573.883</v>
      </c>
      <c r="P25" s="3">
        <f>+O25</f>
        <v>1573.883</v>
      </c>
      <c r="Q25" s="3">
        <f>+P25</f>
        <v>1573.883</v>
      </c>
      <c r="R25" s="3">
        <f>+Q25</f>
        <v>1573.883</v>
      </c>
      <c r="W25" s="2">
        <v>1375.462</v>
      </c>
      <c r="X25" s="2">
        <v>1455.693</v>
      </c>
      <c r="Y25" s="2">
        <v>1558.9970000000001</v>
      </c>
      <c r="Z25" s="2">
        <f>AVERAGE(K25:N25)</f>
        <v>1608.4147499999999</v>
      </c>
    </row>
    <row r="27" spans="2:26" x14ac:dyDescent="0.2">
      <c r="B27" s="2" t="s">
        <v>32</v>
      </c>
      <c r="I27" s="5">
        <f t="shared" ref="I27:J27" si="49">+I12/E12-1</f>
        <v>0.57289131062610887</v>
      </c>
      <c r="J27" s="5">
        <f t="shared" si="49"/>
        <v>0.42417828166114724</v>
      </c>
      <c r="K27" s="5">
        <f>+K12/G12-1</f>
        <v>0.38091098567537807</v>
      </c>
      <c r="L27" s="5">
        <f>+L12/H12-1</f>
        <v>0.13114749090731381</v>
      </c>
      <c r="M27" s="5">
        <f>+M12/I12-1</f>
        <v>5.7149093511673854E-2</v>
      </c>
      <c r="N27" s="5">
        <f>+N12/J12-1</f>
        <v>1.6295742689067527E-3</v>
      </c>
      <c r="U27" s="9">
        <f t="shared" ref="U27:W27" si="50">+U12/T12-1</f>
        <v>1.0395196819635975</v>
      </c>
      <c r="V27" s="9">
        <f t="shared" si="50"/>
        <v>0.43093209398399179</v>
      </c>
      <c r="W27" s="9">
        <f t="shared" si="50"/>
        <v>0.45329307736228519</v>
      </c>
      <c r="X27" s="9">
        <f>+X12/W12-1</f>
        <v>0.4611345505247928</v>
      </c>
      <c r="Y27" s="9">
        <f>+Y12/X12-1</f>
        <v>0.64246600809215226</v>
      </c>
      <c r="Z27" s="9">
        <f>+Z12/Y12-1</f>
        <v>0.11781839803665184</v>
      </c>
    </row>
    <row r="28" spans="2:26" x14ac:dyDescent="0.2">
      <c r="B28" s="2" t="s">
        <v>41</v>
      </c>
      <c r="H28" s="5">
        <f t="shared" ref="H28:N28" si="51">+H3/D3-1</f>
        <v>0.23109243697478998</v>
      </c>
      <c r="I28" s="5">
        <f t="shared" si="51"/>
        <v>0.22891566265060237</v>
      </c>
      <c r="J28" s="5">
        <f t="shared" si="51"/>
        <v>0.20377358490566033</v>
      </c>
      <c r="K28" s="5">
        <f t="shared" si="51"/>
        <v>0.18571428571428572</v>
      </c>
      <c r="L28" s="5">
        <f t="shared" si="51"/>
        <v>0.1843003412969284</v>
      </c>
      <c r="M28" s="5">
        <f t="shared" si="51"/>
        <v>0.18627450980392157</v>
      </c>
      <c r="N28" s="5">
        <f t="shared" si="51"/>
        <v>0.17554858934169282</v>
      </c>
    </row>
    <row r="29" spans="2:26" x14ac:dyDescent="0.2">
      <c r="B29" s="2" t="s">
        <v>21</v>
      </c>
      <c r="F29" s="5">
        <f>+F14/F12</f>
        <v>0.57693767954685615</v>
      </c>
      <c r="G29" s="5">
        <f>+G14/G12</f>
        <v>0.4638648932410237</v>
      </c>
      <c r="H29" s="5">
        <f>+H14/H12</f>
        <v>0.54687162715302184</v>
      </c>
      <c r="I29" s="5">
        <f t="shared" ref="I29:J29" si="52">+I14/I12</f>
        <v>0.58455733223666029</v>
      </c>
      <c r="J29" s="5">
        <f t="shared" si="52"/>
        <v>0.65393621160580473</v>
      </c>
      <c r="K29" s="5">
        <f>+K14/K12</f>
        <v>0.60394626277491781</v>
      </c>
      <c r="L29" s="5">
        <f>+L14/L12</f>
        <v>0.5981876103263184</v>
      </c>
      <c r="M29" s="5">
        <f>+M14/M12</f>
        <v>0.58638287389364063</v>
      </c>
      <c r="N29" s="5">
        <f>+N14/N12</f>
        <v>0.62976076923076929</v>
      </c>
      <c r="O29" s="5">
        <f t="shared" ref="O29:R29" si="53">+O14/O12</f>
        <v>0.63</v>
      </c>
      <c r="P29" s="5">
        <f t="shared" si="53"/>
        <v>0.63</v>
      </c>
      <c r="Q29" s="5">
        <f t="shared" si="53"/>
        <v>0.63</v>
      </c>
      <c r="R29" s="5">
        <f t="shared" si="53"/>
        <v>0.63</v>
      </c>
    </row>
    <row r="31" spans="2:26" s="2" customFormat="1" x14ac:dyDescent="0.2">
      <c r="B31" s="2" t="s">
        <v>35</v>
      </c>
      <c r="C31" s="3"/>
      <c r="D31" s="3"/>
      <c r="E31" s="3"/>
      <c r="F31" s="3"/>
      <c r="G31" s="3"/>
      <c r="H31" s="3"/>
      <c r="I31" s="3"/>
      <c r="J31" s="3">
        <v>185.52799999999999</v>
      </c>
      <c r="K31" s="3"/>
      <c r="L31" s="3">
        <v>-124.081</v>
      </c>
      <c r="M31" s="3"/>
      <c r="N31" s="3">
        <v>125.291</v>
      </c>
    </row>
    <row r="32" spans="2:26" s="2" customFormat="1" x14ac:dyDescent="0.2">
      <c r="B32" s="2" t="s">
        <v>34</v>
      </c>
      <c r="C32" s="3"/>
      <c r="D32" s="3"/>
      <c r="E32" s="3"/>
      <c r="F32" s="3"/>
      <c r="G32" s="3"/>
      <c r="H32" s="3"/>
      <c r="I32" s="3"/>
      <c r="J32" s="3">
        <v>-24.565000000000001</v>
      </c>
      <c r="K32" s="3"/>
      <c r="L32" s="3">
        <v>-23.37</v>
      </c>
      <c r="M32" s="3"/>
      <c r="N32" s="3">
        <v>-46.924999999999997</v>
      </c>
    </row>
    <row r="33" spans="2:14" s="2" customFormat="1" x14ac:dyDescent="0.2">
      <c r="B33" s="2" t="s">
        <v>33</v>
      </c>
      <c r="C33" s="3"/>
      <c r="D33" s="3"/>
      <c r="E33" s="3"/>
      <c r="F33" s="3"/>
      <c r="G33" s="3"/>
      <c r="H33" s="3"/>
      <c r="I33" s="3"/>
      <c r="J33" s="3">
        <f>+J31+J32</f>
        <v>160.96299999999999</v>
      </c>
      <c r="K33" s="3"/>
      <c r="L33" s="3">
        <f>+L31+L32</f>
        <v>-147.45099999999999</v>
      </c>
      <c r="M33" s="3"/>
      <c r="N33" s="3">
        <f>+N31+N32</f>
        <v>78.366</v>
      </c>
    </row>
    <row r="35" spans="2:14" s="2" customFormat="1" x14ac:dyDescent="0.2">
      <c r="B35" s="2" t="s">
        <v>40</v>
      </c>
      <c r="C35" s="3"/>
      <c r="D35" s="3"/>
      <c r="E35" s="3"/>
      <c r="F35" s="3"/>
      <c r="G35" s="3">
        <v>4043</v>
      </c>
      <c r="H35" s="3">
        <v>4667</v>
      </c>
      <c r="I35" s="3">
        <v>5190</v>
      </c>
      <c r="J35" s="3">
        <v>5661</v>
      </c>
      <c r="K35" s="3">
        <v>6131</v>
      </c>
      <c r="L35" s="3">
        <v>6446</v>
      </c>
      <c r="M35" s="3">
        <v>5706</v>
      </c>
      <c r="N35" s="3">
        <v>5288</v>
      </c>
    </row>
    <row r="36" spans="2:14" x14ac:dyDescent="0.2">
      <c r="K36" s="5">
        <f>+K35/G35-1</f>
        <v>0.51644818204303733</v>
      </c>
      <c r="L36" s="5">
        <f>+L35/H35-1</f>
        <v>0.38118705806728093</v>
      </c>
      <c r="M36" s="5">
        <f>+M35/I35-1</f>
        <v>9.9421965317919136E-2</v>
      </c>
      <c r="N36" s="5">
        <f>+N35/J35-1</f>
        <v>-6.5889418830595292E-2</v>
      </c>
    </row>
  </sheetData>
  <hyperlinks>
    <hyperlink ref="A1" location="Main!A1" display="Main" xr:uid="{A60F2DBC-121C-4F1B-93EA-F88FABBCBBEF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2022-07-21T20:23:43Z</dcterms:created>
  <dcterms:modified xsi:type="dcterms:W3CDTF">2023-02-08T20:16:35Z</dcterms:modified>
</cp:coreProperties>
</file>