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showInkAnnotation="0" defaultThemeVersion="166925"/>
  <xr:revisionPtr revIDLastSave="0" documentId="13_ncr:1_{1E94402E-99D2-4841-A651-B8BE3AEA0412}" xr6:coauthVersionLast="47" xr6:coauthVersionMax="47" xr10:uidLastSave="{00000000-0000-0000-0000-000000000000}"/>
  <bookViews>
    <workbookView xWindow="18975" yWindow="1875" windowWidth="32715" windowHeight="15915" firstSheet="4" activeTab="9" xr2:uid="{00000000-000D-0000-FFFF-FFFF00000000}"/>
  </bookViews>
  <sheets>
    <sheet name="People" sheetId="14" r:id="rId1"/>
    <sheet name="Glossary" sheetId="13" r:id="rId2"/>
    <sheet name="Historical" sheetId="12" r:id="rId3"/>
    <sheet name="Main" sheetId="1" r:id="rId4"/>
    <sheet name="Enterprise-Cloud" sheetId="10" r:id="rId5"/>
    <sheet name="Social-Dating" sheetId="9" r:id="rId6"/>
    <sheet name="Simulation-Technical Design" sheetId="11" r:id="rId7"/>
    <sheet name="Media-Games-Design" sheetId="8" r:id="rId8"/>
    <sheet name="Fintech" sheetId="7" r:id="rId9"/>
    <sheet name="Ecommerce" sheetId="5" r:id="rId10"/>
    <sheet name="Security" sheetId="4" r:id="rId11"/>
    <sheet name="FX" sheetId="3" r:id="rId12"/>
    <sheet name="Private" sheetId="2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5" l="1"/>
  <c r="H3" i="5"/>
  <c r="G24" i="5" l="1"/>
  <c r="F24" i="5"/>
  <c r="E24" i="5"/>
  <c r="H24" i="5"/>
  <c r="F8" i="9" l="1"/>
  <c r="H8" i="9"/>
  <c r="E8" i="9" s="1"/>
  <c r="G8" i="9" l="1"/>
  <c r="H5" i="10"/>
  <c r="N5" i="10"/>
  <c r="M5" i="10"/>
  <c r="K5" i="10"/>
  <c r="L5" i="10" s="1"/>
  <c r="H8" i="8"/>
  <c r="E8" i="8" s="1"/>
  <c r="F8" i="8"/>
  <c r="W4" i="1"/>
  <c r="V4" i="1"/>
  <c r="U4" i="1"/>
  <c r="T4" i="1"/>
  <c r="G8" i="8" l="1"/>
  <c r="G7" i="9"/>
  <c r="H4" i="10"/>
  <c r="E3" i="9" l="1"/>
  <c r="F3" i="9"/>
  <c r="F7" i="7" l="1"/>
  <c r="H7" i="7"/>
  <c r="E7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H4" i="9"/>
  <c r="F18" i="8"/>
  <c r="E18" i="8"/>
  <c r="G3" i="10" l="1"/>
  <c r="S3" i="10" s="1"/>
  <c r="G7" i="7"/>
  <c r="G18" i="8"/>
  <c r="Q3" i="10" l="1"/>
  <c r="P3" i="10"/>
  <c r="R3" i="10"/>
  <c r="H7" i="1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E2" i="11" l="1"/>
  <c r="G7" i="11"/>
  <c r="G3" i="11"/>
  <c r="G5" i="11"/>
  <c r="G6" i="11"/>
  <c r="G4" i="11"/>
  <c r="F13" i="10"/>
  <c r="H13" i="10"/>
  <c r="E13" i="10" s="1"/>
  <c r="G13" i="10" l="1"/>
  <c r="F15" i="10"/>
  <c r="H15" i="10"/>
  <c r="E15" i="10" s="1"/>
  <c r="F17" i="10"/>
  <c r="H17" i="10"/>
  <c r="E17" i="10" s="1"/>
  <c r="G17" i="10" l="1"/>
  <c r="G15" i="10"/>
  <c r="H12" i="10"/>
  <c r="F12" i="10"/>
  <c r="E12" i="10"/>
  <c r="H11" i="10"/>
  <c r="E11" i="10" s="1"/>
  <c r="F11" i="10"/>
  <c r="H10" i="10"/>
  <c r="F10" i="10"/>
  <c r="E10" i="10"/>
  <c r="G12" i="10" l="1"/>
  <c r="G10" i="10"/>
  <c r="G11" i="10"/>
  <c r="F5" i="8" l="1"/>
  <c r="E5" i="8"/>
  <c r="H8" i="10"/>
  <c r="E8" i="10" s="1"/>
  <c r="F8" i="10"/>
  <c r="F7" i="10"/>
  <c r="E7" i="10"/>
  <c r="F6" i="10"/>
  <c r="E6" i="10"/>
  <c r="F5" i="10"/>
  <c r="E5" i="10"/>
  <c r="F4" i="10"/>
  <c r="E4" i="10"/>
  <c r="G5" i="10" l="1"/>
  <c r="G6" i="10"/>
  <c r="G7" i="10"/>
  <c r="G8" i="10"/>
  <c r="G5" i="8"/>
  <c r="G4" i="10"/>
  <c r="F12" i="8" l="1"/>
  <c r="H12" i="8"/>
  <c r="E12" i="8" s="1"/>
  <c r="G12" i="8" l="1"/>
  <c r="F4" i="9"/>
  <c r="E4" i="9"/>
  <c r="O3" i="9"/>
  <c r="N3" i="9"/>
  <c r="M3" i="9"/>
  <c r="K3" i="9"/>
  <c r="L3" i="9" s="1"/>
  <c r="H3" i="9"/>
  <c r="G3" i="9" l="1"/>
  <c r="G4" i="9"/>
  <c r="F4" i="5" l="1" a="1"/>
  <c r="F4" i="5" s="1"/>
  <c r="E4" i="5"/>
  <c r="F12" i="5"/>
  <c r="E12" i="5"/>
  <c r="F6" i="1"/>
  <c r="H6" i="1"/>
  <c r="E6" i="1" s="1"/>
  <c r="E9" i="8" a="1"/>
  <c r="E9" i="8" s="1"/>
  <c r="F4" i="8"/>
  <c r="E4" i="8"/>
  <c r="H3" i="8"/>
  <c r="F3" i="8"/>
  <c r="E3" i="8"/>
  <c r="G4" i="5" l="1"/>
  <c r="G12" i="5"/>
  <c r="G6" i="1"/>
  <c r="G4" i="8"/>
  <c r="G3" i="8"/>
  <c r="E8" i="1" a="1"/>
  <c r="E8" i="1" s="1"/>
  <c r="H7" i="1" l="1"/>
  <c r="F7" i="1"/>
  <c r="E7" i="1"/>
  <c r="O4" i="1"/>
  <c r="N4" i="1"/>
  <c r="M4" i="1"/>
  <c r="K4" i="1"/>
  <c r="L4" i="1" s="1"/>
  <c r="H4" i="1"/>
  <c r="G7" i="1" l="1"/>
  <c r="H5" i="1"/>
  <c r="O5" i="1"/>
  <c r="L2" i="1"/>
  <c r="F3" i="5" l="1"/>
  <c r="G3" i="5" s="1"/>
  <c r="F5" i="5" a="1"/>
  <c r="F5" i="5" s="1"/>
  <c r="E5" i="5"/>
  <c r="F13" i="8"/>
  <c r="E13" i="8"/>
  <c r="F13" i="1"/>
  <c r="E13" i="1"/>
  <c r="G5" i="5" l="1"/>
  <c r="G13" i="8"/>
  <c r="G13" i="1"/>
  <c r="F5" i="1"/>
  <c r="E5" i="1"/>
  <c r="G5" i="1" l="1"/>
  <c r="F4" i="1"/>
  <c r="E4" i="1"/>
  <c r="G4" i="1" l="1"/>
  <c r="Q4" i="1" l="1"/>
  <c r="Q2" i="1" s="1"/>
  <c r="R4" i="1"/>
  <c r="R2" i="1" s="1"/>
  <c r="S4" i="1"/>
  <c r="S2" i="1" s="1"/>
  <c r="P4" i="1"/>
  <c r="P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30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<sst xmlns="http://schemas.openxmlformats.org/spreadsheetml/2006/main" count="650" uniqueCount="393">
  <si>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</si>
  <si>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</si>
  <si>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</si>
  <si>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</si>
  <si>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</si>
  <si>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</si>
  <si>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</si>
  <si>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</si>
  <si>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</si>
  <si>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</si>
  <si>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</si>
  <si>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</si>
  <si>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</si>
  <si>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</si>
  <si>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</si>
  <si>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</si>
  <si>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</si>
  <si>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</si>
  <si>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</si>
  <si>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</si>
  <si>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</si>
  <si>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</si>
  <si>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</si>
  <si>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</si>
  <si>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</si>
  <si>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</si>
  <si>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</si>
  <si>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</si>
  <si>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</si>
  <si>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</si>
  <si>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</si>
  <si>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</si>
  <si>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</si>
  <si>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</si>
  <si>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</si>
  <si>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</si>
  <si>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</si>
  <si>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</si>
  <si>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</si>
  <si>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</si>
  <si>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</si>
  <si>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</si>
  <si>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</si>
  <si>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</si>
  <si>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</si>
  <si>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</si>
  <si>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</si>
  <si>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</si>
  <si>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</si>
  <si>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</si>
  <si>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</si>
  <si>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</si>
  <si>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</si>
  <si>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</si>
  <si>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</si>
  <si>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</si>
  <si>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</si>
  <si>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TDD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</si>
  <si>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</si>
  <si>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</si>
  <si>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</si>
  <si>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</si>
  <si>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</si>
  <si>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</si>
  <si>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</si>
  <si>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</si>
  <si>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</si>
  <si>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</si>
  <si>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</si>
  <si>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</si>
  <si>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</si>
  <si>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</si>
  <si>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</si>
  <si>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</si>
  <si>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</si>
  <si>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</si>
  <si>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</si>
  <si>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</si>
  <si>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</si>
  <si>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</si>
  <si>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</si>
  <si>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</si>
  <si>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</si>
  <si>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</si>
  <si>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</si>
  <si>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</si>
  <si>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</si>
  <si>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</si>
  <si>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</si>
  <si>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</si>
  <si>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Bill.com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</si>
  <si>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</si>
  <si>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</si>
  <si>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</si>
  <si>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</si>
  <si>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</si>
  <si>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</si>
  <si>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</si>
  <si>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</si>
  <si>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</si>
  <si>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</si>
  <si>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CTXS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</si>
  <si>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</si>
  <si>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</si>
  <si>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</si>
  <si>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</si>
  <si>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</si>
  <si>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</si>
  <si>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</si>
  <si>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</si>
  <si>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Bentley</t>
  </si>
  <si>
    <t>BSY</t>
  </si>
  <si>
    <t>Figma</t>
  </si>
  <si>
    <t>Full Truck Alliance</t>
  </si>
  <si>
    <t>YMM</t>
  </si>
  <si>
    <t>Qualtrics</t>
  </si>
  <si>
    <t>XM</t>
  </si>
  <si>
    <t>Ceridian</t>
  </si>
  <si>
    <t>CDAY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</si>
  <si>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</si>
  <si>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</si>
  <si>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</si>
  <si>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</si>
  <si>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</si>
  <si>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</si>
  <si>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</si>
  <si>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</si>
  <si>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</si>
  <si>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</si>
  <si>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</si>
  <si>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</si>
  <si>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</si>
  <si>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</si>
  <si>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</si>
  <si>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</si>
  <si>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</si>
  <si>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</si>
  <si>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</si>
  <si>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</si>
  <si>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</si>
  <si>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</si>
  <si>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</si>
  <si>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</si>
  <si>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</si>
  <si>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</si>
  <si>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</si>
  <si>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</si>
  <si>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</si>
  <si>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</si>
  <si>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</si>
  <si>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</si>
  <si>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</si>
  <si>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</si>
  <si>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</si>
  <si>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</si>
  <si>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</si>
  <si>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</si>
  <si>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</si>
  <si>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</si>
  <si>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</si>
  <si>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</si>
  <si>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</si>
  <si>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</si>
  <si>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</si>
  <si>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</si>
  <si>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</si>
  <si>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</si>
  <si>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SQ</t>
  </si>
  <si>
    <t>Visa</t>
  </si>
  <si>
    <t>V</t>
  </si>
  <si>
    <t>Mastercard</t>
  </si>
  <si>
    <t>Twitter</t>
  </si>
  <si>
    <t>TWTR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</si>
  <si>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</si>
  <si>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</si>
  <si>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</si>
  <si>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</si>
  <si>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</si>
  <si>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</si>
  <si>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</si>
  <si>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</si>
  <si>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</si>
  <si>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</si>
  <si>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</si>
  <si>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</si>
  <si>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</si>
  <si>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</si>
  <si>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VMWare</t>
  </si>
  <si>
    <t>VMW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</si>
  <si>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</si>
  <si>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</si>
  <si>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</si>
  <si>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</si>
  <si>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</si>
  <si>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</si>
  <si>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</si>
  <si>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</si>
  <si>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</si>
  <si>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</si>
  <si>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</si>
  <si>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</si>
  <si>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</si>
  <si>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</si>
  <si>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</si>
  <si>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</si>
  <si>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</si>
  <si>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</si>
  <si>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</si>
  <si>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</si>
  <si>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</si>
  <si>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</si>
  <si>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</si>
  <si>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</si>
  <si>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</si>
  <si>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</si>
  <si>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</si>
  <si>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</si>
  <si>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</si>
  <si>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</si>
  <si>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</si>
  <si>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</si>
  <si>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</si>
  <si>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</si>
  <si>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</si>
  <si>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</si>
  <si>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</si>
  <si>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</si>
  <si>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</si>
  <si>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</si>
  <si>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</si>
  <si>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</si>
  <si>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</si>
  <si>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</si>
  <si>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</si>
  <si>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</si>
  <si>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</si>
  <si>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</si>
  <si>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</si>
  <si>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</si>
  <si>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</si>
  <si>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</si>
  <si>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</si>
  <si>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</si>
  <si>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</si>
  <si>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</si>
  <si>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</si>
  <si>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</si>
  <si>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</si>
  <si>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</si>
  <si>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</si>
  <si>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</si>
  <si>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</si>
  <si>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</si>
  <si>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</si>
  <si>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</si>
  <si>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</si>
  <si>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</si>
  <si>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</si>
  <si>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</si>
  <si>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</si>
  <si>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</si>
  <si>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</si>
  <si>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</si>
  <si>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</si>
  <si>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</si>
  <si>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</si>
  <si>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</si>
  <si>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</si>
  <si>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</si>
  <si>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</si>
  <si>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</si>
  <si>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</si>
  <si>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</si>
  <si>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</si>
  <si>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</si>
  <si>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</si>
  <si>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FISV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</si>
  <si>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</si>
  <si>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</si>
  <si>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</si>
  <si>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</si>
  <si>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</si>
  <si>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</si>
  <si>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</si>
  <si>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</si>
  <si>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</si>
  <si>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</si>
  <si>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</si>
  <si>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</si>
  <si>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</si>
  <si>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</si>
  <si>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</si>
  <si>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</si>
  <si>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</si>
  <si>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</si>
  <si>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</si>
  <si>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</si>
  <si>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</si>
  <si>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</si>
  <si>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</si>
  <si>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</si>
  <si>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</si>
  <si>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</si>
  <si>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</si>
  <si>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</si>
  <si>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</si>
  <si>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</si>
  <si>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</si>
  <si>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</si>
  <si>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</si>
  <si>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</si>
  <si>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</si>
  <si>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</si>
  <si>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</si>
  <si>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</si>
  <si>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</si>
  <si>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</si>
  <si>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</si>
  <si>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</si>
  <si>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</si>
  <si>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</si>
  <si>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</si>
  <si>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</si>
  <si>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</si>
  <si>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</si>
  <si>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</si>
  <si>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</si>
  <si>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</si>
  <si>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</si>
  <si>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</si>
  <si>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</si>
  <si>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</si>
  <si>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</si>
  <si>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</si>
  <si>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</si>
  <si>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DWAC</t>
  </si>
  <si>
    <t>Quora</t>
  </si>
  <si>
    <t>Telegram</t>
  </si>
  <si>
    <t>SecondLife</t>
  </si>
  <si>
    <t>Hashicorp</t>
  </si>
  <si>
    <t>Kakao</t>
  </si>
  <si>
    <t>Gas</t>
  </si>
  <si>
    <t>035720 KS</t>
  </si>
  <si>
    <t>Z Holdings</t>
  </si>
  <si>
    <t>4689 JP</t>
  </si>
  <si>
    <t>Mozilla</t>
  </si>
  <si>
    <t>Opera</t>
  </si>
  <si>
    <t>Javascript</t>
  </si>
  <si>
    <t>WebGL</t>
  </si>
  <si>
    <t>OpenGL</t>
  </si>
  <si>
    <t>API</t>
  </si>
  <si>
    <t>application programming interface</t>
  </si>
  <si>
    <t>canvas</t>
  </si>
  <si>
    <t>HTML object</t>
  </si>
  <si>
    <t>DirectX</t>
  </si>
  <si>
    <t>Three.js</t>
  </si>
  <si>
    <t>Unity</t>
  </si>
  <si>
    <t>DOS</t>
  </si>
  <si>
    <t>FAT</t>
  </si>
  <si>
    <t>File Allocation Table</t>
  </si>
  <si>
    <t>MySpace</t>
  </si>
  <si>
    <t>BASIC</t>
  </si>
  <si>
    <t>Q322</t>
  </si>
  <si>
    <t>Hive Social</t>
  </si>
  <si>
    <t>Wizz</t>
  </si>
  <si>
    <t>Life360</t>
  </si>
  <si>
    <t>Google Meet</t>
  </si>
  <si>
    <t>Mastodon</t>
  </si>
  <si>
    <t>Plenty of Fish</t>
  </si>
  <si>
    <t>Tumblr?</t>
  </si>
  <si>
    <t>Wink</t>
  </si>
  <si>
    <t>Grindr</t>
  </si>
  <si>
    <t>Hily</t>
  </si>
  <si>
    <t>Kik</t>
  </si>
  <si>
    <t>Yubo</t>
  </si>
  <si>
    <t>Monkey Run</t>
  </si>
  <si>
    <t>WooPlus</t>
  </si>
  <si>
    <t>CougarD</t>
  </si>
  <si>
    <t>Fizz</t>
  </si>
  <si>
    <t>Glow</t>
  </si>
  <si>
    <t>Ashley Madison</t>
  </si>
  <si>
    <t>Stir</t>
  </si>
  <si>
    <t>Zoosk</t>
  </si>
  <si>
    <t>3Fun</t>
  </si>
  <si>
    <t>Upward</t>
  </si>
  <si>
    <t>SLP</t>
  </si>
  <si>
    <t>SideFX</t>
  </si>
  <si>
    <t>HCP</t>
  </si>
  <si>
    <t>Snap</t>
  </si>
  <si>
    <t>SNAP</t>
  </si>
  <si>
    <t>Redfin</t>
  </si>
  <si>
    <t>RDFN</t>
  </si>
  <si>
    <t>Opendoor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</si>
</sst>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\x"/>
  </numFmts>
  <fonts count="6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1" fillId="0" borderId="0" applyNumberFormat="0" applyFill="0" applyBorder="0" applyAlignment="0" applyProtection="0"/>
  </cellStyleXfs>
  <cellXfs count="154">
    <xf numFmtId="0" fontId="0" fillId="0" borderId="0" xfId="0"/>
    <xf numFmtId="0" fontId="60" fillId="0" borderId="0" xfId="0" applyFont="1"/>
    <xf numFmtId="2" fontId="60" fillId="0" borderId="0" xfId="0" applyNumberFormat="1" applyFont="1" applyAlignment="1">
      <alignment horizontal="right"/>
    </xf>
    <xf numFmtId="3" fontId="60" fillId="0" borderId="0" xfId="0" applyNumberFormat="1" applyFont="1" applyAlignment="1">
      <alignment horizontal="right"/>
    </xf>
    <xf numFmtId="0" fontId="60" fillId="0" borderId="0" xfId="0" applyFont="1" applyAlignment="1">
      <alignment horizontal="right"/>
    </xf>
    <xf numFmtId="0" fontId="62" fillId="0" borderId="0" xfId="1" applyFont="1"/>
    <xf numFmtId="0" fontId="59" fillId="0" borderId="0" xfId="0" applyFont="1"/>
    <xf numFmtId="3" fontId="59" fillId="0" borderId="0" xfId="0" applyNumberFormat="1" applyFont="1" applyAlignment="1">
      <alignment horizontal="right"/>
    </xf>
    <xf numFmtId="0" fontId="58" fillId="0" borderId="0" xfId="0" applyFont="1"/>
    <xf numFmtId="3" fontId="63" fillId="0" borderId="0" xfId="0" applyNumberFormat="1" applyFont="1" applyAlignment="1">
      <alignment horizontal="right"/>
    </xf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3" xfId="0" applyFont="1" applyBorder="1"/>
    <xf numFmtId="0" fontId="54" fillId="0" borderId="4" xfId="0" applyFont="1" applyBorder="1"/>
    <xf numFmtId="2" fontId="54" fillId="0" borderId="4" xfId="0" applyNumberFormat="1" applyFont="1" applyBorder="1" applyAlignment="1">
      <alignment horizontal="right"/>
    </xf>
    <xf numFmtId="3" fontId="54" fillId="0" borderId="4" xfId="0" applyNumberFormat="1" applyFont="1" applyBorder="1" applyAlignment="1">
      <alignment horizontal="right"/>
    </xf>
    <xf numFmtId="0" fontId="54" fillId="0" borderId="4" xfId="0" applyFont="1" applyBorder="1" applyAlignment="1">
      <alignment horizontal="right"/>
    </xf>
    <xf numFmtId="0" fontId="54" fillId="0" borderId="4" xfId="0" applyFont="1" applyBorder="1" applyAlignment="1">
      <alignment horizontal="center"/>
    </xf>
    <xf numFmtId="0" fontId="54" fillId="0" borderId="5" xfId="0" applyFont="1" applyBorder="1" applyAlignment="1">
      <alignment horizontal="center"/>
    </xf>
    <xf numFmtId="0" fontId="54" fillId="0" borderId="0" xfId="0" applyFont="1"/>
    <xf numFmtId="2" fontId="54" fillId="0" borderId="0" xfId="0" applyNumberFormat="1" applyFont="1" applyAlignment="1">
      <alignment horizontal="right"/>
    </xf>
    <xf numFmtId="3" fontId="54" fillId="0" borderId="0" xfId="0" applyNumberFormat="1" applyFont="1" applyAlignment="1">
      <alignment horizontal="right"/>
    </xf>
    <xf numFmtId="0" fontId="54" fillId="0" borderId="0" xfId="0" applyFont="1" applyAlignment="1">
      <alignment horizontal="right"/>
    </xf>
    <xf numFmtId="0" fontId="54" fillId="0" borderId="0" xfId="0" applyFont="1" applyAlignment="1">
      <alignment horizontal="center"/>
    </xf>
    <xf numFmtId="0" fontId="54" fillId="0" borderId="1" xfId="0" applyFont="1" applyBorder="1" applyAlignment="1">
      <alignment horizontal="center"/>
    </xf>
    <xf numFmtId="0" fontId="54" fillId="0" borderId="2" xfId="0" applyFont="1" applyBorder="1" applyAlignment="1">
      <alignment horizontal="center"/>
    </xf>
    <xf numFmtId="4" fontId="54" fillId="0" borderId="0" xfId="0" applyNumberFormat="1" applyFont="1" applyAlignment="1">
      <alignment horizontal="center"/>
    </xf>
    <xf numFmtId="9" fontId="54" fillId="0" borderId="0" xfId="0" applyNumberFormat="1" applyFont="1" applyAlignment="1">
      <alignment horizontal="center"/>
    </xf>
    <xf numFmtId="164" fontId="54" fillId="0" borderId="1" xfId="0" applyNumberFormat="1" applyFont="1" applyBorder="1" applyAlignment="1">
      <alignment horizontal="center"/>
    </xf>
    <xf numFmtId="164" fontId="54" fillId="0" borderId="0" xfId="0" applyNumberFormat="1" applyFont="1" applyAlignment="1">
      <alignment horizontal="center"/>
    </xf>
    <xf numFmtId="164" fontId="54" fillId="0" borderId="2" xfId="0" applyNumberFormat="1" applyFont="1" applyBorder="1" applyAlignment="1">
      <alignment horizontal="center"/>
    </xf>
    <xf numFmtId="4" fontId="54" fillId="0" borderId="1" xfId="0" applyNumberFormat="1" applyFont="1" applyBorder="1" applyAlignment="1">
      <alignment horizontal="center"/>
    </xf>
    <xf numFmtId="4" fontId="54" fillId="0" borderId="2" xfId="0" applyNumberFormat="1" applyFont="1" applyBorder="1" applyAlignment="1">
      <alignment horizontal="center"/>
    </xf>
    <xf numFmtId="0" fontId="53" fillId="0" borderId="0" xfId="0" applyFont="1" applyAlignment="1">
      <alignment horizontal="right"/>
    </xf>
    <xf numFmtId="0" fontId="52" fillId="0" borderId="0" xfId="0" applyFont="1" applyAlignment="1">
      <alignment horizontal="right"/>
    </xf>
    <xf numFmtId="9" fontId="52" fillId="0" borderId="0" xfId="0" applyNumberFormat="1" applyFont="1" applyAlignment="1">
      <alignment horizontal="center"/>
    </xf>
    <xf numFmtId="164" fontId="54" fillId="0" borderId="6" xfId="0" applyNumberFormat="1" applyFont="1" applyBorder="1" applyAlignment="1">
      <alignment horizontal="center"/>
    </xf>
    <xf numFmtId="0" fontId="51" fillId="0" borderId="0" xfId="0" applyFont="1" applyAlignment="1">
      <alignment horizontal="right"/>
    </xf>
    <xf numFmtId="0" fontId="50" fillId="0" borderId="0" xfId="0" applyFont="1" applyAlignment="1">
      <alignment horizontal="right"/>
    </xf>
    <xf numFmtId="0" fontId="49" fillId="0" borderId="0" xfId="0" applyFont="1"/>
    <xf numFmtId="4" fontId="54" fillId="0" borderId="0" xfId="0" applyNumberFormat="1" applyFont="1" applyAlignment="1">
      <alignment horizontal="right"/>
    </xf>
    <xf numFmtId="0" fontId="48" fillId="0" borderId="4" xfId="0" applyFont="1" applyBorder="1" applyAlignment="1">
      <alignment horizontal="right"/>
    </xf>
    <xf numFmtId="14" fontId="54" fillId="0" borderId="0" xfId="0" applyNumberFormat="1" applyFont="1" applyAlignment="1">
      <alignment horizontal="right"/>
    </xf>
    <xf numFmtId="0" fontId="48" fillId="0" borderId="0" xfId="0" applyFont="1" applyAlignment="1">
      <alignment horizontal="right"/>
    </xf>
    <xf numFmtId="0" fontId="48" fillId="0" borderId="0" xfId="0" applyFont="1"/>
    <xf numFmtId="0" fontId="47" fillId="0" borderId="0" xfId="0" applyFont="1"/>
    <xf numFmtId="0" fontId="47" fillId="0" borderId="0" xfId="0" applyFont="1" applyAlignment="1">
      <alignment horizontal="right"/>
    </xf>
    <xf numFmtId="0" fontId="47" fillId="0" borderId="3" xfId="0" applyFont="1" applyBorder="1" applyAlignment="1">
      <alignment horizontal="center"/>
    </xf>
    <xf numFmtId="0" fontId="47" fillId="0" borderId="6" xfId="0" applyFont="1" applyBorder="1" applyAlignment="1">
      <alignment horizontal="center"/>
    </xf>
    <xf numFmtId="0" fontId="47" fillId="0" borderId="4" xfId="0" applyFont="1" applyBorder="1" applyAlignment="1">
      <alignment horizontal="center"/>
    </xf>
    <xf numFmtId="0" fontId="54" fillId="0" borderId="5" xfId="0" applyFont="1" applyBorder="1"/>
    <xf numFmtId="3" fontId="57" fillId="0" borderId="0" xfId="0" applyNumberFormat="1" applyFont="1"/>
    <xf numFmtId="0" fontId="46" fillId="0" borderId="0" xfId="0" applyFont="1"/>
    <xf numFmtId="0" fontId="45" fillId="0" borderId="0" xfId="0" applyFont="1" applyAlignment="1">
      <alignment horizontal="right"/>
    </xf>
    <xf numFmtId="0" fontId="44" fillId="0" borderId="0" xfId="0" applyFont="1" applyAlignment="1">
      <alignment horizontal="right"/>
    </xf>
    <xf numFmtId="0" fontId="44" fillId="0" borderId="0" xfId="0" applyFont="1"/>
    <xf numFmtId="3" fontId="60" fillId="0" borderId="0" xfId="0" applyNumberFormat="1" applyFont="1"/>
    <xf numFmtId="3" fontId="63" fillId="0" borderId="0" xfId="0" applyNumberFormat="1" applyFont="1"/>
    <xf numFmtId="3" fontId="44" fillId="0" borderId="0" xfId="0" applyNumberFormat="1" applyFont="1"/>
    <xf numFmtId="4" fontId="60" fillId="0" borderId="0" xfId="0" applyNumberFormat="1" applyFont="1" applyAlignment="1">
      <alignment horizontal="right"/>
    </xf>
    <xf numFmtId="4" fontId="63" fillId="0" borderId="0" xfId="0" applyNumberFormat="1" applyFont="1" applyAlignment="1">
      <alignment horizontal="right"/>
    </xf>
    <xf numFmtId="0" fontId="43" fillId="0" borderId="0" xfId="0" applyFont="1"/>
    <xf numFmtId="0" fontId="42" fillId="0" borderId="0" xfId="0" applyFont="1"/>
    <xf numFmtId="0" fontId="64" fillId="0" borderId="0" xfId="0" applyFont="1"/>
    <xf numFmtId="0" fontId="41" fillId="0" borderId="0" xfId="0" applyFont="1"/>
    <xf numFmtId="0" fontId="41" fillId="0" borderId="0" xfId="0" applyFont="1" applyAlignment="1">
      <alignment horizontal="right"/>
    </xf>
    <xf numFmtId="14" fontId="57" fillId="0" borderId="0" xfId="0" applyNumberFormat="1" applyFont="1"/>
    <xf numFmtId="0" fontId="57" fillId="0" borderId="0" xfId="0" applyFont="1" applyAlignment="1">
      <alignment horizontal="right"/>
    </xf>
    <xf numFmtId="4" fontId="57" fillId="0" borderId="0" xfId="0" applyNumberFormat="1" applyFont="1" applyAlignment="1">
      <alignment horizontal="right"/>
    </xf>
    <xf numFmtId="3" fontId="57" fillId="0" borderId="0" xfId="0" applyNumberFormat="1" applyFont="1" applyAlignment="1">
      <alignment horizontal="right"/>
    </xf>
    <xf numFmtId="3" fontId="40" fillId="0" borderId="0" xfId="0" applyNumberFormat="1" applyFont="1"/>
    <xf numFmtId="0" fontId="40" fillId="0" borderId="0" xfId="0" applyFont="1"/>
    <xf numFmtId="0" fontId="40" fillId="0" borderId="3" xfId="0" applyFont="1" applyBorder="1"/>
    <xf numFmtId="0" fontId="40" fillId="0" borderId="4" xfId="0" applyFont="1" applyBorder="1"/>
    <xf numFmtId="2" fontId="40" fillId="0" borderId="4" xfId="0" applyNumberFormat="1" applyFont="1" applyBorder="1" applyAlignment="1">
      <alignment horizontal="right"/>
    </xf>
    <xf numFmtId="3" fontId="40" fillId="0" borderId="4" xfId="0" applyNumberFormat="1" applyFont="1" applyBorder="1" applyAlignment="1">
      <alignment horizontal="right"/>
    </xf>
    <xf numFmtId="0" fontId="40" fillId="0" borderId="4" xfId="0" applyFont="1" applyBorder="1" applyAlignment="1">
      <alignment horizontal="right"/>
    </xf>
    <xf numFmtId="0" fontId="40" fillId="0" borderId="4" xfId="0" applyFont="1" applyBorder="1" applyAlignment="1">
      <alignment horizontal="center"/>
    </xf>
    <xf numFmtId="0" fontId="40" fillId="0" borderId="5" xfId="0" applyFont="1" applyBorder="1" applyAlignment="1">
      <alignment horizontal="center"/>
    </xf>
    <xf numFmtId="0" fontId="40" fillId="0" borderId="3" xfId="0" applyFont="1" applyBorder="1" applyAlignment="1">
      <alignment horizontal="center"/>
    </xf>
    <xf numFmtId="0" fontId="40" fillId="0" borderId="6" xfId="0" applyFont="1" applyBorder="1" applyAlignment="1">
      <alignment horizontal="center"/>
    </xf>
    <xf numFmtId="0" fontId="39" fillId="0" borderId="0" xfId="0" applyFont="1"/>
    <xf numFmtId="3" fontId="39" fillId="0" borderId="0" xfId="0" applyNumberFormat="1" applyFont="1"/>
    <xf numFmtId="3" fontId="38" fillId="0" borderId="0" xfId="0" applyNumberFormat="1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3" fontId="31" fillId="0" borderId="0" xfId="0" applyNumberFormat="1" applyFont="1"/>
    <xf numFmtId="0" fontId="31" fillId="0" borderId="0" xfId="0" applyFont="1"/>
    <xf numFmtId="3" fontId="30" fillId="0" borderId="0" xfId="0" applyNumberFormat="1" applyFont="1"/>
    <xf numFmtId="0" fontId="29" fillId="0" borderId="0" xfId="0" applyFont="1"/>
    <xf numFmtId="0" fontId="65" fillId="0" borderId="0" xfId="0" applyFont="1"/>
    <xf numFmtId="0" fontId="28" fillId="0" borderId="0" xfId="0" applyFont="1"/>
    <xf numFmtId="0" fontId="66" fillId="0" borderId="0" xfId="1" applyFont="1"/>
    <xf numFmtId="0" fontId="27" fillId="0" borderId="0" xfId="0" applyFont="1"/>
    <xf numFmtId="3" fontId="27" fillId="0" borderId="0" xfId="0" applyNumberFormat="1" applyFont="1"/>
    <xf numFmtId="0" fontId="26" fillId="0" borderId="0" xfId="0" applyFont="1" applyAlignment="1">
      <alignment horizontal="right"/>
    </xf>
    <xf numFmtId="0" fontId="25" fillId="0" borderId="0" xfId="0" applyFont="1"/>
    <xf numFmtId="0" fontId="25" fillId="0" borderId="0" xfId="0" applyFont="1" applyAlignment="1">
      <alignment horizontal="right"/>
    </xf>
    <xf numFmtId="14" fontId="40" fillId="0" borderId="0" xfId="0" applyNumberFormat="1" applyFont="1"/>
    <xf numFmtId="3" fontId="24" fillId="0" borderId="0" xfId="0" applyNumberFormat="1" applyFont="1"/>
    <xf numFmtId="0" fontId="23" fillId="0" borderId="0" xfId="0" applyFont="1"/>
    <xf numFmtId="3" fontId="23" fillId="0" borderId="0" xfId="0" applyNumberFormat="1" applyFont="1"/>
    <xf numFmtId="0" fontId="22" fillId="0" borderId="0" xfId="0" applyFont="1"/>
    <xf numFmtId="0" fontId="21" fillId="0" borderId="0" xfId="0" applyFont="1"/>
    <xf numFmtId="3" fontId="20" fillId="0" borderId="0" xfId="0" applyNumberFormat="1" applyFont="1"/>
    <xf numFmtId="0" fontId="19" fillId="0" borderId="0" xfId="0" applyFont="1"/>
    <xf numFmtId="0" fontId="18" fillId="0" borderId="0" xfId="0" applyFont="1"/>
    <xf numFmtId="3" fontId="17" fillId="0" borderId="0" xfId="0" applyNumberFormat="1" applyFont="1"/>
    <xf numFmtId="0" fontId="16" fillId="0" borderId="0" xfId="0" applyFont="1"/>
    <xf numFmtId="3" fontId="64" fillId="0" borderId="0" xfId="0" applyNumberFormat="1" applyFont="1"/>
    <xf numFmtId="0" fontId="62" fillId="0" borderId="1" xfId="1" applyFont="1" applyBorder="1"/>
    <xf numFmtId="9" fontId="54" fillId="0" borderId="2" xfId="0" applyNumberFormat="1" applyFont="1" applyBorder="1" applyAlignment="1">
      <alignment horizontal="center"/>
    </xf>
    <xf numFmtId="0" fontId="29" fillId="0" borderId="0" xfId="0" applyFont="1" applyAlignment="1">
      <alignment horizontal="right"/>
    </xf>
    <xf numFmtId="0" fontId="21" fillId="0" borderId="1" xfId="0" applyFont="1" applyBorder="1"/>
    <xf numFmtId="0" fontId="51" fillId="0" borderId="1" xfId="0" applyFont="1" applyBorder="1"/>
    <xf numFmtId="0" fontId="51" fillId="0" borderId="0" xfId="0" applyFont="1"/>
    <xf numFmtId="0" fontId="18" fillId="0" borderId="1" xfId="0" applyFont="1" applyBorder="1"/>
    <xf numFmtId="0" fontId="54" fillId="0" borderId="1" xfId="0" applyFont="1" applyBorder="1"/>
    <xf numFmtId="0" fontId="52" fillId="0" borderId="1" xfId="0" applyFont="1" applyBorder="1"/>
    <xf numFmtId="0" fontId="52" fillId="0" borderId="0" xfId="0" applyFont="1"/>
    <xf numFmtId="0" fontId="47" fillId="0" borderId="1" xfId="0" applyFont="1" applyBorder="1"/>
    <xf numFmtId="0" fontId="54" fillId="0" borderId="7" xfId="0" applyFont="1" applyBorder="1"/>
    <xf numFmtId="0" fontId="54" fillId="0" borderId="6" xfId="0" applyFont="1" applyBorder="1"/>
    <xf numFmtId="2" fontId="54" fillId="0" borderId="6" xfId="0" applyNumberFormat="1" applyFont="1" applyBorder="1" applyAlignment="1">
      <alignment horizontal="right"/>
    </xf>
    <xf numFmtId="3" fontId="54" fillId="0" borderId="6" xfId="0" applyNumberFormat="1" applyFont="1" applyBorder="1" applyAlignment="1">
      <alignment horizontal="right"/>
    </xf>
    <xf numFmtId="0" fontId="54" fillId="0" borderId="6" xfId="0" applyFont="1" applyBorder="1" applyAlignment="1">
      <alignment horizontal="right"/>
    </xf>
    <xf numFmtId="0" fontId="54" fillId="0" borderId="6" xfId="0" applyFont="1" applyBorder="1" applyAlignment="1">
      <alignment horizontal="center"/>
    </xf>
    <xf numFmtId="0" fontId="54" fillId="0" borderId="8" xfId="0" applyFont="1" applyBorder="1" applyAlignment="1">
      <alignment horizontal="center"/>
    </xf>
    <xf numFmtId="0" fontId="16" fillId="0" borderId="0" xfId="0" applyFont="1" applyAlignment="1">
      <alignment horizontal="right"/>
    </xf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 applyAlignment="1">
      <alignment horizontal="right"/>
    </xf>
    <xf numFmtId="0" fontId="9" fillId="0" borderId="0" xfId="0" applyFont="1"/>
    <xf numFmtId="0" fontId="8" fillId="0" borderId="0" xfId="0" applyFont="1" applyAlignment="1">
      <alignment horizontal="right"/>
    </xf>
    <xf numFmtId="0" fontId="7" fillId="0" borderId="0" xfId="0" applyFont="1"/>
    <xf numFmtId="0" fontId="62" fillId="0" borderId="0" xfId="1" applyFont="1" applyBorder="1"/>
    <xf numFmtId="0" fontId="6" fillId="0" borderId="0" xfId="0" applyFont="1"/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1" fillId="0" borderId="0" xfId="0" applyFont="1"/>
    <xf numFmtId="14" fontId="1" fillId="0" borderId="0" xfId="0" applyNumberFormat="1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06D2300-39C7-400B-8CBC-8FACFEDD77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26" Type="http://schemas.openxmlformats.org/officeDocument/2006/relationships/externalLink" Target="externalLinks/externalLink13.xml"/><Relationship Id="rId39" Type="http://schemas.openxmlformats.org/officeDocument/2006/relationships/externalLink" Target="externalLinks/externalLink26.xml"/><Relationship Id="rId21" Type="http://schemas.openxmlformats.org/officeDocument/2006/relationships/externalLink" Target="externalLinks/externalLink8.xml"/><Relationship Id="rId34" Type="http://schemas.openxmlformats.org/officeDocument/2006/relationships/externalLink" Target="externalLinks/externalLink21.xml"/><Relationship Id="rId42" Type="http://schemas.openxmlformats.org/officeDocument/2006/relationships/externalLink" Target="externalLinks/externalLink29.xml"/><Relationship Id="rId47" Type="http://schemas.openxmlformats.org/officeDocument/2006/relationships/externalLink" Target="externalLinks/externalLink34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9" Type="http://schemas.openxmlformats.org/officeDocument/2006/relationships/externalLink" Target="externalLinks/externalLink1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1.xml"/><Relationship Id="rId32" Type="http://schemas.openxmlformats.org/officeDocument/2006/relationships/externalLink" Target="externalLinks/externalLink19.xml"/><Relationship Id="rId37" Type="http://schemas.openxmlformats.org/officeDocument/2006/relationships/externalLink" Target="externalLinks/externalLink24.xml"/><Relationship Id="rId40" Type="http://schemas.openxmlformats.org/officeDocument/2006/relationships/externalLink" Target="externalLinks/externalLink27.xml"/><Relationship Id="rId45" Type="http://schemas.openxmlformats.org/officeDocument/2006/relationships/externalLink" Target="externalLinks/externalLink3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23" Type="http://schemas.openxmlformats.org/officeDocument/2006/relationships/externalLink" Target="externalLinks/externalLink10.xml"/><Relationship Id="rId28" Type="http://schemas.openxmlformats.org/officeDocument/2006/relationships/externalLink" Target="externalLinks/externalLink15.xml"/><Relationship Id="rId36" Type="http://schemas.openxmlformats.org/officeDocument/2006/relationships/externalLink" Target="externalLinks/externalLink23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6.xml"/><Relationship Id="rId31" Type="http://schemas.openxmlformats.org/officeDocument/2006/relationships/externalLink" Target="externalLinks/externalLink18.xml"/><Relationship Id="rId44" Type="http://schemas.openxmlformats.org/officeDocument/2006/relationships/externalLink" Target="externalLinks/externalLink31.xml"/><Relationship Id="rId52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externalLink" Target="externalLinks/externalLink9.xml"/><Relationship Id="rId27" Type="http://schemas.openxmlformats.org/officeDocument/2006/relationships/externalLink" Target="externalLinks/externalLink14.xml"/><Relationship Id="rId30" Type="http://schemas.openxmlformats.org/officeDocument/2006/relationships/externalLink" Target="externalLinks/externalLink17.xml"/><Relationship Id="rId35" Type="http://schemas.openxmlformats.org/officeDocument/2006/relationships/externalLink" Target="externalLinks/externalLink22.xml"/><Relationship Id="rId43" Type="http://schemas.openxmlformats.org/officeDocument/2006/relationships/externalLink" Target="externalLinks/externalLink30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sheetMetadata" Target="metadata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5" Type="http://schemas.openxmlformats.org/officeDocument/2006/relationships/externalLink" Target="externalLinks/externalLink12.xml"/><Relationship Id="rId33" Type="http://schemas.openxmlformats.org/officeDocument/2006/relationships/externalLink" Target="externalLinks/externalLink20.xml"/><Relationship Id="rId38" Type="http://schemas.openxmlformats.org/officeDocument/2006/relationships/externalLink" Target="externalLinks/externalLink25.xml"/><Relationship Id="rId46" Type="http://schemas.openxmlformats.org/officeDocument/2006/relationships/externalLink" Target="externalLinks/externalLink33.xml"/><Relationship Id="rId20" Type="http://schemas.openxmlformats.org/officeDocument/2006/relationships/externalLink" Target="externalLinks/externalLink7.xml"/><Relationship Id="rId41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SFT.xlsx" TargetMode="External"/><Relationship Id="rId1" Type="http://schemas.openxmlformats.org/officeDocument/2006/relationships/externalLinkPath" Target="MSFT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OG.xlsx" TargetMode="External"/><Relationship Id="rId1" Type="http://schemas.openxmlformats.org/officeDocument/2006/relationships/externalLinkPath" Target="GOO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CSU%20C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BIDU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LTR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ZN.xlsx" TargetMode="External"/><Relationship Id="rId1" Type="http://schemas.openxmlformats.org/officeDocument/2006/relationships/externalLinkPath" Target="AMZN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ORCL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M.xlsx" TargetMode="External"/><Relationship Id="rId1" Type="http://schemas.openxmlformats.org/officeDocument/2006/relationships/externalLinkPath" Target="CRM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SAP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NOW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VMW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TEAM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WDAY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SNOW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VEEV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DDOG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OKTA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B.xlsx" TargetMode="External"/><Relationship Id="rId1" Type="http://schemas.openxmlformats.org/officeDocument/2006/relationships/externalLinkPath" Target="FB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AP.xlsx" TargetMode="External"/><Relationship Id="rId1" Type="http://schemas.openxmlformats.org/officeDocument/2006/relationships/externalLinkPath" Target="SNAP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CDNS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ADBE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VI.xlsx" TargetMode="External"/><Relationship Id="rId1" Type="http://schemas.openxmlformats.org/officeDocument/2006/relationships/externalLinkPath" Target="ATVI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EA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RBLX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INTU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BABA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FN.xlsx" TargetMode="External"/><Relationship Id="rId1" Type="http://schemas.openxmlformats.org/officeDocument/2006/relationships/externalLinkPath" Target="RDF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7534</v>
          </cell>
        </row>
        <row r="5">
          <cell r="L5">
            <v>114101</v>
          </cell>
        </row>
        <row r="6">
          <cell r="L6">
            <v>48622</v>
          </cell>
        </row>
      </sheetData>
      <sheetData sheetId="1">
        <row r="26">
          <cell r="Y26">
            <v>9.6463099263974534</v>
          </cell>
          <cell r="Z26">
            <v>10.566483671729284</v>
          </cell>
          <cell r="AA26">
            <v>11.887286441105783</v>
          </cell>
          <cell r="AB26">
            <v>12.759216407385425</v>
          </cell>
        </row>
        <row r="28">
          <cell r="AJ28">
            <v>0</v>
          </cell>
        </row>
        <row r="29">
          <cell r="AJ29">
            <v>7.0000000000000007E-2</v>
          </cell>
        </row>
        <row r="30">
          <cell r="AJ30">
            <v>0.01</v>
          </cell>
        </row>
        <row r="32">
          <cell r="AJ32">
            <v>240.86292434566818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12807</v>
          </cell>
        </row>
        <row r="5">
          <cell r="L5">
            <v>146678</v>
          </cell>
        </row>
        <row r="6">
          <cell r="L6">
            <v>14653</v>
          </cell>
        </row>
      </sheetData>
      <sheetData sheetId="1">
        <row r="29">
          <cell r="AQ29">
            <v>0.10000000000000009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676</v>
          </cell>
        </row>
        <row r="6">
          <cell r="O6">
            <v>1882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345.875</v>
          </cell>
        </row>
        <row r="5">
          <cell r="L5">
            <v>255226</v>
          </cell>
        </row>
        <row r="6">
          <cell r="L6">
            <v>83627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2036</v>
          </cell>
        </row>
        <row r="5">
          <cell r="L5">
            <v>2585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10331</v>
          </cell>
        </row>
        <row r="5">
          <cell r="K5">
            <v>58662</v>
          </cell>
        </row>
        <row r="6">
          <cell r="K6">
            <v>58919</v>
          </cell>
        </row>
      </sheetData>
      <sheetData sheetId="1">
        <row r="34">
          <cell r="BA34">
            <v>0.15491793611792834</v>
          </cell>
          <cell r="BB34">
            <v>2.206367139333532</v>
          </cell>
          <cell r="BC34">
            <v>2.4325852213221908</v>
          </cell>
          <cell r="BD34">
            <v>3.9987287268800702</v>
          </cell>
        </row>
        <row r="45">
          <cell r="BL45">
            <v>0.08</v>
          </cell>
        </row>
        <row r="46">
          <cell r="BL46">
            <v>0.01</v>
          </cell>
        </row>
        <row r="47">
          <cell r="BL47">
            <v>0</v>
          </cell>
        </row>
        <row r="49">
          <cell r="BL49">
            <v>139.08156491053268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G3">
            <v>2746</v>
          </cell>
        </row>
        <row r="5">
          <cell r="G5">
            <v>7350</v>
          </cell>
        </row>
        <row r="6">
          <cell r="G6">
            <v>90919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1000</v>
          </cell>
        </row>
        <row r="5">
          <cell r="M5">
            <v>17042</v>
          </cell>
        </row>
        <row r="6">
          <cell r="M6">
            <v>10600</v>
          </cell>
        </row>
      </sheetData>
      <sheetData sheetId="1">
        <row r="35">
          <cell r="Z35">
            <v>0.01</v>
          </cell>
        </row>
        <row r="36">
          <cell r="Z36">
            <v>0.08</v>
          </cell>
        </row>
        <row r="38">
          <cell r="Z38">
            <v>159.2157215866865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1180</v>
          </cell>
        </row>
        <row r="5">
          <cell r="L5">
            <v>18083</v>
          </cell>
        </row>
        <row r="6">
          <cell r="L6">
            <v>17213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200</v>
          </cell>
        </row>
        <row r="5">
          <cell r="L5">
            <v>5498</v>
          </cell>
        </row>
        <row r="6">
          <cell r="L6">
            <v>1572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421.445382</v>
          </cell>
        </row>
        <row r="5">
          <cell r="M5">
            <v>3719</v>
          </cell>
        </row>
        <row r="6">
          <cell r="M6">
            <v>11926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253.72300000000001</v>
          </cell>
        </row>
        <row r="5">
          <cell r="L5">
            <v>1431.7740000000001</v>
          </cell>
        </row>
        <row r="6">
          <cell r="L6">
            <v>999.375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P3">
            <v>252</v>
          </cell>
        </row>
        <row r="5">
          <cell r="P5">
            <v>6255</v>
          </cell>
        </row>
        <row r="6">
          <cell r="P6">
            <v>4121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314.36099999999999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O3">
            <v>315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P3">
            <v>157</v>
          </cell>
        </row>
        <row r="5">
          <cell r="P5">
            <v>2477</v>
          </cell>
        </row>
        <row r="6">
          <cell r="P6">
            <v>2195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"/>
    </sheetNames>
    <sheetDataSet>
      <sheetData sheetId="0">
        <row r="3">
          <cell r="M3">
            <v>2651.5486740000001</v>
          </cell>
        </row>
        <row r="5">
          <cell r="M5">
            <v>48304</v>
          </cell>
        </row>
        <row r="6">
          <cell r="M6">
            <v>9922</v>
          </cell>
        </row>
      </sheetData>
      <sheetData sheetId="1">
        <row r="50">
          <cell r="AX50">
            <v>0.08</v>
          </cell>
        </row>
        <row r="51">
          <cell r="AX51">
            <v>-0.05</v>
          </cell>
        </row>
        <row r="52">
          <cell r="AX52">
            <v>0.02</v>
          </cell>
        </row>
        <row r="53">
          <cell r="AX53">
            <v>215.87667010339968</v>
          </cell>
        </row>
      </sheetData>
      <sheetData sheetId="2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1613.101071</v>
          </cell>
        </row>
        <row r="5">
          <cell r="L5">
            <v>4428.9520000000002</v>
          </cell>
        </row>
        <row r="6">
          <cell r="L6">
            <v>3740.8040000000001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277.33600000000001</v>
          </cell>
        </row>
        <row r="5">
          <cell r="K5">
            <v>1088.94</v>
          </cell>
        </row>
        <row r="6">
          <cell r="K6">
            <v>347.58800000000002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472.5</v>
          </cell>
        </row>
        <row r="5">
          <cell r="N5">
            <v>5299</v>
          </cell>
        </row>
        <row r="6">
          <cell r="N6">
            <v>4126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782.62531899999999</v>
          </cell>
        </row>
        <row r="5">
          <cell r="J5">
            <v>10688</v>
          </cell>
        </row>
        <row r="6">
          <cell r="J6">
            <v>3610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281</v>
          </cell>
        </row>
        <row r="5">
          <cell r="N5">
            <v>2416</v>
          </cell>
        </row>
        <row r="6">
          <cell r="N6">
            <v>1878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588.52099999999996</v>
          </cell>
        </row>
        <row r="5">
          <cell r="K5">
            <v>3132.9639999999999</v>
          </cell>
        </row>
        <row r="6">
          <cell r="K6">
            <v>988.03399999999999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281.86987900000003</v>
          </cell>
        </row>
        <row r="5">
          <cell r="L5">
            <v>4002</v>
          </cell>
        </row>
        <row r="6">
          <cell r="L6">
            <v>6853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2675.125</v>
          </cell>
        </row>
        <row r="5">
          <cell r="L5">
            <v>956062</v>
          </cell>
        </row>
        <row r="6">
          <cell r="L6">
            <v>149153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108.748718</v>
          </cell>
        </row>
        <row r="5">
          <cell r="K5">
            <v>555.70900000000006</v>
          </cell>
        </row>
        <row r="6">
          <cell r="K6">
            <v>1719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0" dT="2022-08-24T01:15:21.27" personId="{00000000-0000-0000-0000-000000000000}" id="{9A7BDD87-4728-4B2C-A2F9-F452DF1FAEF5}">
    <text>Series A with ARod, Thrive, Tiger, Marc Lore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BIDU.xlsx" TargetMode="External"/><Relationship Id="rId2" Type="http://schemas.openxmlformats.org/officeDocument/2006/relationships/hyperlink" Target="PLTR.xlsx" TargetMode="External"/><Relationship Id="rId1" Type="http://schemas.openxmlformats.org/officeDocument/2006/relationships/hyperlink" Target="GOOG.xlsx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SFT.xlsx" TargetMode="External"/><Relationship Id="rId4" Type="http://schemas.openxmlformats.org/officeDocument/2006/relationships/hyperlink" Target="CSU%20CN.xlsx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SNOW.xlsx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SAP.xlsx" TargetMode="External"/><Relationship Id="rId7" Type="http://schemas.openxmlformats.org/officeDocument/2006/relationships/hyperlink" Target="WDAY.xlsx" TargetMode="External"/><Relationship Id="rId12" Type="http://schemas.openxmlformats.org/officeDocument/2006/relationships/hyperlink" Target="AMZN.xlsx" TargetMode="External"/><Relationship Id="rId2" Type="http://schemas.openxmlformats.org/officeDocument/2006/relationships/hyperlink" Target="CRM.xlsx" TargetMode="External"/><Relationship Id="rId1" Type="http://schemas.openxmlformats.org/officeDocument/2006/relationships/hyperlink" Target="ORCL.xlsx" TargetMode="External"/><Relationship Id="rId6" Type="http://schemas.openxmlformats.org/officeDocument/2006/relationships/hyperlink" Target="TEAM.xlsx" TargetMode="External"/><Relationship Id="rId11" Type="http://schemas.openxmlformats.org/officeDocument/2006/relationships/hyperlink" Target="VEEV.xlsx" TargetMode="External"/><Relationship Id="rId5" Type="http://schemas.openxmlformats.org/officeDocument/2006/relationships/hyperlink" Target="VMW.xlsx" TargetMode="External"/><Relationship Id="rId10" Type="http://schemas.openxmlformats.org/officeDocument/2006/relationships/hyperlink" Target="DDOG.xlsx" TargetMode="External"/><Relationship Id="rId4" Type="http://schemas.openxmlformats.org/officeDocument/2006/relationships/hyperlink" Target="NOW.xlsx" TargetMode="External"/><Relationship Id="rId9" Type="http://schemas.openxmlformats.org/officeDocument/2006/relationships/hyperlink" Target="OKTA.xlsx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035420%20KS%20Naver.xlsx" TargetMode="External"/><Relationship Id="rId2" Type="http://schemas.openxmlformats.org/officeDocument/2006/relationships/hyperlink" Target="700%20HK.xlsx" TargetMode="External"/><Relationship Id="rId1" Type="http://schemas.openxmlformats.org/officeDocument/2006/relationships/hyperlink" Target="FB.xlsx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SNAP.xlsx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6.bin"/><Relationship Id="rId3" Type="http://schemas.openxmlformats.org/officeDocument/2006/relationships/hyperlink" Target="700%20HK.xlsx" TargetMode="External"/><Relationship Id="rId7" Type="http://schemas.openxmlformats.org/officeDocument/2006/relationships/hyperlink" Target="ATVI.xlsx" TargetMode="External"/><Relationship Id="rId2" Type="http://schemas.openxmlformats.org/officeDocument/2006/relationships/hyperlink" Target="MSFT.xlsx" TargetMode="External"/><Relationship Id="rId1" Type="http://schemas.openxmlformats.org/officeDocument/2006/relationships/hyperlink" Target="../../../OneDrive/Models%20Backup/RBLX.xlsx" TargetMode="External"/><Relationship Id="rId6" Type="http://schemas.openxmlformats.org/officeDocument/2006/relationships/hyperlink" Target="../../../OneDrive/Models%20Backup/SPOT.xlsx" TargetMode="External"/><Relationship Id="rId5" Type="http://schemas.openxmlformats.org/officeDocument/2006/relationships/hyperlink" Target="ADBE.xlsx" TargetMode="External"/><Relationship Id="rId4" Type="http://schemas.openxmlformats.org/officeDocument/2006/relationships/hyperlink" Target="EA.xls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INTU.xlsx" TargetMode="External"/><Relationship Id="rId4" Type="http://schemas.microsoft.com/office/2017/10/relationships/threadedComment" Target="../threadedComments/threadedComment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SHOP.xlsx" TargetMode="External"/><Relationship Id="rId2" Type="http://schemas.openxmlformats.org/officeDocument/2006/relationships/hyperlink" Target="AMZN.xlsx" TargetMode="External"/><Relationship Id="rId1" Type="http://schemas.openxmlformats.org/officeDocument/2006/relationships/hyperlink" Target="BABA.xlsx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RDFN.xlsx" TargetMode="External"/><Relationship Id="rId4" Type="http://schemas.openxmlformats.org/officeDocument/2006/relationships/hyperlink" Target="BABA.xlsx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021-B9D2-4E87-AC34-DE48FE1C429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4C1-F876-4F6A-A905-60D0CF343544}">
  <dimension ref="A1:C12"/>
  <sheetViews>
    <sheetView workbookViewId="0">
      <selection activeCell="F5" sqref="F5"/>
    </sheetView>
  </sheetViews>
  <sheetFormatPr defaultRowHeight="12.75" x14ac:dyDescent="0.2"/>
  <cols>
    <col min="1" max="1" width="5" style="139" bestFit="1" customWidth="1"/>
    <col min="2" max="16384" width="9.140625" style="139"/>
  </cols>
  <sheetData>
    <row r="1" spans="1:3" x14ac:dyDescent="0.2">
      <c r="A1" s="5" t="s">
        <v>148</v>
      </c>
    </row>
    <row r="2" spans="1:3" x14ac:dyDescent="0.2">
      <c r="A2" s="5"/>
      <c r="B2" s="139" t="s">
        <v>19</v>
      </c>
    </row>
    <row r="3" spans="1:3" x14ac:dyDescent="0.2">
      <c r="B3" s="139" t="s">
        <v>350</v>
      </c>
      <c r="C3" s="139" t="s">
        <v>351</v>
      </c>
    </row>
    <row r="4" spans="1:3" x14ac:dyDescent="0.2">
      <c r="B4" s="139" t="s">
        <v>352</v>
      </c>
      <c r="C4" s="139" t="s">
        <v>353</v>
      </c>
    </row>
    <row r="5" spans="1:3" x14ac:dyDescent="0.2">
      <c r="B5" s="139" t="s">
        <v>354</v>
      </c>
    </row>
    <row r="6" spans="1:3" x14ac:dyDescent="0.2">
      <c r="B6" s="139" t="s">
        <v>347</v>
      </c>
    </row>
    <row r="7" spans="1:3" x14ac:dyDescent="0.2">
      <c r="B7" s="139" t="s">
        <v>345</v>
      </c>
    </row>
    <row r="8" spans="1:3" x14ac:dyDescent="0.2">
      <c r="B8" s="139" t="s">
        <v>349</v>
      </c>
    </row>
    <row r="9" spans="1:3" x14ac:dyDescent="0.2">
      <c r="B9" s="139" t="s">
        <v>346</v>
      </c>
    </row>
    <row r="10" spans="1:3" x14ac:dyDescent="0.2">
      <c r="B10" s="139" t="s">
        <v>355</v>
      </c>
    </row>
    <row r="11" spans="1:3" x14ac:dyDescent="0.2">
      <c r="B11" s="139" t="s">
        <v>356</v>
      </c>
    </row>
    <row r="12" spans="1:3" x14ac:dyDescent="0.2">
      <c r="B12" s="139" t="s">
        <v>348</v>
      </c>
    </row>
  </sheetData>
  <hyperlinks>
    <hyperlink ref="A1" location="Main!A1" display="Main" xr:uid="{6883381D-CC78-420C-B33D-9D88ACC7CFD7}"/>
  </hyperlink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91D0-A718-45C3-9EF2-C01D7940E5D3}">
  <dimension ref="A1:C5"/>
  <sheetViews>
    <sheetView workbookViewId="0">
      <selection activeCell="B2" sqref="B2"/>
    </sheetView>
  </sheetViews>
  <sheetFormatPr defaultRowHeight="12.75" x14ac:dyDescent="0.2"/>
  <cols>
    <col min="1" max="1" width="5" style="139" bestFit="1" customWidth="1"/>
    <col min="2" max="16384" width="9.140625" style="139"/>
  </cols>
  <sheetData>
    <row r="1" spans="1:3" x14ac:dyDescent="0.2">
      <c r="A1" s="5" t="s">
        <v>148</v>
      </c>
    </row>
    <row r="2" spans="1:3" x14ac:dyDescent="0.2">
      <c r="A2" s="5"/>
      <c r="B2" s="139" t="s">
        <v>361</v>
      </c>
    </row>
    <row r="3" spans="1:3" x14ac:dyDescent="0.2">
      <c r="B3" s="139" t="s">
        <v>357</v>
      </c>
    </row>
    <row r="4" spans="1:3" x14ac:dyDescent="0.2">
      <c r="B4" s="139" t="s">
        <v>358</v>
      </c>
      <c r="C4" s="139" t="s">
        <v>359</v>
      </c>
    </row>
    <row r="5" spans="1:3" x14ac:dyDescent="0.2">
      <c r="B5" s="139" t="s">
        <v>360</v>
      </c>
    </row>
  </sheetData>
  <hyperlinks>
    <hyperlink ref="A1" location="Main!A1" display="Main" xr:uid="{33E3E6A7-4E0D-4E42-A768-3040828B041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X59"/>
  <sheetViews>
    <sheetView zoomScale="145" zoomScaleNormal="145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D4" sqref="D4"/>
    </sheetView>
  </sheetViews>
  <sheetFormatPr defaultColWidth="8.5703125" defaultRowHeight="12.75" x14ac:dyDescent="0.2"/>
  <cols>
    <col min="1" max="1" width="1.5703125" style="20" customWidth="1"/>
    <col min="2" max="2" width="16.42578125" style="20" customWidth="1"/>
    <col min="3" max="3" width="10.7109375" style="20" customWidth="1"/>
    <col min="4" max="4" width="8.7109375" style="21" customWidth="1"/>
    <col min="5" max="5" width="10.28515625" style="22" customWidth="1"/>
    <col min="6" max="10" width="9.42578125" style="23" customWidth="1"/>
    <col min="11" max="15" width="8.5703125" style="24"/>
    <col min="16" max="16" width="8.5703125" style="25"/>
    <col min="17" max="18" width="8.5703125" style="24"/>
    <col min="19" max="19" width="8.5703125" style="26"/>
    <col min="20" max="20" width="8.5703125" style="25"/>
    <col min="21" max="22" width="8.5703125" style="24"/>
    <col min="23" max="23" width="8.5703125" style="26"/>
    <col min="24" max="16384" width="8.5703125" style="20"/>
  </cols>
  <sheetData>
    <row r="2" spans="1:24" x14ac:dyDescent="0.2">
      <c r="L2" s="28">
        <f>AVERAGE(L4:L5)</f>
        <v>-4.4194744660046914E-2</v>
      </c>
      <c r="P2" s="29">
        <f>AVERAGE(P4:P5)</f>
        <v>25.22299908757552</v>
      </c>
      <c r="Q2" s="37">
        <f>AVERAGE(Q4:Q5)</f>
        <v>23.026474466900336</v>
      </c>
      <c r="R2" s="37">
        <f>AVERAGE(R4:R5)</f>
        <v>20.46799054413637</v>
      </c>
      <c r="S2" s="30">
        <f>AVERAGE(S4:S5)</f>
        <v>19.069264028718802</v>
      </c>
    </row>
    <row r="3" spans="1:24" x14ac:dyDescent="0.2">
      <c r="B3" s="13" t="s">
        <v>0</v>
      </c>
      <c r="C3" s="14" t="s">
        <v>1</v>
      </c>
      <c r="D3" s="15" t="s">
        <v>2</v>
      </c>
      <c r="E3" s="16" t="s">
        <v>3</v>
      </c>
      <c r="F3" s="17" t="s">
        <v>4</v>
      </c>
      <c r="G3" s="17" t="s">
        <v>5</v>
      </c>
      <c r="H3" s="17" t="s">
        <v>223</v>
      </c>
      <c r="I3" s="17" t="s">
        <v>6</v>
      </c>
      <c r="J3" s="42" t="s">
        <v>234</v>
      </c>
      <c r="K3" s="18" t="s">
        <v>218</v>
      </c>
      <c r="L3" s="18" t="s">
        <v>222</v>
      </c>
      <c r="M3" s="18" t="s">
        <v>219</v>
      </c>
      <c r="N3" s="18" t="s">
        <v>220</v>
      </c>
      <c r="O3" s="19" t="s">
        <v>221</v>
      </c>
      <c r="P3" s="48" t="s">
        <v>239</v>
      </c>
      <c r="Q3" s="49" t="s">
        <v>240</v>
      </c>
      <c r="R3" s="49" t="s">
        <v>241</v>
      </c>
      <c r="S3" s="19">
        <v>2025</v>
      </c>
      <c r="T3" s="48" t="s">
        <v>238</v>
      </c>
      <c r="U3" s="18">
        <v>2023</v>
      </c>
      <c r="V3" s="18">
        <v>2024</v>
      </c>
      <c r="W3" s="19">
        <v>2025</v>
      </c>
      <c r="X3" s="20" t="s">
        <v>224</v>
      </c>
    </row>
    <row r="4" spans="1:24" x14ac:dyDescent="0.2">
      <c r="A4" s="72" t="s">
        <v>263</v>
      </c>
      <c r="B4" s="115" t="s">
        <v>7</v>
      </c>
      <c r="C4" s="20" t="s">
        <v>8</v>
      </c>
      <c r="D4" s="21">
        <v>252</v>
      </c>
      <c r="E4" s="22">
        <f>D4*[1]Main!$L$3</f>
        <v>1898568</v>
      </c>
      <c r="F4" s="22">
        <f>[1]Main!$L$5-[1]Main!$L$6</f>
        <v>65479</v>
      </c>
      <c r="G4" s="22">
        <f>+E4-F4</f>
        <v>1833089</v>
      </c>
      <c r="H4" s="22">
        <f>+[1]Main!$L$3</f>
        <v>7534</v>
      </c>
      <c r="I4" s="146" t="s">
        <v>362</v>
      </c>
      <c r="J4" s="43">
        <v>44938</v>
      </c>
      <c r="K4" s="27">
        <f>+[1]Model!$AJ$32</f>
        <v>240.86292434566818</v>
      </c>
      <c r="L4" s="28">
        <f>K4/D4-1</f>
        <v>-4.4194744660046914E-2</v>
      </c>
      <c r="M4" s="28">
        <f>+[1]Model!$AJ$29</f>
        <v>7.0000000000000007E-2</v>
      </c>
      <c r="N4" s="28">
        <f>+[1]Model!$AJ$28</f>
        <v>0</v>
      </c>
      <c r="O4" s="116">
        <f>+[1]Model!$AJ$30</f>
        <v>0.01</v>
      </c>
      <c r="P4" s="29">
        <f>+$G$4/$H$4/T4</f>
        <v>25.22299908757552</v>
      </c>
      <c r="Q4" s="30">
        <f t="shared" ref="Q4:S4" si="0">+$G$4/$H$4/U4</f>
        <v>23.026474466900336</v>
      </c>
      <c r="R4" s="30">
        <f t="shared" si="0"/>
        <v>20.46799054413637</v>
      </c>
      <c r="S4" s="31">
        <f t="shared" si="0"/>
        <v>19.069264028718802</v>
      </c>
      <c r="T4" s="32">
        <f>+[1]Model!$Y$26</f>
        <v>9.6463099263974534</v>
      </c>
      <c r="U4" s="27">
        <f>+[1]Model!$Z$26</f>
        <v>10.566483671729284</v>
      </c>
      <c r="V4" s="27">
        <f>+[1]Model!$AA$26</f>
        <v>11.887286441105783</v>
      </c>
      <c r="W4" s="33">
        <f>+[1]Model!$AB$26</f>
        <v>12.759216407385425</v>
      </c>
      <c r="X4" s="20">
        <v>1975</v>
      </c>
    </row>
    <row r="5" spans="1:24" x14ac:dyDescent="0.2">
      <c r="A5" s="72" t="s">
        <v>263</v>
      </c>
      <c r="B5" s="115" t="s">
        <v>9</v>
      </c>
      <c r="C5" s="20" t="s">
        <v>10</v>
      </c>
      <c r="D5" s="21">
        <v>99.6</v>
      </c>
      <c r="E5" s="22">
        <f>D5*[2]Main!$L$3</f>
        <v>1275577.2</v>
      </c>
      <c r="F5" s="22">
        <f>[2]Main!$L$5-[2]Main!$L$6</f>
        <v>132025</v>
      </c>
      <c r="G5" s="22">
        <f>+E5-F5</f>
        <v>1143552.2</v>
      </c>
      <c r="H5" s="22">
        <f>[2]Main!$L$3</f>
        <v>12807</v>
      </c>
      <c r="I5" s="146" t="s">
        <v>362</v>
      </c>
      <c r="J5" s="43">
        <v>44938</v>
      </c>
      <c r="K5" s="27"/>
      <c r="L5" s="28"/>
      <c r="M5" s="28"/>
      <c r="N5" s="28"/>
      <c r="O5" s="116">
        <f>+[2]Model!$AQ$29</f>
        <v>0.10000000000000009</v>
      </c>
      <c r="P5" s="29"/>
      <c r="Q5" s="30"/>
      <c r="R5" s="30"/>
      <c r="S5" s="31"/>
      <c r="T5" s="32"/>
      <c r="U5" s="27"/>
      <c r="V5" s="27"/>
      <c r="W5" s="33"/>
      <c r="X5" s="20">
        <v>1998</v>
      </c>
    </row>
    <row r="6" spans="1:24" x14ac:dyDescent="0.2">
      <c r="A6" s="107" t="s">
        <v>263</v>
      </c>
      <c r="B6" s="115" t="s">
        <v>182</v>
      </c>
      <c r="C6" s="20" t="s">
        <v>183</v>
      </c>
      <c r="D6" s="21">
        <v>2189.48</v>
      </c>
      <c r="E6" s="22">
        <f>D6*H6/CAD</f>
        <v>35713.078128386704</v>
      </c>
      <c r="F6" s="22">
        <f>[3]Main!$O$5-[3]Main!$O$6</f>
        <v>-1206</v>
      </c>
      <c r="G6" s="22">
        <f>E6-F6</f>
        <v>36919.078128386704</v>
      </c>
      <c r="H6" s="22">
        <f>+[3]Main!$O$3</f>
        <v>21.19153</v>
      </c>
      <c r="I6" s="47" t="s">
        <v>210</v>
      </c>
      <c r="J6" s="43">
        <v>44792</v>
      </c>
      <c r="O6" s="26"/>
      <c r="X6" s="20">
        <v>1995</v>
      </c>
    </row>
    <row r="7" spans="1:24" x14ac:dyDescent="0.2">
      <c r="A7" s="90" t="s">
        <v>263</v>
      </c>
      <c r="B7" s="115" t="s">
        <v>38</v>
      </c>
      <c r="C7" s="20" t="s">
        <v>39</v>
      </c>
      <c r="D7" s="21">
        <v>152.88</v>
      </c>
      <c r="E7" s="22">
        <f>+D7*[4]Main!$L$3</f>
        <v>52877.369999999995</v>
      </c>
      <c r="F7" s="22">
        <f>([4]Main!$L$5-[4]Main!$L$6)/RMB</f>
        <v>25459.792284866468</v>
      </c>
      <c r="G7" s="22">
        <f>E7-F7</f>
        <v>27417.577715133528</v>
      </c>
      <c r="H7" s="22">
        <f>+[4]Main!$L$3</f>
        <v>345.875</v>
      </c>
      <c r="I7" s="23" t="s">
        <v>14</v>
      </c>
      <c r="O7" s="26"/>
      <c r="X7" s="20">
        <v>2000</v>
      </c>
    </row>
    <row r="8" spans="1:24" x14ac:dyDescent="0.2">
      <c r="A8" s="108" t="s">
        <v>263</v>
      </c>
      <c r="B8" s="119" t="s">
        <v>229</v>
      </c>
      <c r="C8" s="120" t="s">
        <v>230</v>
      </c>
      <c r="D8" s="21">
        <v>121.2</v>
      </c>
      <c r="E8" s="22" cm="1">
        <f t="array" ref="E8">327904/SEK</f>
        <v>31700.842058451039</v>
      </c>
      <c r="O8" s="26"/>
      <c r="X8" s="20">
        <v>1992</v>
      </c>
    </row>
    <row r="9" spans="1:24" x14ac:dyDescent="0.2">
      <c r="A9" s="111" t="s">
        <v>263</v>
      </c>
      <c r="B9" s="121" t="s">
        <v>323</v>
      </c>
      <c r="C9" s="111" t="s">
        <v>324</v>
      </c>
      <c r="D9" s="21">
        <v>46.37</v>
      </c>
      <c r="E9" s="22">
        <v>20860</v>
      </c>
      <c r="O9" s="26"/>
    </row>
    <row r="10" spans="1:24" x14ac:dyDescent="0.2">
      <c r="B10" s="122" t="s">
        <v>79</v>
      </c>
      <c r="C10" s="20" t="s">
        <v>184</v>
      </c>
      <c r="D10" s="21">
        <v>113.23</v>
      </c>
      <c r="E10" s="22">
        <v>33330</v>
      </c>
      <c r="O10" s="26"/>
    </row>
    <row r="11" spans="1:24" x14ac:dyDescent="0.2">
      <c r="B11" s="122" t="s">
        <v>56</v>
      </c>
      <c r="C11" s="20" t="s">
        <v>57</v>
      </c>
      <c r="D11" s="21">
        <v>54.71</v>
      </c>
      <c r="E11" s="22">
        <v>28410</v>
      </c>
      <c r="O11" s="26"/>
    </row>
    <row r="12" spans="1:24" x14ac:dyDescent="0.2">
      <c r="B12" s="122" t="s">
        <v>191</v>
      </c>
      <c r="C12" s="20" t="s">
        <v>192</v>
      </c>
      <c r="D12" s="21">
        <v>181.71</v>
      </c>
      <c r="E12" s="22">
        <v>25220</v>
      </c>
      <c r="O12" s="26"/>
    </row>
    <row r="13" spans="1:24" x14ac:dyDescent="0.2">
      <c r="B13" s="115" t="s">
        <v>154</v>
      </c>
      <c r="C13" s="20" t="s">
        <v>155</v>
      </c>
      <c r="D13" s="21">
        <v>9.35</v>
      </c>
      <c r="E13" s="22">
        <f>D13*[5]Main!$L$3</f>
        <v>19036.599999999999</v>
      </c>
      <c r="F13" s="22">
        <f>[5]Main!$L$5-[5]Main!$L$6</f>
        <v>2585</v>
      </c>
      <c r="G13" s="22">
        <f>E13-F13</f>
        <v>16451.599999999999</v>
      </c>
      <c r="H13" s="22"/>
      <c r="I13" s="23" t="s">
        <v>14</v>
      </c>
      <c r="O13" s="26"/>
    </row>
    <row r="14" spans="1:24" x14ac:dyDescent="0.2">
      <c r="B14" s="122" t="s">
        <v>65</v>
      </c>
      <c r="C14" s="20" t="s">
        <v>66</v>
      </c>
      <c r="D14" s="21">
        <v>312</v>
      </c>
      <c r="E14" s="22">
        <v>19090</v>
      </c>
      <c r="O14" s="26"/>
    </row>
    <row r="15" spans="1:24" x14ac:dyDescent="0.2">
      <c r="B15" s="122" t="s">
        <v>69</v>
      </c>
      <c r="C15" s="20" t="s">
        <v>70</v>
      </c>
      <c r="D15" s="21">
        <v>360.34</v>
      </c>
      <c r="E15" s="22">
        <v>18140</v>
      </c>
      <c r="O15" s="26"/>
    </row>
    <row r="16" spans="1:24" x14ac:dyDescent="0.2">
      <c r="B16" s="122" t="s">
        <v>195</v>
      </c>
      <c r="C16" s="20" t="s">
        <v>196</v>
      </c>
      <c r="D16" s="21">
        <v>114.84</v>
      </c>
      <c r="E16" s="22">
        <v>17930</v>
      </c>
      <c r="O16" s="26"/>
    </row>
    <row r="17" spans="2:15" x14ac:dyDescent="0.2">
      <c r="B17" s="122" t="s">
        <v>73</v>
      </c>
      <c r="C17" s="20" t="s">
        <v>74</v>
      </c>
      <c r="D17" s="21">
        <v>43.75</v>
      </c>
      <c r="E17" s="22">
        <v>17180</v>
      </c>
      <c r="O17" s="26"/>
    </row>
    <row r="18" spans="2:15" x14ac:dyDescent="0.2">
      <c r="B18" s="122" t="s">
        <v>79</v>
      </c>
      <c r="C18" s="20" t="s">
        <v>80</v>
      </c>
      <c r="D18" s="21">
        <v>40.44</v>
      </c>
      <c r="E18" s="22">
        <v>16810</v>
      </c>
      <c r="O18" s="26"/>
    </row>
    <row r="19" spans="2:15" x14ac:dyDescent="0.2">
      <c r="B19" s="122" t="s">
        <v>85</v>
      </c>
      <c r="C19" s="20" t="s">
        <v>86</v>
      </c>
      <c r="D19" s="21">
        <v>363.45</v>
      </c>
      <c r="E19" s="22">
        <v>15250</v>
      </c>
      <c r="O19" s="26"/>
    </row>
    <row r="20" spans="2:15" x14ac:dyDescent="0.2">
      <c r="B20" s="122" t="s">
        <v>197</v>
      </c>
      <c r="C20" s="20" t="s">
        <v>198</v>
      </c>
      <c r="D20" s="21">
        <v>87.46</v>
      </c>
      <c r="E20" s="22">
        <v>16020</v>
      </c>
      <c r="O20" s="26"/>
    </row>
    <row r="21" spans="2:15" x14ac:dyDescent="0.2">
      <c r="B21" s="122" t="s">
        <v>203</v>
      </c>
      <c r="C21" s="20" t="s">
        <v>204</v>
      </c>
      <c r="D21" s="21">
        <v>97.08</v>
      </c>
      <c r="E21" s="22">
        <v>15070</v>
      </c>
      <c r="O21" s="26"/>
    </row>
    <row r="22" spans="2:15" x14ac:dyDescent="0.2">
      <c r="B22" s="122" t="s">
        <v>90</v>
      </c>
      <c r="C22" s="20" t="s">
        <v>91</v>
      </c>
      <c r="D22" s="21">
        <v>135.02000000000001</v>
      </c>
      <c r="E22" s="22">
        <v>14050</v>
      </c>
      <c r="O22" s="26"/>
    </row>
    <row r="23" spans="2:15" x14ac:dyDescent="0.2">
      <c r="B23" s="122" t="s">
        <v>92</v>
      </c>
      <c r="C23" s="20" t="s">
        <v>93</v>
      </c>
      <c r="D23" s="21">
        <v>206.61</v>
      </c>
      <c r="E23" s="22">
        <v>13880</v>
      </c>
      <c r="O23" s="26"/>
    </row>
    <row r="24" spans="2:15" x14ac:dyDescent="0.2">
      <c r="B24" s="122" t="s">
        <v>94</v>
      </c>
      <c r="C24" s="20" t="s">
        <v>94</v>
      </c>
      <c r="D24" s="21">
        <v>115.52</v>
      </c>
      <c r="E24" s="22">
        <v>13640</v>
      </c>
      <c r="O24" s="26"/>
    </row>
    <row r="25" spans="2:15" x14ac:dyDescent="0.2">
      <c r="B25" s="122" t="s">
        <v>95</v>
      </c>
      <c r="C25" s="20" t="s">
        <v>95</v>
      </c>
      <c r="D25" s="21">
        <v>206.68</v>
      </c>
      <c r="E25" s="22">
        <v>12990</v>
      </c>
      <c r="O25" s="26"/>
    </row>
    <row r="26" spans="2:15" x14ac:dyDescent="0.2">
      <c r="B26" s="122" t="s">
        <v>96</v>
      </c>
      <c r="C26" s="20" t="s">
        <v>97</v>
      </c>
      <c r="D26" s="21">
        <v>43.77</v>
      </c>
      <c r="E26" s="22">
        <v>12660</v>
      </c>
      <c r="O26" s="26"/>
    </row>
    <row r="27" spans="2:15" x14ac:dyDescent="0.2">
      <c r="B27" s="122" t="s">
        <v>100</v>
      </c>
      <c r="C27" s="20" t="s">
        <v>101</v>
      </c>
      <c r="D27" s="21">
        <v>98.74</v>
      </c>
      <c r="E27" s="22">
        <v>12490</v>
      </c>
      <c r="O27" s="26"/>
    </row>
    <row r="28" spans="2:15" x14ac:dyDescent="0.2">
      <c r="B28" s="122" t="s">
        <v>102</v>
      </c>
      <c r="C28" s="20" t="s">
        <v>103</v>
      </c>
      <c r="D28" s="21">
        <v>40.369999999999997</v>
      </c>
      <c r="E28" s="22">
        <v>11000</v>
      </c>
      <c r="O28" s="26"/>
    </row>
    <row r="29" spans="2:15" x14ac:dyDescent="0.2">
      <c r="B29" s="122" t="s">
        <v>104</v>
      </c>
      <c r="C29" s="20" t="s">
        <v>105</v>
      </c>
      <c r="D29" s="21">
        <v>408.48</v>
      </c>
      <c r="E29" s="22">
        <v>10570</v>
      </c>
      <c r="O29" s="26"/>
    </row>
    <row r="30" spans="2:15" x14ac:dyDescent="0.2">
      <c r="B30" s="122" t="s">
        <v>108</v>
      </c>
      <c r="C30" s="20" t="s">
        <v>109</v>
      </c>
      <c r="D30" s="21">
        <v>80.52</v>
      </c>
      <c r="E30" s="22">
        <v>10310</v>
      </c>
      <c r="O30" s="26"/>
    </row>
    <row r="31" spans="2:15" x14ac:dyDescent="0.2">
      <c r="B31" s="122" t="s">
        <v>110</v>
      </c>
      <c r="C31" s="20" t="s">
        <v>111</v>
      </c>
      <c r="D31" s="21">
        <v>35.200000000000003</v>
      </c>
      <c r="E31" s="22">
        <v>10210</v>
      </c>
      <c r="O31" s="26"/>
    </row>
    <row r="32" spans="2:15" x14ac:dyDescent="0.2">
      <c r="B32" s="122" t="s">
        <v>113</v>
      </c>
      <c r="C32" s="20" t="s">
        <v>114</v>
      </c>
      <c r="D32" s="21">
        <v>8.17</v>
      </c>
      <c r="E32" s="22">
        <v>9320</v>
      </c>
      <c r="O32" s="26"/>
    </row>
    <row r="33" spans="2:15" x14ac:dyDescent="0.2">
      <c r="B33" s="122" t="s">
        <v>115</v>
      </c>
      <c r="C33" s="20" t="s">
        <v>116</v>
      </c>
      <c r="D33" s="21">
        <v>14.73</v>
      </c>
      <c r="E33" s="22">
        <v>9140</v>
      </c>
      <c r="O33" s="26"/>
    </row>
    <row r="34" spans="2:15" x14ac:dyDescent="0.2">
      <c r="B34" s="122" t="s">
        <v>117</v>
      </c>
      <c r="C34" s="20" t="s">
        <v>118</v>
      </c>
      <c r="D34" s="21">
        <v>56.9</v>
      </c>
      <c r="E34" s="22">
        <v>9000</v>
      </c>
      <c r="O34" s="26"/>
    </row>
    <row r="35" spans="2:15" x14ac:dyDescent="0.2">
      <c r="B35" s="122" t="s">
        <v>119</v>
      </c>
      <c r="C35" s="20" t="s">
        <v>120</v>
      </c>
      <c r="D35" s="21">
        <v>203.42</v>
      </c>
      <c r="E35" s="22">
        <v>8580</v>
      </c>
      <c r="O35" s="26"/>
    </row>
    <row r="36" spans="2:15" x14ac:dyDescent="0.2">
      <c r="B36" s="122" t="s">
        <v>122</v>
      </c>
      <c r="C36" s="20" t="s">
        <v>123</v>
      </c>
      <c r="D36" s="21">
        <v>126.81</v>
      </c>
      <c r="E36" s="22">
        <v>8200</v>
      </c>
      <c r="O36" s="26"/>
    </row>
    <row r="37" spans="2:15" x14ac:dyDescent="0.2">
      <c r="B37" s="122" t="s">
        <v>124</v>
      </c>
      <c r="C37" s="20" t="s">
        <v>125</v>
      </c>
      <c r="D37" s="21">
        <v>50.35</v>
      </c>
      <c r="E37" s="22">
        <v>8150</v>
      </c>
      <c r="O37" s="26"/>
    </row>
    <row r="38" spans="2:15" x14ac:dyDescent="0.2">
      <c r="B38" s="122" t="s">
        <v>127</v>
      </c>
      <c r="C38" s="20" t="s">
        <v>128</v>
      </c>
      <c r="D38" s="21">
        <v>88.7</v>
      </c>
      <c r="E38" s="22">
        <v>7910</v>
      </c>
      <c r="O38" s="26"/>
    </row>
    <row r="39" spans="2:15" x14ac:dyDescent="0.2">
      <c r="B39" s="122" t="s">
        <v>129</v>
      </c>
      <c r="C39" s="20" t="s">
        <v>130</v>
      </c>
      <c r="D39" s="21">
        <v>78.3</v>
      </c>
      <c r="E39" s="22">
        <v>7580</v>
      </c>
      <c r="O39" s="26"/>
    </row>
    <row r="40" spans="2:15" x14ac:dyDescent="0.2">
      <c r="B40" s="122" t="s">
        <v>131</v>
      </c>
      <c r="C40" s="20" t="s">
        <v>132</v>
      </c>
      <c r="D40" s="21">
        <v>50.36</v>
      </c>
      <c r="E40" s="22">
        <v>7140</v>
      </c>
      <c r="O40" s="26"/>
    </row>
    <row r="41" spans="2:15" x14ac:dyDescent="0.2">
      <c r="B41" s="122" t="s">
        <v>133</v>
      </c>
      <c r="C41" s="20" t="s">
        <v>134</v>
      </c>
      <c r="D41" s="21">
        <v>80.58</v>
      </c>
      <c r="E41" s="22">
        <v>6930</v>
      </c>
      <c r="O41" s="26"/>
    </row>
    <row r="42" spans="2:15" x14ac:dyDescent="0.2">
      <c r="B42" s="122" t="s">
        <v>135</v>
      </c>
      <c r="C42" s="20" t="s">
        <v>136</v>
      </c>
      <c r="D42" s="21">
        <v>32.869999999999997</v>
      </c>
      <c r="E42" s="22">
        <v>6880</v>
      </c>
      <c r="O42" s="26"/>
    </row>
    <row r="43" spans="2:15" x14ac:dyDescent="0.2">
      <c r="B43" s="122" t="s">
        <v>139</v>
      </c>
      <c r="C43" s="20" t="s">
        <v>140</v>
      </c>
      <c r="D43" s="21">
        <v>54.6</v>
      </c>
      <c r="E43" s="22">
        <v>6370</v>
      </c>
      <c r="O43" s="26"/>
    </row>
    <row r="44" spans="2:15" x14ac:dyDescent="0.2">
      <c r="B44" s="122" t="s">
        <v>141</v>
      </c>
      <c r="C44" s="20" t="s">
        <v>142</v>
      </c>
      <c r="D44" s="21">
        <v>62.59</v>
      </c>
      <c r="E44" s="22">
        <v>6350</v>
      </c>
      <c r="O44" s="26"/>
    </row>
    <row r="45" spans="2:15" x14ac:dyDescent="0.2">
      <c r="B45" s="122" t="s">
        <v>143</v>
      </c>
      <c r="C45" s="20" t="s">
        <v>143</v>
      </c>
      <c r="D45" s="21">
        <v>62.71</v>
      </c>
      <c r="E45" s="22">
        <v>3603</v>
      </c>
      <c r="O45" s="26"/>
    </row>
    <row r="46" spans="2:15" x14ac:dyDescent="0.2">
      <c r="B46" s="122" t="s">
        <v>144</v>
      </c>
      <c r="C46" s="20" t="s">
        <v>145</v>
      </c>
      <c r="D46" s="21">
        <v>21.19</v>
      </c>
      <c r="E46" s="22">
        <v>2965</v>
      </c>
      <c r="O46" s="26"/>
    </row>
    <row r="47" spans="2:15" x14ac:dyDescent="0.2">
      <c r="B47" s="122" t="s">
        <v>149</v>
      </c>
      <c r="C47" s="20" t="s">
        <v>150</v>
      </c>
      <c r="D47" s="21">
        <v>26.99</v>
      </c>
      <c r="E47" s="22">
        <v>1400</v>
      </c>
      <c r="O47" s="26"/>
    </row>
    <row r="48" spans="2:15" x14ac:dyDescent="0.2">
      <c r="B48" s="123" t="s">
        <v>225</v>
      </c>
      <c r="C48" s="124" t="s">
        <v>226</v>
      </c>
      <c r="D48" s="21">
        <v>13.95</v>
      </c>
      <c r="E48" s="22">
        <v>2030</v>
      </c>
      <c r="O48" s="26"/>
    </row>
    <row r="49" spans="2:15" x14ac:dyDescent="0.2">
      <c r="B49" s="123" t="s">
        <v>227</v>
      </c>
      <c r="C49" s="124" t="s">
        <v>228</v>
      </c>
      <c r="D49" s="21">
        <v>19.95</v>
      </c>
      <c r="E49" s="22">
        <v>2560</v>
      </c>
      <c r="O49" s="26"/>
    </row>
    <row r="50" spans="2:15" x14ac:dyDescent="0.2">
      <c r="B50" s="125" t="s">
        <v>236</v>
      </c>
      <c r="C50" s="46" t="s">
        <v>237</v>
      </c>
      <c r="O50" s="26"/>
    </row>
    <row r="51" spans="2:15" x14ac:dyDescent="0.2">
      <c r="B51" s="122"/>
      <c r="O51" s="26"/>
    </row>
    <row r="52" spans="2:15" x14ac:dyDescent="0.2">
      <c r="B52" s="122"/>
      <c r="O52" s="26"/>
    </row>
    <row r="53" spans="2:15" x14ac:dyDescent="0.2">
      <c r="B53" s="122"/>
      <c r="O53" s="26"/>
    </row>
    <row r="54" spans="2:15" x14ac:dyDescent="0.2">
      <c r="B54" s="122"/>
      <c r="O54" s="26"/>
    </row>
    <row r="55" spans="2:15" x14ac:dyDescent="0.2">
      <c r="B55" s="122"/>
      <c r="O55" s="26"/>
    </row>
    <row r="56" spans="2:15" x14ac:dyDescent="0.2">
      <c r="B56" s="122"/>
      <c r="O56" s="26"/>
    </row>
    <row r="57" spans="2:15" x14ac:dyDescent="0.2">
      <c r="B57" s="122"/>
      <c r="O57" s="26"/>
    </row>
    <row r="58" spans="2:15" x14ac:dyDescent="0.2">
      <c r="B58" s="122"/>
      <c r="O58" s="26"/>
    </row>
    <row r="59" spans="2:15" x14ac:dyDescent="0.2">
      <c r="B59" s="126"/>
      <c r="C59" s="127"/>
      <c r="D59" s="128"/>
      <c r="E59" s="129"/>
      <c r="F59" s="130"/>
      <c r="G59" s="130"/>
      <c r="H59" s="130"/>
      <c r="I59" s="130"/>
      <c r="J59" s="130"/>
      <c r="K59" s="131"/>
      <c r="L59" s="131"/>
      <c r="M59" s="131"/>
      <c r="N59" s="131"/>
      <c r="O59" s="132"/>
    </row>
  </sheetData>
  <hyperlinks>
    <hyperlink ref="B5" r:id="rId1" xr:uid="{3019DEB6-D8CA-4815-8BF6-407E9419A3F9}"/>
    <hyperlink ref="B13" r:id="rId2" xr:uid="{5A1A0BF1-1F9D-453A-8615-32812BE41A68}"/>
    <hyperlink ref="B7" r:id="rId3" xr:uid="{831B52E7-EF7A-4831-8425-59EAD7D0F934}"/>
    <hyperlink ref="B6" r:id="rId4" xr:uid="{BF4E9546-147A-4F10-92B1-A91E9292F4F6}"/>
    <hyperlink ref="B4" r:id="rId5" xr:uid="{8FE2D0E7-8B55-451A-A95B-7A06B5C1BDA4}"/>
  </hyperlinks>
  <pageMargins left="0.7" right="0.7" top="0.75" bottom="0.75" header="0.3" footer="0.3"/>
  <pageSetup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27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5" sqref="I5"/>
    </sheetView>
  </sheetViews>
  <sheetFormatPr defaultRowHeight="12.75" x14ac:dyDescent="0.2"/>
  <cols>
    <col min="1" max="1" width="5" style="72" bestFit="1" customWidth="1"/>
    <col min="2" max="2" width="11" style="72" customWidth="1"/>
    <col min="3" max="4" width="9.140625" style="72"/>
    <col min="5" max="5" width="10" style="72" customWidth="1"/>
    <col min="6" max="6" width="9.140625" style="72"/>
    <col min="7" max="7" width="10.140625" style="72" customWidth="1"/>
    <col min="8" max="9" width="9.140625" style="72"/>
    <col min="10" max="10" width="10.85546875" style="72" customWidth="1"/>
    <col min="11" max="16384" width="9.140625" style="72"/>
  </cols>
  <sheetData>
    <row r="1" spans="1:24" x14ac:dyDescent="0.2">
      <c r="A1" s="5" t="s">
        <v>148</v>
      </c>
    </row>
    <row r="2" spans="1:24" x14ac:dyDescent="0.2">
      <c r="B2" s="73" t="s">
        <v>0</v>
      </c>
      <c r="C2" s="74" t="s">
        <v>1</v>
      </c>
      <c r="D2" s="75" t="s">
        <v>2</v>
      </c>
      <c r="E2" s="76" t="s">
        <v>3</v>
      </c>
      <c r="F2" s="77" t="s">
        <v>4</v>
      </c>
      <c r="G2" s="77" t="s">
        <v>5</v>
      </c>
      <c r="H2" s="77" t="s">
        <v>223</v>
      </c>
      <c r="I2" s="77" t="s">
        <v>6</v>
      </c>
      <c r="J2" s="77" t="s">
        <v>234</v>
      </c>
      <c r="K2" s="78" t="s">
        <v>218</v>
      </c>
      <c r="L2" s="78" t="s">
        <v>222</v>
      </c>
      <c r="M2" s="78" t="s">
        <v>219</v>
      </c>
      <c r="N2" s="78" t="s">
        <v>220</v>
      </c>
      <c r="O2" s="79" t="s">
        <v>221</v>
      </c>
      <c r="P2" s="80" t="s">
        <v>239</v>
      </c>
      <c r="Q2" s="81" t="s">
        <v>240</v>
      </c>
      <c r="R2" s="81" t="s">
        <v>241</v>
      </c>
      <c r="S2" s="79">
        <v>2025</v>
      </c>
      <c r="T2" s="80" t="s">
        <v>238</v>
      </c>
      <c r="U2" s="78">
        <v>2023</v>
      </c>
      <c r="V2" s="78">
        <v>2024</v>
      </c>
      <c r="W2" s="79">
        <v>2025</v>
      </c>
      <c r="X2" s="72" t="s">
        <v>224</v>
      </c>
    </row>
    <row r="3" spans="1:24" s="20" customFormat="1" x14ac:dyDescent="0.2">
      <c r="A3" s="72" t="s">
        <v>263</v>
      </c>
      <c r="B3" s="115" t="s">
        <v>11</v>
      </c>
      <c r="C3" s="20" t="s">
        <v>12</v>
      </c>
      <c r="D3" s="21">
        <v>88</v>
      </c>
      <c r="E3" s="22">
        <f>+D3*[6]Main!$K$3</f>
        <v>909128</v>
      </c>
      <c r="F3" s="22">
        <f>[6]Main!$K$5-[6]Main!$K$6</f>
        <v>-257</v>
      </c>
      <c r="G3" s="22">
        <f>+E3-F3</f>
        <v>909385</v>
      </c>
      <c r="H3" s="22">
        <f>+[6]Main!$K$3</f>
        <v>10331</v>
      </c>
      <c r="I3" s="142" t="s">
        <v>362</v>
      </c>
      <c r="J3" s="43">
        <v>44913</v>
      </c>
      <c r="K3" s="27">
        <f>+[6]Model!$BL$49</f>
        <v>139.08156491053268</v>
      </c>
      <c r="L3" s="28">
        <f>K3/D3-1</f>
        <v>0.5804723285287805</v>
      </c>
      <c r="M3" s="36">
        <f>+[6]Model!$BL$45</f>
        <v>0.08</v>
      </c>
      <c r="N3" s="28">
        <f>+[6]Model!$BL$47</f>
        <v>0</v>
      </c>
      <c r="O3" s="116">
        <f>+[6]Model!$BL$46</f>
        <v>0.01</v>
      </c>
      <c r="P3" s="29">
        <f>+($G3/$H3)/T3</f>
        <v>568.2032616160601</v>
      </c>
      <c r="Q3" s="30">
        <f>+($G3/$H3)/U3</f>
        <v>39.895842815908068</v>
      </c>
      <c r="R3" s="30">
        <f>+($G3/$H3)/V3</f>
        <v>36.185731876308488</v>
      </c>
      <c r="S3" s="31">
        <f>+($G3/$H3)/W3</f>
        <v>22.013215348497774</v>
      </c>
      <c r="T3" s="32">
        <f>+[6]Model!$BA$34</f>
        <v>0.15491793611792834</v>
      </c>
      <c r="U3" s="27">
        <f>+[6]Model!$BB$34</f>
        <v>2.206367139333532</v>
      </c>
      <c r="V3" s="27">
        <f>+[6]Model!$BC$34</f>
        <v>2.4325852213221908</v>
      </c>
      <c r="W3" s="33">
        <f>+[6]Model!$BD$34</f>
        <v>3.9987287268800702</v>
      </c>
      <c r="X3" s="20">
        <v>1994</v>
      </c>
    </row>
    <row r="4" spans="1:24" s="20" customFormat="1" x14ac:dyDescent="0.2">
      <c r="A4" s="72" t="s">
        <v>263</v>
      </c>
      <c r="B4" s="5" t="s">
        <v>23</v>
      </c>
      <c r="C4" s="20" t="s">
        <v>24</v>
      </c>
      <c r="D4" s="21">
        <v>79.58</v>
      </c>
      <c r="E4" s="22">
        <f>+D4*[7]Main!$G$3</f>
        <v>218526.68</v>
      </c>
      <c r="F4" s="22">
        <f>+[7]Main!$G$5-[7]Main!$G$6</f>
        <v>-83569</v>
      </c>
      <c r="G4" s="22">
        <f>+E4-F4</f>
        <v>302095.68</v>
      </c>
      <c r="H4" s="22">
        <f>+[7]Main!$G$3</f>
        <v>2746</v>
      </c>
      <c r="I4" s="142" t="s">
        <v>362</v>
      </c>
      <c r="J4" s="43">
        <v>44913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1977</v>
      </c>
    </row>
    <row r="5" spans="1:24" s="20" customFormat="1" x14ac:dyDescent="0.2">
      <c r="A5" s="82" t="s">
        <v>263</v>
      </c>
      <c r="B5" s="5" t="s">
        <v>21</v>
      </c>
      <c r="C5" s="20" t="s">
        <v>22</v>
      </c>
      <c r="D5" s="21">
        <v>146.88</v>
      </c>
      <c r="E5" s="22">
        <f>+D5*[8]Main!$M$3</f>
        <v>146880</v>
      </c>
      <c r="F5" s="22">
        <f>+[8]Main!$M$5-[8]Main!$M$6</f>
        <v>6442</v>
      </c>
      <c r="G5" s="22">
        <f t="shared" ref="G5:G8" si="0">E5-F5</f>
        <v>140438</v>
      </c>
      <c r="H5" s="22">
        <f>+[8]Main!$M$3</f>
        <v>1000</v>
      </c>
      <c r="I5" s="148" t="s">
        <v>362</v>
      </c>
      <c r="J5" s="43">
        <v>44946</v>
      </c>
      <c r="K5" s="27">
        <f>+[8]Model!$Z$38</f>
        <v>159.2157215866865</v>
      </c>
      <c r="L5" s="28">
        <f>+K5/D5-1</f>
        <v>8.3985032589096509E-2</v>
      </c>
      <c r="M5" s="28">
        <f>+[8]Model!$Z$36</f>
        <v>0.08</v>
      </c>
      <c r="N5" s="28">
        <f>+[8]Model!$Z$35</f>
        <v>0.01</v>
      </c>
      <c r="O5" s="28">
        <v>0</v>
      </c>
      <c r="P5" s="25"/>
      <c r="Q5" s="24"/>
      <c r="R5" s="24"/>
      <c r="S5" s="26"/>
      <c r="T5" s="25"/>
      <c r="U5" s="24"/>
      <c r="V5" s="24"/>
      <c r="W5" s="26"/>
      <c r="X5" s="20">
        <v>1999</v>
      </c>
    </row>
    <row r="6" spans="1:24" s="20" customFormat="1" x14ac:dyDescent="0.2">
      <c r="A6" s="82" t="s">
        <v>263</v>
      </c>
      <c r="B6" s="5" t="s">
        <v>25</v>
      </c>
      <c r="C6" s="20" t="s">
        <v>25</v>
      </c>
      <c r="D6" s="21">
        <v>99.86</v>
      </c>
      <c r="E6" s="22">
        <f>+D6*[9]Main!$L$3</f>
        <v>117834.8</v>
      </c>
      <c r="F6" s="22">
        <f>+[9]Main!$L$5-[9]Main!$L$6</f>
        <v>870</v>
      </c>
      <c r="G6" s="22">
        <f t="shared" si="0"/>
        <v>116964.8</v>
      </c>
      <c r="H6" s="22"/>
      <c r="I6" s="23" t="s">
        <v>14</v>
      </c>
      <c r="J6" s="23"/>
      <c r="K6" s="24"/>
      <c r="L6" s="24"/>
      <c r="M6" s="24"/>
      <c r="N6" s="24"/>
      <c r="O6" s="24"/>
      <c r="P6" s="25"/>
      <c r="Q6" s="24"/>
      <c r="R6" s="24"/>
      <c r="S6" s="26"/>
      <c r="T6" s="25"/>
      <c r="U6" s="24"/>
      <c r="V6" s="24"/>
      <c r="W6" s="26"/>
      <c r="X6" s="20">
        <v>1972</v>
      </c>
    </row>
    <row r="7" spans="1:24" s="20" customFormat="1" x14ac:dyDescent="0.2">
      <c r="A7" s="82" t="s">
        <v>263</v>
      </c>
      <c r="B7" s="5" t="s">
        <v>29</v>
      </c>
      <c r="C7" s="20" t="s">
        <v>30</v>
      </c>
      <c r="D7" s="21">
        <v>440</v>
      </c>
      <c r="E7" s="22">
        <f>+D7*[10]Main!$L$3</f>
        <v>88000</v>
      </c>
      <c r="F7" s="22">
        <f>+[10]Main!$L$5-[10]Main!$L$6</f>
        <v>3926</v>
      </c>
      <c r="G7" s="22">
        <f t="shared" si="0"/>
        <v>84074</v>
      </c>
      <c r="H7" s="22"/>
      <c r="I7" s="23" t="s">
        <v>14</v>
      </c>
      <c r="J7" s="23"/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  <c r="X7" s="20">
        <v>2004</v>
      </c>
    </row>
    <row r="8" spans="1:24" s="20" customFormat="1" x14ac:dyDescent="0.2">
      <c r="A8" s="94" t="s">
        <v>263</v>
      </c>
      <c r="B8" s="5" t="s">
        <v>187</v>
      </c>
      <c r="C8" s="20" t="s">
        <v>188</v>
      </c>
      <c r="D8" s="21">
        <v>122.42</v>
      </c>
      <c r="E8" s="22">
        <f>+D8*H8</f>
        <v>51593.343664439999</v>
      </c>
      <c r="F8" s="22">
        <f>+[11]Main!$M$5-[11]Main!$M$6</f>
        <v>-8207</v>
      </c>
      <c r="G8" s="22">
        <f t="shared" si="0"/>
        <v>59800.343664439999</v>
      </c>
      <c r="H8" s="22">
        <f>+[11]Main!$M$3</f>
        <v>421.445382</v>
      </c>
      <c r="I8" s="47" t="s">
        <v>14</v>
      </c>
      <c r="J8" s="23"/>
      <c r="K8" s="24"/>
      <c r="L8" s="24"/>
      <c r="M8" s="24"/>
      <c r="N8" s="24"/>
      <c r="O8" s="24"/>
      <c r="P8" s="25"/>
      <c r="Q8" s="24"/>
      <c r="R8" s="24"/>
      <c r="S8" s="26"/>
      <c r="T8" s="25"/>
      <c r="U8" s="24"/>
      <c r="V8" s="24"/>
      <c r="W8" s="26"/>
      <c r="X8" s="20">
        <v>1998</v>
      </c>
    </row>
    <row r="9" spans="1:24" x14ac:dyDescent="0.2">
      <c r="A9" s="82" t="s">
        <v>263</v>
      </c>
      <c r="B9" s="82" t="s">
        <v>266</v>
      </c>
      <c r="C9" s="82" t="s">
        <v>266</v>
      </c>
      <c r="X9" s="72">
        <v>1911</v>
      </c>
    </row>
    <row r="10" spans="1:24" x14ac:dyDescent="0.2">
      <c r="A10" s="89" t="s">
        <v>263</v>
      </c>
      <c r="B10" s="5" t="s">
        <v>40</v>
      </c>
      <c r="C10" s="20" t="s">
        <v>41</v>
      </c>
      <c r="D10" s="21">
        <v>200.8</v>
      </c>
      <c r="E10" s="22">
        <f>+D10*[12]Main!$L$3</f>
        <v>50947.578400000006</v>
      </c>
      <c r="F10" s="22">
        <f>+[12]Main!$L$5-[12]Main!$L$6</f>
        <v>432.39900000000011</v>
      </c>
      <c r="G10" s="22">
        <f t="shared" ref="G10:G15" si="1">E10-F10</f>
        <v>50515.179400000008</v>
      </c>
      <c r="H10" s="22">
        <f>+[12]Main!$L$3</f>
        <v>253.72300000000001</v>
      </c>
      <c r="I10" s="34" t="s">
        <v>14</v>
      </c>
      <c r="X10" s="72">
        <v>2002</v>
      </c>
    </row>
    <row r="11" spans="1:24" x14ac:dyDescent="0.2">
      <c r="A11" s="98" t="s">
        <v>263</v>
      </c>
      <c r="B11" s="5" t="s">
        <v>50</v>
      </c>
      <c r="C11" s="20" t="s">
        <v>51</v>
      </c>
      <c r="D11" s="21">
        <v>168</v>
      </c>
      <c r="E11" s="22">
        <f>+D11*H11</f>
        <v>42336</v>
      </c>
      <c r="F11" s="22">
        <f>+[13]Main!$P$5-[13]Main!$P$6</f>
        <v>2134</v>
      </c>
      <c r="G11" s="22">
        <f t="shared" si="1"/>
        <v>40202</v>
      </c>
      <c r="H11" s="23">
        <f>+[13]Main!$P$3</f>
        <v>252</v>
      </c>
      <c r="I11" s="47" t="s">
        <v>14</v>
      </c>
      <c r="J11" s="43">
        <v>44793</v>
      </c>
      <c r="X11" s="72">
        <v>2005</v>
      </c>
    </row>
    <row r="12" spans="1:24" x14ac:dyDescent="0.2">
      <c r="A12" s="89" t="s">
        <v>263</v>
      </c>
      <c r="B12" s="5" t="s">
        <v>44</v>
      </c>
      <c r="C12" s="20" t="s">
        <v>45</v>
      </c>
      <c r="D12" s="21">
        <v>135.57</v>
      </c>
      <c r="E12" s="22">
        <f>+D12*[14]Main!$M$3</f>
        <v>42617.920769999997</v>
      </c>
      <c r="F12" s="22">
        <f>+[14]Main!$M$5-[14]Main!$M$6</f>
        <v>5027.4579999999996</v>
      </c>
      <c r="G12" s="22">
        <f t="shared" si="1"/>
        <v>37590.462769999998</v>
      </c>
      <c r="H12" s="22">
        <f>+[14]Main!$M$3</f>
        <v>314.36099999999999</v>
      </c>
      <c r="I12" s="35" t="s">
        <v>14</v>
      </c>
      <c r="X12" s="72">
        <v>2012</v>
      </c>
    </row>
    <row r="13" spans="1:24" x14ac:dyDescent="0.2">
      <c r="A13" s="101" t="s">
        <v>263</v>
      </c>
      <c r="B13" s="5" t="s">
        <v>180</v>
      </c>
      <c r="C13" s="20" t="s">
        <v>181</v>
      </c>
      <c r="D13" s="21">
        <v>228.96</v>
      </c>
      <c r="E13" s="22">
        <f>+D13*H13</f>
        <v>35453.770264799998</v>
      </c>
      <c r="F13" s="22">
        <f>+[15]Main!$M$5-[15]Main!$M$6</f>
        <v>2838.5529999999999</v>
      </c>
      <c r="G13" s="22">
        <f t="shared" si="1"/>
        <v>32615.217264799998</v>
      </c>
      <c r="H13" s="22">
        <f>+[15]Main!$M$3</f>
        <v>154.847005</v>
      </c>
      <c r="I13" s="54" t="s">
        <v>14</v>
      </c>
      <c r="J13" s="43">
        <v>44794</v>
      </c>
      <c r="X13" s="72">
        <v>2007</v>
      </c>
    </row>
    <row r="14" spans="1:24" x14ac:dyDescent="0.2">
      <c r="A14" s="105" t="s">
        <v>263</v>
      </c>
      <c r="B14" s="97" t="s">
        <v>306</v>
      </c>
      <c r="C14" s="105" t="s">
        <v>184</v>
      </c>
      <c r="D14" s="21"/>
      <c r="E14" s="22"/>
      <c r="F14" s="22"/>
      <c r="G14" s="22"/>
      <c r="H14" s="22"/>
      <c r="I14" s="54"/>
      <c r="J14" s="43"/>
      <c r="X14" s="72">
        <v>2011</v>
      </c>
    </row>
    <row r="15" spans="1:24" x14ac:dyDescent="0.2">
      <c r="A15" s="105" t="s">
        <v>263</v>
      </c>
      <c r="B15" s="5" t="s">
        <v>52</v>
      </c>
      <c r="C15" s="20" t="s">
        <v>53</v>
      </c>
      <c r="D15" s="21">
        <v>97</v>
      </c>
      <c r="E15" s="22">
        <f>+D15*H15</f>
        <v>30555</v>
      </c>
      <c r="F15" s="71">
        <f>+[16]Main!$O$5-[16]Main!$O$6</f>
        <v>970</v>
      </c>
      <c r="G15" s="22">
        <f t="shared" si="1"/>
        <v>29585</v>
      </c>
      <c r="H15" s="71">
        <f>+[16]Main!$O$3</f>
        <v>315</v>
      </c>
      <c r="I15" s="102" t="s">
        <v>210</v>
      </c>
      <c r="J15" s="103">
        <v>44805</v>
      </c>
      <c r="X15" s="72">
        <v>2010</v>
      </c>
    </row>
    <row r="16" spans="1:24" s="20" customFormat="1" x14ac:dyDescent="0.2">
      <c r="B16" s="20" t="s">
        <v>67</v>
      </c>
      <c r="C16" s="20" t="s">
        <v>68</v>
      </c>
      <c r="D16" s="21">
        <v>90.1</v>
      </c>
      <c r="E16" s="22">
        <v>18840</v>
      </c>
      <c r="F16" s="23"/>
      <c r="G16" s="23"/>
      <c r="H16" s="23"/>
      <c r="I16" s="23"/>
      <c r="J16" s="23"/>
      <c r="K16" s="24"/>
      <c r="L16" s="24"/>
      <c r="M16" s="24"/>
      <c r="N16" s="24"/>
      <c r="O16" s="26"/>
      <c r="P16" s="25"/>
      <c r="Q16" s="24"/>
      <c r="R16" s="24"/>
      <c r="S16" s="26"/>
      <c r="T16" s="25"/>
      <c r="U16" s="24"/>
      <c r="V16" s="24"/>
      <c r="W16" s="26"/>
      <c r="X16" s="20">
        <v>2003</v>
      </c>
    </row>
    <row r="17" spans="2:24" s="20" customFormat="1" x14ac:dyDescent="0.2">
      <c r="B17" s="144" t="s">
        <v>201</v>
      </c>
      <c r="C17" s="20" t="s">
        <v>202</v>
      </c>
      <c r="D17" s="21">
        <v>59.49</v>
      </c>
      <c r="E17" s="22">
        <f>+D17*H17</f>
        <v>9339.93</v>
      </c>
      <c r="F17" s="22">
        <f>+[17]Main!$P$5-[17]Main!$P$6</f>
        <v>282</v>
      </c>
      <c r="G17" s="22">
        <f>+E17-F17</f>
        <v>9057.93</v>
      </c>
      <c r="H17" s="22">
        <f>+[17]Main!$P$3</f>
        <v>157</v>
      </c>
      <c r="I17" s="100" t="s">
        <v>210</v>
      </c>
      <c r="J17" s="43">
        <v>44805</v>
      </c>
      <c r="K17" s="24"/>
      <c r="L17" s="24"/>
      <c r="M17" s="24"/>
      <c r="N17" s="24"/>
      <c r="O17" s="24"/>
      <c r="P17" s="25"/>
      <c r="Q17" s="24"/>
      <c r="R17" s="24"/>
      <c r="S17" s="26"/>
      <c r="T17" s="25"/>
      <c r="U17" s="24"/>
      <c r="V17" s="24"/>
      <c r="W17" s="26"/>
      <c r="X17" s="20">
        <v>2009</v>
      </c>
    </row>
    <row r="18" spans="2:24" s="20" customFormat="1" x14ac:dyDescent="0.2">
      <c r="B18" s="122" t="s">
        <v>83</v>
      </c>
      <c r="C18" s="20" t="s">
        <v>84</v>
      </c>
      <c r="D18" s="21">
        <v>63.5</v>
      </c>
      <c r="E18" s="22">
        <v>16440</v>
      </c>
      <c r="F18" s="23"/>
      <c r="G18" s="23"/>
      <c r="H18" s="23"/>
      <c r="I18" s="23"/>
      <c r="J18" s="23"/>
      <c r="K18" s="24"/>
      <c r="L18" s="24"/>
      <c r="M18" s="24"/>
      <c r="N18" s="24"/>
      <c r="O18" s="26"/>
      <c r="P18" s="25"/>
      <c r="Q18" s="24"/>
      <c r="R18" s="24"/>
      <c r="S18" s="26"/>
      <c r="T18" s="25"/>
      <c r="U18" s="24"/>
      <c r="V18" s="24"/>
      <c r="W18" s="26"/>
    </row>
    <row r="19" spans="2:24" s="20" customFormat="1" x14ac:dyDescent="0.2">
      <c r="B19" s="20" t="s">
        <v>193</v>
      </c>
      <c r="C19" s="20" t="s">
        <v>194</v>
      </c>
      <c r="D19" s="21">
        <v>375.92</v>
      </c>
      <c r="E19" s="22">
        <v>25610</v>
      </c>
      <c r="F19" s="23"/>
      <c r="G19" s="23"/>
      <c r="H19" s="23"/>
      <c r="I19" s="23"/>
      <c r="J19" s="23"/>
      <c r="K19" s="24"/>
      <c r="L19" s="24"/>
      <c r="M19" s="24"/>
      <c r="N19" s="24"/>
      <c r="O19" s="26"/>
      <c r="P19" s="25"/>
      <c r="Q19" s="24"/>
      <c r="R19" s="24"/>
      <c r="S19" s="26"/>
      <c r="T19" s="25"/>
      <c r="U19" s="24"/>
      <c r="V19" s="24"/>
      <c r="W19" s="26"/>
      <c r="X19" s="20">
        <v>2007</v>
      </c>
    </row>
    <row r="20" spans="2:24" x14ac:dyDescent="0.2">
      <c r="B20" s="135" t="s">
        <v>339</v>
      </c>
      <c r="C20" s="143" t="s">
        <v>387</v>
      </c>
      <c r="D20" s="72">
        <v>25.54</v>
      </c>
      <c r="E20" s="71">
        <v>4800</v>
      </c>
      <c r="X20" s="72">
        <v>2012</v>
      </c>
    </row>
    <row r="26" spans="2:24" x14ac:dyDescent="0.2">
      <c r="B26" s="95" t="s">
        <v>258</v>
      </c>
    </row>
    <row r="27" spans="2:24" x14ac:dyDescent="0.2">
      <c r="B27" s="94" t="s">
        <v>286</v>
      </c>
      <c r="E27" s="72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5" r:id="rId2" xr:uid="{82160796-EF8E-4F69-8090-C97619BD3BC8}"/>
    <hyperlink ref="B6" r:id="rId3" xr:uid="{2964D309-6110-46D1-A6FF-CEF55CE8C8F6}"/>
    <hyperlink ref="B7" r:id="rId4" xr:uid="{BEBE7C2C-69F7-4F68-A1A3-433A555515CF}"/>
    <hyperlink ref="B8" r:id="rId5" xr:uid="{79E0FB94-7B29-4FC8-9D4A-2DAAB02B450C}"/>
    <hyperlink ref="B10" r:id="rId6" xr:uid="{1647F4E6-0995-4C11-AEA1-85BE3B2789D3}"/>
    <hyperlink ref="B11" r:id="rId7" xr:uid="{11F6BC32-0B71-4C3C-92D4-6F1D15C6FCA5}"/>
    <hyperlink ref="B12" r:id="rId8" xr:uid="{BF5095B8-6956-4116-AD45-B06C94DC5EDF}"/>
    <hyperlink ref="B17" r:id="rId9" xr:uid="{1147CFA9-6647-443A-9626-FE00F78AE9FF}"/>
    <hyperlink ref="B15" r:id="rId10" xr:uid="{EE794379-CBE0-4BE4-963F-4A3EB8F86626}"/>
    <hyperlink ref="B13" r:id="rId11" xr:uid="{6424F2CF-2B61-4808-95C3-62B06E9F6361}"/>
    <hyperlink ref="B3" r:id="rId12" xr:uid="{D0A6A308-9256-4523-8FDF-BCE2AFB11B6E}"/>
  </hyperlinks>
  <pageMargins left="0.7" right="0.7" top="0.75" bottom="0.75" header="0.3" footer="0.3"/>
  <pageSetup orientation="portrait" horizontalDpi="1200" verticalDpi="1200" r:id="rId1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X51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8" sqref="I8"/>
    </sheetView>
  </sheetViews>
  <sheetFormatPr defaultRowHeight="12.75" x14ac:dyDescent="0.2"/>
  <cols>
    <col min="1" max="1" width="5" style="63" bestFit="1" customWidth="1"/>
    <col min="2" max="2" width="12" style="63" customWidth="1"/>
    <col min="3" max="3" width="11.7109375" style="63" customWidth="1"/>
    <col min="4" max="9" width="9.140625" style="63"/>
    <col min="10" max="10" width="10.85546875" style="63" customWidth="1"/>
    <col min="11" max="16384" width="9.140625" style="63"/>
  </cols>
  <sheetData>
    <row r="1" spans="1:24" x14ac:dyDescent="0.2">
      <c r="A1" s="5" t="s">
        <v>148</v>
      </c>
    </row>
    <row r="2" spans="1:24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223</v>
      </c>
      <c r="I2" s="17" t="s">
        <v>6</v>
      </c>
      <c r="J2" s="42" t="s">
        <v>234</v>
      </c>
      <c r="K2" s="18" t="s">
        <v>218</v>
      </c>
      <c r="L2" s="18" t="s">
        <v>222</v>
      </c>
      <c r="M2" s="18" t="s">
        <v>219</v>
      </c>
      <c r="N2" s="18" t="s">
        <v>220</v>
      </c>
      <c r="O2" s="19" t="s">
        <v>221</v>
      </c>
      <c r="P2" s="48" t="s">
        <v>239</v>
      </c>
      <c r="Q2" s="49" t="s">
        <v>240</v>
      </c>
      <c r="R2" s="49" t="s">
        <v>241</v>
      </c>
      <c r="S2" s="19">
        <v>2025</v>
      </c>
      <c r="T2" s="48" t="s">
        <v>238</v>
      </c>
      <c r="U2" s="18">
        <v>2023</v>
      </c>
      <c r="V2" s="18">
        <v>2024</v>
      </c>
      <c r="W2" s="19">
        <v>2025</v>
      </c>
      <c r="X2" s="20" t="s">
        <v>224</v>
      </c>
    </row>
    <row r="3" spans="1:24" s="20" customFormat="1" x14ac:dyDescent="0.2">
      <c r="A3" s="72" t="s">
        <v>263</v>
      </c>
      <c r="B3" s="5" t="s">
        <v>13</v>
      </c>
      <c r="C3" s="20" t="s">
        <v>205</v>
      </c>
      <c r="D3" s="21">
        <v>109.86</v>
      </c>
      <c r="E3" s="22">
        <f>+D3*[18]Main!$M$3</f>
        <v>291299.13732564001</v>
      </c>
      <c r="F3" s="22">
        <f>+[18]Main!$M$5-[18]Main!$M$6</f>
        <v>38382</v>
      </c>
      <c r="G3" s="22">
        <f t="shared" ref="G3:G4" si="0">+E3-F3</f>
        <v>252917.13732564001</v>
      </c>
      <c r="H3" s="22">
        <f>+[18]Main!$M$3</f>
        <v>2651.5486740000001</v>
      </c>
      <c r="I3" s="140" t="s">
        <v>362</v>
      </c>
      <c r="J3" s="43">
        <v>44959</v>
      </c>
      <c r="K3" s="27">
        <f>+[18]Model!$AX$53</f>
        <v>215.87667010339968</v>
      </c>
      <c r="L3" s="28">
        <f>K3/D3-1</f>
        <v>0.9650161123557226</v>
      </c>
      <c r="M3" s="28">
        <f>+[18]Model!$AX$50</f>
        <v>0.08</v>
      </c>
      <c r="N3" s="28">
        <f>+[18]Model!$AX$51</f>
        <v>-0.05</v>
      </c>
      <c r="O3" s="28">
        <f>+[18]Model!$AX$52</f>
        <v>0.02</v>
      </c>
      <c r="P3" s="25"/>
      <c r="Q3" s="24"/>
      <c r="R3" s="24"/>
      <c r="S3" s="26"/>
      <c r="T3" s="25"/>
      <c r="U3" s="24"/>
      <c r="V3" s="24"/>
      <c r="W3" s="26"/>
      <c r="X3" s="20">
        <v>2004</v>
      </c>
    </row>
    <row r="4" spans="1:24" s="20" customFormat="1" x14ac:dyDescent="0.2">
      <c r="A4" s="72" t="s">
        <v>263</v>
      </c>
      <c r="B4" s="5" t="s">
        <v>15</v>
      </c>
      <c r="C4" s="20" t="s">
        <v>16</v>
      </c>
      <c r="D4" s="21">
        <v>277.39999999999998</v>
      </c>
      <c r="E4" s="22">
        <f>+D4*[19]Main!$L$3*1000/HKD</f>
        <v>341793.77818543144</v>
      </c>
      <c r="F4" s="22">
        <f>([19]Main!$L$5-[19]Main!$L$6)/HKD*1000</f>
        <v>81912.914978725574</v>
      </c>
      <c r="G4" s="22">
        <f t="shared" si="0"/>
        <v>259880.86320670586</v>
      </c>
      <c r="H4" s="22">
        <f>+[19]Main!$L$3*1000</f>
        <v>9672</v>
      </c>
      <c r="I4" s="117" t="s">
        <v>210</v>
      </c>
      <c r="J4" s="43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1998</v>
      </c>
    </row>
    <row r="5" spans="1:24" s="20" customFormat="1" x14ac:dyDescent="0.2">
      <c r="A5" s="96" t="s">
        <v>263</v>
      </c>
      <c r="B5" s="97" t="s">
        <v>291</v>
      </c>
      <c r="C5" s="96" t="s">
        <v>292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2011</v>
      </c>
    </row>
    <row r="6" spans="1:24" s="20" customFormat="1" x14ac:dyDescent="0.2">
      <c r="A6" s="137" t="s">
        <v>263</v>
      </c>
      <c r="B6" s="137" t="s">
        <v>340</v>
      </c>
      <c r="C6" s="137" t="s">
        <v>342</v>
      </c>
      <c r="D6" s="21"/>
      <c r="E6" s="22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0">
        <v>2010</v>
      </c>
    </row>
    <row r="7" spans="1:24" s="20" customFormat="1" x14ac:dyDescent="0.2">
      <c r="A7" s="107" t="s">
        <v>263</v>
      </c>
      <c r="B7" s="144" t="s">
        <v>309</v>
      </c>
      <c r="C7" s="107" t="s">
        <v>310</v>
      </c>
      <c r="D7" s="22">
        <v>193500</v>
      </c>
      <c r="E7" s="22">
        <v>33330</v>
      </c>
      <c r="F7" s="22"/>
      <c r="G7" s="22">
        <f>E7-F7</f>
        <v>33330</v>
      </c>
      <c r="H7" s="22"/>
      <c r="I7" s="23"/>
      <c r="J7" s="43"/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4" s="20" customFormat="1" x14ac:dyDescent="0.2">
      <c r="A8" s="145" t="s">
        <v>263</v>
      </c>
      <c r="B8" s="144" t="s">
        <v>388</v>
      </c>
      <c r="C8" s="145" t="s">
        <v>389</v>
      </c>
      <c r="D8" s="21">
        <v>12</v>
      </c>
      <c r="E8" s="22">
        <f>+D8*H8</f>
        <v>19357.212852000001</v>
      </c>
      <c r="F8" s="151">
        <f>+[20]Main!$L$5-[20]Main!$L$6</f>
        <v>688.14800000000014</v>
      </c>
      <c r="G8" s="22">
        <f>E8-F8</f>
        <v>18669.064852</v>
      </c>
      <c r="H8" s="22">
        <f>+[20]Main!$L$3</f>
        <v>1613.101071</v>
      </c>
      <c r="I8" s="150" t="s">
        <v>210</v>
      </c>
      <c r="J8" s="43">
        <v>44802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4" s="20" customFormat="1" x14ac:dyDescent="0.2">
      <c r="B9" s="96" t="s">
        <v>289</v>
      </c>
      <c r="C9" s="96" t="s">
        <v>290</v>
      </c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0">
        <v>2008</v>
      </c>
    </row>
    <row r="10" spans="1:24" s="20" customFormat="1" x14ac:dyDescent="0.2">
      <c r="B10" s="96" t="s">
        <v>293</v>
      </c>
      <c r="C10" s="96" t="s">
        <v>294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>
        <v>2009</v>
      </c>
    </row>
    <row r="11" spans="1:24" s="20" customFormat="1" x14ac:dyDescent="0.2">
      <c r="B11" s="134" t="s">
        <v>329</v>
      </c>
      <c r="C11" s="134" t="s">
        <v>330</v>
      </c>
      <c r="D11" s="21"/>
      <c r="E11" s="22"/>
      <c r="F11" s="23"/>
      <c r="G11" s="23"/>
      <c r="H11" s="23"/>
      <c r="I11" s="23"/>
      <c r="J11" s="23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4" s="20" customFormat="1" x14ac:dyDescent="0.2">
      <c r="B12" s="134" t="s">
        <v>135</v>
      </c>
      <c r="C12" s="134" t="s">
        <v>136</v>
      </c>
      <c r="D12" s="21"/>
      <c r="E12" s="22"/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4" s="20" customFormat="1" x14ac:dyDescent="0.2">
      <c r="B13" s="141" t="s">
        <v>371</v>
      </c>
      <c r="C13" s="134"/>
      <c r="D13" s="21"/>
      <c r="E13" s="22"/>
      <c r="F13" s="23"/>
      <c r="G13" s="23"/>
      <c r="H13" s="23"/>
      <c r="I13" s="23"/>
      <c r="J13" s="23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spans="1:24" x14ac:dyDescent="0.2">
      <c r="B14" s="134" t="s">
        <v>334</v>
      </c>
      <c r="C14" s="134" t="s">
        <v>335</v>
      </c>
    </row>
    <row r="15" spans="1:24" s="20" customFormat="1" x14ac:dyDescent="0.2">
      <c r="B15" s="5"/>
      <c r="D15" s="21"/>
      <c r="E15" s="22"/>
      <c r="F15" s="22"/>
      <c r="G15" s="22"/>
      <c r="H15" s="22"/>
      <c r="I15" s="23"/>
      <c r="J15" s="23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</row>
    <row r="16" spans="1:24" x14ac:dyDescent="0.2">
      <c r="B16" s="64" t="s">
        <v>258</v>
      </c>
    </row>
    <row r="17" spans="1:23" x14ac:dyDescent="0.2">
      <c r="B17" s="96" t="s">
        <v>288</v>
      </c>
    </row>
    <row r="18" spans="1:23" x14ac:dyDescent="0.2">
      <c r="B18" s="63" t="s">
        <v>257</v>
      </c>
    </row>
    <row r="19" spans="1:23" x14ac:dyDescent="0.2">
      <c r="B19" s="134" t="s">
        <v>328</v>
      </c>
    </row>
    <row r="20" spans="1:23" x14ac:dyDescent="0.2">
      <c r="B20" s="63" t="s">
        <v>256</v>
      </c>
    </row>
    <row r="21" spans="1:23" x14ac:dyDescent="0.2">
      <c r="B21" s="134" t="s">
        <v>331</v>
      </c>
    </row>
    <row r="22" spans="1:23" x14ac:dyDescent="0.2">
      <c r="B22" s="64" t="s">
        <v>332</v>
      </c>
    </row>
    <row r="23" spans="1:23" x14ac:dyDescent="0.2">
      <c r="B23" s="134" t="s">
        <v>333</v>
      </c>
    </row>
    <row r="24" spans="1:23" x14ac:dyDescent="0.2">
      <c r="B24" s="134" t="s">
        <v>336</v>
      </c>
    </row>
    <row r="25" spans="1:23" x14ac:dyDescent="0.2">
      <c r="B25" s="134" t="s">
        <v>337</v>
      </c>
    </row>
    <row r="26" spans="1:23" x14ac:dyDescent="0.2">
      <c r="B26" s="134" t="s">
        <v>338</v>
      </c>
    </row>
    <row r="27" spans="1:23" x14ac:dyDescent="0.2">
      <c r="B27" s="20" t="s">
        <v>171</v>
      </c>
      <c r="C27" s="20" t="s">
        <v>172</v>
      </c>
      <c r="D27" s="21">
        <v>44.5</v>
      </c>
      <c r="E27" s="22">
        <v>34050</v>
      </c>
    </row>
    <row r="28" spans="1:23" s="20" customFormat="1" x14ac:dyDescent="0.2">
      <c r="A28" s="107"/>
      <c r="B28" s="137" t="s">
        <v>341</v>
      </c>
      <c r="C28" s="63"/>
      <c r="D28" s="63"/>
      <c r="E28" s="63"/>
      <c r="F28" s="23"/>
      <c r="G28" s="23"/>
      <c r="H28" s="23"/>
      <c r="I28" s="23"/>
      <c r="J28" s="23"/>
      <c r="K28" s="24"/>
      <c r="L28" s="24"/>
      <c r="M28" s="24"/>
      <c r="N28" s="24"/>
      <c r="O28" s="24"/>
      <c r="P28" s="25"/>
      <c r="Q28" s="24"/>
      <c r="R28" s="24"/>
      <c r="S28" s="26"/>
      <c r="T28" s="25"/>
      <c r="U28" s="24"/>
      <c r="V28" s="24"/>
      <c r="W28" s="26"/>
    </row>
    <row r="29" spans="1:23" x14ac:dyDescent="0.2">
      <c r="B29" s="141" t="s">
        <v>363</v>
      </c>
    </row>
    <row r="30" spans="1:23" x14ac:dyDescent="0.2">
      <c r="B30" s="63" t="s">
        <v>255</v>
      </c>
    </row>
    <row r="31" spans="1:23" x14ac:dyDescent="0.2">
      <c r="B31" s="141" t="s">
        <v>364</v>
      </c>
    </row>
    <row r="32" spans="1:23" x14ac:dyDescent="0.2">
      <c r="B32" s="141" t="s">
        <v>365</v>
      </c>
    </row>
    <row r="33" spans="2:2" x14ac:dyDescent="0.2">
      <c r="B33" s="141" t="s">
        <v>366</v>
      </c>
    </row>
    <row r="34" spans="2:2" x14ac:dyDescent="0.2">
      <c r="B34" s="141" t="s">
        <v>306</v>
      </c>
    </row>
    <row r="35" spans="2:2" x14ac:dyDescent="0.2">
      <c r="B35" s="141" t="s">
        <v>367</v>
      </c>
    </row>
    <row r="36" spans="2:2" x14ac:dyDescent="0.2">
      <c r="B36" s="141" t="s">
        <v>368</v>
      </c>
    </row>
    <row r="37" spans="2:2" x14ac:dyDescent="0.2">
      <c r="B37" s="141" t="s">
        <v>369</v>
      </c>
    </row>
    <row r="38" spans="2:2" x14ac:dyDescent="0.2">
      <c r="B38" s="141" t="s">
        <v>370</v>
      </c>
    </row>
    <row r="39" spans="2:2" x14ac:dyDescent="0.2">
      <c r="B39" s="141" t="s">
        <v>372</v>
      </c>
    </row>
    <row r="40" spans="2:2" x14ac:dyDescent="0.2">
      <c r="B40" s="141" t="s">
        <v>373</v>
      </c>
    </row>
    <row r="41" spans="2:2" x14ac:dyDescent="0.2">
      <c r="B41" s="141" t="s">
        <v>374</v>
      </c>
    </row>
    <row r="42" spans="2:2" x14ac:dyDescent="0.2">
      <c r="B42" s="141" t="s">
        <v>375</v>
      </c>
    </row>
    <row r="43" spans="2:2" x14ac:dyDescent="0.2">
      <c r="B43" s="141" t="s">
        <v>376</v>
      </c>
    </row>
    <row r="44" spans="2:2" x14ac:dyDescent="0.2">
      <c r="B44" s="141" t="s">
        <v>377</v>
      </c>
    </row>
    <row r="45" spans="2:2" x14ac:dyDescent="0.2">
      <c r="B45" s="141" t="s">
        <v>378</v>
      </c>
    </row>
    <row r="46" spans="2:2" x14ac:dyDescent="0.2">
      <c r="B46" s="141" t="s">
        <v>379</v>
      </c>
    </row>
    <row r="47" spans="2:2" x14ac:dyDescent="0.2">
      <c r="B47" s="141" t="s">
        <v>380</v>
      </c>
    </row>
    <row r="48" spans="2:2" x14ac:dyDescent="0.2">
      <c r="B48" s="141" t="s">
        <v>381</v>
      </c>
    </row>
    <row r="49" spans="2:2" x14ac:dyDescent="0.2">
      <c r="B49" s="141" t="s">
        <v>382</v>
      </c>
    </row>
    <row r="50" spans="2:2" x14ac:dyDescent="0.2">
      <c r="B50" s="141" t="s">
        <v>383</v>
      </c>
    </row>
    <row r="51" spans="2:2" x14ac:dyDescent="0.2">
      <c r="B51" s="141" t="s">
        <v>384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  <hyperlink ref="B7" r:id="rId3" xr:uid="{FD70E649-2E6A-4E67-ACA2-AB99C8053558}"/>
    <hyperlink ref="B8" r:id="rId4" xr:uid="{E0C00157-A29D-4089-A301-263D6806A443}"/>
  </hyperlinks>
  <pageMargins left="0.7" right="0.7" top="0.75" bottom="0.75" header="0.3" footer="0.3"/>
  <pageSetup orientation="portrait" horizontalDpi="1200" verticalDpi="1200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18"/>
  <sheetViews>
    <sheetView zoomScale="205" zoomScaleNormal="205" workbookViewId="0">
      <selection activeCell="C7" sqref="C7:J7"/>
    </sheetView>
  </sheetViews>
  <sheetFormatPr defaultRowHeight="12.75" x14ac:dyDescent="0.2"/>
  <cols>
    <col min="1" max="1" width="5" style="113" bestFit="1" customWidth="1"/>
    <col min="2" max="2" width="15" style="113" customWidth="1"/>
    <col min="3" max="16384" width="9.140625" style="113"/>
  </cols>
  <sheetData>
    <row r="1" spans="1:24" x14ac:dyDescent="0.2">
      <c r="A1" s="5" t="s">
        <v>148</v>
      </c>
    </row>
    <row r="2" spans="1:24" x14ac:dyDescent="0.2">
      <c r="A2" s="5"/>
      <c r="E2" s="114">
        <f>SUM(E3:E48)</f>
        <v>229232.87038208998</v>
      </c>
    </row>
    <row r="3" spans="1:24" s="20" customFormat="1" x14ac:dyDescent="0.2">
      <c r="A3" s="89" t="s">
        <v>263</v>
      </c>
      <c r="B3" s="5" t="s">
        <v>189</v>
      </c>
      <c r="C3" s="20" t="s">
        <v>190</v>
      </c>
      <c r="D3" s="21">
        <v>375.71</v>
      </c>
      <c r="E3" s="22">
        <f>+D3*H3</f>
        <v>57472.452251789997</v>
      </c>
      <c r="F3" s="22">
        <f>+[21]Main!$N$5-[21]Main!$N$6</f>
        <v>1696.7459999999999</v>
      </c>
      <c r="G3" s="22">
        <f>E3-F3</f>
        <v>55775.706251789998</v>
      </c>
      <c r="H3" s="22">
        <f>+[21]Main!$N$3</f>
        <v>152.970249</v>
      </c>
      <c r="I3" s="44" t="s">
        <v>14</v>
      </c>
      <c r="J3" s="43">
        <v>44783</v>
      </c>
      <c r="K3" s="24"/>
      <c r="L3" s="24"/>
      <c r="M3" s="24"/>
      <c r="N3" s="24"/>
      <c r="O3" s="24"/>
      <c r="P3" s="25"/>
      <c r="Q3" s="24"/>
      <c r="R3" s="24"/>
      <c r="S3" s="26"/>
      <c r="T3" s="25"/>
      <c r="U3" s="24"/>
      <c r="V3" s="24"/>
      <c r="W3" s="26"/>
    </row>
    <row r="4" spans="1:24" s="20" customFormat="1" x14ac:dyDescent="0.2">
      <c r="A4" s="89" t="s">
        <v>263</v>
      </c>
      <c r="B4" s="5" t="s">
        <v>185</v>
      </c>
      <c r="C4" s="20" t="s">
        <v>186</v>
      </c>
      <c r="D4" s="21">
        <v>39.74</v>
      </c>
      <c r="E4" s="22">
        <f>+D4*[22]Main!$L$3*EUR</f>
        <v>53089.738980000009</v>
      </c>
      <c r="F4" s="22">
        <f>+([22]Main!$L$5-[22]Main!$L$6)*EUR</f>
        <v>-490.25400000000008</v>
      </c>
      <c r="G4" s="22">
        <f>E4-F4</f>
        <v>53579.99298000001</v>
      </c>
      <c r="H4" s="22"/>
      <c r="I4" s="23" t="s">
        <v>210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s="20" customFormat="1" x14ac:dyDescent="0.2">
      <c r="A5" s="89" t="s">
        <v>263</v>
      </c>
      <c r="B5" s="5" t="s">
        <v>48</v>
      </c>
      <c r="C5" s="20" t="s">
        <v>49</v>
      </c>
      <c r="D5" s="21">
        <v>186</v>
      </c>
      <c r="E5" s="22">
        <f>+D5*H5</f>
        <v>51584.495999999999</v>
      </c>
      <c r="F5" s="22">
        <f>+[23]Main!$K$5-[23]Main!$K$6</f>
        <v>741.35200000000009</v>
      </c>
      <c r="G5" s="22">
        <f>E5-F5</f>
        <v>50843.144</v>
      </c>
      <c r="H5" s="22">
        <f>+[23]Main!$K$3</f>
        <v>277.33600000000001</v>
      </c>
      <c r="I5" s="39" t="s">
        <v>231</v>
      </c>
      <c r="J5" s="39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</row>
    <row r="6" spans="1:24" s="20" customFormat="1" x14ac:dyDescent="0.2">
      <c r="A6" s="92" t="s">
        <v>263</v>
      </c>
      <c r="B6" s="5" t="s">
        <v>46</v>
      </c>
      <c r="C6" s="20" t="s">
        <v>47</v>
      </c>
      <c r="D6" s="21">
        <v>203.73</v>
      </c>
      <c r="E6" s="22">
        <f>+D6*H6</f>
        <v>44264.86632465</v>
      </c>
      <c r="F6" s="22">
        <f>+[24]Main!$L$5-[24]Main!$L$6</f>
        <v>-1005</v>
      </c>
      <c r="G6" s="22">
        <f>E6-F6</f>
        <v>45269.86632465</v>
      </c>
      <c r="H6" s="22">
        <f>+[24]Main!$L$3</f>
        <v>217.27220500000001</v>
      </c>
      <c r="I6" s="38" t="s">
        <v>14</v>
      </c>
      <c r="J6" s="38"/>
      <c r="K6" s="24"/>
      <c r="L6" s="24"/>
      <c r="M6" s="24"/>
      <c r="N6" s="24"/>
      <c r="O6" s="24"/>
      <c r="P6" s="25"/>
      <c r="Q6" s="24"/>
      <c r="R6" s="24"/>
      <c r="S6" s="26"/>
      <c r="T6" s="25"/>
      <c r="U6" s="24"/>
      <c r="V6" s="24"/>
      <c r="W6" s="26"/>
      <c r="X6" s="20">
        <v>1982</v>
      </c>
    </row>
    <row r="7" spans="1:24" s="20" customFormat="1" x14ac:dyDescent="0.2">
      <c r="B7" s="5" t="s">
        <v>62</v>
      </c>
      <c r="C7" s="20" t="s">
        <v>63</v>
      </c>
      <c r="D7" s="21">
        <v>236.61</v>
      </c>
      <c r="E7" s="22">
        <f>+D7*H7</f>
        <v>20601.316825649999</v>
      </c>
      <c r="F7" s="22">
        <f>+[25]Main!$M$5-[25]Main!$M$6</f>
        <v>-235.76700000000005</v>
      </c>
      <c r="G7" s="22">
        <f>E7-F7</f>
        <v>20837.083825649999</v>
      </c>
      <c r="H7" s="22">
        <f>+[25]Main!$M$3</f>
        <v>87.068664999999996</v>
      </c>
      <c r="I7" s="55" t="s">
        <v>210</v>
      </c>
      <c r="J7" s="43">
        <v>44795</v>
      </c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</row>
    <row r="8" spans="1:24" s="20" customFormat="1" x14ac:dyDescent="0.2">
      <c r="B8" s="40" t="s">
        <v>232</v>
      </c>
      <c r="C8" s="40" t="s">
        <v>233</v>
      </c>
      <c r="D8" s="41">
        <v>31.44</v>
      </c>
      <c r="E8" s="22">
        <v>2220</v>
      </c>
      <c r="F8" s="23"/>
      <c r="G8" s="23"/>
      <c r="H8" s="23"/>
      <c r="I8" s="23"/>
      <c r="J8" s="23"/>
      <c r="K8" s="24"/>
      <c r="L8" s="24"/>
      <c r="M8" s="24"/>
      <c r="N8" s="24"/>
      <c r="O8" s="24"/>
      <c r="P8" s="25"/>
      <c r="Q8" s="24"/>
      <c r="R8" s="24"/>
      <c r="S8" s="26"/>
      <c r="T8" s="25"/>
      <c r="U8" s="24"/>
      <c r="V8" s="24"/>
      <c r="W8" s="26"/>
    </row>
    <row r="9" spans="1:24" x14ac:dyDescent="0.2">
      <c r="B9" s="113" t="s">
        <v>326</v>
      </c>
      <c r="C9" s="143" t="s">
        <v>385</v>
      </c>
    </row>
    <row r="10" spans="1:24" x14ac:dyDescent="0.2">
      <c r="B10" s="113" t="s">
        <v>327</v>
      </c>
    </row>
    <row r="17" spans="2:2" x14ac:dyDescent="0.2">
      <c r="B17" s="95" t="s">
        <v>258</v>
      </c>
    </row>
    <row r="18" spans="2:2" x14ac:dyDescent="0.2">
      <c r="B18" s="143" t="s">
        <v>386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</hyperlinks>
  <pageMargins left="0.7" right="0.7" top="0.75" bottom="0.75" header="0.3" footer="0.3"/>
  <pageSetup orientation="portrait" horizontalDpi="1200" verticalDpi="1200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X26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13" sqref="A13"/>
    </sheetView>
  </sheetViews>
  <sheetFormatPr defaultRowHeight="12.75" x14ac:dyDescent="0.2"/>
  <cols>
    <col min="1" max="1" width="5" style="10" bestFit="1" customWidth="1"/>
    <col min="2" max="2" width="13.7109375" style="10" customWidth="1"/>
    <col min="3" max="9" width="9.140625" style="10"/>
    <col min="10" max="10" width="10.28515625" style="10" customWidth="1"/>
    <col min="11" max="16384" width="9.140625" style="10"/>
  </cols>
  <sheetData>
    <row r="1" spans="1:24" x14ac:dyDescent="0.2">
      <c r="A1" s="5" t="s">
        <v>148</v>
      </c>
    </row>
    <row r="2" spans="1:24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223</v>
      </c>
      <c r="I2" s="17" t="s">
        <v>6</v>
      </c>
      <c r="J2" s="42" t="s">
        <v>234</v>
      </c>
      <c r="K2" s="18" t="s">
        <v>218</v>
      </c>
      <c r="L2" s="18" t="s">
        <v>222</v>
      </c>
      <c r="M2" s="18" t="s">
        <v>219</v>
      </c>
      <c r="N2" s="18" t="s">
        <v>220</v>
      </c>
      <c r="O2" s="19" t="s">
        <v>221</v>
      </c>
      <c r="P2" s="48" t="s">
        <v>239</v>
      </c>
      <c r="Q2" s="50" t="s">
        <v>240</v>
      </c>
      <c r="R2" s="50" t="s">
        <v>241</v>
      </c>
      <c r="S2" s="19">
        <v>2025</v>
      </c>
      <c r="T2" s="48" t="s">
        <v>238</v>
      </c>
      <c r="U2" s="18">
        <v>2023</v>
      </c>
      <c r="V2" s="18">
        <v>2024</v>
      </c>
      <c r="W2" s="19">
        <v>2025</v>
      </c>
      <c r="X2" s="51" t="s">
        <v>224</v>
      </c>
    </row>
    <row r="3" spans="1:24" x14ac:dyDescent="0.2">
      <c r="A3" s="72" t="s">
        <v>263</v>
      </c>
      <c r="B3" s="5" t="s">
        <v>7</v>
      </c>
      <c r="C3" s="20" t="s">
        <v>8</v>
      </c>
      <c r="D3" s="21">
        <v>252</v>
      </c>
      <c r="E3" s="22">
        <f>D3*[1]Main!$L$3</f>
        <v>1898568</v>
      </c>
      <c r="F3" s="22">
        <f>[1]Main!$L$5-[1]Main!$L$6</f>
        <v>65479</v>
      </c>
      <c r="G3" s="22">
        <f>+E3-F3</f>
        <v>1833089</v>
      </c>
      <c r="H3" s="22">
        <f>+[1]Main!$L$3</f>
        <v>7534</v>
      </c>
      <c r="I3" s="23" t="s">
        <v>14</v>
      </c>
    </row>
    <row r="4" spans="1:24" x14ac:dyDescent="0.2">
      <c r="A4" s="72" t="s">
        <v>263</v>
      </c>
      <c r="B4" s="5" t="s">
        <v>15</v>
      </c>
      <c r="C4" s="20" t="s">
        <v>16</v>
      </c>
      <c r="D4" s="21">
        <v>391.4</v>
      </c>
      <c r="E4" s="22">
        <f>+D4*[19]Main!$L$3*1000/HKD</f>
        <v>482256.9746999924</v>
      </c>
      <c r="F4" s="22">
        <f>([19]Main!$L$5-[19]Main!$L$6)/HKD*1000</f>
        <v>81912.914978725574</v>
      </c>
      <c r="G4" s="22">
        <f>+E4-F4</f>
        <v>400344.05972126685</v>
      </c>
      <c r="H4" s="22"/>
      <c r="I4" s="23" t="s">
        <v>14</v>
      </c>
    </row>
    <row r="5" spans="1:24" s="20" customFormat="1" x14ac:dyDescent="0.2">
      <c r="A5" s="82" t="s">
        <v>263</v>
      </c>
      <c r="B5" s="5" t="s">
        <v>19</v>
      </c>
      <c r="C5" s="20" t="s">
        <v>20</v>
      </c>
      <c r="D5" s="21">
        <v>309.18</v>
      </c>
      <c r="E5" s="22">
        <f>+D5*[26]Main!$N$3</f>
        <v>146087.55000000002</v>
      </c>
      <c r="F5" s="22">
        <f>+[26]Main!$N$5-[26]Main!$N$6</f>
        <v>1173</v>
      </c>
      <c r="G5" s="22">
        <f t="shared" ref="G5" si="0">+E5-F5</f>
        <v>144914.55000000002</v>
      </c>
      <c r="H5" s="22">
        <f>+[26]Main!$N$3</f>
        <v>472.5</v>
      </c>
      <c r="I5" s="23" t="s">
        <v>210</v>
      </c>
      <c r="J5" s="43">
        <v>44823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4" s="20" customFormat="1" x14ac:dyDescent="0.2">
      <c r="A6" s="82" t="s">
        <v>263</v>
      </c>
      <c r="B6" s="82" t="s">
        <v>269</v>
      </c>
      <c r="C6" s="82" t="s">
        <v>270</v>
      </c>
      <c r="D6" s="21"/>
      <c r="E6" s="22"/>
      <c r="F6" s="22"/>
      <c r="G6" s="22"/>
      <c r="H6" s="22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4" s="20" customFormat="1" x14ac:dyDescent="0.2">
      <c r="A7" s="85" t="s">
        <v>263</v>
      </c>
      <c r="B7" s="85" t="s">
        <v>273</v>
      </c>
      <c r="C7" s="85" t="s">
        <v>274</v>
      </c>
      <c r="D7" s="21"/>
      <c r="E7" s="22"/>
      <c r="F7" s="22"/>
      <c r="G7" s="22"/>
      <c r="H7" s="22"/>
      <c r="I7" s="23"/>
      <c r="J7" s="23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4" x14ac:dyDescent="0.2">
      <c r="A8" s="87" t="s">
        <v>263</v>
      </c>
      <c r="B8" s="5" t="s">
        <v>177</v>
      </c>
      <c r="C8" s="10" t="s">
        <v>178</v>
      </c>
      <c r="D8" s="10">
        <v>73.88</v>
      </c>
      <c r="E8" s="52">
        <f>+D8*H8</f>
        <v>57820.358567719995</v>
      </c>
      <c r="F8" s="52">
        <f>+[27]Main!$J$5-[27]Main!$J$6</f>
        <v>7078</v>
      </c>
      <c r="G8" s="22">
        <f t="shared" ref="G8" si="1">+E8-F8</f>
        <v>50742.358567719995</v>
      </c>
      <c r="H8" s="52">
        <f>+[27]Main!$J$3</f>
        <v>782.62531899999999</v>
      </c>
      <c r="I8" s="147" t="s">
        <v>362</v>
      </c>
      <c r="J8" s="67">
        <v>44946</v>
      </c>
    </row>
    <row r="9" spans="1:24" x14ac:dyDescent="0.2">
      <c r="A9" s="87" t="s">
        <v>263</v>
      </c>
      <c r="B9" s="10" t="s">
        <v>179</v>
      </c>
      <c r="C9" s="46" t="s">
        <v>242</v>
      </c>
      <c r="D9" s="52">
        <v>59910</v>
      </c>
      <c r="E9" s="52" cm="1">
        <f t="array" ref="E9">6975000/JPY</f>
        <v>50938.435697071494</v>
      </c>
    </row>
    <row r="10" spans="1:24" x14ac:dyDescent="0.2">
      <c r="A10" s="88" t="s">
        <v>263</v>
      </c>
      <c r="B10" s="88" t="s">
        <v>277</v>
      </c>
      <c r="C10" s="88" t="s">
        <v>278</v>
      </c>
      <c r="D10" s="52"/>
      <c r="E10" s="52"/>
    </row>
    <row r="11" spans="1:24" x14ac:dyDescent="0.2">
      <c r="A11" s="98" t="s">
        <v>263</v>
      </c>
      <c r="B11" s="98" t="s">
        <v>295</v>
      </c>
      <c r="C11" s="98" t="s">
        <v>296</v>
      </c>
      <c r="D11" s="52"/>
      <c r="E11" s="52"/>
    </row>
    <row r="12" spans="1:24" x14ac:dyDescent="0.2">
      <c r="A12" s="98" t="s">
        <v>263</v>
      </c>
      <c r="B12" s="5" t="s">
        <v>173</v>
      </c>
      <c r="C12" s="10" t="s">
        <v>174</v>
      </c>
      <c r="D12" s="10">
        <v>130.47999999999999</v>
      </c>
      <c r="E12" s="52">
        <f>+D12*H12</f>
        <v>36664.879999999997</v>
      </c>
      <c r="F12" s="52">
        <f>+[28]Main!$N$5-[28]Main!$N$6</f>
        <v>538</v>
      </c>
      <c r="G12" s="52">
        <f>+E12-F12</f>
        <v>36126.879999999997</v>
      </c>
      <c r="H12" s="10">
        <f>+[28]Main!$N$3</f>
        <v>281</v>
      </c>
      <c r="I12" s="66" t="s">
        <v>210</v>
      </c>
      <c r="J12" s="67">
        <v>44799</v>
      </c>
      <c r="X12" s="10">
        <v>1982</v>
      </c>
    </row>
    <row r="13" spans="1:24" s="1" customFormat="1" x14ac:dyDescent="0.2">
      <c r="A13" s="1" t="s">
        <v>263</v>
      </c>
      <c r="B13" s="5" t="s">
        <v>77</v>
      </c>
      <c r="C13" s="1" t="s">
        <v>78</v>
      </c>
      <c r="D13" s="2">
        <v>27.7</v>
      </c>
      <c r="E13" s="3">
        <f>+D13*[29]Main!$K$3</f>
        <v>16302.031699999998</v>
      </c>
      <c r="F13" s="3">
        <f>+[29]Main!$K$5-[29]Main!$K$6</f>
        <v>2144.9299999999998</v>
      </c>
      <c r="G13" s="3">
        <f>+E13-F13</f>
        <v>14157.101699999997</v>
      </c>
      <c r="H13" s="4"/>
      <c r="I13" s="4" t="s">
        <v>14</v>
      </c>
    </row>
    <row r="14" spans="1:24" s="1" customFormat="1" x14ac:dyDescent="0.2">
      <c r="A14" s="1" t="s">
        <v>263</v>
      </c>
      <c r="B14" s="138" t="s">
        <v>343</v>
      </c>
      <c r="C14" s="1" t="s">
        <v>344</v>
      </c>
      <c r="D14" s="2"/>
      <c r="E14" s="3"/>
      <c r="F14" s="3"/>
      <c r="G14" s="3"/>
      <c r="H14" s="4"/>
      <c r="I14" s="4"/>
    </row>
    <row r="15" spans="1:24" x14ac:dyDescent="0.2">
      <c r="B15" s="10" t="s">
        <v>175</v>
      </c>
      <c r="C15" s="10" t="s">
        <v>176</v>
      </c>
      <c r="D15" s="10">
        <v>127.74</v>
      </c>
      <c r="E15" s="52">
        <v>21290</v>
      </c>
    </row>
    <row r="16" spans="1:24" s="1" customFormat="1" x14ac:dyDescent="0.2">
      <c r="B16" s="1" t="s">
        <v>88</v>
      </c>
      <c r="C16" s="1" t="s">
        <v>89</v>
      </c>
      <c r="D16" s="2">
        <v>45.8</v>
      </c>
      <c r="E16" s="3">
        <v>14330</v>
      </c>
      <c r="F16" s="4"/>
      <c r="G16" s="4"/>
      <c r="H16" s="4"/>
    </row>
    <row r="17" spans="2:23" s="1" customFormat="1" x14ac:dyDescent="0.2">
      <c r="B17" s="1" t="s">
        <v>261</v>
      </c>
      <c r="C17" s="1" t="s">
        <v>262</v>
      </c>
      <c r="D17" s="2"/>
      <c r="E17" s="3"/>
      <c r="F17" s="4"/>
      <c r="G17" s="4"/>
      <c r="H17" s="4"/>
    </row>
    <row r="18" spans="2:23" s="20" customFormat="1" x14ac:dyDescent="0.2">
      <c r="B18" s="115" t="s">
        <v>75</v>
      </c>
      <c r="C18" s="20" t="s">
        <v>76</v>
      </c>
      <c r="D18" s="21">
        <v>102.23</v>
      </c>
      <c r="E18" s="22">
        <f>+D18*[30]Main!$K$3</f>
        <v>20147.20788088</v>
      </c>
      <c r="F18" s="22">
        <f>+[30]Main!$K$5-[30]Main!$K$6</f>
        <v>3155</v>
      </c>
      <c r="G18" s="22">
        <f>E18-F18</f>
        <v>16992.20788088</v>
      </c>
      <c r="H18" s="22"/>
      <c r="I18" s="23" t="s">
        <v>14</v>
      </c>
      <c r="J18" s="23"/>
      <c r="K18" s="24"/>
      <c r="L18" s="24"/>
      <c r="M18" s="24"/>
      <c r="N18" s="24"/>
      <c r="O18" s="26"/>
      <c r="P18" s="25"/>
      <c r="Q18" s="24"/>
      <c r="R18" s="24"/>
      <c r="S18" s="26"/>
      <c r="T18" s="25"/>
      <c r="U18" s="24"/>
      <c r="V18" s="24"/>
      <c r="W18" s="26"/>
    </row>
    <row r="19" spans="2:23" s="20" customFormat="1" x14ac:dyDescent="0.2">
      <c r="B19" s="65" t="s">
        <v>260</v>
      </c>
      <c r="D19" s="21"/>
      <c r="E19" s="22"/>
      <c r="F19" s="23"/>
      <c r="G19" s="23"/>
      <c r="H19" s="23"/>
      <c r="I19" s="23"/>
      <c r="J19" s="23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2:23" s="20" customFormat="1" x14ac:dyDescent="0.2">
      <c r="D20" s="21"/>
      <c r="E20" s="22"/>
      <c r="F20" s="23"/>
      <c r="G20" s="23"/>
      <c r="H20" s="23"/>
      <c r="I20" s="23"/>
      <c r="J20" s="23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2:23" s="20" customFormat="1" x14ac:dyDescent="0.2">
      <c r="D21" s="21"/>
      <c r="E21" s="22"/>
      <c r="F21" s="23"/>
      <c r="G21" s="23"/>
      <c r="H21" s="23"/>
      <c r="I21" s="23"/>
      <c r="J21" s="23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2:23" s="20" customFormat="1" x14ac:dyDescent="0.2">
      <c r="D22" s="21"/>
      <c r="E22" s="22"/>
      <c r="F22" s="23"/>
      <c r="G22" s="23"/>
      <c r="H22" s="23"/>
      <c r="I22" s="23"/>
      <c r="J22" s="23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2:23" x14ac:dyDescent="0.2">
      <c r="B23" s="1" t="s">
        <v>54</v>
      </c>
      <c r="C23" s="1"/>
      <c r="D23" s="2"/>
      <c r="E23" s="3">
        <v>31500</v>
      </c>
    </row>
    <row r="24" spans="2:23" s="20" customFormat="1" x14ac:dyDescent="0.2">
      <c r="B24" s="20" t="s">
        <v>58</v>
      </c>
      <c r="D24" s="21"/>
      <c r="E24" s="22">
        <v>27000</v>
      </c>
      <c r="F24" s="23"/>
      <c r="G24" s="23"/>
      <c r="H24" s="23"/>
      <c r="I24" s="23"/>
      <c r="J24" s="23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2:23" s="20" customFormat="1" x14ac:dyDescent="0.2">
      <c r="B25" s="20" t="s">
        <v>112</v>
      </c>
      <c r="D25" s="21"/>
      <c r="E25" s="22">
        <v>10000</v>
      </c>
      <c r="F25" s="23"/>
      <c r="G25" s="23"/>
      <c r="H25" s="23"/>
      <c r="I25" s="23"/>
      <c r="J25" s="23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2:23" x14ac:dyDescent="0.2">
      <c r="B26" s="63" t="s">
        <v>259</v>
      </c>
    </row>
  </sheetData>
  <hyperlinks>
    <hyperlink ref="A1" location="Main!A1" display="Main" xr:uid="{B2E999A0-B9C6-426F-B868-4B47C66D3C76}"/>
    <hyperlink ref="B13" r:id="rId1" xr:uid="{4D4AAA00-BFE8-4498-9D01-136889AF20D4}"/>
    <hyperlink ref="B3" r:id="rId2" xr:uid="{3976EBF1-944B-4446-8A82-A83B8F045357}"/>
    <hyperlink ref="B4" r:id="rId3" xr:uid="{F038AE55-03C6-4C11-AB9A-E55BDED9EAEB}"/>
    <hyperlink ref="B12" r:id="rId4" xr:uid="{7C332E55-E10B-4AF1-A314-5F96A0E9060B}"/>
    <hyperlink ref="B5" r:id="rId5" xr:uid="{D15C9016-D909-4B61-8E61-89DF546A9452}"/>
    <hyperlink ref="B18" r:id="rId6" xr:uid="{B43B07AD-918B-4E3C-B6FF-2D0A1726D08C}"/>
    <hyperlink ref="B8" r:id="rId7" xr:uid="{54D233D9-C949-4228-9F3B-6F4618FC7C4C}"/>
  </hyperlinks>
  <pageMargins left="0.7" right="0.7" top="0.75" bottom="0.75" header="0.3" footer="0.3"/>
  <pageSetup orientation="portrait" r:id="rId8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X33"/>
  <sheetViews>
    <sheetView zoomScale="205" zoomScaleNormal="20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1" max="1" width="5" style="10" bestFit="1" customWidth="1"/>
    <col min="2" max="2" width="18.28515625" style="10" customWidth="1"/>
    <col min="3" max="3" width="10.5703125" style="10" bestFit="1" customWidth="1"/>
    <col min="4" max="9" width="9.140625" style="68"/>
    <col min="10" max="16384" width="9.140625" style="10"/>
  </cols>
  <sheetData>
    <row r="1" spans="1:24" x14ac:dyDescent="0.2">
      <c r="A1" s="5" t="s">
        <v>148</v>
      </c>
    </row>
    <row r="2" spans="1:24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223</v>
      </c>
      <c r="I2" s="17" t="s">
        <v>6</v>
      </c>
      <c r="J2" s="42" t="s">
        <v>234</v>
      </c>
      <c r="K2" s="18" t="s">
        <v>218</v>
      </c>
      <c r="L2" s="18" t="s">
        <v>222</v>
      </c>
      <c r="M2" s="18" t="s">
        <v>219</v>
      </c>
      <c r="N2" s="18" t="s">
        <v>220</v>
      </c>
      <c r="O2" s="19" t="s">
        <v>221</v>
      </c>
      <c r="P2" s="48" t="s">
        <v>239</v>
      </c>
      <c r="Q2" s="50" t="s">
        <v>240</v>
      </c>
      <c r="R2" s="50" t="s">
        <v>241</v>
      </c>
      <c r="S2" s="19">
        <v>2025</v>
      </c>
      <c r="T2" s="48" t="s">
        <v>238</v>
      </c>
      <c r="U2" s="18">
        <v>2023</v>
      </c>
      <c r="V2" s="18">
        <v>2024</v>
      </c>
      <c r="W2" s="19">
        <v>2025</v>
      </c>
      <c r="X2" s="51" t="s">
        <v>224</v>
      </c>
    </row>
    <row r="3" spans="1:24" s="52" customFormat="1" x14ac:dyDescent="0.2">
      <c r="A3" s="71" t="s">
        <v>263</v>
      </c>
      <c r="B3" s="52" t="s">
        <v>168</v>
      </c>
      <c r="C3" s="52" t="s">
        <v>169</v>
      </c>
      <c r="D3" s="69">
        <v>206.8</v>
      </c>
      <c r="E3" s="70">
        <v>427830</v>
      </c>
      <c r="F3" s="70"/>
      <c r="G3" s="70"/>
      <c r="H3" s="70"/>
      <c r="I3" s="70"/>
    </row>
    <row r="4" spans="1:24" s="52" customFormat="1" x14ac:dyDescent="0.2">
      <c r="A4" s="71" t="s">
        <v>263</v>
      </c>
      <c r="B4" s="52" t="s">
        <v>170</v>
      </c>
      <c r="C4" s="112" t="s">
        <v>325</v>
      </c>
      <c r="D4" s="69">
        <v>340.89</v>
      </c>
      <c r="E4" s="70">
        <v>329430</v>
      </c>
      <c r="F4" s="70"/>
      <c r="G4" s="70"/>
      <c r="H4" s="70"/>
      <c r="I4" s="70"/>
    </row>
    <row r="5" spans="1:24" s="52" customFormat="1" x14ac:dyDescent="0.2">
      <c r="A5" s="83" t="s">
        <v>263</v>
      </c>
      <c r="B5" s="83" t="s">
        <v>267</v>
      </c>
      <c r="C5" s="83" t="s">
        <v>268</v>
      </c>
      <c r="D5" s="69"/>
      <c r="E5" s="70"/>
      <c r="F5" s="70"/>
      <c r="G5" s="70"/>
      <c r="H5" s="70"/>
      <c r="I5" s="70"/>
    </row>
    <row r="6" spans="1:24" s="52" customFormat="1" x14ac:dyDescent="0.2">
      <c r="A6" s="84" t="s">
        <v>263</v>
      </c>
      <c r="B6" s="84" t="s">
        <v>271</v>
      </c>
      <c r="C6" s="84" t="s">
        <v>272</v>
      </c>
      <c r="D6" s="69"/>
      <c r="E6" s="70"/>
      <c r="F6" s="70"/>
      <c r="G6" s="70"/>
      <c r="H6" s="70"/>
      <c r="I6" s="70"/>
    </row>
    <row r="7" spans="1:24" s="20" customFormat="1" x14ac:dyDescent="0.2">
      <c r="A7" s="82" t="s">
        <v>263</v>
      </c>
      <c r="B7" s="115" t="s">
        <v>26</v>
      </c>
      <c r="C7" s="20" t="s">
        <v>27</v>
      </c>
      <c r="D7" s="21">
        <v>413.72</v>
      </c>
      <c r="E7" s="22">
        <f>+D7*H7</f>
        <v>116615.20633988002</v>
      </c>
      <c r="F7" s="22">
        <f>[31]Main!$L$5-[31]Main!$L$6</f>
        <v>-2851</v>
      </c>
      <c r="G7" s="22">
        <f>E7-F7</f>
        <v>119466.20633988002</v>
      </c>
      <c r="H7" s="22">
        <f>+[31]Main!$L$3</f>
        <v>281.86987900000003</v>
      </c>
      <c r="I7" s="133" t="s">
        <v>210</v>
      </c>
      <c r="J7" s="43">
        <v>44830</v>
      </c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1984</v>
      </c>
    </row>
    <row r="8" spans="1:24" s="52" customFormat="1" x14ac:dyDescent="0.2">
      <c r="A8" s="84" t="s">
        <v>263</v>
      </c>
      <c r="B8" s="57" t="s">
        <v>31</v>
      </c>
      <c r="C8" s="57" t="s">
        <v>32</v>
      </c>
      <c r="D8" s="60">
        <v>87.2</v>
      </c>
      <c r="E8" s="3">
        <v>100981</v>
      </c>
      <c r="F8" s="70"/>
      <c r="G8" s="70"/>
      <c r="H8" s="70"/>
      <c r="I8" s="70"/>
    </row>
    <row r="9" spans="1:24" x14ac:dyDescent="0.2">
      <c r="A9" s="87" t="s">
        <v>263</v>
      </c>
      <c r="B9" s="87" t="s">
        <v>275</v>
      </c>
      <c r="C9" s="87" t="s">
        <v>276</v>
      </c>
    </row>
    <row r="10" spans="1:24" x14ac:dyDescent="0.2">
      <c r="A10" s="88" t="s">
        <v>263</v>
      </c>
      <c r="B10" s="88" t="s">
        <v>279</v>
      </c>
      <c r="C10" s="88" t="s">
        <v>280</v>
      </c>
    </row>
    <row r="11" spans="1:24" s="52" customFormat="1" x14ac:dyDescent="0.2">
      <c r="A11" s="91" t="s">
        <v>263</v>
      </c>
      <c r="B11" s="59" t="s">
        <v>253</v>
      </c>
      <c r="C11" s="52" t="s">
        <v>167</v>
      </c>
      <c r="D11" s="69">
        <v>70.94</v>
      </c>
      <c r="E11" s="70">
        <v>41870</v>
      </c>
      <c r="F11" s="70"/>
      <c r="G11" s="70"/>
      <c r="H11" s="70"/>
      <c r="I11" s="70"/>
    </row>
    <row r="12" spans="1:24" s="52" customFormat="1" x14ac:dyDescent="0.2">
      <c r="A12" s="91" t="s">
        <v>263</v>
      </c>
      <c r="B12" s="91" t="s">
        <v>281</v>
      </c>
      <c r="C12" s="91" t="s">
        <v>282</v>
      </c>
      <c r="D12" s="69"/>
      <c r="E12" s="70"/>
      <c r="F12" s="70"/>
      <c r="G12" s="70"/>
      <c r="H12" s="70"/>
      <c r="I12" s="70"/>
    </row>
    <row r="13" spans="1:24" s="52" customFormat="1" x14ac:dyDescent="0.2">
      <c r="A13" s="93" t="s">
        <v>263</v>
      </c>
      <c r="B13" s="93" t="s">
        <v>283</v>
      </c>
      <c r="C13" s="93" t="s">
        <v>284</v>
      </c>
      <c r="D13" s="69"/>
      <c r="E13" s="70"/>
      <c r="F13" s="70"/>
      <c r="G13" s="70"/>
      <c r="H13" s="70"/>
      <c r="I13" s="70"/>
    </row>
    <row r="14" spans="1:24" s="52" customFormat="1" x14ac:dyDescent="0.2">
      <c r="A14" s="99" t="s">
        <v>263</v>
      </c>
      <c r="B14" s="99" t="s">
        <v>299</v>
      </c>
      <c r="C14" s="99" t="s">
        <v>299</v>
      </c>
      <c r="D14" s="69"/>
      <c r="E14" s="70"/>
      <c r="F14" s="70"/>
      <c r="G14" s="70"/>
      <c r="H14" s="70"/>
      <c r="I14" s="70"/>
    </row>
    <row r="15" spans="1:24" s="52" customFormat="1" x14ac:dyDescent="0.2">
      <c r="A15" s="99" t="s">
        <v>263</v>
      </c>
      <c r="B15" s="99" t="s">
        <v>300</v>
      </c>
      <c r="C15" s="99" t="s">
        <v>301</v>
      </c>
      <c r="D15" s="69"/>
      <c r="E15" s="70"/>
      <c r="F15" s="70"/>
      <c r="G15" s="70"/>
      <c r="H15" s="70"/>
      <c r="I15" s="70"/>
    </row>
    <row r="16" spans="1:24" s="52" customFormat="1" x14ac:dyDescent="0.2">
      <c r="A16" s="104" t="s">
        <v>263</v>
      </c>
      <c r="B16" s="104" t="s">
        <v>304</v>
      </c>
      <c r="C16" s="104" t="s">
        <v>305</v>
      </c>
      <c r="D16" s="69"/>
      <c r="E16" s="70"/>
      <c r="F16" s="70"/>
      <c r="G16" s="70"/>
      <c r="H16" s="70"/>
      <c r="I16" s="70"/>
    </row>
    <row r="17" spans="1:23" s="52" customFormat="1" x14ac:dyDescent="0.2">
      <c r="A17" s="106" t="s">
        <v>263</v>
      </c>
      <c r="B17" s="106" t="s">
        <v>307</v>
      </c>
      <c r="C17" s="106" t="s">
        <v>308</v>
      </c>
      <c r="D17" s="69"/>
      <c r="E17" s="70"/>
      <c r="F17" s="70"/>
      <c r="G17" s="70"/>
      <c r="H17" s="70"/>
      <c r="I17" s="70"/>
    </row>
    <row r="18" spans="1:23" s="52" customFormat="1" x14ac:dyDescent="0.2">
      <c r="A18" s="109" t="s">
        <v>263</v>
      </c>
      <c r="B18" s="109" t="s">
        <v>317</v>
      </c>
      <c r="C18" s="109" t="s">
        <v>318</v>
      </c>
      <c r="D18" s="69"/>
      <c r="E18" s="70"/>
      <c r="F18" s="70"/>
      <c r="G18" s="70"/>
      <c r="H18" s="70"/>
      <c r="I18" s="70"/>
    </row>
    <row r="19" spans="1:23" s="52" customFormat="1" x14ac:dyDescent="0.2">
      <c r="B19" s="57" t="s">
        <v>71</v>
      </c>
      <c r="C19" s="57" t="s">
        <v>72</v>
      </c>
      <c r="D19" s="60">
        <v>68.930000000000007</v>
      </c>
      <c r="E19" s="3">
        <v>18053</v>
      </c>
      <c r="F19" s="70"/>
      <c r="G19" s="70"/>
      <c r="H19" s="70"/>
      <c r="I19" s="70"/>
    </row>
    <row r="20" spans="1:23" s="52" customFormat="1" x14ac:dyDescent="0.2">
      <c r="B20" s="52" t="s">
        <v>83</v>
      </c>
      <c r="C20" s="52" t="s">
        <v>84</v>
      </c>
      <c r="D20" s="69">
        <v>58.75</v>
      </c>
      <c r="E20" s="70">
        <v>14980</v>
      </c>
      <c r="F20" s="70"/>
      <c r="G20" s="70"/>
      <c r="H20" s="70"/>
      <c r="I20" s="70"/>
    </row>
    <row r="21" spans="1:23" s="52" customFormat="1" x14ac:dyDescent="0.2">
      <c r="B21" s="57" t="s">
        <v>106</v>
      </c>
      <c r="C21" s="57" t="s">
        <v>107</v>
      </c>
      <c r="D21" s="60">
        <v>184.44</v>
      </c>
      <c r="E21" s="3">
        <v>10400</v>
      </c>
      <c r="F21" s="70"/>
      <c r="G21" s="70"/>
      <c r="H21" s="70"/>
      <c r="I21" s="70"/>
    </row>
    <row r="22" spans="1:23" s="20" customFormat="1" x14ac:dyDescent="0.2">
      <c r="A22" s="108" t="s">
        <v>263</v>
      </c>
      <c r="B22" s="118" t="s">
        <v>311</v>
      </c>
      <c r="C22" s="108" t="s">
        <v>312</v>
      </c>
      <c r="D22" s="21">
        <v>175.2</v>
      </c>
      <c r="E22" s="22">
        <v>27500</v>
      </c>
      <c r="F22" s="22"/>
      <c r="G22" s="22"/>
      <c r="H22" s="22"/>
      <c r="I22" s="23"/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</row>
    <row r="27" spans="1:23" s="52" customFormat="1" x14ac:dyDescent="0.2">
      <c r="B27" s="58" t="s">
        <v>33</v>
      </c>
      <c r="C27" s="58" t="s">
        <v>156</v>
      </c>
      <c r="D27" s="61">
        <v>0</v>
      </c>
      <c r="E27" s="9">
        <v>100000</v>
      </c>
      <c r="F27" s="70"/>
      <c r="G27" s="70"/>
      <c r="H27" s="70"/>
      <c r="I27" s="70"/>
    </row>
    <row r="28" spans="1:23" x14ac:dyDescent="0.2">
      <c r="B28" s="57" t="s">
        <v>59</v>
      </c>
      <c r="C28" s="57"/>
      <c r="D28" s="61">
        <v>0</v>
      </c>
      <c r="E28" s="3">
        <v>26000</v>
      </c>
    </row>
    <row r="29" spans="1:23" x14ac:dyDescent="0.2">
      <c r="B29" s="57" t="s">
        <v>87</v>
      </c>
      <c r="C29" s="57"/>
      <c r="D29" s="61">
        <v>0</v>
      </c>
      <c r="E29" s="3">
        <v>15000</v>
      </c>
    </row>
    <row r="30" spans="1:23" x14ac:dyDescent="0.2">
      <c r="B30" s="56" t="s">
        <v>252</v>
      </c>
      <c r="D30" s="61">
        <v>0</v>
      </c>
      <c r="E30" s="68">
        <v>75</v>
      </c>
    </row>
    <row r="31" spans="1:23" x14ac:dyDescent="0.2">
      <c r="B31" s="62" t="s">
        <v>254</v>
      </c>
      <c r="D31" s="61">
        <v>0</v>
      </c>
    </row>
    <row r="32" spans="1:23" x14ac:dyDescent="0.2">
      <c r="B32" s="94" t="s">
        <v>285</v>
      </c>
      <c r="E32" s="68">
        <v>424</v>
      </c>
    </row>
    <row r="33" spans="2:5" x14ac:dyDescent="0.2">
      <c r="B33" s="94" t="s">
        <v>287</v>
      </c>
      <c r="E33" s="68">
        <v>159.5</v>
      </c>
    </row>
  </sheetData>
  <hyperlinks>
    <hyperlink ref="A1" location="Main!A1" display="Main" xr:uid="{A1A6C7BE-B827-4E66-8B30-A4C4FF1A4224}"/>
    <hyperlink ref="B7" r:id="rId1" xr:uid="{B2FAC7EC-CB56-42A3-96CC-14E909698321}"/>
  </hyperlinks>
  <pageMargins left="0.7" right="0.7" top="0.75" bottom="0.75" header="0.3" footer="0.3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31"/>
  <sheetViews>
    <sheetView tabSelected="1"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K3" sqref="K3"/>
    </sheetView>
  </sheetViews>
  <sheetFormatPr defaultRowHeight="12.75" x14ac:dyDescent="0.2"/>
  <cols>
    <col min="1" max="1" width="5" style="10" bestFit="1" customWidth="1"/>
    <col min="2" max="2" width="11.85546875" style="10" customWidth="1"/>
    <col min="3" max="16384" width="9.140625" style="10"/>
  </cols>
  <sheetData>
    <row r="1" spans="1:24" x14ac:dyDescent="0.2">
      <c r="A1" s="5" t="s">
        <v>148</v>
      </c>
    </row>
    <row r="2" spans="1:24" s="72" customFormat="1" x14ac:dyDescent="0.2">
      <c r="B2" s="73" t="s">
        <v>0</v>
      </c>
      <c r="C2" s="74" t="s">
        <v>1</v>
      </c>
      <c r="D2" s="75" t="s">
        <v>2</v>
      </c>
      <c r="E2" s="76" t="s">
        <v>3</v>
      </c>
      <c r="F2" s="77" t="s">
        <v>4</v>
      </c>
      <c r="G2" s="77" t="s">
        <v>5</v>
      </c>
      <c r="H2" s="77" t="s">
        <v>223</v>
      </c>
      <c r="I2" s="77" t="s">
        <v>6</v>
      </c>
      <c r="J2" s="77" t="s">
        <v>234</v>
      </c>
      <c r="K2" s="78" t="s">
        <v>218</v>
      </c>
      <c r="L2" s="78" t="s">
        <v>222</v>
      </c>
      <c r="M2" s="78" t="s">
        <v>219</v>
      </c>
      <c r="N2" s="78" t="s">
        <v>220</v>
      </c>
      <c r="O2" s="79" t="s">
        <v>221</v>
      </c>
      <c r="P2" s="80" t="s">
        <v>239</v>
      </c>
      <c r="Q2" s="81" t="s">
        <v>240</v>
      </c>
      <c r="R2" s="81" t="s">
        <v>241</v>
      </c>
      <c r="S2" s="79">
        <v>2025</v>
      </c>
      <c r="T2" s="80" t="s">
        <v>238</v>
      </c>
      <c r="U2" s="78">
        <v>2023</v>
      </c>
      <c r="V2" s="78">
        <v>2024</v>
      </c>
      <c r="W2" s="79">
        <v>2025</v>
      </c>
      <c r="X2" s="72" t="s">
        <v>224</v>
      </c>
    </row>
    <row r="3" spans="1:24" x14ac:dyDescent="0.2">
      <c r="A3" s="72" t="s">
        <v>263</v>
      </c>
      <c r="B3" s="5" t="s">
        <v>11</v>
      </c>
      <c r="C3" s="1" t="s">
        <v>12</v>
      </c>
      <c r="D3" s="2">
        <v>98.24</v>
      </c>
      <c r="E3" s="3">
        <f>+D3*H3</f>
        <v>1014917.44</v>
      </c>
      <c r="F3" s="3">
        <f>[6]Main!$K$5-[6]Main!$K$6</f>
        <v>-257</v>
      </c>
      <c r="G3" s="3">
        <f>+E3-F3</f>
        <v>1015174.44</v>
      </c>
      <c r="H3" s="52">
        <f>+[6]Main!$K$3</f>
        <v>10331</v>
      </c>
      <c r="I3" s="4" t="s">
        <v>14</v>
      </c>
      <c r="J3" s="67">
        <v>44967</v>
      </c>
    </row>
    <row r="4" spans="1:24" s="20" customFormat="1" x14ac:dyDescent="0.2">
      <c r="A4" s="72" t="s">
        <v>263</v>
      </c>
      <c r="B4" s="5" t="s">
        <v>17</v>
      </c>
      <c r="C4" s="20" t="s">
        <v>18</v>
      </c>
      <c r="D4" s="21">
        <v>115.9</v>
      </c>
      <c r="E4" s="22">
        <f>D4*[32]Main!$L$3</f>
        <v>310046.98749999999</v>
      </c>
      <c r="F4" s="22" cm="1">
        <f t="array" ref="F4">([32]Main!$L$5-[32]Main!$L$6)/RMB</f>
        <v>119719.43620178041</v>
      </c>
      <c r="G4" s="22">
        <f>+E4-F4</f>
        <v>190327.55129821959</v>
      </c>
      <c r="H4" s="22"/>
      <c r="I4" s="23" t="s">
        <v>14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x14ac:dyDescent="0.2">
      <c r="A5" s="72" t="s">
        <v>263</v>
      </c>
      <c r="B5" s="5" t="s">
        <v>17</v>
      </c>
      <c r="C5" s="1" t="s">
        <v>18</v>
      </c>
      <c r="D5" s="2">
        <v>115.9</v>
      </c>
      <c r="E5" s="3">
        <f>D5*[32]Main!$L$3</f>
        <v>310046.98749999999</v>
      </c>
      <c r="F5" s="3" cm="1">
        <f t="array" ref="F5">([32]Main!$L$5-[32]Main!$L$6)/RMB</f>
        <v>119719.43620178041</v>
      </c>
      <c r="G5" s="3">
        <f>+E5-F5</f>
        <v>190327.55129821959</v>
      </c>
      <c r="I5" s="4" t="s">
        <v>14</v>
      </c>
    </row>
    <row r="6" spans="1:24" x14ac:dyDescent="0.2">
      <c r="A6" s="82" t="s">
        <v>263</v>
      </c>
      <c r="B6" s="1" t="s">
        <v>28</v>
      </c>
      <c r="C6" s="1" t="s">
        <v>28</v>
      </c>
      <c r="D6" s="2">
        <v>65.180000000000007</v>
      </c>
      <c r="E6" s="3">
        <v>101795</v>
      </c>
    </row>
    <row r="7" spans="1:24" x14ac:dyDescent="0.2">
      <c r="A7" s="82" t="s">
        <v>263</v>
      </c>
      <c r="B7" s="82" t="s">
        <v>264</v>
      </c>
      <c r="C7" s="82" t="s">
        <v>265</v>
      </c>
    </row>
    <row r="8" spans="1:24" x14ac:dyDescent="0.2">
      <c r="A8" s="86" t="s">
        <v>263</v>
      </c>
      <c r="B8" s="11" t="s">
        <v>208</v>
      </c>
      <c r="C8" s="11" t="s">
        <v>209</v>
      </c>
    </row>
    <row r="9" spans="1:24" x14ac:dyDescent="0.2">
      <c r="A9" s="86" t="s">
        <v>263</v>
      </c>
      <c r="B9" s="11" t="s">
        <v>206</v>
      </c>
      <c r="C9" s="11" t="s">
        <v>207</v>
      </c>
    </row>
    <row r="10" spans="1:24" x14ac:dyDescent="0.2">
      <c r="A10" s="98" t="s">
        <v>263</v>
      </c>
      <c r="B10" s="98" t="s">
        <v>295</v>
      </c>
      <c r="C10" s="98" t="s">
        <v>296</v>
      </c>
    </row>
    <row r="11" spans="1:24" x14ac:dyDescent="0.2">
      <c r="A11" s="96" t="s">
        <v>263</v>
      </c>
      <c r="B11" s="10" t="s">
        <v>42</v>
      </c>
      <c r="C11" s="10" t="s">
        <v>43</v>
      </c>
    </row>
    <row r="12" spans="1:24" s="20" customFormat="1" x14ac:dyDescent="0.2">
      <c r="A12" s="98" t="s">
        <v>263</v>
      </c>
      <c r="B12" s="5" t="s">
        <v>36</v>
      </c>
      <c r="C12" s="20" t="s">
        <v>37</v>
      </c>
      <c r="D12" s="21">
        <v>36.71</v>
      </c>
      <c r="E12" s="22">
        <f>+D12*[33]Main!$M$3</f>
        <v>46254.6</v>
      </c>
      <c r="F12" s="22">
        <f>+[33]Main!$M$5-[33]Main!$M$6</f>
        <v>6335.1410000000005</v>
      </c>
      <c r="G12" s="22">
        <f t="shared" ref="G12" si="0">E12-F12</f>
        <v>39919.458999999995</v>
      </c>
      <c r="H12" s="22"/>
      <c r="I12" s="23" t="s">
        <v>14</v>
      </c>
      <c r="J12" s="23"/>
      <c r="K12" s="24"/>
      <c r="L12" s="24"/>
      <c r="M12" s="24"/>
      <c r="N12" s="24"/>
      <c r="O12" s="24"/>
      <c r="P12" s="25"/>
      <c r="Q12" s="24"/>
      <c r="R12" s="24"/>
      <c r="S12" s="26"/>
      <c r="T12" s="25"/>
      <c r="U12" s="24"/>
      <c r="V12" s="24"/>
      <c r="W12" s="26"/>
    </row>
    <row r="13" spans="1:24" s="20" customFormat="1" x14ac:dyDescent="0.2">
      <c r="A13" s="98" t="s">
        <v>263</v>
      </c>
      <c r="B13" s="98" t="s">
        <v>297</v>
      </c>
      <c r="C13" s="98" t="s">
        <v>298</v>
      </c>
      <c r="D13" s="21"/>
      <c r="E13" s="22"/>
      <c r="F13" s="22"/>
      <c r="G13" s="22"/>
      <c r="H13" s="22"/>
      <c r="I13" s="23"/>
      <c r="J13" s="23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spans="1:24" x14ac:dyDescent="0.2">
      <c r="A14" s="87" t="s">
        <v>263</v>
      </c>
      <c r="B14" s="10" t="s">
        <v>34</v>
      </c>
      <c r="C14" s="10" t="s">
        <v>35</v>
      </c>
    </row>
    <row r="15" spans="1:24" x14ac:dyDescent="0.2">
      <c r="A15" s="108" t="s">
        <v>263</v>
      </c>
      <c r="B15" s="1" t="s">
        <v>60</v>
      </c>
      <c r="C15" s="1" t="s">
        <v>61</v>
      </c>
      <c r="D15" s="2">
        <v>71.66</v>
      </c>
      <c r="E15" s="3">
        <v>25171</v>
      </c>
    </row>
    <row r="16" spans="1:24" x14ac:dyDescent="0.2">
      <c r="A16" s="108" t="s">
        <v>263</v>
      </c>
      <c r="B16" s="108" t="s">
        <v>313</v>
      </c>
      <c r="C16" s="108" t="s">
        <v>314</v>
      </c>
    </row>
    <row r="17" spans="1:23" x14ac:dyDescent="0.2">
      <c r="A17" s="108" t="s">
        <v>263</v>
      </c>
      <c r="B17" s="108" t="s">
        <v>315</v>
      </c>
      <c r="C17" s="108" t="s">
        <v>316</v>
      </c>
    </row>
    <row r="18" spans="1:23" x14ac:dyDescent="0.2">
      <c r="A18" s="110" t="s">
        <v>263</v>
      </c>
      <c r="B18" s="110" t="s">
        <v>319</v>
      </c>
      <c r="C18" s="110" t="s">
        <v>320</v>
      </c>
    </row>
    <row r="19" spans="1:23" x14ac:dyDescent="0.2">
      <c r="A19" s="111" t="s">
        <v>263</v>
      </c>
      <c r="B19" s="111" t="s">
        <v>321</v>
      </c>
      <c r="C19" s="111" t="s">
        <v>322</v>
      </c>
    </row>
    <row r="20" spans="1:23" x14ac:dyDescent="0.2">
      <c r="A20" s="136" t="s">
        <v>263</v>
      </c>
      <c r="B20" s="10" t="s">
        <v>163</v>
      </c>
      <c r="C20" s="10" t="s">
        <v>164</v>
      </c>
    </row>
    <row r="21" spans="1:23" x14ac:dyDescent="0.2">
      <c r="B21" s="1" t="s">
        <v>98</v>
      </c>
      <c r="C21" s="1" t="s">
        <v>99</v>
      </c>
      <c r="D21" s="2">
        <v>2.5099999999999998</v>
      </c>
      <c r="E21" s="3">
        <v>12580</v>
      </c>
    </row>
    <row r="22" spans="1:23" x14ac:dyDescent="0.2">
      <c r="B22" s="10" t="s">
        <v>165</v>
      </c>
      <c r="C22" s="10" t="s">
        <v>166</v>
      </c>
    </row>
    <row r="23" spans="1:23" s="20" customFormat="1" x14ac:dyDescent="0.2">
      <c r="B23" s="20" t="s">
        <v>137</v>
      </c>
      <c r="C23" s="20" t="s">
        <v>138</v>
      </c>
      <c r="D23" s="21">
        <v>17.63</v>
      </c>
      <c r="E23" s="22">
        <v>6480</v>
      </c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5"/>
      <c r="Q23" s="24"/>
      <c r="R23" s="24"/>
      <c r="S23" s="26"/>
      <c r="T23" s="25"/>
      <c r="U23" s="24"/>
      <c r="V23" s="24"/>
      <c r="W23" s="26"/>
    </row>
    <row r="24" spans="1:23" x14ac:dyDescent="0.2">
      <c r="B24" s="5" t="s">
        <v>390</v>
      </c>
      <c r="C24" s="149" t="s">
        <v>391</v>
      </c>
      <c r="D24" s="10">
        <v>8.86</v>
      </c>
      <c r="E24" s="52">
        <f>+D24*H24</f>
        <v>963.51364147999993</v>
      </c>
      <c r="F24" s="52">
        <f>+[34]Main!$K$5-[34]Main!$K$6</f>
        <v>-1163.2909999999999</v>
      </c>
      <c r="G24" s="52">
        <f>+E24-F24</f>
        <v>2126.8046414800001</v>
      </c>
      <c r="H24" s="52">
        <f>+[34]Main!$K$3</f>
        <v>108.748718</v>
      </c>
      <c r="I24" s="153" t="s">
        <v>362</v>
      </c>
      <c r="J24" s="67">
        <v>44965</v>
      </c>
    </row>
    <row r="25" spans="1:23" x14ac:dyDescent="0.2">
      <c r="B25" s="152" t="s">
        <v>392</v>
      </c>
    </row>
    <row r="29" spans="1:23" x14ac:dyDescent="0.2">
      <c r="B29" s="1" t="s">
        <v>121</v>
      </c>
      <c r="C29" s="1"/>
      <c r="D29" s="2"/>
      <c r="E29" s="3">
        <v>8333</v>
      </c>
    </row>
    <row r="30" spans="1:23" x14ac:dyDescent="0.2">
      <c r="B30" s="20" t="s">
        <v>64</v>
      </c>
      <c r="C30" s="20"/>
      <c r="D30" s="21"/>
      <c r="E30" s="22">
        <v>22000</v>
      </c>
    </row>
    <row r="31" spans="1:23" x14ac:dyDescent="0.2">
      <c r="B31" s="20" t="s">
        <v>55</v>
      </c>
      <c r="C31" s="20"/>
      <c r="D31" s="21"/>
      <c r="E31" s="22">
        <v>30000</v>
      </c>
    </row>
  </sheetData>
  <hyperlinks>
    <hyperlink ref="A1" location="Main!A1" display="Main" xr:uid="{5E6A4119-6CB3-4DE8-85D8-71624588AB5F}"/>
    <hyperlink ref="B5" r:id="rId1" xr:uid="{1DBE1AD0-E144-4B11-A369-C38208461D50}"/>
    <hyperlink ref="B3" r:id="rId2" xr:uid="{9E979F32-3FB9-4155-8C38-6368365757C8}"/>
    <hyperlink ref="B12" r:id="rId3" xr:uid="{7B3BF246-9F57-4E65-999A-345E6DC43A15}"/>
    <hyperlink ref="B4" r:id="rId4" xr:uid="{EBAD1208-6B7E-4686-85C8-90DFDB7B9D36}"/>
    <hyperlink ref="B24" r:id="rId5" xr:uid="{E112D5EE-DF74-4C8E-8A8A-40FA1E1DA6A2}"/>
  </hyperlinks>
  <pageMargins left="0.7" right="0.7" top="0.75" bottom="0.75" header="0.3" footer="0.3"/>
  <pageSetup orientation="portrait" r:id="rId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H8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1" max="1" width="5" style="10" bestFit="1" customWidth="1"/>
    <col min="2" max="2" width="17" style="10" bestFit="1" customWidth="1"/>
    <col min="3" max="16384" width="9.140625" style="10"/>
  </cols>
  <sheetData>
    <row r="1" spans="1:8" x14ac:dyDescent="0.2">
      <c r="A1" s="10" t="s">
        <v>148</v>
      </c>
    </row>
    <row r="2" spans="1:8" x14ac:dyDescent="0.2">
      <c r="B2" s="10" t="s">
        <v>0</v>
      </c>
      <c r="C2" s="10" t="s">
        <v>1</v>
      </c>
      <c r="D2" s="10" t="s">
        <v>2</v>
      </c>
      <c r="E2" s="10" t="s">
        <v>3</v>
      </c>
    </row>
    <row r="3" spans="1:8" x14ac:dyDescent="0.2">
      <c r="A3" s="89" t="s">
        <v>263</v>
      </c>
      <c r="B3" s="10" t="s">
        <v>157</v>
      </c>
      <c r="C3" s="10" t="s">
        <v>158</v>
      </c>
    </row>
    <row r="4" spans="1:8" x14ac:dyDescent="0.2">
      <c r="A4" s="90" t="s">
        <v>263</v>
      </c>
      <c r="B4" s="10" t="s">
        <v>162</v>
      </c>
      <c r="C4" s="10" t="s">
        <v>161</v>
      </c>
    </row>
    <row r="5" spans="1:8" x14ac:dyDescent="0.2">
      <c r="A5" s="92" t="s">
        <v>263</v>
      </c>
      <c r="B5" s="10" t="s">
        <v>159</v>
      </c>
      <c r="C5" s="10" t="s">
        <v>160</v>
      </c>
    </row>
    <row r="6" spans="1:8" x14ac:dyDescent="0.2">
      <c r="A6" s="101" t="s">
        <v>263</v>
      </c>
      <c r="B6" s="101" t="s">
        <v>302</v>
      </c>
      <c r="C6" s="101" t="s">
        <v>303</v>
      </c>
    </row>
    <row r="7" spans="1:8" s="1" customFormat="1" x14ac:dyDescent="0.2">
      <c r="B7" s="1" t="s">
        <v>81</v>
      </c>
      <c r="C7" s="1" t="s">
        <v>82</v>
      </c>
      <c r="D7" s="2">
        <v>128.05000000000001</v>
      </c>
      <c r="E7" s="3">
        <v>16470</v>
      </c>
      <c r="F7" s="4"/>
      <c r="G7" s="4"/>
      <c r="H7" s="4"/>
    </row>
    <row r="8" spans="1:8" x14ac:dyDescent="0.2">
      <c r="B8" s="10" t="s">
        <v>199</v>
      </c>
      <c r="C8" s="10" t="s">
        <v>200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workbookViewId="0"/>
  </sheetViews>
  <sheetFormatPr defaultRowHeight="12.75" x14ac:dyDescent="0.2"/>
  <cols>
    <col min="1" max="1" width="5" style="45" bestFit="1" customWidth="1"/>
    <col min="2" max="16384" width="9.140625" style="45"/>
  </cols>
  <sheetData>
    <row r="1" spans="1:3" x14ac:dyDescent="0.2">
      <c r="A1" s="5" t="s">
        <v>148</v>
      </c>
    </row>
    <row r="2" spans="1:3" x14ac:dyDescent="0.2">
      <c r="B2" s="45" t="s">
        <v>152</v>
      </c>
      <c r="C2" s="45">
        <v>7.8498000000000001</v>
      </c>
    </row>
    <row r="3" spans="1:3" x14ac:dyDescent="0.2">
      <c r="B3" s="45" t="s">
        <v>153</v>
      </c>
      <c r="C3" s="45">
        <v>6.74</v>
      </c>
    </row>
    <row r="4" spans="1:3" x14ac:dyDescent="0.2">
      <c r="B4" s="45" t="s">
        <v>217</v>
      </c>
      <c r="C4" s="45">
        <v>1.01</v>
      </c>
    </row>
    <row r="5" spans="1:3" x14ac:dyDescent="0.2">
      <c r="B5" s="45" t="s">
        <v>235</v>
      </c>
      <c r="C5" s="45">
        <v>10.3437</v>
      </c>
    </row>
    <row r="6" spans="1:3" x14ac:dyDescent="0.2">
      <c r="B6" s="46" t="s">
        <v>243</v>
      </c>
      <c r="C6" s="45">
        <v>136.93</v>
      </c>
    </row>
    <row r="7" spans="1:3" x14ac:dyDescent="0.2">
      <c r="B7" s="46" t="s">
        <v>244</v>
      </c>
      <c r="C7" s="45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0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7" sqref="D7"/>
    </sheetView>
  </sheetViews>
  <sheetFormatPr defaultRowHeight="12.75" x14ac:dyDescent="0.2"/>
  <cols>
    <col min="1" max="1" width="5" style="6" bestFit="1" customWidth="1"/>
    <col min="2" max="2" width="19.7109375" style="6" bestFit="1" customWidth="1"/>
    <col min="3" max="3" width="9.140625" style="7"/>
    <col min="4" max="16384" width="9.140625" style="6"/>
  </cols>
  <sheetData>
    <row r="1" spans="1:7" x14ac:dyDescent="0.2">
      <c r="A1" s="5" t="s">
        <v>148</v>
      </c>
    </row>
    <row r="2" spans="1:7" x14ac:dyDescent="0.2">
      <c r="B2" s="6" t="s">
        <v>0</v>
      </c>
      <c r="C2" s="7" t="s">
        <v>151</v>
      </c>
      <c r="D2" s="12" t="s">
        <v>213</v>
      </c>
      <c r="E2" s="46" t="s">
        <v>224</v>
      </c>
      <c r="F2" s="46" t="s">
        <v>246</v>
      </c>
      <c r="G2" s="53" t="s">
        <v>250</v>
      </c>
    </row>
    <row r="3" spans="1:7" x14ac:dyDescent="0.2">
      <c r="B3" s="8" t="s">
        <v>33</v>
      </c>
      <c r="C3" s="7">
        <v>100000</v>
      </c>
      <c r="D3" s="12" t="s">
        <v>214</v>
      </c>
    </row>
    <row r="4" spans="1:7" x14ac:dyDescent="0.2">
      <c r="B4" s="6" t="s">
        <v>87</v>
      </c>
      <c r="C4" s="7">
        <v>15000</v>
      </c>
      <c r="D4" s="12" t="s">
        <v>214</v>
      </c>
    </row>
    <row r="5" spans="1:7" x14ac:dyDescent="0.2">
      <c r="B5" s="6" t="s">
        <v>126</v>
      </c>
      <c r="C5" s="7">
        <v>8000</v>
      </c>
      <c r="D5" s="12" t="s">
        <v>215</v>
      </c>
    </row>
    <row r="6" spans="1:7" x14ac:dyDescent="0.2">
      <c r="B6" s="6" t="s">
        <v>146</v>
      </c>
      <c r="D6" s="12" t="s">
        <v>216</v>
      </c>
    </row>
    <row r="7" spans="1:7" x14ac:dyDescent="0.2">
      <c r="B7" s="6" t="s">
        <v>147</v>
      </c>
      <c r="D7" s="12" t="s">
        <v>216</v>
      </c>
    </row>
    <row r="8" spans="1:7" x14ac:dyDescent="0.2">
      <c r="B8" s="12" t="s">
        <v>211</v>
      </c>
      <c r="D8" s="12" t="s">
        <v>212</v>
      </c>
    </row>
    <row r="9" spans="1:7" x14ac:dyDescent="0.2">
      <c r="B9" s="46" t="s">
        <v>245</v>
      </c>
      <c r="D9" s="46" t="s">
        <v>214</v>
      </c>
      <c r="E9" s="6">
        <v>2021</v>
      </c>
      <c r="F9" s="46" t="s">
        <v>247</v>
      </c>
      <c r="G9" s="53" t="s">
        <v>251</v>
      </c>
    </row>
    <row r="10" spans="1:7" x14ac:dyDescent="0.2">
      <c r="B10" s="53" t="s">
        <v>248</v>
      </c>
      <c r="D10" s="53" t="s">
        <v>249</v>
      </c>
      <c r="E10" s="6">
        <v>2021</v>
      </c>
      <c r="G10" s="53" t="s">
        <v>251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6</vt:i4>
      </vt:variant>
    </vt:vector>
  </HeadingPairs>
  <TitlesOfParts>
    <vt:vector size="19" baseType="lpstr">
      <vt:lpstr>People</vt:lpstr>
      <vt:lpstr>Glossary</vt:lpstr>
      <vt:lpstr>Historical</vt:lpstr>
      <vt:lpstr>Main</vt:lpstr>
      <vt:lpstr>Enterprise-Cloud</vt:lpstr>
      <vt:lpstr>Social-Dating</vt:lpstr>
      <vt:lpstr>Simulation-Technical Design</vt:lpstr>
      <vt:lpstr>Media-Games-Design</vt:lpstr>
      <vt:lpstr>Fintech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2023-02-10T17:50:16Z</dcterms:modified>
  <cp:category/>
  <cp:contentStatus/>
</cp:coreProperties>
</file>