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1C43035C-BF3D-4A01-B033-BF7C7AE6D05E}" xr6:coauthVersionLast="47" xr6:coauthVersionMax="47" xr10:uidLastSave="{00000000-0000-0000-0000-000000000000}"/>
  <bookViews>
    <workbookView xWindow="-51720" yWindow="-120" windowWidth="51840" windowHeight="21120" activeTab="1" xr2:uid="{00000000-000D-0000-FFFF-FFFF00000000}"/>
  </bookViews>
  <sheets>
    <sheet name="Main" sheetId="1" r:id="rId1"/>
    <sheet name="Model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13" i="2" l="1"/>
  <c r="V14" i="2"/>
  <c r="U14" i="2"/>
  <c r="U13" i="2"/>
  <c r="T13" i="2"/>
  <c r="T14" i="2"/>
  <c r="S14" i="2"/>
  <c r="S13" i="2"/>
  <c r="S16" i="2"/>
  <c r="AF13" i="2"/>
  <c r="AF40" i="2"/>
  <c r="AF39" i="2"/>
  <c r="AF5" i="2"/>
  <c r="AF10" i="2"/>
  <c r="R10" i="2"/>
  <c r="G43" i="2"/>
  <c r="F43" i="2"/>
  <c r="E43" i="2"/>
  <c r="D43" i="2"/>
  <c r="C43" i="2"/>
  <c r="G42" i="2"/>
  <c r="F42" i="2"/>
  <c r="E42" i="2"/>
  <c r="D42" i="2"/>
  <c r="C42" i="2"/>
  <c r="K41" i="2"/>
  <c r="J41" i="2"/>
  <c r="I41" i="2"/>
  <c r="H41" i="2"/>
  <c r="G41" i="2"/>
  <c r="L41" i="2"/>
  <c r="L40" i="2"/>
  <c r="K40" i="2"/>
  <c r="J40" i="2"/>
  <c r="I40" i="2"/>
  <c r="H40" i="2"/>
  <c r="G40" i="2"/>
  <c r="L39" i="2"/>
  <c r="K39" i="2"/>
  <c r="J39" i="2"/>
  <c r="I39" i="2"/>
  <c r="H39" i="2"/>
  <c r="G39" i="2"/>
  <c r="G38" i="2"/>
  <c r="K38" i="2"/>
  <c r="J38" i="2"/>
  <c r="I38" i="2"/>
  <c r="H38" i="2"/>
  <c r="AE38" i="2"/>
  <c r="AD38" i="2"/>
  <c r="AC38" i="2"/>
  <c r="AB19" i="2"/>
  <c r="AB18" i="2"/>
  <c r="AB17" i="2"/>
  <c r="AB16" i="2"/>
  <c r="AB15" i="2"/>
  <c r="AB14" i="2"/>
  <c r="AB13" i="2"/>
  <c r="AC19" i="2"/>
  <c r="AC18" i="2"/>
  <c r="AC17" i="2"/>
  <c r="AC16" i="2"/>
  <c r="AC15" i="2"/>
  <c r="AC14" i="2"/>
  <c r="AC13" i="2"/>
  <c r="AE39" i="2"/>
  <c r="AD39" i="2"/>
  <c r="AC39" i="2"/>
  <c r="AD40" i="2"/>
  <c r="AC40" i="2"/>
  <c r="AC9" i="2"/>
  <c r="AC8" i="2"/>
  <c r="AC10" i="2" s="1"/>
  <c r="AC5" i="2"/>
  <c r="AC4" i="2"/>
  <c r="AC3" i="2"/>
  <c r="AB9" i="2"/>
  <c r="AB8" i="2"/>
  <c r="AB10" i="2" s="1"/>
  <c r="AB5" i="2"/>
  <c r="AB4" i="2"/>
  <c r="AB3" i="2"/>
  <c r="G33" i="2"/>
  <c r="F33" i="2"/>
  <c r="C33" i="2"/>
  <c r="C36" i="2"/>
  <c r="D36" i="2"/>
  <c r="H36" i="2"/>
  <c r="G36" i="2"/>
  <c r="F36" i="2"/>
  <c r="C34" i="2"/>
  <c r="C35" i="2" s="1"/>
  <c r="G34" i="2"/>
  <c r="G35" i="2" s="1"/>
  <c r="F34" i="2"/>
  <c r="F35" i="2" s="1"/>
  <c r="G32" i="2"/>
  <c r="F32" i="2"/>
  <c r="C32" i="2"/>
  <c r="G31" i="2"/>
  <c r="F31" i="2"/>
  <c r="C31" i="2"/>
  <c r="H30" i="2"/>
  <c r="H29" i="2"/>
  <c r="G29" i="2"/>
  <c r="G30" i="2" s="1"/>
  <c r="F29" i="2"/>
  <c r="F30" i="2" s="1"/>
  <c r="C29" i="2"/>
  <c r="C30" i="2" s="1"/>
  <c r="G26" i="2"/>
  <c r="F26" i="2"/>
  <c r="C26" i="2"/>
  <c r="G23" i="2"/>
  <c r="F23" i="2"/>
  <c r="C23" i="2"/>
  <c r="G21" i="2"/>
  <c r="F21" i="2"/>
  <c r="C21" i="2"/>
  <c r="G19" i="2"/>
  <c r="F19" i="2"/>
  <c r="C19" i="2"/>
  <c r="F16" i="2"/>
  <c r="G16" i="2"/>
  <c r="C16" i="2"/>
  <c r="M40" i="2"/>
  <c r="M39" i="2"/>
  <c r="Q39" i="2"/>
  <c r="P39" i="2"/>
  <c r="O39" i="2"/>
  <c r="N39" i="2"/>
  <c r="AD4" i="2"/>
  <c r="AD3" i="2"/>
  <c r="AD5" i="2" s="1"/>
  <c r="AE40" i="2"/>
  <c r="AE16" i="2"/>
  <c r="AD16" i="2"/>
  <c r="AD17" i="2"/>
  <c r="AD19" i="2" s="1"/>
  <c r="AE19" i="2"/>
  <c r="AD9" i="2"/>
  <c r="AD8" i="2"/>
  <c r="AD10" i="2" s="1"/>
  <c r="AE9" i="2"/>
  <c r="AE8" i="2"/>
  <c r="AE10" i="2" s="1"/>
  <c r="AE5" i="2"/>
  <c r="AE4" i="2"/>
  <c r="AE3" i="2"/>
  <c r="R38" i="2"/>
  <c r="N40" i="2"/>
  <c r="O40" i="2"/>
  <c r="P40" i="2"/>
  <c r="Q40" i="2"/>
  <c r="R40" i="2"/>
  <c r="R5" i="2"/>
  <c r="R39" i="2" s="1"/>
  <c r="D33" i="2"/>
  <c r="D31" i="2"/>
  <c r="D29" i="2"/>
  <c r="D21" i="2"/>
  <c r="D16" i="2"/>
  <c r="D23" i="2" s="1"/>
  <c r="D26" i="2" s="1"/>
  <c r="H33" i="2"/>
  <c r="H31" i="2"/>
  <c r="H21" i="2"/>
  <c r="H42" i="2" s="1"/>
  <c r="H16" i="2"/>
  <c r="H23" i="2" s="1"/>
  <c r="H26" i="2" s="1"/>
  <c r="E33" i="2"/>
  <c r="E31" i="2"/>
  <c r="E29" i="2"/>
  <c r="E21" i="2"/>
  <c r="E16" i="2"/>
  <c r="E23" i="2" s="1"/>
  <c r="E26" i="2" s="1"/>
  <c r="I42" i="2"/>
  <c r="I33" i="2"/>
  <c r="I31" i="2"/>
  <c r="I29" i="2"/>
  <c r="I21" i="2"/>
  <c r="I16" i="2"/>
  <c r="I19" i="2" s="1"/>
  <c r="AD18" i="2"/>
  <c r="AD15" i="2"/>
  <c r="AD14" i="2"/>
  <c r="U25" i="2"/>
  <c r="T25" i="2"/>
  <c r="S25" i="2"/>
  <c r="R25" i="2"/>
  <c r="V25" i="2" s="1"/>
  <c r="AF25" i="2" s="1"/>
  <c r="U24" i="2"/>
  <c r="T24" i="2"/>
  <c r="S24" i="2"/>
  <c r="R24" i="2"/>
  <c r="AE24" i="2" s="1"/>
  <c r="U22" i="2"/>
  <c r="T22" i="2"/>
  <c r="S22" i="2"/>
  <c r="R22" i="2"/>
  <c r="V22" i="2" s="1"/>
  <c r="AF22" i="2" s="1"/>
  <c r="U20" i="2"/>
  <c r="T20" i="2"/>
  <c r="S20" i="2"/>
  <c r="U18" i="2"/>
  <c r="T18" i="2"/>
  <c r="S18" i="2"/>
  <c r="R18" i="2"/>
  <c r="V18" i="2" s="1"/>
  <c r="U17" i="2"/>
  <c r="T17" i="2"/>
  <c r="S17" i="2"/>
  <c r="R17" i="2"/>
  <c r="V17" i="2" s="1"/>
  <c r="U15" i="2"/>
  <c r="T15" i="2"/>
  <c r="S15" i="2"/>
  <c r="R15" i="2"/>
  <c r="V15" i="2" s="1"/>
  <c r="AF15" i="2" s="1"/>
  <c r="R14" i="2"/>
  <c r="AE25" i="2"/>
  <c r="AE18" i="2"/>
  <c r="AF36" i="2"/>
  <c r="AF31" i="2"/>
  <c r="AD12" i="2"/>
  <c r="AE12" i="2" s="1"/>
  <c r="AF12" i="2" s="1"/>
  <c r="AG12" i="2" s="1"/>
  <c r="AH12" i="2" s="1"/>
  <c r="AI12" i="2" s="1"/>
  <c r="AJ12" i="2" s="1"/>
  <c r="AK12" i="2" s="1"/>
  <c r="U28" i="2"/>
  <c r="T28" i="2"/>
  <c r="S28" i="2"/>
  <c r="R28" i="2"/>
  <c r="V28" i="2" s="1"/>
  <c r="U27" i="2"/>
  <c r="U29" i="2" s="1"/>
  <c r="T27" i="2"/>
  <c r="T29" i="2" s="1"/>
  <c r="S27" i="2"/>
  <c r="S29" i="2" s="1"/>
  <c r="R27" i="2"/>
  <c r="R29" i="2" s="1"/>
  <c r="O41" i="2"/>
  <c r="R36" i="2"/>
  <c r="S36" i="2" s="1"/>
  <c r="T36" i="2" s="1"/>
  <c r="U36" i="2" s="1"/>
  <c r="V36" i="2" s="1"/>
  <c r="Q5" i="2"/>
  <c r="Q6" i="2" s="1"/>
  <c r="Q10" i="2"/>
  <c r="Q81" i="2"/>
  <c r="Q78" i="2"/>
  <c r="Q70" i="2"/>
  <c r="Q61" i="2"/>
  <c r="Q57" i="2"/>
  <c r="Q53" i="2"/>
  <c r="Q52" i="2"/>
  <c r="Q51" i="2"/>
  <c r="Q50" i="2"/>
  <c r="Q49" i="2"/>
  <c r="Q48" i="2"/>
  <c r="Q47" i="2"/>
  <c r="Q31" i="2"/>
  <c r="Q29" i="2"/>
  <c r="Q21" i="2"/>
  <c r="Q42" i="2" s="1"/>
  <c r="Q16" i="2"/>
  <c r="Q19" i="2" s="1"/>
  <c r="K6" i="1"/>
  <c r="K5" i="1"/>
  <c r="P57" i="2"/>
  <c r="P81" i="2"/>
  <c r="P78" i="2"/>
  <c r="P70" i="2"/>
  <c r="P61" i="2"/>
  <c r="P55" i="2"/>
  <c r="K4" i="1"/>
  <c r="K7" i="1" s="1"/>
  <c r="P33" i="2"/>
  <c r="P31" i="2"/>
  <c r="P29" i="2"/>
  <c r="P21" i="2"/>
  <c r="P42" i="2" s="1"/>
  <c r="P5" i="2"/>
  <c r="P6" i="2" s="1"/>
  <c r="P10" i="2"/>
  <c r="P16" i="2"/>
  <c r="P23" i="2" s="1"/>
  <c r="P26" i="2" s="1"/>
  <c r="N55" i="2"/>
  <c r="N58" i="2" s="1"/>
  <c r="M55" i="2"/>
  <c r="M58" i="2" s="1"/>
  <c r="L55" i="2"/>
  <c r="L58" i="2" s="1"/>
  <c r="K55" i="2"/>
  <c r="K58" i="2" s="1"/>
  <c r="J55" i="2"/>
  <c r="J58" i="2" s="1"/>
  <c r="O81" i="2"/>
  <c r="O78" i="2"/>
  <c r="O61" i="2"/>
  <c r="O72" i="2" s="1"/>
  <c r="N33" i="2"/>
  <c r="N31" i="2"/>
  <c r="M33" i="2"/>
  <c r="M31" i="2"/>
  <c r="L33" i="2"/>
  <c r="J33" i="2"/>
  <c r="L31" i="2"/>
  <c r="J31" i="2"/>
  <c r="J29" i="2"/>
  <c r="N13" i="2"/>
  <c r="N21" i="2" s="1"/>
  <c r="N42" i="2" s="1"/>
  <c r="M13" i="2"/>
  <c r="M16" i="2" s="1"/>
  <c r="L13" i="2"/>
  <c r="L16" i="2" s="1"/>
  <c r="J13" i="2"/>
  <c r="J21" i="2" s="1"/>
  <c r="J42" i="2" s="1"/>
  <c r="O54" i="2"/>
  <c r="O55" i="2" s="1"/>
  <c r="O58" i="2" s="1"/>
  <c r="K33" i="2"/>
  <c r="K31" i="2"/>
  <c r="N29" i="2"/>
  <c r="M29" i="2"/>
  <c r="L29" i="2"/>
  <c r="K29" i="2"/>
  <c r="K21" i="2"/>
  <c r="K42" i="2" s="1"/>
  <c r="K16" i="2"/>
  <c r="K23" i="2" s="1"/>
  <c r="K26" i="2" s="1"/>
  <c r="O33" i="2"/>
  <c r="O31" i="2"/>
  <c r="O29" i="2"/>
  <c r="O21" i="2"/>
  <c r="O42" i="2" s="1"/>
  <c r="O16" i="2"/>
  <c r="O23" i="2" s="1"/>
  <c r="O26" i="2" s="1"/>
  <c r="N5" i="2"/>
  <c r="M5" i="2"/>
  <c r="L5" i="2"/>
  <c r="K5" i="2"/>
  <c r="J5" i="2"/>
  <c r="I5" i="2"/>
  <c r="H5" i="2"/>
  <c r="G5" i="2"/>
  <c r="F5" i="2"/>
  <c r="E5" i="2"/>
  <c r="D5" i="2"/>
  <c r="C5" i="2"/>
  <c r="O5" i="2"/>
  <c r="O6" i="2" s="1"/>
  <c r="N10" i="2"/>
  <c r="M10" i="2"/>
  <c r="L10" i="2"/>
  <c r="K10" i="2"/>
  <c r="J10" i="2"/>
  <c r="I10" i="2"/>
  <c r="H10" i="2"/>
  <c r="G10" i="2"/>
  <c r="F10" i="2"/>
  <c r="E10" i="2"/>
  <c r="D10" i="2"/>
  <c r="C10" i="2"/>
  <c r="O10" i="2"/>
  <c r="S21" i="2" l="1"/>
  <c r="S42" i="2" s="1"/>
  <c r="N41" i="2"/>
  <c r="V24" i="2"/>
  <c r="AF24" i="2" s="1"/>
  <c r="P41" i="2"/>
  <c r="Q41" i="2"/>
  <c r="AD13" i="2"/>
  <c r="T21" i="2"/>
  <c r="T42" i="2" s="1"/>
  <c r="T16" i="2"/>
  <c r="U16" i="2"/>
  <c r="AF18" i="2"/>
  <c r="I23" i="2"/>
  <c r="I26" i="2" s="1"/>
  <c r="I30" i="2" s="1"/>
  <c r="I32" i="2" s="1"/>
  <c r="I34" i="2" s="1"/>
  <c r="I43" i="2"/>
  <c r="S23" i="2"/>
  <c r="S19" i="2"/>
  <c r="S26" i="2" s="1"/>
  <c r="S43" i="2" s="1"/>
  <c r="T23" i="2"/>
  <c r="T19" i="2"/>
  <c r="T26" i="2" s="1"/>
  <c r="T43" i="2" s="1"/>
  <c r="U23" i="2"/>
  <c r="U19" i="2"/>
  <c r="U38" i="2" s="1"/>
  <c r="K43" i="2"/>
  <c r="AF28" i="2"/>
  <c r="AE22" i="2"/>
  <c r="R13" i="2"/>
  <c r="V27" i="2"/>
  <c r="AF27" i="2" s="1"/>
  <c r="S41" i="2"/>
  <c r="J16" i="2"/>
  <c r="J23" i="2" s="1"/>
  <c r="J26" i="2" s="1"/>
  <c r="J30" i="2" s="1"/>
  <c r="J32" i="2" s="1"/>
  <c r="J34" i="2" s="1"/>
  <c r="T41" i="2"/>
  <c r="AF14" i="2"/>
  <c r="U41" i="2"/>
  <c r="U21" i="2"/>
  <c r="U42" i="2" s="1"/>
  <c r="P30" i="2"/>
  <c r="P32" i="2" s="1"/>
  <c r="P34" i="2" s="1"/>
  <c r="AF17" i="2"/>
  <c r="M41" i="2"/>
  <c r="AE17" i="2"/>
  <c r="D30" i="2"/>
  <c r="D32" i="2" s="1"/>
  <c r="D34" i="2" s="1"/>
  <c r="D35" i="2" s="1"/>
  <c r="D19" i="2"/>
  <c r="H32" i="2"/>
  <c r="H34" i="2" s="1"/>
  <c r="H35" i="2" s="1"/>
  <c r="H19" i="2"/>
  <c r="H43" i="2" s="1"/>
  <c r="E30" i="2"/>
  <c r="E32" i="2" s="1"/>
  <c r="E34" i="2" s="1"/>
  <c r="E35" i="2" s="1"/>
  <c r="E19" i="2"/>
  <c r="T30" i="2"/>
  <c r="T32" i="2" s="1"/>
  <c r="T33" i="2" s="1"/>
  <c r="T34" i="2" s="1"/>
  <c r="AE14" i="2"/>
  <c r="AE15" i="2"/>
  <c r="Q72" i="2"/>
  <c r="N59" i="2"/>
  <c r="Q82" i="2"/>
  <c r="P58" i="2"/>
  <c r="Q54" i="2"/>
  <c r="Q55" i="2" s="1"/>
  <c r="Q58" i="2" s="1"/>
  <c r="Q23" i="2"/>
  <c r="P59" i="2"/>
  <c r="P19" i="2"/>
  <c r="P72" i="2"/>
  <c r="M59" i="2"/>
  <c r="O59" i="2"/>
  <c r="P82" i="2"/>
  <c r="L21" i="2"/>
  <c r="L42" i="2" s="1"/>
  <c r="O82" i="2"/>
  <c r="M21" i="2"/>
  <c r="M42" i="2" s="1"/>
  <c r="N16" i="2"/>
  <c r="M19" i="2"/>
  <c r="M23" i="2"/>
  <c r="M26" i="2" s="1"/>
  <c r="L19" i="2"/>
  <c r="L23" i="2"/>
  <c r="L26" i="2" s="1"/>
  <c r="N23" i="2"/>
  <c r="N26" i="2" s="1"/>
  <c r="K19" i="2"/>
  <c r="K30" i="2"/>
  <c r="K32" i="2" s="1"/>
  <c r="K34" i="2" s="1"/>
  <c r="O30" i="2"/>
  <c r="O32" i="2" s="1"/>
  <c r="O34" i="2" s="1"/>
  <c r="O19" i="2"/>
  <c r="S30" i="2" l="1"/>
  <c r="S32" i="2" s="1"/>
  <c r="S33" i="2" s="1"/>
  <c r="S34" i="2" s="1"/>
  <c r="S35" i="2" s="1"/>
  <c r="T38" i="2"/>
  <c r="AF29" i="2"/>
  <c r="AE13" i="2"/>
  <c r="R16" i="2"/>
  <c r="R20" i="2"/>
  <c r="R41" i="2"/>
  <c r="J19" i="2"/>
  <c r="J43" i="2" s="1"/>
  <c r="V29" i="2"/>
  <c r="S38" i="2"/>
  <c r="O43" i="2"/>
  <c r="N30" i="2"/>
  <c r="N32" i="2" s="1"/>
  <c r="N34" i="2" s="1"/>
  <c r="L30" i="2"/>
  <c r="L32" i="2" s="1"/>
  <c r="L34" i="2" s="1"/>
  <c r="L35" i="2" s="1"/>
  <c r="L43" i="2"/>
  <c r="L38" i="2"/>
  <c r="M30" i="2"/>
  <c r="M32" i="2" s="1"/>
  <c r="M34" i="2" s="1"/>
  <c r="M46" i="2" s="1"/>
  <c r="M43" i="2"/>
  <c r="P43" i="2"/>
  <c r="Q38" i="2"/>
  <c r="M38" i="2"/>
  <c r="N19" i="2"/>
  <c r="N38" i="2" s="1"/>
  <c r="I35" i="2"/>
  <c r="I46" i="2"/>
  <c r="R6" i="2"/>
  <c r="T46" i="2"/>
  <c r="T35" i="2"/>
  <c r="S46" i="2"/>
  <c r="Q26" i="2"/>
  <c r="U26" i="2"/>
  <c r="Q59" i="2"/>
  <c r="P38" i="2"/>
  <c r="O38" i="2"/>
  <c r="P46" i="2"/>
  <c r="P35" i="2"/>
  <c r="J35" i="2"/>
  <c r="J46" i="2"/>
  <c r="K35" i="2"/>
  <c r="K46" i="2"/>
  <c r="N35" i="2"/>
  <c r="N46" i="2"/>
  <c r="M35" i="2"/>
  <c r="O46" i="2"/>
  <c r="O35" i="2"/>
  <c r="N43" i="2" l="1"/>
  <c r="V16" i="2"/>
  <c r="V41" i="2"/>
  <c r="V20" i="2"/>
  <c r="AF20" i="2" s="1"/>
  <c r="V21" i="2"/>
  <c r="L46" i="2"/>
  <c r="AE20" i="2"/>
  <c r="R21" i="2"/>
  <c r="AE26" i="2"/>
  <c r="R19" i="2"/>
  <c r="R23" i="2"/>
  <c r="AE23" i="2" s="1"/>
  <c r="U43" i="2"/>
  <c r="U30" i="2"/>
  <c r="U32" i="2" s="1"/>
  <c r="U33" i="2" s="1"/>
  <c r="Q30" i="2"/>
  <c r="Q32" i="2" s="1"/>
  <c r="Q34" i="2" s="1"/>
  <c r="Q43" i="2"/>
  <c r="R26" i="2" l="1"/>
  <c r="AE21" i="2"/>
  <c r="R42" i="2"/>
  <c r="AF21" i="2"/>
  <c r="V42" i="2"/>
  <c r="V19" i="2"/>
  <c r="AF16" i="2"/>
  <c r="AF19" i="2" s="1"/>
  <c r="AF38" i="2" s="1"/>
  <c r="V23" i="2"/>
  <c r="AF23" i="2" s="1"/>
  <c r="U34" i="2"/>
  <c r="Q35" i="2"/>
  <c r="Q46" i="2"/>
  <c r="V26" i="2" l="1"/>
  <c r="V38" i="2"/>
  <c r="R43" i="2"/>
  <c r="R30" i="2"/>
  <c r="R32" i="2" s="1"/>
  <c r="R33" i="2" s="1"/>
  <c r="R34" i="2" s="1"/>
  <c r="U35" i="2"/>
  <c r="U46" i="2"/>
  <c r="R35" i="2" l="1"/>
  <c r="R46" i="2"/>
  <c r="V43" i="2"/>
  <c r="V30" i="2"/>
  <c r="V32" i="2" s="1"/>
  <c r="V33" i="2" s="1"/>
  <c r="AF26" i="2"/>
  <c r="AF30" i="2" s="1"/>
  <c r="AF32" i="2" s="1"/>
  <c r="V34" i="2" l="1"/>
  <c r="AF33" i="2"/>
  <c r="AF34" i="2" s="1"/>
  <c r="AF35" i="2" s="1"/>
  <c r="V46" i="2" l="1"/>
  <c r="V35" i="2"/>
</calcChain>
</file>

<file path=xl/sharedStrings.xml><?xml version="1.0" encoding="utf-8"?>
<sst xmlns="http://schemas.openxmlformats.org/spreadsheetml/2006/main" count="104" uniqueCount="94">
  <si>
    <t>Price</t>
  </si>
  <si>
    <t>Shares</t>
  </si>
  <si>
    <t>MC</t>
  </si>
  <si>
    <t>Cash</t>
  </si>
  <si>
    <t>Debt</t>
  </si>
  <si>
    <t>EV</t>
  </si>
  <si>
    <t>4/2/22: Q1 deliveries number.</t>
  </si>
  <si>
    <t>teslarati.com</t>
  </si>
  <si>
    <t>Main</t>
  </si>
  <si>
    <t>Model S/X Deliveries</t>
  </si>
  <si>
    <t>Model 3/Y Deliveries</t>
  </si>
  <si>
    <t>Deliveries</t>
  </si>
  <si>
    <t>Deliveries ASP</t>
  </si>
  <si>
    <t>Model S/X Production</t>
  </si>
  <si>
    <t>Model 3/Y Production</t>
  </si>
  <si>
    <t>Production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</si>
  <si>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</si>
  <si>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</si>
  <si>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</si>
  <si>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</si>
  <si>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</si>
  <si>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</si>
  <si>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</si>
  <si>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</si>
  <si>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</si>
  <si>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</si>
  <si>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</si>
  <si>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</si>
  <si>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</si>
  <si>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</si>
  <si>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</si>
  <si>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</si>
  <si>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Automotive Product</t>
  </si>
  <si>
    <t>Automative Credits</t>
  </si>
  <si>
    <t>Automative Licensing</t>
  </si>
  <si>
    <t>Automotive Revenue</t>
  </si>
  <si>
    <t>Energy</t>
  </si>
  <si>
    <t>Services</t>
  </si>
  <si>
    <t>Revenue</t>
  </si>
  <si>
    <t>Automotive Product COGS</t>
  </si>
  <si>
    <t>Car Gross Margin</t>
  </si>
  <si>
    <t>Automotive Leasing COGS</t>
  </si>
  <si>
    <t>Automotive Revenue GM</t>
  </si>
  <si>
    <t>Energy COGS</t>
  </si>
  <si>
    <t>Services COGS</t>
  </si>
  <si>
    <t>Gross Margin</t>
  </si>
  <si>
    <t>R&amp;D</t>
  </si>
  <si>
    <t>SG&amp;A</t>
  </si>
  <si>
    <t>Operating Expenses</t>
  </si>
  <si>
    <t>Operating Income</t>
  </si>
  <si>
    <t>Interest Expense</t>
  </si>
  <si>
    <t>Pretax Income</t>
  </si>
  <si>
    <t>Taxes</t>
  </si>
  <si>
    <t>Net Income</t>
  </si>
  <si>
    <t>EPS</t>
  </si>
  <si>
    <t>Model NI</t>
  </si>
  <si>
    <t>Reported NI</t>
  </si>
  <si>
    <t>D&amp;A</t>
  </si>
  <si>
    <t>SBC</t>
  </si>
  <si>
    <t>Inventory</t>
  </si>
  <si>
    <t>Non-Cash Interest</t>
  </si>
  <si>
    <t>WC</t>
  </si>
  <si>
    <t>CFFO</t>
  </si>
  <si>
    <t>AR</t>
  </si>
  <si>
    <t>Prepaids</t>
  </si>
  <si>
    <t>Operating Lease</t>
  </si>
  <si>
    <t>Energy Systems</t>
  </si>
  <si>
    <t>PP&amp;E</t>
  </si>
  <si>
    <t>Operating Lease ROU</t>
  </si>
  <si>
    <t>Digital Assets</t>
  </si>
  <si>
    <t>Goodwill</t>
  </si>
  <si>
    <t>ONCA</t>
  </si>
  <si>
    <t>Assets</t>
  </si>
  <si>
    <t>AP</t>
  </si>
  <si>
    <t>AL</t>
  </si>
  <si>
    <t>DR</t>
  </si>
  <si>
    <t>Customer Deposits</t>
  </si>
  <si>
    <t>OLTL</t>
  </si>
  <si>
    <t>SE</t>
  </si>
  <si>
    <t>L+SE</t>
  </si>
  <si>
    <t>FX/Other</t>
  </si>
  <si>
    <t>CapEx</t>
  </si>
  <si>
    <t>FCF</t>
  </si>
  <si>
    <t>TTM FCF</t>
  </si>
  <si>
    <t>FSD Beta</t>
  </si>
  <si>
    <t>Q123</t>
  </si>
  <si>
    <t>Q223</t>
  </si>
  <si>
    <t>Q323</t>
  </si>
  <si>
    <t>Q423</t>
  </si>
  <si>
    <t>Revenue y/y</t>
  </si>
  <si>
    <t>Auto GM</t>
  </si>
  <si>
    <t>Auto Product y/y</t>
  </si>
  <si>
    <t>Deliveries y/y</t>
  </si>
  <si>
    <t>Production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</si>
</sst>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6" fillId="0" borderId="0" xfId="0" applyFont="1"/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3" fontId="6" fillId="0" borderId="0" xfId="0" applyNumberFormat="1" applyFont="1"/>
    <xf numFmtId="3" fontId="6" fillId="0" borderId="0" xfId="0" applyNumberFormat="1" applyFont="1" applyAlignment="1">
      <alignment horizontal="right"/>
    </xf>
    <xf numFmtId="3" fontId="7" fillId="0" borderId="0" xfId="0" applyNumberFormat="1" applyFont="1"/>
    <xf numFmtId="3" fontId="7" fillId="0" borderId="0" xfId="0" applyNumberFormat="1" applyFont="1" applyAlignment="1">
      <alignment horizontal="right"/>
    </xf>
    <xf numFmtId="3" fontId="5" fillId="0" borderId="0" xfId="0" applyNumberFormat="1" applyFont="1" applyAlignment="1">
      <alignment horizontal="right"/>
    </xf>
    <xf numFmtId="0" fontId="5" fillId="0" borderId="0" xfId="0" applyFont="1"/>
    <xf numFmtId="3" fontId="5" fillId="0" borderId="0" xfId="0" applyNumberFormat="1" applyFont="1"/>
    <xf numFmtId="2" fontId="5" fillId="0" borderId="0" xfId="0" applyNumberFormat="1" applyFont="1"/>
    <xf numFmtId="3" fontId="4" fillId="0" borderId="0" xfId="0" applyNumberFormat="1" applyFont="1" applyAlignment="1">
      <alignment horizontal="right"/>
    </xf>
    <xf numFmtId="3" fontId="4" fillId="0" borderId="0" xfId="0" applyNumberFormat="1" applyFont="1"/>
    <xf numFmtId="0" fontId="9" fillId="0" borderId="0" xfId="1" applyFont="1"/>
    <xf numFmtId="0" fontId="3" fillId="0" borderId="0" xfId="0" applyFont="1"/>
    <xf numFmtId="0" fontId="3" fillId="0" borderId="0" xfId="0" applyFont="1" applyAlignment="1">
      <alignment horizontal="right"/>
    </xf>
    <xf numFmtId="9" fontId="6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3" fontId="2" fillId="0" borderId="0" xfId="0" applyNumberFormat="1" applyFont="1"/>
    <xf numFmtId="0" fontId="2" fillId="0" borderId="0" xfId="0" applyFont="1"/>
    <xf numFmtId="4" fontId="6" fillId="0" borderId="0" xfId="0" applyNumberFormat="1" applyFont="1"/>
    <xf numFmtId="0" fontId="1" fillId="0" borderId="0" xfId="0" applyFont="1"/>
    <xf numFmtId="9" fontId="7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7" fillId="0" borderId="0" xfId="0" applyFont="1"/>
    <xf numFmtId="0" fontId="7" fillId="0" borderId="0" xfId="0" applyFont="1" applyAlignment="1">
      <alignment horizontal="right"/>
    </xf>
    <xf numFmtId="9" fontId="7" fillId="0" borderId="0" xfId="0" applyNumberFormat="1" applyFont="1"/>
    <xf numFmtId="9" fontId="6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Medium9">
    <tableStyle name="Invisible" pivot="0" table="0" count="0" xr9:uid="{9A85FFF9-FF3A-40EE-9B1C-0C6B1C4AC55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11799</xdr:colOff>
      <xdr:row>0</xdr:row>
      <xdr:rowOff>53486</xdr:rowOff>
    </xdr:from>
    <xdr:to>
      <xdr:col>18</xdr:col>
      <xdr:colOff>27254</xdr:colOff>
      <xdr:row>99</xdr:row>
      <xdr:rowOff>120161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1C9F4EFC-85A1-B100-118E-835840BA6272}"/>
            </a:ext>
          </a:extLst>
        </xdr:cNvPr>
        <xdr:cNvCxnSpPr>
          <a:cxnSpLocks/>
        </xdr:cNvCxnSpPr>
      </xdr:nvCxnSpPr>
      <xdr:spPr>
        <a:xfrm>
          <a:off x="11704558" y="53486"/>
          <a:ext cx="15455" cy="1599641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39414</xdr:colOff>
      <xdr:row>0</xdr:row>
      <xdr:rowOff>78828</xdr:rowOff>
    </xdr:from>
    <xdr:to>
      <xdr:col>30</xdr:col>
      <xdr:colOff>39414</xdr:colOff>
      <xdr:row>48</xdr:row>
      <xdr:rowOff>124811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7A9A93D-510F-23C5-BB9A-3A7D0D7364B0}"/>
            </a:ext>
          </a:extLst>
        </xdr:cNvPr>
        <xdr:cNvCxnSpPr/>
      </xdr:nvCxnSpPr>
      <xdr:spPr>
        <a:xfrm>
          <a:off x="19063138" y="78828"/>
          <a:ext cx="0" cy="760029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0"/>
  <sheetViews>
    <sheetView zoomScale="160" zoomScaleNormal="160" workbookViewId="0">
      <selection activeCell="K3" sqref="K3"/>
    </sheetView>
  </sheetViews>
  <sheetFormatPr defaultRowHeight="12.75" x14ac:dyDescent="0.2"/>
  <cols>
    <col min="1" max="16384" width="9.140625" style="9"/>
  </cols>
  <sheetData>
    <row r="2" spans="2:12" x14ac:dyDescent="0.2">
      <c r="J2" s="9" t="s">
        <v>0</v>
      </c>
      <c r="K2" s="11">
        <v>109</v>
      </c>
    </row>
    <row r="3" spans="2:12" x14ac:dyDescent="0.2">
      <c r="J3" s="9" t="s">
        <v>1</v>
      </c>
      <c r="K3" s="10">
        <v>3157.7524490000001</v>
      </c>
      <c r="L3" s="18" t="s">
        <v>30</v>
      </c>
    </row>
    <row r="4" spans="2:12" x14ac:dyDescent="0.2">
      <c r="J4" s="9" t="s">
        <v>2</v>
      </c>
      <c r="K4" s="10">
        <f>K2*K3</f>
        <v>344195.01694100001</v>
      </c>
    </row>
    <row r="5" spans="2:12" x14ac:dyDescent="0.2">
      <c r="J5" s="9" t="s">
        <v>3</v>
      </c>
      <c r="K5" s="10">
        <f>19532+1575</f>
        <v>21107</v>
      </c>
      <c r="L5" s="18" t="s">
        <v>30</v>
      </c>
    </row>
    <row r="6" spans="2:12" x14ac:dyDescent="0.2">
      <c r="J6" s="9" t="s">
        <v>4</v>
      </c>
      <c r="K6" s="19">
        <f>2096+1457</f>
        <v>3553</v>
      </c>
      <c r="L6" s="18" t="s">
        <v>30</v>
      </c>
    </row>
    <row r="7" spans="2:12" x14ac:dyDescent="0.2">
      <c r="J7" s="9" t="s">
        <v>5</v>
      </c>
      <c r="K7" s="10">
        <f>K4-K5+K6</f>
        <v>326641.01694100001</v>
      </c>
    </row>
    <row r="10" spans="2:12" x14ac:dyDescent="0.2">
      <c r="B10" s="9" t="s">
        <v>6</v>
      </c>
      <c r="J10" s="9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10252-7C49-48D8-9A64-7380C8DB275B}">
  <dimension ref="A1:AK86"/>
  <sheetViews>
    <sheetView tabSelected="1" zoomScale="190" zoomScaleNormal="190" workbookViewId="0">
      <pane xSplit="2" ySplit="12" topLeftCell="S30" activePane="bottomRight" state="frozen"/>
      <selection pane="topRight"/>
      <selection pane="bottomLeft"/>
      <selection pane="bottomRight" activeCell="AF34" sqref="AF34"/>
    </sheetView>
  </sheetViews>
  <sheetFormatPr defaultRowHeight="12.75" x14ac:dyDescent="0.2"/>
  <cols>
    <col min="1" max="1" width="5.140625" style="1" bestFit="1" customWidth="1"/>
    <col min="2" max="2" width="24.140625" style="1" customWidth="1"/>
    <col min="3" max="14" width="9.140625" style="2"/>
    <col min="15" max="15" width="8.7109375" style="2" customWidth="1"/>
    <col min="16" max="22" width="9.140625" style="2"/>
    <col min="23" max="29" width="9.140625" style="1"/>
    <col min="30" max="32" width="9.7109375" style="1" customWidth="1"/>
    <col min="33" max="16384" width="9.140625" style="1"/>
  </cols>
  <sheetData>
    <row r="1" spans="1:37" x14ac:dyDescent="0.2">
      <c r="A1" s="14" t="s">
        <v>8</v>
      </c>
      <c r="S1" s="24"/>
    </row>
    <row r="2" spans="1:37" s="4" customFormat="1" x14ac:dyDescent="0.2">
      <c r="B2" s="13" t="s">
        <v>84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>
        <v>100000</v>
      </c>
      <c r="P2" s="5"/>
      <c r="Q2" s="5"/>
      <c r="R2" s="5"/>
      <c r="S2" s="5"/>
      <c r="T2" s="5"/>
      <c r="U2" s="5"/>
      <c r="V2" s="5"/>
    </row>
    <row r="3" spans="1:37" s="4" customFormat="1" x14ac:dyDescent="0.2">
      <c r="B3" s="4" t="s">
        <v>9</v>
      </c>
      <c r="C3" s="5">
        <v>12091</v>
      </c>
      <c r="D3" s="5">
        <v>17722</v>
      </c>
      <c r="E3" s="5">
        <v>17483</v>
      </c>
      <c r="F3" s="5">
        <v>19475</v>
      </c>
      <c r="G3" s="5">
        <v>12230</v>
      </c>
      <c r="H3" s="5">
        <v>10600</v>
      </c>
      <c r="I3" s="5">
        <v>15200</v>
      </c>
      <c r="J3" s="5">
        <v>18920</v>
      </c>
      <c r="K3" s="5">
        <v>2020</v>
      </c>
      <c r="L3" s="5">
        <v>1890</v>
      </c>
      <c r="M3" s="5">
        <v>9275</v>
      </c>
      <c r="N3" s="5">
        <v>11750</v>
      </c>
      <c r="O3" s="5">
        <v>14724</v>
      </c>
      <c r="P3" s="5">
        <v>16162</v>
      </c>
      <c r="Q3" s="5">
        <v>18672</v>
      </c>
      <c r="R3" s="5">
        <v>17147</v>
      </c>
      <c r="S3" s="5"/>
      <c r="T3" s="5"/>
      <c r="U3" s="5"/>
      <c r="V3" s="5"/>
      <c r="AB3" s="4">
        <f>SUM(C3:F3)</f>
        <v>66771</v>
      </c>
      <c r="AC3" s="4">
        <f>SUM(G3:J3)</f>
        <v>56950</v>
      </c>
      <c r="AD3" s="4">
        <f>SUM(K3:N3)</f>
        <v>24935</v>
      </c>
      <c r="AE3" s="4">
        <f>SUM(O3:R3)</f>
        <v>66705</v>
      </c>
    </row>
    <row r="4" spans="1:37" s="4" customFormat="1" x14ac:dyDescent="0.2">
      <c r="B4" s="4" t="s">
        <v>10</v>
      </c>
      <c r="C4" s="5">
        <v>50928</v>
      </c>
      <c r="D4" s="5">
        <v>77634</v>
      </c>
      <c r="E4" s="5">
        <v>79703</v>
      </c>
      <c r="F4" s="5">
        <v>92620</v>
      </c>
      <c r="G4" s="5">
        <v>76266</v>
      </c>
      <c r="H4" s="5">
        <v>80050</v>
      </c>
      <c r="I4" s="5">
        <v>124100</v>
      </c>
      <c r="J4" s="5">
        <v>161650</v>
      </c>
      <c r="K4" s="5">
        <v>182780</v>
      </c>
      <c r="L4" s="5">
        <v>199360</v>
      </c>
      <c r="M4" s="5">
        <v>232025</v>
      </c>
      <c r="N4" s="5">
        <v>296850</v>
      </c>
      <c r="O4" s="5">
        <v>295324</v>
      </c>
      <c r="P4" s="5">
        <v>238533</v>
      </c>
      <c r="Q4" s="5">
        <v>325158</v>
      </c>
      <c r="R4" s="5">
        <v>388131</v>
      </c>
      <c r="S4" s="5"/>
      <c r="T4" s="5"/>
      <c r="U4" s="5"/>
      <c r="V4" s="5"/>
      <c r="AB4" s="4">
        <f>SUM(C4:F4)</f>
        <v>300885</v>
      </c>
      <c r="AC4" s="4">
        <f>SUM(G4:J4)</f>
        <v>442066</v>
      </c>
      <c r="AD4" s="4">
        <f>SUM(K4:N4)</f>
        <v>911015</v>
      </c>
      <c r="AE4" s="4">
        <f>SUM(O4:R4)</f>
        <v>1247146</v>
      </c>
    </row>
    <row r="5" spans="1:37" s="6" customFormat="1" x14ac:dyDescent="0.2">
      <c r="B5" s="6" t="s">
        <v>11</v>
      </c>
      <c r="C5" s="7">
        <f t="shared" ref="C5:N5" si="0">C4+C3</f>
        <v>63019</v>
      </c>
      <c r="D5" s="7">
        <f t="shared" si="0"/>
        <v>95356</v>
      </c>
      <c r="E5" s="7">
        <f t="shared" si="0"/>
        <v>97186</v>
      </c>
      <c r="F5" s="7">
        <f t="shared" si="0"/>
        <v>112095</v>
      </c>
      <c r="G5" s="7">
        <f t="shared" si="0"/>
        <v>88496</v>
      </c>
      <c r="H5" s="7">
        <f t="shared" si="0"/>
        <v>90650</v>
      </c>
      <c r="I5" s="7">
        <f t="shared" si="0"/>
        <v>139300</v>
      </c>
      <c r="J5" s="7">
        <f t="shared" si="0"/>
        <v>180570</v>
      </c>
      <c r="K5" s="7">
        <f t="shared" si="0"/>
        <v>184800</v>
      </c>
      <c r="L5" s="7">
        <f t="shared" si="0"/>
        <v>201250</v>
      </c>
      <c r="M5" s="7">
        <f t="shared" si="0"/>
        <v>241300</v>
      </c>
      <c r="N5" s="7">
        <f t="shared" si="0"/>
        <v>308600</v>
      </c>
      <c r="O5" s="7">
        <f>O4+O3</f>
        <v>310048</v>
      </c>
      <c r="P5" s="7">
        <f>P4+P3</f>
        <v>254695</v>
      </c>
      <c r="Q5" s="7">
        <f>Q4+Q3</f>
        <v>343830</v>
      </c>
      <c r="R5" s="7">
        <f>R4+R3</f>
        <v>405278</v>
      </c>
      <c r="S5" s="7"/>
      <c r="T5" s="7"/>
      <c r="U5" s="7"/>
      <c r="V5" s="7"/>
      <c r="AB5" s="6">
        <f>+AB3+AB4</f>
        <v>367656</v>
      </c>
      <c r="AC5" s="6">
        <f>+AC3+AC4</f>
        <v>499016</v>
      </c>
      <c r="AD5" s="6">
        <f>+AD3+AD4</f>
        <v>935950</v>
      </c>
      <c r="AE5" s="6">
        <f>+AE3+AE4</f>
        <v>1313851</v>
      </c>
      <c r="AF5" s="6">
        <f>+AE5*1.35</f>
        <v>1773698.85</v>
      </c>
    </row>
    <row r="6" spans="1:37" s="4" customFormat="1" x14ac:dyDescent="0.2">
      <c r="B6" s="4" t="s">
        <v>12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>
        <f>O5/O13*1000</f>
        <v>19985.045765115381</v>
      </c>
      <c r="P6" s="5">
        <f>P5/P13*1000</f>
        <v>18631.675201170445</v>
      </c>
      <c r="Q6" s="5">
        <f>Q5/Q13*1000</f>
        <v>19332.583637897107</v>
      </c>
      <c r="R6" s="5">
        <f>R5/R13*1000</f>
        <v>19266.840979320179</v>
      </c>
      <c r="S6" s="5"/>
      <c r="T6" s="5"/>
      <c r="U6" s="5"/>
      <c r="V6" s="5"/>
    </row>
    <row r="7" spans="1:37" s="4" customFormat="1" x14ac:dyDescent="0.2"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spans="1:37" s="4" customFormat="1" x14ac:dyDescent="0.2">
      <c r="B8" s="4" t="s">
        <v>13</v>
      </c>
      <c r="C8" s="5">
        <v>14163</v>
      </c>
      <c r="D8" s="5">
        <v>14517</v>
      </c>
      <c r="E8" s="5">
        <v>16318</v>
      </c>
      <c r="F8" s="5">
        <v>17933</v>
      </c>
      <c r="G8" s="5">
        <v>15390</v>
      </c>
      <c r="H8" s="5">
        <v>6326</v>
      </c>
      <c r="I8" s="5">
        <v>16992</v>
      </c>
      <c r="J8" s="5">
        <v>16097</v>
      </c>
      <c r="K8" s="5">
        <v>0</v>
      </c>
      <c r="L8" s="5">
        <v>2340</v>
      </c>
      <c r="M8" s="5">
        <v>8941</v>
      </c>
      <c r="N8" s="5">
        <v>13109</v>
      </c>
      <c r="O8" s="5">
        <v>14218</v>
      </c>
      <c r="P8" s="5">
        <v>16411</v>
      </c>
      <c r="Q8" s="5">
        <v>19935</v>
      </c>
      <c r="R8" s="5">
        <v>20613</v>
      </c>
      <c r="S8" s="5"/>
      <c r="T8" s="5"/>
      <c r="U8" s="5"/>
      <c r="V8" s="5"/>
      <c r="AB8" s="4">
        <f>SUM(C8:F8)</f>
        <v>62931</v>
      </c>
      <c r="AC8" s="4">
        <f>SUM(G8:J8)</f>
        <v>54805</v>
      </c>
      <c r="AD8" s="4">
        <f>SUM(K8:N8)</f>
        <v>24390</v>
      </c>
      <c r="AE8" s="4">
        <f>SUM(O8:R8)</f>
        <v>71177</v>
      </c>
    </row>
    <row r="9" spans="1:37" s="4" customFormat="1" x14ac:dyDescent="0.2">
      <c r="B9" s="4" t="s">
        <v>14</v>
      </c>
      <c r="C9" s="5">
        <v>62975</v>
      </c>
      <c r="D9" s="5">
        <v>72531</v>
      </c>
      <c r="E9" s="5">
        <v>79837</v>
      </c>
      <c r="F9" s="5">
        <v>86958</v>
      </c>
      <c r="G9" s="5">
        <v>87282</v>
      </c>
      <c r="H9" s="5">
        <v>75946</v>
      </c>
      <c r="I9" s="5">
        <v>128044</v>
      </c>
      <c r="J9" s="5">
        <v>163660</v>
      </c>
      <c r="K9" s="5">
        <v>180338</v>
      </c>
      <c r="L9" s="5">
        <v>204081</v>
      </c>
      <c r="M9" s="5">
        <v>228882</v>
      </c>
      <c r="N9" s="5">
        <v>292731</v>
      </c>
      <c r="O9" s="5">
        <v>291189</v>
      </c>
      <c r="P9" s="5">
        <v>242169</v>
      </c>
      <c r="Q9" s="5">
        <v>345988</v>
      </c>
      <c r="R9" s="5">
        <v>419088</v>
      </c>
      <c r="S9" s="5"/>
      <c r="T9" s="5"/>
      <c r="U9" s="5"/>
      <c r="V9" s="5"/>
      <c r="AB9" s="4">
        <f>SUM(C9:F9)</f>
        <v>302301</v>
      </c>
      <c r="AC9" s="4">
        <f>SUM(G9:J9)</f>
        <v>454932</v>
      </c>
      <c r="AD9" s="4">
        <f>SUM(K9:N9)</f>
        <v>906032</v>
      </c>
      <c r="AE9" s="4">
        <f>SUM(O9:R9)</f>
        <v>1298434</v>
      </c>
    </row>
    <row r="10" spans="1:37" s="6" customFormat="1" x14ac:dyDescent="0.2">
      <c r="B10" s="6" t="s">
        <v>15</v>
      </c>
      <c r="C10" s="7">
        <f t="shared" ref="C10:N10" si="1">C9+C8</f>
        <v>77138</v>
      </c>
      <c r="D10" s="7">
        <f t="shared" si="1"/>
        <v>87048</v>
      </c>
      <c r="E10" s="7">
        <f t="shared" si="1"/>
        <v>96155</v>
      </c>
      <c r="F10" s="7">
        <f t="shared" si="1"/>
        <v>104891</v>
      </c>
      <c r="G10" s="7">
        <f t="shared" si="1"/>
        <v>102672</v>
      </c>
      <c r="H10" s="7">
        <f t="shared" si="1"/>
        <v>82272</v>
      </c>
      <c r="I10" s="7">
        <f t="shared" si="1"/>
        <v>145036</v>
      </c>
      <c r="J10" s="7">
        <f t="shared" si="1"/>
        <v>179757</v>
      </c>
      <c r="K10" s="7">
        <f t="shared" si="1"/>
        <v>180338</v>
      </c>
      <c r="L10" s="7">
        <f t="shared" si="1"/>
        <v>206421</v>
      </c>
      <c r="M10" s="7">
        <f t="shared" si="1"/>
        <v>237823</v>
      </c>
      <c r="N10" s="7">
        <f t="shared" si="1"/>
        <v>305840</v>
      </c>
      <c r="O10" s="7">
        <f>O9+O8</f>
        <v>305407</v>
      </c>
      <c r="P10" s="7">
        <f>P9+P8</f>
        <v>258580</v>
      </c>
      <c r="Q10" s="7">
        <f>+Q8+Q9</f>
        <v>365923</v>
      </c>
      <c r="R10" s="7">
        <f>+R8+R9</f>
        <v>439701</v>
      </c>
      <c r="S10" s="7"/>
      <c r="T10" s="7"/>
      <c r="U10" s="7"/>
      <c r="V10" s="7"/>
      <c r="AB10" s="6">
        <f>+AB8+AB9</f>
        <v>365232</v>
      </c>
      <c r="AC10" s="6">
        <f>+AC8+AC9</f>
        <v>509737</v>
      </c>
      <c r="AD10" s="6">
        <f>+AD8+AD9</f>
        <v>930422</v>
      </c>
      <c r="AE10" s="6">
        <f>+AE8+AE9</f>
        <v>1369611</v>
      </c>
      <c r="AF10" s="6">
        <f>+AE10*1.35</f>
        <v>1848974.85</v>
      </c>
    </row>
    <row r="11" spans="1:37" s="4" customFormat="1" x14ac:dyDescent="0.2"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AF11" s="28"/>
    </row>
    <row r="12" spans="1:37" x14ac:dyDescent="0.2">
      <c r="C12" s="2" t="s">
        <v>16</v>
      </c>
      <c r="D12" s="2" t="s">
        <v>17</v>
      </c>
      <c r="E12" s="2" t="s">
        <v>18</v>
      </c>
      <c r="F12" s="2" t="s">
        <v>19</v>
      </c>
      <c r="G12" s="2" t="s">
        <v>20</v>
      </c>
      <c r="H12" s="2" t="s">
        <v>21</v>
      </c>
      <c r="I12" s="2" t="s">
        <v>22</v>
      </c>
      <c r="J12" s="2" t="s">
        <v>23</v>
      </c>
      <c r="K12" s="2" t="s">
        <v>24</v>
      </c>
      <c r="L12" s="2" t="s">
        <v>25</v>
      </c>
      <c r="M12" s="2" t="s">
        <v>26</v>
      </c>
      <c r="N12" s="2" t="s">
        <v>27</v>
      </c>
      <c r="O12" s="2" t="s">
        <v>28</v>
      </c>
      <c r="P12" s="2" t="s">
        <v>29</v>
      </c>
      <c r="Q12" s="2" t="s">
        <v>30</v>
      </c>
      <c r="R12" s="2" t="s">
        <v>31</v>
      </c>
      <c r="S12" s="16" t="s">
        <v>85</v>
      </c>
      <c r="T12" s="16" t="s">
        <v>86</v>
      </c>
      <c r="U12" s="16" t="s">
        <v>87</v>
      </c>
      <c r="V12" s="16" t="s">
        <v>88</v>
      </c>
      <c r="Z12" s="1">
        <v>2017</v>
      </c>
      <c r="AA12" s="1">
        <v>2018</v>
      </c>
      <c r="AB12" s="1">
        <v>2019</v>
      </c>
      <c r="AC12" s="1">
        <v>2020</v>
      </c>
      <c r="AD12" s="1">
        <f>+AC12+1</f>
        <v>2021</v>
      </c>
      <c r="AE12" s="1">
        <f t="shared" ref="AE12:AK12" si="2">+AD12+1</f>
        <v>2022</v>
      </c>
      <c r="AF12" s="1">
        <f t="shared" si="2"/>
        <v>2023</v>
      </c>
      <c r="AG12" s="1">
        <f t="shared" si="2"/>
        <v>2024</v>
      </c>
      <c r="AH12" s="1">
        <f t="shared" si="2"/>
        <v>2025</v>
      </c>
      <c r="AI12" s="1">
        <f t="shared" si="2"/>
        <v>2026</v>
      </c>
      <c r="AJ12" s="1">
        <f t="shared" si="2"/>
        <v>2027</v>
      </c>
      <c r="AK12" s="1">
        <f t="shared" si="2"/>
        <v>2028</v>
      </c>
    </row>
    <row r="13" spans="1:37" s="4" customFormat="1" x14ac:dyDescent="0.2">
      <c r="B13" s="4" t="s">
        <v>32</v>
      </c>
      <c r="C13" s="5">
        <v>3509</v>
      </c>
      <c r="D13" s="5">
        <v>5168</v>
      </c>
      <c r="E13" s="5">
        <v>5132</v>
      </c>
      <c r="F13" s="5">
        <v>6143</v>
      </c>
      <c r="G13" s="5">
        <v>4893</v>
      </c>
      <c r="H13" s="5">
        <v>4911</v>
      </c>
      <c r="I13" s="5">
        <v>7346</v>
      </c>
      <c r="J13" s="5">
        <f>9034-J14</f>
        <v>8633</v>
      </c>
      <c r="K13" s="5">
        <v>8187</v>
      </c>
      <c r="L13" s="5">
        <f>9874-354</f>
        <v>9520</v>
      </c>
      <c r="M13" s="5">
        <f>11672-279</f>
        <v>11393</v>
      </c>
      <c r="N13" s="8">
        <f>15339-314</f>
        <v>15025</v>
      </c>
      <c r="O13" s="5">
        <v>15514</v>
      </c>
      <c r="P13" s="12">
        <v>13670</v>
      </c>
      <c r="Q13" s="5">
        <v>17785</v>
      </c>
      <c r="R13" s="5">
        <f>+N13*1.4</f>
        <v>21035</v>
      </c>
      <c r="S13" s="5">
        <f>+O13*1.4</f>
        <v>21719.599999999999</v>
      </c>
      <c r="T13" s="5">
        <f>+P13*1.4</f>
        <v>19138</v>
      </c>
      <c r="U13" s="5">
        <f>+Q13*1.4</f>
        <v>24899</v>
      </c>
      <c r="V13" s="5">
        <f>+R13*1.4</f>
        <v>29448.999999999996</v>
      </c>
      <c r="AB13" s="4">
        <f t="shared" ref="AB13:AB18" si="3">SUM(C13:F13)</f>
        <v>19952</v>
      </c>
      <c r="AC13" s="4">
        <f>SUM(G13:J13)</f>
        <v>25783</v>
      </c>
      <c r="AD13" s="4">
        <f>SUM(K13:N13)</f>
        <v>44125</v>
      </c>
      <c r="AE13" s="4">
        <f>SUM(O13:R13)</f>
        <v>68004</v>
      </c>
      <c r="AF13" s="4">
        <f>SUM(S13:V13)</f>
        <v>95205.6</v>
      </c>
    </row>
    <row r="14" spans="1:37" s="4" customFormat="1" x14ac:dyDescent="0.2">
      <c r="B14" s="4" t="s">
        <v>33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401</v>
      </c>
      <c r="K14" s="5">
        <v>518</v>
      </c>
      <c r="L14" s="5">
        <v>354</v>
      </c>
      <c r="M14" s="5">
        <v>279</v>
      </c>
      <c r="N14" s="5">
        <v>314</v>
      </c>
      <c r="O14" s="5">
        <v>679</v>
      </c>
      <c r="P14" s="5">
        <v>344</v>
      </c>
      <c r="Q14" s="5">
        <v>286</v>
      </c>
      <c r="R14" s="5">
        <f t="shared" ref="R14:R15" si="4">+N14*1.4</f>
        <v>439.59999999999997</v>
      </c>
      <c r="S14" s="5">
        <f>+O14*1.4</f>
        <v>950.59999999999991</v>
      </c>
      <c r="T14" s="5">
        <f>+P14*1.4</f>
        <v>481.59999999999997</v>
      </c>
      <c r="U14" s="5">
        <f>+Q14*1.4</f>
        <v>400.4</v>
      </c>
      <c r="V14" s="5">
        <f>+R14*1.4</f>
        <v>615.43999999999994</v>
      </c>
      <c r="AB14" s="4">
        <f t="shared" si="3"/>
        <v>0</v>
      </c>
      <c r="AC14" s="4">
        <f>SUM(G14:J14)</f>
        <v>401</v>
      </c>
      <c r="AD14" s="4">
        <f t="shared" ref="AD14:AD18" si="5">SUM(K14:N14)</f>
        <v>1465</v>
      </c>
      <c r="AE14" s="4">
        <f t="shared" ref="AE14:AE25" si="6">SUM(O14:R14)</f>
        <v>1748.6</v>
      </c>
      <c r="AF14" s="4">
        <f t="shared" ref="AF14:AF33" si="7">SUM(S14:V14)</f>
        <v>2448.04</v>
      </c>
    </row>
    <row r="15" spans="1:37" s="4" customFormat="1" x14ac:dyDescent="0.2">
      <c r="B15" s="4" t="s">
        <v>34</v>
      </c>
      <c r="C15" s="5">
        <v>215</v>
      </c>
      <c r="D15" s="5">
        <v>208</v>
      </c>
      <c r="E15" s="5">
        <v>221</v>
      </c>
      <c r="F15" s="5">
        <v>225</v>
      </c>
      <c r="G15" s="5">
        <v>239</v>
      </c>
      <c r="H15" s="5">
        <v>268</v>
      </c>
      <c r="I15" s="5">
        <v>265</v>
      </c>
      <c r="J15" s="5">
        <v>280</v>
      </c>
      <c r="K15" s="5">
        <v>297</v>
      </c>
      <c r="L15" s="5">
        <v>332</v>
      </c>
      <c r="M15" s="5">
        <v>385</v>
      </c>
      <c r="N15" s="5">
        <v>628</v>
      </c>
      <c r="O15" s="5">
        <v>668</v>
      </c>
      <c r="P15" s="5">
        <v>588</v>
      </c>
      <c r="Q15" s="5">
        <v>621</v>
      </c>
      <c r="R15" s="5">
        <f t="shared" si="4"/>
        <v>879.19999999999993</v>
      </c>
      <c r="S15" s="5">
        <f t="shared" ref="S13:S15" si="8">+O15*1.4</f>
        <v>935.19999999999993</v>
      </c>
      <c r="T15" s="5">
        <f t="shared" ref="T13:T15" si="9">+P15*1.4</f>
        <v>823.19999999999993</v>
      </c>
      <c r="U15" s="5">
        <f t="shared" ref="U13:U15" si="10">+Q15*1.4</f>
        <v>869.4</v>
      </c>
      <c r="V15" s="5">
        <f t="shared" ref="V13:V15" si="11">+R15*1.4</f>
        <v>1230.8799999999999</v>
      </c>
      <c r="AB15" s="4">
        <f t="shared" si="3"/>
        <v>869</v>
      </c>
      <c r="AC15" s="4">
        <f>SUM(G15:J15)</f>
        <v>1052</v>
      </c>
      <c r="AD15" s="4">
        <f t="shared" si="5"/>
        <v>1642</v>
      </c>
      <c r="AE15" s="4">
        <f t="shared" si="6"/>
        <v>2756.2</v>
      </c>
      <c r="AF15" s="4">
        <f t="shared" si="7"/>
        <v>3858.6799999999994</v>
      </c>
    </row>
    <row r="16" spans="1:37" s="6" customFormat="1" x14ac:dyDescent="0.2">
      <c r="B16" s="6" t="s">
        <v>35</v>
      </c>
      <c r="C16" s="7">
        <f t="shared" ref="C16:G16" si="12">SUM(C13:C15)</f>
        <v>3724</v>
      </c>
      <c r="D16" s="7">
        <f t="shared" si="12"/>
        <v>5376</v>
      </c>
      <c r="E16" s="7">
        <f t="shared" si="12"/>
        <v>5353</v>
      </c>
      <c r="F16" s="7">
        <f t="shared" si="12"/>
        <v>6368</v>
      </c>
      <c r="G16" s="7">
        <f t="shared" si="12"/>
        <v>5132</v>
      </c>
      <c r="H16" s="7">
        <f t="shared" ref="H16" si="13">SUM(H13:H15)</f>
        <v>5179</v>
      </c>
      <c r="I16" s="7">
        <f t="shared" ref="I16:N16" si="14">SUM(I13:I15)</f>
        <v>7611</v>
      </c>
      <c r="J16" s="7">
        <f t="shared" si="14"/>
        <v>9314</v>
      </c>
      <c r="K16" s="7">
        <f t="shared" si="14"/>
        <v>9002</v>
      </c>
      <c r="L16" s="7">
        <f t="shared" si="14"/>
        <v>10206</v>
      </c>
      <c r="M16" s="7">
        <f t="shared" si="14"/>
        <v>12057</v>
      </c>
      <c r="N16" s="7">
        <f t="shared" si="14"/>
        <v>15967</v>
      </c>
      <c r="O16" s="7">
        <f>SUM(O13:O15)</f>
        <v>16861</v>
      </c>
      <c r="P16" s="7">
        <f>SUM(P13:P15)</f>
        <v>14602</v>
      </c>
      <c r="Q16" s="7">
        <f>SUM(Q13:Q15)</f>
        <v>18692</v>
      </c>
      <c r="R16" s="7">
        <f t="shared" ref="R16:V16" si="15">SUM(R13:R15)</f>
        <v>22353.8</v>
      </c>
      <c r="S16" s="7">
        <f>SUM(S13:S15)</f>
        <v>23605.399999999998</v>
      </c>
      <c r="T16" s="7">
        <f t="shared" si="15"/>
        <v>20442.8</v>
      </c>
      <c r="U16" s="7">
        <f t="shared" si="15"/>
        <v>26168.800000000003</v>
      </c>
      <c r="V16" s="7">
        <f t="shared" si="15"/>
        <v>31295.319999999996</v>
      </c>
      <c r="AB16" s="6">
        <f>SUM(AB13:AB15)</f>
        <v>20821</v>
      </c>
      <c r="AC16" s="6">
        <f>SUM(AC13:AC15)</f>
        <v>27236</v>
      </c>
      <c r="AD16" s="6">
        <f>SUM(AD13:AD15)</f>
        <v>47232</v>
      </c>
      <c r="AE16" s="6">
        <f>SUM(AE13:AE15)</f>
        <v>72508.800000000003</v>
      </c>
      <c r="AF16" s="6">
        <f t="shared" si="7"/>
        <v>101512.31999999999</v>
      </c>
    </row>
    <row r="17" spans="2:32" s="4" customFormat="1" x14ac:dyDescent="0.2">
      <c r="B17" s="4" t="s">
        <v>36</v>
      </c>
      <c r="C17" s="5">
        <v>324</v>
      </c>
      <c r="D17" s="5">
        <v>369</v>
      </c>
      <c r="E17" s="5">
        <v>402</v>
      </c>
      <c r="F17" s="5">
        <v>436</v>
      </c>
      <c r="G17" s="5">
        <v>293</v>
      </c>
      <c r="H17" s="5">
        <v>370</v>
      </c>
      <c r="I17" s="5">
        <v>579</v>
      </c>
      <c r="J17" s="5">
        <v>752</v>
      </c>
      <c r="K17" s="5">
        <v>494</v>
      </c>
      <c r="L17" s="5">
        <v>801</v>
      </c>
      <c r="M17" s="5">
        <v>806</v>
      </c>
      <c r="N17" s="5">
        <v>688</v>
      </c>
      <c r="O17" s="5">
        <v>616</v>
      </c>
      <c r="P17" s="5">
        <v>866</v>
      </c>
      <c r="Q17" s="5">
        <v>1117</v>
      </c>
      <c r="R17" s="5">
        <f t="shared" ref="R17:R18" si="16">+N17*1.4</f>
        <v>963.19999999999993</v>
      </c>
      <c r="S17" s="5">
        <f t="shared" ref="S17:S18" si="17">+O17*1.4</f>
        <v>862.4</v>
      </c>
      <c r="T17" s="5">
        <f t="shared" ref="T17:T18" si="18">+P17*1.4</f>
        <v>1212.3999999999999</v>
      </c>
      <c r="U17" s="5">
        <f t="shared" ref="U17:U18" si="19">+Q17*1.4</f>
        <v>1563.8</v>
      </c>
      <c r="V17" s="5">
        <f t="shared" ref="V17:V18" si="20">+R17*1.4</f>
        <v>1348.4799999999998</v>
      </c>
      <c r="AB17" s="4">
        <f t="shared" si="3"/>
        <v>1531</v>
      </c>
      <c r="AC17" s="4">
        <f>SUM(G17:J17)</f>
        <v>1994</v>
      </c>
      <c r="AD17" s="4">
        <f>SUM(K17:N17)</f>
        <v>2789</v>
      </c>
      <c r="AE17" s="4">
        <f t="shared" si="6"/>
        <v>3562.2</v>
      </c>
      <c r="AF17" s="4">
        <f t="shared" si="7"/>
        <v>4987.079999999999</v>
      </c>
    </row>
    <row r="18" spans="2:32" s="4" customFormat="1" x14ac:dyDescent="0.2">
      <c r="B18" s="4" t="s">
        <v>37</v>
      </c>
      <c r="C18" s="5">
        <v>493</v>
      </c>
      <c r="D18" s="5">
        <v>605</v>
      </c>
      <c r="E18" s="5">
        <v>548</v>
      </c>
      <c r="F18" s="5">
        <v>580</v>
      </c>
      <c r="G18" s="5">
        <v>560</v>
      </c>
      <c r="H18" s="5">
        <v>487</v>
      </c>
      <c r="I18" s="5">
        <v>581</v>
      </c>
      <c r="J18" s="5">
        <v>678</v>
      </c>
      <c r="K18" s="5">
        <v>893</v>
      </c>
      <c r="L18" s="5">
        <v>951</v>
      </c>
      <c r="M18" s="5">
        <v>894</v>
      </c>
      <c r="N18" s="5">
        <v>1064</v>
      </c>
      <c r="O18" s="5">
        <v>1279</v>
      </c>
      <c r="P18" s="5">
        <v>1466</v>
      </c>
      <c r="Q18" s="5">
        <v>1645</v>
      </c>
      <c r="R18" s="5">
        <f t="shared" si="16"/>
        <v>1489.6</v>
      </c>
      <c r="S18" s="5">
        <f t="shared" si="17"/>
        <v>1790.6</v>
      </c>
      <c r="T18" s="5">
        <f t="shared" si="18"/>
        <v>2052.4</v>
      </c>
      <c r="U18" s="5">
        <f t="shared" si="19"/>
        <v>2303</v>
      </c>
      <c r="V18" s="5">
        <f t="shared" si="20"/>
        <v>2085.4399999999996</v>
      </c>
      <c r="AB18" s="4">
        <f t="shared" si="3"/>
        <v>2226</v>
      </c>
      <c r="AC18" s="4">
        <f>SUM(G18:J18)</f>
        <v>2306</v>
      </c>
      <c r="AD18" s="4">
        <f t="shared" si="5"/>
        <v>3802</v>
      </c>
      <c r="AE18" s="4">
        <f t="shared" si="6"/>
        <v>5879.6</v>
      </c>
      <c r="AF18" s="4">
        <f t="shared" si="7"/>
        <v>8231.4399999999987</v>
      </c>
    </row>
    <row r="19" spans="2:32" s="6" customFormat="1" x14ac:dyDescent="0.2">
      <c r="B19" s="6" t="s">
        <v>38</v>
      </c>
      <c r="C19" s="7">
        <f t="shared" ref="C19:G19" si="21">SUM(C16:C18)</f>
        <v>4541</v>
      </c>
      <c r="D19" s="7">
        <f t="shared" si="21"/>
        <v>6350</v>
      </c>
      <c r="E19" s="7">
        <f t="shared" si="21"/>
        <v>6303</v>
      </c>
      <c r="F19" s="7">
        <f t="shared" si="21"/>
        <v>7384</v>
      </c>
      <c r="G19" s="7">
        <f t="shared" si="21"/>
        <v>5985</v>
      </c>
      <c r="H19" s="7">
        <f t="shared" ref="H19" si="22">SUM(H16:H18)</f>
        <v>6036</v>
      </c>
      <c r="I19" s="7">
        <f t="shared" ref="I19:N19" si="23">SUM(I16:I18)</f>
        <v>8771</v>
      </c>
      <c r="J19" s="7">
        <f t="shared" si="23"/>
        <v>10744</v>
      </c>
      <c r="K19" s="7">
        <f t="shared" si="23"/>
        <v>10389</v>
      </c>
      <c r="L19" s="7">
        <f t="shared" si="23"/>
        <v>11958</v>
      </c>
      <c r="M19" s="7">
        <f t="shared" si="23"/>
        <v>13757</v>
      </c>
      <c r="N19" s="7">
        <f t="shared" si="23"/>
        <v>17719</v>
      </c>
      <c r="O19" s="7">
        <f>SUM(O16:O18)</f>
        <v>18756</v>
      </c>
      <c r="P19" s="7">
        <f>SUM(P16:P18)</f>
        <v>16934</v>
      </c>
      <c r="Q19" s="7">
        <f>SUM(Q16:Q18)</f>
        <v>21454</v>
      </c>
      <c r="R19" s="7">
        <f t="shared" ref="R19:V19" si="24">SUM(R16:R18)</f>
        <v>24806.6</v>
      </c>
      <c r="S19" s="7">
        <f t="shared" si="24"/>
        <v>26258.399999999998</v>
      </c>
      <c r="T19" s="7">
        <f t="shared" si="24"/>
        <v>23707.600000000002</v>
      </c>
      <c r="U19" s="7">
        <f t="shared" si="24"/>
        <v>30035.600000000002</v>
      </c>
      <c r="V19" s="7">
        <f t="shared" si="24"/>
        <v>34729.24</v>
      </c>
      <c r="AB19" s="6">
        <f>SUM(AB16:AB18)</f>
        <v>24578</v>
      </c>
      <c r="AC19" s="6">
        <f>SUM(AC16:AC18)</f>
        <v>31536</v>
      </c>
      <c r="AD19" s="6">
        <f>SUM(AD16:AD18)</f>
        <v>53823</v>
      </c>
      <c r="AE19" s="6">
        <f>SUM(AE16:AE18)</f>
        <v>81950.600000000006</v>
      </c>
      <c r="AF19" s="6">
        <f>SUM(AF16:AF18)</f>
        <v>114730.84</v>
      </c>
    </row>
    <row r="20" spans="2:32" s="4" customFormat="1" x14ac:dyDescent="0.2">
      <c r="B20" s="4" t="s">
        <v>39</v>
      </c>
      <c r="C20" s="5">
        <v>2856</v>
      </c>
      <c r="D20" s="5">
        <v>4254</v>
      </c>
      <c r="E20" s="5">
        <v>4014</v>
      </c>
      <c r="F20" s="5">
        <v>4815</v>
      </c>
      <c r="G20" s="5">
        <v>3699</v>
      </c>
      <c r="H20" s="5">
        <v>3714</v>
      </c>
      <c r="I20" s="5">
        <v>5361</v>
      </c>
      <c r="J20" s="5">
        <v>6922</v>
      </c>
      <c r="K20" s="5">
        <v>6457</v>
      </c>
      <c r="L20" s="5">
        <v>7119</v>
      </c>
      <c r="M20" s="5">
        <v>8150</v>
      </c>
      <c r="N20" s="5">
        <v>10689</v>
      </c>
      <c r="O20" s="5">
        <v>10914</v>
      </c>
      <c r="P20" s="5">
        <v>10153</v>
      </c>
      <c r="Q20" s="5">
        <v>13099</v>
      </c>
      <c r="R20" s="5">
        <f>+R13*0.75</f>
        <v>15776.25</v>
      </c>
      <c r="S20" s="5">
        <f t="shared" ref="S20:V20" si="25">+S13*0.75</f>
        <v>16289.699999999999</v>
      </c>
      <c r="T20" s="5">
        <f t="shared" si="25"/>
        <v>14353.5</v>
      </c>
      <c r="U20" s="5">
        <f t="shared" si="25"/>
        <v>18674.25</v>
      </c>
      <c r="V20" s="5">
        <f t="shared" si="25"/>
        <v>22086.749999999996</v>
      </c>
      <c r="AE20" s="4">
        <f t="shared" si="6"/>
        <v>49942.25</v>
      </c>
      <c r="AF20" s="4">
        <f t="shared" si="7"/>
        <v>71404.2</v>
      </c>
    </row>
    <row r="21" spans="2:32" s="4" customFormat="1" x14ac:dyDescent="0.2">
      <c r="B21" s="4" t="s">
        <v>40</v>
      </c>
      <c r="C21" s="5">
        <f t="shared" ref="C21:J21" si="26">C13-C20</f>
        <v>653</v>
      </c>
      <c r="D21" s="5">
        <f t="shared" si="26"/>
        <v>914</v>
      </c>
      <c r="E21" s="5">
        <f t="shared" si="26"/>
        <v>1118</v>
      </c>
      <c r="F21" s="5">
        <f t="shared" si="26"/>
        <v>1328</v>
      </c>
      <c r="G21" s="5">
        <f t="shared" si="26"/>
        <v>1194</v>
      </c>
      <c r="H21" s="5">
        <f t="shared" si="26"/>
        <v>1197</v>
      </c>
      <c r="I21" s="5">
        <f t="shared" si="26"/>
        <v>1985</v>
      </c>
      <c r="J21" s="5">
        <f t="shared" si="26"/>
        <v>1711</v>
      </c>
      <c r="K21" s="5">
        <f t="shared" ref="K21:N21" si="27">K13-K20</f>
        <v>1730</v>
      </c>
      <c r="L21" s="5">
        <f t="shared" si="27"/>
        <v>2401</v>
      </c>
      <c r="M21" s="5">
        <f t="shared" si="27"/>
        <v>3243</v>
      </c>
      <c r="N21" s="5">
        <f t="shared" si="27"/>
        <v>4336</v>
      </c>
      <c r="O21" s="5">
        <f>O13-O20</f>
        <v>4600</v>
      </c>
      <c r="P21" s="5">
        <f>P13-P20</f>
        <v>3517</v>
      </c>
      <c r="Q21" s="5">
        <f>Q13-Q20</f>
        <v>4686</v>
      </c>
      <c r="R21" s="5">
        <f t="shared" ref="R21:V21" si="28">R13-R20</f>
        <v>5258.75</v>
      </c>
      <c r="S21" s="5">
        <f t="shared" si="28"/>
        <v>5429.9</v>
      </c>
      <c r="T21" s="5">
        <f t="shared" si="28"/>
        <v>4784.5</v>
      </c>
      <c r="U21" s="5">
        <f t="shared" si="28"/>
        <v>6224.75</v>
      </c>
      <c r="V21" s="5">
        <f t="shared" si="28"/>
        <v>7362.25</v>
      </c>
      <c r="AE21" s="4">
        <f t="shared" si="6"/>
        <v>18061.75</v>
      </c>
      <c r="AF21" s="4">
        <f t="shared" si="7"/>
        <v>23801.4</v>
      </c>
    </row>
    <row r="22" spans="2:32" s="4" customFormat="1" x14ac:dyDescent="0.2">
      <c r="B22" s="4" t="s">
        <v>41</v>
      </c>
      <c r="C22" s="5">
        <v>117</v>
      </c>
      <c r="D22" s="5">
        <v>106</v>
      </c>
      <c r="E22" s="5">
        <v>117</v>
      </c>
      <c r="F22" s="5">
        <v>119</v>
      </c>
      <c r="G22" s="5">
        <v>122</v>
      </c>
      <c r="H22" s="5">
        <v>148</v>
      </c>
      <c r="I22" s="5">
        <v>145</v>
      </c>
      <c r="J22" s="5">
        <v>148</v>
      </c>
      <c r="K22" s="5">
        <v>160</v>
      </c>
      <c r="L22" s="5">
        <v>188</v>
      </c>
      <c r="M22" s="5">
        <v>234</v>
      </c>
      <c r="N22" s="5">
        <v>396</v>
      </c>
      <c r="O22" s="5">
        <v>408</v>
      </c>
      <c r="P22" s="5">
        <v>369</v>
      </c>
      <c r="Q22" s="5">
        <v>381</v>
      </c>
      <c r="R22" s="5">
        <f>+N22*1.4</f>
        <v>554.4</v>
      </c>
      <c r="S22" s="5">
        <f t="shared" ref="S22:V22" si="29">+O22*1.4</f>
        <v>571.19999999999993</v>
      </c>
      <c r="T22" s="5">
        <f t="shared" si="29"/>
        <v>516.6</v>
      </c>
      <c r="U22" s="5">
        <f t="shared" si="29"/>
        <v>533.4</v>
      </c>
      <c r="V22" s="5">
        <f t="shared" si="29"/>
        <v>776.16</v>
      </c>
      <c r="AE22" s="4">
        <f t="shared" si="6"/>
        <v>1712.4</v>
      </c>
      <c r="AF22" s="4">
        <f t="shared" si="7"/>
        <v>2397.3599999999997</v>
      </c>
    </row>
    <row r="23" spans="2:32" s="4" customFormat="1" x14ac:dyDescent="0.2">
      <c r="B23" s="4" t="s">
        <v>42</v>
      </c>
      <c r="C23" s="5">
        <f t="shared" ref="C23:G23" si="30">C16-C22-C20</f>
        <v>751</v>
      </c>
      <c r="D23" s="5">
        <f t="shared" si="30"/>
        <v>1016</v>
      </c>
      <c r="E23" s="5">
        <f t="shared" si="30"/>
        <v>1222</v>
      </c>
      <c r="F23" s="5">
        <f t="shared" si="30"/>
        <v>1434</v>
      </c>
      <c r="G23" s="5">
        <f t="shared" si="30"/>
        <v>1311</v>
      </c>
      <c r="H23" s="5">
        <f t="shared" ref="H23" si="31">H16-H22-H20</f>
        <v>1317</v>
      </c>
      <c r="I23" s="5">
        <f t="shared" ref="I23:J23" si="32">I16-I22-I20</f>
        <v>2105</v>
      </c>
      <c r="J23" s="5">
        <f t="shared" si="32"/>
        <v>2244</v>
      </c>
      <c r="K23" s="5">
        <f>K16-K22-K20</f>
        <v>2385</v>
      </c>
      <c r="L23" s="5">
        <f t="shared" ref="L23:O23" si="33">L16-L22-L20</f>
        <v>2899</v>
      </c>
      <c r="M23" s="5">
        <f t="shared" si="33"/>
        <v>3673</v>
      </c>
      <c r="N23" s="5">
        <f t="shared" si="33"/>
        <v>4882</v>
      </c>
      <c r="O23" s="5">
        <f t="shared" si="33"/>
        <v>5539</v>
      </c>
      <c r="P23" s="5">
        <f>P16-P22-P20</f>
        <v>4080</v>
      </c>
      <c r="Q23" s="5">
        <f>Q16-Q22-Q20</f>
        <v>5212</v>
      </c>
      <c r="R23" s="5">
        <f t="shared" ref="R23:V23" si="34">R16-R22-R20</f>
        <v>6023.1499999999978</v>
      </c>
      <c r="S23" s="5">
        <f t="shared" si="34"/>
        <v>6744.4999999999982</v>
      </c>
      <c r="T23" s="5">
        <f t="shared" si="34"/>
        <v>5572.7000000000007</v>
      </c>
      <c r="U23" s="5">
        <f t="shared" si="34"/>
        <v>6961.1500000000015</v>
      </c>
      <c r="V23" s="5">
        <f t="shared" si="34"/>
        <v>8432.41</v>
      </c>
      <c r="AE23" s="4">
        <f t="shared" si="6"/>
        <v>20854.149999999998</v>
      </c>
      <c r="AF23" s="4">
        <f t="shared" si="7"/>
        <v>27710.76</v>
      </c>
    </row>
    <row r="24" spans="2:32" s="4" customFormat="1" x14ac:dyDescent="0.2">
      <c r="B24" s="4" t="s">
        <v>43</v>
      </c>
      <c r="C24" s="5">
        <v>316</v>
      </c>
      <c r="D24" s="5">
        <v>326</v>
      </c>
      <c r="E24" s="5">
        <v>314</v>
      </c>
      <c r="F24" s="5">
        <v>385</v>
      </c>
      <c r="G24" s="5">
        <v>282</v>
      </c>
      <c r="H24" s="5">
        <v>349</v>
      </c>
      <c r="I24" s="5">
        <v>558</v>
      </c>
      <c r="J24" s="5">
        <v>787</v>
      </c>
      <c r="K24" s="5">
        <v>595</v>
      </c>
      <c r="L24" s="5">
        <v>781</v>
      </c>
      <c r="M24" s="5">
        <v>803</v>
      </c>
      <c r="N24" s="5">
        <v>739</v>
      </c>
      <c r="O24" s="5">
        <v>688</v>
      </c>
      <c r="P24" s="5">
        <v>769</v>
      </c>
      <c r="Q24" s="5">
        <v>1013</v>
      </c>
      <c r="R24" s="5">
        <f>+N24*1.4</f>
        <v>1034.5999999999999</v>
      </c>
      <c r="S24" s="5">
        <f t="shared" ref="S24:S25" si="35">+O24*1.4</f>
        <v>963.19999999999993</v>
      </c>
      <c r="T24" s="5">
        <f t="shared" ref="T24:T25" si="36">+P24*1.4</f>
        <v>1076.5999999999999</v>
      </c>
      <c r="U24" s="5">
        <f t="shared" ref="U24:U25" si="37">+Q24*1.4</f>
        <v>1418.1999999999998</v>
      </c>
      <c r="V24" s="5">
        <f t="shared" ref="V24:V25" si="38">+R24*1.4</f>
        <v>1448.4399999999998</v>
      </c>
      <c r="AE24" s="4">
        <f t="shared" si="6"/>
        <v>3504.6</v>
      </c>
      <c r="AF24" s="4">
        <f t="shared" si="7"/>
        <v>4906.4399999999996</v>
      </c>
    </row>
    <row r="25" spans="2:32" s="4" customFormat="1" x14ac:dyDescent="0.2">
      <c r="B25" s="4" t="s">
        <v>44</v>
      </c>
      <c r="C25" s="5">
        <v>686</v>
      </c>
      <c r="D25" s="5">
        <v>743</v>
      </c>
      <c r="E25" s="5">
        <v>667</v>
      </c>
      <c r="F25" s="5">
        <v>674</v>
      </c>
      <c r="G25" s="5">
        <v>648</v>
      </c>
      <c r="H25" s="5">
        <v>558</v>
      </c>
      <c r="I25" s="5">
        <v>644</v>
      </c>
      <c r="J25" s="5">
        <v>821</v>
      </c>
      <c r="K25" s="5">
        <v>962</v>
      </c>
      <c r="L25" s="5">
        <v>986</v>
      </c>
      <c r="M25" s="5">
        <v>910</v>
      </c>
      <c r="N25" s="5">
        <v>1048</v>
      </c>
      <c r="O25" s="5">
        <v>1286</v>
      </c>
      <c r="P25" s="5">
        <v>1410</v>
      </c>
      <c r="Q25" s="5">
        <v>1579</v>
      </c>
      <c r="R25" s="5">
        <f t="shared" ref="R25" si="39">+N25*1.4</f>
        <v>1467.1999999999998</v>
      </c>
      <c r="S25" s="5">
        <f t="shared" si="35"/>
        <v>1800.3999999999999</v>
      </c>
      <c r="T25" s="5">
        <f t="shared" si="36"/>
        <v>1973.9999999999998</v>
      </c>
      <c r="U25" s="5">
        <f t="shared" si="37"/>
        <v>2210.6</v>
      </c>
      <c r="V25" s="5">
        <f t="shared" si="38"/>
        <v>2054.0799999999995</v>
      </c>
      <c r="AE25" s="4">
        <f t="shared" si="6"/>
        <v>5742.2</v>
      </c>
      <c r="AF25" s="4">
        <f t="shared" si="7"/>
        <v>8039.08</v>
      </c>
    </row>
    <row r="26" spans="2:32" s="4" customFormat="1" x14ac:dyDescent="0.2">
      <c r="B26" s="4" t="s">
        <v>45</v>
      </c>
      <c r="C26" s="5">
        <f t="shared" ref="C26:G26" si="40">C23+C17+C18-C24-C25</f>
        <v>566</v>
      </c>
      <c r="D26" s="5">
        <f t="shared" si="40"/>
        <v>921</v>
      </c>
      <c r="E26" s="5">
        <f t="shared" si="40"/>
        <v>1191</v>
      </c>
      <c r="F26" s="5">
        <f t="shared" si="40"/>
        <v>1391</v>
      </c>
      <c r="G26" s="5">
        <f t="shared" si="40"/>
        <v>1234</v>
      </c>
      <c r="H26" s="5">
        <f t="shared" ref="H26" si="41">H23+H17+H18-H24-H25</f>
        <v>1267</v>
      </c>
      <c r="I26" s="5">
        <f t="shared" ref="I26:P26" si="42">I23+I17+I18-I24-I25</f>
        <v>2063</v>
      </c>
      <c r="J26" s="5">
        <f t="shared" si="42"/>
        <v>2066</v>
      </c>
      <c r="K26" s="5">
        <f t="shared" si="42"/>
        <v>2215</v>
      </c>
      <c r="L26" s="5">
        <f t="shared" si="42"/>
        <v>2884</v>
      </c>
      <c r="M26" s="5">
        <f t="shared" si="42"/>
        <v>3660</v>
      </c>
      <c r="N26" s="5">
        <f t="shared" si="42"/>
        <v>4847</v>
      </c>
      <c r="O26" s="5">
        <f t="shared" si="42"/>
        <v>5460</v>
      </c>
      <c r="P26" s="5">
        <f t="shared" si="42"/>
        <v>4233</v>
      </c>
      <c r="Q26" s="5">
        <f>Q23+Q17+Q18-Q24-Q25</f>
        <v>5382</v>
      </c>
      <c r="R26" s="5">
        <f>+R19*0.25</f>
        <v>6201.65</v>
      </c>
      <c r="S26" s="5">
        <f t="shared" ref="S26:V26" si="43">+S19*0.25</f>
        <v>6564.5999999999995</v>
      </c>
      <c r="T26" s="5">
        <f t="shared" si="43"/>
        <v>5926.9000000000005</v>
      </c>
      <c r="U26" s="5">
        <f t="shared" si="43"/>
        <v>7508.9000000000005</v>
      </c>
      <c r="V26" s="5">
        <f t="shared" si="43"/>
        <v>8682.31</v>
      </c>
      <c r="AE26" s="5">
        <f t="shared" ref="AE26" si="44">+AE19*0.25</f>
        <v>20487.650000000001</v>
      </c>
      <c r="AF26" s="4">
        <f t="shared" si="7"/>
        <v>28682.71</v>
      </c>
    </row>
    <row r="27" spans="2:32" s="4" customFormat="1" x14ac:dyDescent="0.2">
      <c r="B27" s="4" t="s">
        <v>46</v>
      </c>
      <c r="C27" s="5">
        <v>340</v>
      </c>
      <c r="D27" s="5">
        <v>324</v>
      </c>
      <c r="E27" s="5">
        <v>334</v>
      </c>
      <c r="F27" s="5">
        <v>345</v>
      </c>
      <c r="G27" s="5">
        <v>324</v>
      </c>
      <c r="H27" s="5">
        <v>279</v>
      </c>
      <c r="I27" s="5">
        <v>366</v>
      </c>
      <c r="J27" s="5">
        <v>522</v>
      </c>
      <c r="K27" s="5">
        <v>666</v>
      </c>
      <c r="L27" s="5">
        <v>576</v>
      </c>
      <c r="M27" s="5">
        <v>611</v>
      </c>
      <c r="N27" s="5">
        <v>740</v>
      </c>
      <c r="O27" s="5">
        <v>865</v>
      </c>
      <c r="P27" s="5">
        <v>667</v>
      </c>
      <c r="Q27" s="5">
        <v>733</v>
      </c>
      <c r="R27" s="5">
        <f>+N27*1.3</f>
        <v>962</v>
      </c>
      <c r="S27" s="5">
        <f t="shared" ref="S27" si="45">+O27*1.3</f>
        <v>1124.5</v>
      </c>
      <c r="T27" s="5">
        <f t="shared" ref="T27" si="46">+P27*1.3</f>
        <v>867.1</v>
      </c>
      <c r="U27" s="5">
        <f t="shared" ref="U27" si="47">+Q27*1.3</f>
        <v>952.9</v>
      </c>
      <c r="V27" s="5">
        <f t="shared" ref="V27" si="48">+R27*1.3</f>
        <v>1250.6000000000001</v>
      </c>
      <c r="AF27" s="4">
        <f t="shared" si="7"/>
        <v>4195.1000000000004</v>
      </c>
    </row>
    <row r="28" spans="2:32" s="4" customFormat="1" x14ac:dyDescent="0.2">
      <c r="B28" s="4" t="s">
        <v>47</v>
      </c>
      <c r="C28" s="5">
        <v>704</v>
      </c>
      <c r="D28" s="5">
        <v>647</v>
      </c>
      <c r="E28" s="5">
        <v>596</v>
      </c>
      <c r="F28" s="5">
        <v>699</v>
      </c>
      <c r="G28" s="5">
        <v>627</v>
      </c>
      <c r="H28" s="5">
        <v>661</v>
      </c>
      <c r="I28" s="5">
        <v>888</v>
      </c>
      <c r="J28" s="5">
        <v>969</v>
      </c>
      <c r="K28" s="5">
        <v>1056</v>
      </c>
      <c r="L28" s="5">
        <v>973</v>
      </c>
      <c r="M28" s="5">
        <v>994</v>
      </c>
      <c r="N28" s="5">
        <v>1494</v>
      </c>
      <c r="O28" s="5">
        <v>992</v>
      </c>
      <c r="P28" s="5">
        <v>961</v>
      </c>
      <c r="Q28" s="5">
        <v>961</v>
      </c>
      <c r="R28" s="5">
        <f>+N28*1.2</f>
        <v>1792.8</v>
      </c>
      <c r="S28" s="5">
        <f t="shared" ref="S28:V28" si="49">+O28*1.2</f>
        <v>1190.3999999999999</v>
      </c>
      <c r="T28" s="5">
        <f t="shared" si="49"/>
        <v>1153.2</v>
      </c>
      <c r="U28" s="5">
        <f t="shared" si="49"/>
        <v>1153.2</v>
      </c>
      <c r="V28" s="5">
        <f t="shared" si="49"/>
        <v>2151.3599999999997</v>
      </c>
      <c r="AF28" s="4">
        <f t="shared" si="7"/>
        <v>5648.16</v>
      </c>
    </row>
    <row r="29" spans="2:32" s="4" customFormat="1" x14ac:dyDescent="0.2">
      <c r="B29" s="4" t="s">
        <v>48</v>
      </c>
      <c r="C29" s="5">
        <f t="shared" ref="C29" si="50">C27+C28</f>
        <v>1044</v>
      </c>
      <c r="D29" s="5">
        <f t="shared" ref="D29:E29" si="51">D27+D28</f>
        <v>971</v>
      </c>
      <c r="E29" s="5">
        <f t="shared" si="51"/>
        <v>930</v>
      </c>
      <c r="F29" s="5">
        <f t="shared" ref="F29:H29" si="52">F27+F28</f>
        <v>1044</v>
      </c>
      <c r="G29" s="5">
        <f t="shared" si="52"/>
        <v>951</v>
      </c>
      <c r="H29" s="5">
        <f t="shared" si="52"/>
        <v>940</v>
      </c>
      <c r="I29" s="5">
        <f t="shared" ref="I29:J29" si="53">I27+I28</f>
        <v>1254</v>
      </c>
      <c r="J29" s="5">
        <f t="shared" si="53"/>
        <v>1491</v>
      </c>
      <c r="K29" s="5">
        <f t="shared" ref="K29:N29" si="54">K27+K28</f>
        <v>1722</v>
      </c>
      <c r="L29" s="5">
        <f t="shared" si="54"/>
        <v>1549</v>
      </c>
      <c r="M29" s="5">
        <f t="shared" si="54"/>
        <v>1605</v>
      </c>
      <c r="N29" s="5">
        <f t="shared" si="54"/>
        <v>2234</v>
      </c>
      <c r="O29" s="5">
        <f>O27+O28</f>
        <v>1857</v>
      </c>
      <c r="P29" s="5">
        <f>P27+P28</f>
        <v>1628</v>
      </c>
      <c r="Q29" s="5">
        <f>Q27+Q28</f>
        <v>1694</v>
      </c>
      <c r="R29" s="5">
        <f t="shared" ref="R29:V29" si="55">R27+R28</f>
        <v>2754.8</v>
      </c>
      <c r="S29" s="5">
        <f t="shared" si="55"/>
        <v>2314.8999999999996</v>
      </c>
      <c r="T29" s="5">
        <f t="shared" si="55"/>
        <v>2020.3000000000002</v>
      </c>
      <c r="U29" s="5">
        <f t="shared" si="55"/>
        <v>2106.1</v>
      </c>
      <c r="V29" s="5">
        <f t="shared" si="55"/>
        <v>3401.96</v>
      </c>
      <c r="AF29" s="4">
        <f>+AF27+AF28</f>
        <v>9843.26</v>
      </c>
    </row>
    <row r="30" spans="2:32" s="4" customFormat="1" x14ac:dyDescent="0.2">
      <c r="B30" s="4" t="s">
        <v>49</v>
      </c>
      <c r="C30" s="5">
        <f t="shared" ref="C30" si="56">C26-C29</f>
        <v>-478</v>
      </c>
      <c r="D30" s="5">
        <f t="shared" ref="D30:E30" si="57">D26-D29</f>
        <v>-50</v>
      </c>
      <c r="E30" s="5">
        <f t="shared" si="57"/>
        <v>261</v>
      </c>
      <c r="F30" s="5">
        <f t="shared" ref="F30:H30" si="58">F26-F29</f>
        <v>347</v>
      </c>
      <c r="G30" s="5">
        <f t="shared" si="58"/>
        <v>283</v>
      </c>
      <c r="H30" s="5">
        <f t="shared" si="58"/>
        <v>327</v>
      </c>
      <c r="I30" s="5">
        <f t="shared" ref="I30:J30" si="59">I26-I29</f>
        <v>809</v>
      </c>
      <c r="J30" s="5">
        <f t="shared" si="59"/>
        <v>575</v>
      </c>
      <c r="K30" s="5">
        <f t="shared" ref="K30:N30" si="60">K26-K29</f>
        <v>493</v>
      </c>
      <c r="L30" s="5">
        <f t="shared" si="60"/>
        <v>1335</v>
      </c>
      <c r="M30" s="5">
        <f t="shared" si="60"/>
        <v>2055</v>
      </c>
      <c r="N30" s="5">
        <f t="shared" si="60"/>
        <v>2613</v>
      </c>
      <c r="O30" s="5">
        <f>O26-O29</f>
        <v>3603</v>
      </c>
      <c r="P30" s="5">
        <f>P26-P29</f>
        <v>2605</v>
      </c>
      <c r="Q30" s="5">
        <f>Q26-Q29</f>
        <v>3688</v>
      </c>
      <c r="R30" s="5">
        <f t="shared" ref="R30:V30" si="61">R26-R29</f>
        <v>3446.8499999999995</v>
      </c>
      <c r="S30" s="5">
        <f t="shared" si="61"/>
        <v>4249.7</v>
      </c>
      <c r="T30" s="5">
        <f t="shared" si="61"/>
        <v>3906.6000000000004</v>
      </c>
      <c r="U30" s="5">
        <f t="shared" si="61"/>
        <v>5402.8000000000011</v>
      </c>
      <c r="V30" s="5">
        <f t="shared" si="61"/>
        <v>5280.3499999999995</v>
      </c>
      <c r="AF30" s="5">
        <f t="shared" ref="AF30" si="62">AF26-AF29</f>
        <v>18839.449999999997</v>
      </c>
    </row>
    <row r="31" spans="2:32" s="4" customFormat="1" x14ac:dyDescent="0.2">
      <c r="B31" s="4" t="s">
        <v>50</v>
      </c>
      <c r="C31" s="5">
        <f>9-158+26</f>
        <v>-123</v>
      </c>
      <c r="D31" s="5">
        <f>10-172-41</f>
        <v>-203</v>
      </c>
      <c r="E31" s="5">
        <f>15-185+85</f>
        <v>-85</v>
      </c>
      <c r="F31" s="5">
        <f>10-172-25</f>
        <v>-187</v>
      </c>
      <c r="G31" s="5">
        <f>10-169-54</f>
        <v>-213</v>
      </c>
      <c r="H31" s="5">
        <f>8-170-15</f>
        <v>-177</v>
      </c>
      <c r="I31" s="5">
        <f>6-163-97</f>
        <v>-254</v>
      </c>
      <c r="J31" s="5">
        <f>6-246+44</f>
        <v>-196</v>
      </c>
      <c r="K31" s="5">
        <f>10-99+28</f>
        <v>-61</v>
      </c>
      <c r="L31" s="5">
        <f>11-75+45</f>
        <v>-19</v>
      </c>
      <c r="M31" s="5">
        <f>10-126-6</f>
        <v>-122</v>
      </c>
      <c r="N31" s="5">
        <f>25-71+68</f>
        <v>22</v>
      </c>
      <c r="O31" s="5">
        <f>28-61+56</f>
        <v>23</v>
      </c>
      <c r="P31" s="5">
        <f>-26-44+28</f>
        <v>-42</v>
      </c>
      <c r="Q31" s="5">
        <f>86-53-85</f>
        <v>-52</v>
      </c>
      <c r="R31" s="5"/>
      <c r="S31" s="5"/>
      <c r="T31" s="5"/>
      <c r="U31" s="5"/>
      <c r="V31" s="5"/>
      <c r="AF31" s="4">
        <f t="shared" si="7"/>
        <v>0</v>
      </c>
    </row>
    <row r="32" spans="2:32" s="4" customFormat="1" x14ac:dyDescent="0.2">
      <c r="B32" s="4" t="s">
        <v>51</v>
      </c>
      <c r="C32" s="5">
        <f t="shared" ref="C32:J32" si="63">C30+C31</f>
        <v>-601</v>
      </c>
      <c r="D32" s="5">
        <f t="shared" si="63"/>
        <v>-253</v>
      </c>
      <c r="E32" s="5">
        <f t="shared" si="63"/>
        <v>176</v>
      </c>
      <c r="F32" s="5">
        <f t="shared" si="63"/>
        <v>160</v>
      </c>
      <c r="G32" s="5">
        <f t="shared" si="63"/>
        <v>70</v>
      </c>
      <c r="H32" s="5">
        <f t="shared" si="63"/>
        <v>150</v>
      </c>
      <c r="I32" s="5">
        <f t="shared" si="63"/>
        <v>555</v>
      </c>
      <c r="J32" s="5">
        <f t="shared" si="63"/>
        <v>379</v>
      </c>
      <c r="K32" s="5">
        <f t="shared" ref="K32:N32" si="64">K30+K31</f>
        <v>432</v>
      </c>
      <c r="L32" s="5">
        <f t="shared" si="64"/>
        <v>1316</v>
      </c>
      <c r="M32" s="5">
        <f t="shared" si="64"/>
        <v>1933</v>
      </c>
      <c r="N32" s="5">
        <f t="shared" si="64"/>
        <v>2635</v>
      </c>
      <c r="O32" s="5">
        <f>O30+O31</f>
        <v>3626</v>
      </c>
      <c r="P32" s="5">
        <f>P30+P31</f>
        <v>2563</v>
      </c>
      <c r="Q32" s="5">
        <f>Q30+Q31</f>
        <v>3636</v>
      </c>
      <c r="R32" s="5">
        <f t="shared" ref="R32:V32" si="65">R30+R31</f>
        <v>3446.8499999999995</v>
      </c>
      <c r="S32" s="5">
        <f t="shared" si="65"/>
        <v>4249.7</v>
      </c>
      <c r="T32" s="5">
        <f t="shared" si="65"/>
        <v>3906.6000000000004</v>
      </c>
      <c r="U32" s="5">
        <f t="shared" si="65"/>
        <v>5402.8000000000011</v>
      </c>
      <c r="V32" s="5">
        <f t="shared" si="65"/>
        <v>5280.3499999999995</v>
      </c>
      <c r="AF32" s="4">
        <f>+AF30+AF31</f>
        <v>18839.449999999997</v>
      </c>
    </row>
    <row r="33" spans="2:32" s="4" customFormat="1" x14ac:dyDescent="0.2">
      <c r="B33" s="4" t="s">
        <v>52</v>
      </c>
      <c r="C33" s="5">
        <f>23+34</f>
        <v>57</v>
      </c>
      <c r="D33" s="5">
        <f>19+19</f>
        <v>38</v>
      </c>
      <c r="E33" s="5">
        <f>26+7</f>
        <v>33</v>
      </c>
      <c r="F33" s="5">
        <f>42+27</f>
        <v>69</v>
      </c>
      <c r="G33" s="5">
        <f>2+52</f>
        <v>54</v>
      </c>
      <c r="H33" s="5">
        <f>21+25</f>
        <v>46</v>
      </c>
      <c r="I33" s="5">
        <f>186+38+31</f>
        <v>255</v>
      </c>
      <c r="J33" s="8">
        <f>83+26</f>
        <v>109</v>
      </c>
      <c r="K33" s="5">
        <f>69+26</f>
        <v>95</v>
      </c>
      <c r="L33" s="5">
        <f>115+36</f>
        <v>151</v>
      </c>
      <c r="M33" s="5">
        <f>223+41</f>
        <v>264</v>
      </c>
      <c r="N33" s="5">
        <f>292+22</f>
        <v>314</v>
      </c>
      <c r="O33" s="5">
        <f>346-38</f>
        <v>308</v>
      </c>
      <c r="P33" s="5">
        <f>205+10</f>
        <v>215</v>
      </c>
      <c r="Q33" s="5">
        <v>305</v>
      </c>
      <c r="R33" s="5">
        <f>+R32*0.1</f>
        <v>344.68499999999995</v>
      </c>
      <c r="S33" s="5">
        <f t="shared" ref="S33:V33" si="66">+S32*0.1</f>
        <v>424.97</v>
      </c>
      <c r="T33" s="5">
        <f t="shared" si="66"/>
        <v>390.66000000000008</v>
      </c>
      <c r="U33" s="5">
        <f t="shared" si="66"/>
        <v>540.28000000000009</v>
      </c>
      <c r="V33" s="5">
        <f t="shared" si="66"/>
        <v>528.03499999999997</v>
      </c>
      <c r="AF33" s="4">
        <f t="shared" si="7"/>
        <v>1883.9450000000002</v>
      </c>
    </row>
    <row r="34" spans="2:32" s="4" customFormat="1" x14ac:dyDescent="0.2">
      <c r="B34" s="4" t="s">
        <v>53</v>
      </c>
      <c r="C34" s="5">
        <f t="shared" ref="C34:J34" si="67">C32-C33</f>
        <v>-658</v>
      </c>
      <c r="D34" s="5">
        <f t="shared" si="67"/>
        <v>-291</v>
      </c>
      <c r="E34" s="5">
        <f t="shared" si="67"/>
        <v>143</v>
      </c>
      <c r="F34" s="5">
        <f t="shared" si="67"/>
        <v>91</v>
      </c>
      <c r="G34" s="5">
        <f t="shared" si="67"/>
        <v>16</v>
      </c>
      <c r="H34" s="5">
        <f t="shared" si="67"/>
        <v>104</v>
      </c>
      <c r="I34" s="5">
        <f t="shared" si="67"/>
        <v>300</v>
      </c>
      <c r="J34" s="5">
        <f t="shared" si="67"/>
        <v>270</v>
      </c>
      <c r="K34" s="5">
        <f t="shared" ref="K34:N34" si="68">K32-K33</f>
        <v>337</v>
      </c>
      <c r="L34" s="5">
        <f t="shared" si="68"/>
        <v>1165</v>
      </c>
      <c r="M34" s="5">
        <f t="shared" si="68"/>
        <v>1669</v>
      </c>
      <c r="N34" s="5">
        <f t="shared" si="68"/>
        <v>2321</v>
      </c>
      <c r="O34" s="5">
        <f>O32-O33</f>
        <v>3318</v>
      </c>
      <c r="P34" s="5">
        <f>P32-P33</f>
        <v>2348</v>
      </c>
      <c r="Q34" s="5">
        <f>Q32-Q33</f>
        <v>3331</v>
      </c>
      <c r="R34" s="5">
        <f t="shared" ref="R34:V34" si="69">R32-R33</f>
        <v>3102.1649999999995</v>
      </c>
      <c r="S34" s="5">
        <f t="shared" si="69"/>
        <v>3824.7299999999996</v>
      </c>
      <c r="T34" s="5">
        <f t="shared" si="69"/>
        <v>3515.9400000000005</v>
      </c>
      <c r="U34" s="5">
        <f t="shared" si="69"/>
        <v>4862.5200000000013</v>
      </c>
      <c r="V34" s="5">
        <f t="shared" si="69"/>
        <v>4752.3149999999996</v>
      </c>
      <c r="AF34" s="4">
        <f>+AF32-AF33</f>
        <v>16955.504999999997</v>
      </c>
    </row>
    <row r="35" spans="2:32" x14ac:dyDescent="0.2">
      <c r="B35" s="1" t="s">
        <v>54</v>
      </c>
      <c r="C35" s="3">
        <f t="shared" ref="C35:G35" si="70">C34/C36</f>
        <v>-0.76069364161849706</v>
      </c>
      <c r="D35" s="3">
        <f t="shared" si="70"/>
        <v>-0.32881355932203388</v>
      </c>
      <c r="E35" s="3">
        <f t="shared" si="70"/>
        <v>0.15509761388286333</v>
      </c>
      <c r="F35" s="3">
        <f t="shared" si="70"/>
        <v>9.8913043478260868E-2</v>
      </c>
      <c r="G35" s="3">
        <f t="shared" si="70"/>
        <v>1.7112299465240642E-2</v>
      </c>
      <c r="H35" s="3">
        <f t="shared" ref="H35" si="71">H34/H36</f>
        <v>0.10048309178743961</v>
      </c>
      <c r="I35" s="3">
        <f t="shared" ref="I35:K35" si="72">I34/I36</f>
        <v>0.27149321266968324</v>
      </c>
      <c r="J35" s="3">
        <f t="shared" si="72"/>
        <v>0.2402135231316726</v>
      </c>
      <c r="K35" s="3">
        <f t="shared" si="72"/>
        <v>0.29744042365401591</v>
      </c>
      <c r="L35" s="3">
        <f t="shared" ref="L35" si="73">L34/L36</f>
        <v>1.0411081322609472</v>
      </c>
      <c r="M35" s="3">
        <f t="shared" ref="M35" si="74">M34/M36</f>
        <v>1.4861976847729297</v>
      </c>
      <c r="N35" s="3">
        <f t="shared" ref="N35" si="75">N34/N36</f>
        <v>2.044933920704846</v>
      </c>
      <c r="O35" s="3">
        <f t="shared" ref="O35:Q35" si="76">O34/O36</f>
        <v>2.867761452031115</v>
      </c>
      <c r="P35" s="3">
        <f t="shared" si="76"/>
        <v>2.032900432900433</v>
      </c>
      <c r="Q35" s="3">
        <f t="shared" si="76"/>
        <v>0.96049596309111884</v>
      </c>
      <c r="R35" s="3">
        <f t="shared" ref="R35:V35" si="77">R34/R36</f>
        <v>0.89451124567474039</v>
      </c>
      <c r="S35" s="3">
        <f t="shared" si="77"/>
        <v>1.1028633217993078</v>
      </c>
      <c r="T35" s="3">
        <f t="shared" si="77"/>
        <v>1.0138235294117648</v>
      </c>
      <c r="U35" s="3">
        <f t="shared" si="77"/>
        <v>1.402110726643599</v>
      </c>
      <c r="V35" s="3">
        <f t="shared" si="77"/>
        <v>1.3703330449826989</v>
      </c>
      <c r="AF35" s="21">
        <f>+AF34/AF36</f>
        <v>4.8891306228373699</v>
      </c>
    </row>
    <row r="36" spans="2:32" s="4" customFormat="1" x14ac:dyDescent="0.2">
      <c r="B36" s="4" t="s">
        <v>1</v>
      </c>
      <c r="C36" s="5">
        <f>173*5</f>
        <v>865</v>
      </c>
      <c r="D36" s="5">
        <f>177*5</f>
        <v>885</v>
      </c>
      <c r="E36" s="5">
        <v>922</v>
      </c>
      <c r="F36" s="5">
        <f>184*5</f>
        <v>920</v>
      </c>
      <c r="G36" s="5">
        <f>187*5</f>
        <v>935</v>
      </c>
      <c r="H36" s="5">
        <f>207*5</f>
        <v>1035</v>
      </c>
      <c r="I36" s="5">
        <v>1105</v>
      </c>
      <c r="J36" s="5">
        <v>1124</v>
      </c>
      <c r="K36" s="5">
        <v>1133</v>
      </c>
      <c r="L36" s="5">
        <v>1119</v>
      </c>
      <c r="M36" s="5">
        <v>1123</v>
      </c>
      <c r="N36" s="5">
        <v>1135</v>
      </c>
      <c r="O36" s="5">
        <v>1157</v>
      </c>
      <c r="P36" s="5">
        <v>1155</v>
      </c>
      <c r="Q36" s="5">
        <v>3468</v>
      </c>
      <c r="R36" s="5">
        <f>+Q36</f>
        <v>3468</v>
      </c>
      <c r="S36" s="5">
        <f t="shared" ref="S36:V36" si="78">+R36</f>
        <v>3468</v>
      </c>
      <c r="T36" s="5">
        <f t="shared" si="78"/>
        <v>3468</v>
      </c>
      <c r="U36" s="5">
        <f t="shared" si="78"/>
        <v>3468</v>
      </c>
      <c r="V36" s="5">
        <f t="shared" si="78"/>
        <v>3468</v>
      </c>
      <c r="AF36" s="4">
        <f>AVERAGE(S36:V36)</f>
        <v>3468</v>
      </c>
    </row>
    <row r="38" spans="2:32" s="25" customFormat="1" x14ac:dyDescent="0.2">
      <c r="B38" s="25" t="s">
        <v>89</v>
      </c>
      <c r="C38" s="26"/>
      <c r="D38" s="26"/>
      <c r="E38" s="26"/>
      <c r="F38" s="26"/>
      <c r="G38" s="23">
        <f>G19/C19-1</f>
        <v>0.31799163179916312</v>
      </c>
      <c r="H38" s="23">
        <f t="shared" ref="H38" si="79">H19/D19-1</f>
        <v>-4.9448818897637747E-2</v>
      </c>
      <c r="I38" s="23">
        <f t="shared" ref="I38" si="80">I19/E19-1</f>
        <v>0.39155957480564818</v>
      </c>
      <c r="J38" s="23">
        <f t="shared" ref="J38" si="81">J19/F19-1</f>
        <v>0.45503791982665232</v>
      </c>
      <c r="K38" s="23">
        <f t="shared" ref="K38" si="82">K19/G19-1</f>
        <v>0.73583959899749374</v>
      </c>
      <c r="L38" s="23">
        <f t="shared" ref="L38:M38" si="83">L19/H19-1</f>
        <v>0.98111332007952279</v>
      </c>
      <c r="M38" s="23">
        <f t="shared" si="83"/>
        <v>0.56846425721126437</v>
      </c>
      <c r="N38" s="23">
        <f t="shared" ref="N38:O38" si="84">N19/J19-1</f>
        <v>0.64919955323901712</v>
      </c>
      <c r="O38" s="23">
        <f t="shared" si="84"/>
        <v>0.80537106555010096</v>
      </c>
      <c r="P38" s="23">
        <f>P19/L19-1</f>
        <v>0.41612309750794441</v>
      </c>
      <c r="Q38" s="23">
        <f>Q19/M19-1</f>
        <v>0.55949698335392894</v>
      </c>
      <c r="R38" s="23">
        <f>R19/N19-1</f>
        <v>0.39999999999999991</v>
      </c>
      <c r="S38" s="23">
        <f t="shared" ref="S38:V38" si="85">S19/O19-1</f>
        <v>0.39999999999999991</v>
      </c>
      <c r="T38" s="23">
        <f t="shared" si="85"/>
        <v>0.40000000000000013</v>
      </c>
      <c r="U38" s="23">
        <f t="shared" si="85"/>
        <v>0.40000000000000013</v>
      </c>
      <c r="V38" s="23">
        <f t="shared" si="85"/>
        <v>0.39999999999999991</v>
      </c>
      <c r="AC38" s="27">
        <f>+AC19/AB19-1</f>
        <v>0.28309870615998056</v>
      </c>
      <c r="AD38" s="27">
        <f>+AD19/AC19-1</f>
        <v>0.70671613394216126</v>
      </c>
      <c r="AE38" s="27">
        <f>+AE19/AD19-1</f>
        <v>0.52259442989056737</v>
      </c>
      <c r="AF38" s="27">
        <f>+AF19/AE19-1</f>
        <v>0.39999999999999991</v>
      </c>
    </row>
    <row r="39" spans="2:32" x14ac:dyDescent="0.2">
      <c r="B39" s="22" t="s">
        <v>92</v>
      </c>
      <c r="G39" s="17">
        <f t="shared" ref="G39" si="86">+G5/C5-1</f>
        <v>0.40427490122026688</v>
      </c>
      <c r="H39" s="17">
        <f t="shared" ref="H39" si="87">+H5/D5-1</f>
        <v>-4.9351902344897058E-2</v>
      </c>
      <c r="I39" s="17">
        <f t="shared" ref="I39" si="88">+I5/E5-1</f>
        <v>0.43333401930319182</v>
      </c>
      <c r="J39" s="17">
        <f t="shared" ref="J39" si="89">+J5/F5-1</f>
        <v>0.61086578348722065</v>
      </c>
      <c r="K39" s="17">
        <f t="shared" ref="K39" si="90">+K5/G5-1</f>
        <v>1.088229976496113</v>
      </c>
      <c r="L39" s="17">
        <f t="shared" ref="L39" si="91">+L5/H5-1</f>
        <v>1.2200772200772199</v>
      </c>
      <c r="M39" s="17">
        <f t="shared" ref="M39" si="92">+M5/I5-1</f>
        <v>0.73223259152907394</v>
      </c>
      <c r="N39" s="17">
        <f t="shared" ref="N39:Q39" si="93">+N5/J5-1</f>
        <v>0.70903250816857732</v>
      </c>
      <c r="O39" s="17">
        <f t="shared" si="93"/>
        <v>0.67774891774891777</v>
      </c>
      <c r="P39" s="17">
        <f t="shared" si="93"/>
        <v>0.26556521739130434</v>
      </c>
      <c r="Q39" s="17">
        <f t="shared" si="93"/>
        <v>0.42490675507666809</v>
      </c>
      <c r="R39" s="17">
        <f>+R5/N5-1</f>
        <v>0.31327932598833441</v>
      </c>
      <c r="S39" s="17"/>
      <c r="T39" s="17"/>
      <c r="U39" s="17"/>
      <c r="V39" s="17"/>
      <c r="AC39" s="28">
        <f>+AC5/AB5-1</f>
        <v>0.35729051069477991</v>
      </c>
      <c r="AD39" s="28">
        <f>+AD5/AC5-1</f>
        <v>0.87559116340959009</v>
      </c>
      <c r="AE39" s="28">
        <f>+AE5/AD5-1</f>
        <v>0.403761953095785</v>
      </c>
      <c r="AF39" s="28">
        <f t="shared" ref="AF39" si="94">+AF5/AE5-1</f>
        <v>0.35000000000000009</v>
      </c>
    </row>
    <row r="40" spans="2:32" x14ac:dyDescent="0.2">
      <c r="B40" s="22" t="s">
        <v>93</v>
      </c>
      <c r="G40" s="17">
        <f t="shared" ref="G40" si="95">+G10/C10-1</f>
        <v>0.33101713811610356</v>
      </c>
      <c r="H40" s="17">
        <f t="shared" ref="H40" si="96">+H10/D10-1</f>
        <v>-5.4866280672732248E-2</v>
      </c>
      <c r="I40" s="17">
        <f t="shared" ref="I40" si="97">+I10/E10-1</f>
        <v>0.50835629972440333</v>
      </c>
      <c r="J40" s="17">
        <f t="shared" ref="J40" si="98">+J10/F10-1</f>
        <v>0.71375046476818782</v>
      </c>
      <c r="K40" s="17">
        <f t="shared" ref="K40" si="99">+K10/G10-1</f>
        <v>0.75644771700171409</v>
      </c>
      <c r="L40" s="17">
        <f t="shared" ref="L40" si="100">+L10/H10-1</f>
        <v>1.5090067094515751</v>
      </c>
      <c r="M40" s="17">
        <f t="shared" ref="M40" si="101">+M10/I10-1</f>
        <v>0.63975150996993846</v>
      </c>
      <c r="N40" s="17">
        <f>+N10/J10-1</f>
        <v>0.7014080119272128</v>
      </c>
      <c r="O40" s="17">
        <f>+O10/K10-1</f>
        <v>0.69352549102241356</v>
      </c>
      <c r="P40" s="17">
        <f>+P10/L10-1</f>
        <v>0.25268262434539124</v>
      </c>
      <c r="Q40" s="17">
        <f>+Q10/M10-1</f>
        <v>0.53863587626091669</v>
      </c>
      <c r="R40" s="17">
        <f>+R10/N10-1</f>
        <v>0.43768310227569973</v>
      </c>
      <c r="S40" s="17"/>
      <c r="T40" s="17"/>
      <c r="U40" s="17"/>
      <c r="V40" s="17"/>
      <c r="AC40" s="28">
        <f t="shared" ref="AC40:AD40" si="102">+AC10/AB10-1</f>
        <v>0.39565262627590125</v>
      </c>
      <c r="AD40" s="28">
        <f t="shared" si="102"/>
        <v>0.8252981439448186</v>
      </c>
      <c r="AE40" s="28">
        <f>+AE10/AD10-1</f>
        <v>0.47203204567389845</v>
      </c>
      <c r="AF40" s="28">
        <f t="shared" ref="AF40" si="103">+AF10/AE10-1</f>
        <v>0.35000000000000009</v>
      </c>
    </row>
    <row r="41" spans="2:32" x14ac:dyDescent="0.2">
      <c r="B41" s="20" t="s">
        <v>91</v>
      </c>
      <c r="G41" s="17">
        <f t="shared" ref="G41:K41" si="104">G13/C13-1</f>
        <v>0.39441436306640076</v>
      </c>
      <c r="H41" s="17">
        <f t="shared" si="104"/>
        <v>-4.9729102167182626E-2</v>
      </c>
      <c r="I41" s="17">
        <f t="shared" si="104"/>
        <v>0.43141075604053003</v>
      </c>
      <c r="J41" s="17">
        <f t="shared" si="104"/>
        <v>0.4053394107113788</v>
      </c>
      <c r="K41" s="17">
        <f t="shared" si="104"/>
        <v>0.67320662170447587</v>
      </c>
      <c r="L41" s="17">
        <f>L13/H13-1</f>
        <v>0.9385053960496843</v>
      </c>
      <c r="M41" s="17">
        <f t="shared" ref="M41" si="105">M13/I13-1</f>
        <v>0.55091206098557044</v>
      </c>
      <c r="N41" s="17">
        <f>N13/J13-1</f>
        <v>0.74041468782578468</v>
      </c>
      <c r="O41" s="17">
        <f t="shared" ref="O41:Q41" si="106">O13/K13-1</f>
        <v>0.89495541712470983</v>
      </c>
      <c r="P41" s="17">
        <f t="shared" si="106"/>
        <v>0.43592436974789917</v>
      </c>
      <c r="Q41" s="17">
        <f t="shared" si="106"/>
        <v>0.561046256473273</v>
      </c>
      <c r="R41" s="17">
        <f t="shared" ref="R41" si="107">R13/N13-1</f>
        <v>0.39999999999999991</v>
      </c>
      <c r="S41" s="17">
        <f t="shared" ref="S41" si="108">S13/O13-1</f>
        <v>0.39999999999999991</v>
      </c>
      <c r="T41" s="17">
        <f t="shared" ref="T41" si="109">T13/P13-1</f>
        <v>0.39999999999999991</v>
      </c>
      <c r="U41" s="17">
        <f t="shared" ref="U41" si="110">U13/Q13-1</f>
        <v>0.39999999999999991</v>
      </c>
      <c r="V41" s="17">
        <f t="shared" ref="V41" si="111">V13/R13-1</f>
        <v>0.39999999999999991</v>
      </c>
    </row>
    <row r="42" spans="2:32" x14ac:dyDescent="0.2">
      <c r="B42" s="20" t="s">
        <v>90</v>
      </c>
      <c r="C42" s="17">
        <f t="shared" ref="C42:G42" si="112">C21/C13</f>
        <v>0.18609290396124251</v>
      </c>
      <c r="D42" s="17">
        <f t="shared" si="112"/>
        <v>0.17685758513931887</v>
      </c>
      <c r="E42" s="17">
        <f t="shared" si="112"/>
        <v>0.21784879189399844</v>
      </c>
      <c r="F42" s="17">
        <f t="shared" si="112"/>
        <v>0.21618101904606871</v>
      </c>
      <c r="G42" s="17">
        <f t="shared" si="112"/>
        <v>0.2440220723482526</v>
      </c>
      <c r="H42" s="17">
        <f t="shared" ref="H42" si="113">H21/H13</f>
        <v>0.24373854612095297</v>
      </c>
      <c r="I42" s="17">
        <f t="shared" ref="I42" si="114">I21/I13</f>
        <v>0.27021508303838826</v>
      </c>
      <c r="J42" s="17">
        <f t="shared" ref="J42:Q42" si="115">J21/J13</f>
        <v>0.19819298042395458</v>
      </c>
      <c r="K42" s="17">
        <f t="shared" si="115"/>
        <v>0.21131061438866497</v>
      </c>
      <c r="L42" s="17">
        <f t="shared" si="115"/>
        <v>0.25220588235294117</v>
      </c>
      <c r="M42" s="17">
        <f t="shared" si="115"/>
        <v>0.28464846835776353</v>
      </c>
      <c r="N42" s="17">
        <f t="shared" si="115"/>
        <v>0.28858569051580701</v>
      </c>
      <c r="O42" s="17">
        <f t="shared" si="115"/>
        <v>0.29650638133298957</v>
      </c>
      <c r="P42" s="17">
        <f t="shared" si="115"/>
        <v>0.25727871250914414</v>
      </c>
      <c r="Q42" s="17">
        <f t="shared" si="115"/>
        <v>0.26348046106269329</v>
      </c>
      <c r="R42" s="17">
        <f t="shared" ref="R42:V42" si="116">R21/R13</f>
        <v>0.25</v>
      </c>
      <c r="S42" s="17">
        <f t="shared" si="116"/>
        <v>0.25</v>
      </c>
      <c r="T42" s="17">
        <f t="shared" si="116"/>
        <v>0.25</v>
      </c>
      <c r="U42" s="17">
        <f t="shared" si="116"/>
        <v>0.25</v>
      </c>
      <c r="V42" s="17">
        <f t="shared" si="116"/>
        <v>0.25000000000000006</v>
      </c>
    </row>
    <row r="43" spans="2:32" x14ac:dyDescent="0.2">
      <c r="B43" s="20" t="s">
        <v>45</v>
      </c>
      <c r="C43" s="17">
        <f t="shared" ref="C43:G43" si="117">+C26/C19</f>
        <v>0.1246421493063202</v>
      </c>
      <c r="D43" s="17">
        <f t="shared" si="117"/>
        <v>0.14503937007874015</v>
      </c>
      <c r="E43" s="17">
        <f t="shared" si="117"/>
        <v>0.18895763921941933</v>
      </c>
      <c r="F43" s="17">
        <f t="shared" si="117"/>
        <v>0.18838028169014084</v>
      </c>
      <c r="G43" s="17">
        <f t="shared" si="117"/>
        <v>0.20618212197159566</v>
      </c>
      <c r="H43" s="17">
        <f t="shared" ref="H43" si="118">+H26/H19</f>
        <v>0.20990722332670642</v>
      </c>
      <c r="I43" s="17">
        <f t="shared" ref="I43" si="119">+I26/I19</f>
        <v>0.23520693193478509</v>
      </c>
      <c r="J43" s="17">
        <f>+J26/J19</f>
        <v>0.19229337304542071</v>
      </c>
      <c r="K43" s="17">
        <f t="shared" ref="K43:V43" si="120">+K26/K19</f>
        <v>0.21320627586870727</v>
      </c>
      <c r="L43" s="17">
        <f t="shared" si="120"/>
        <v>0.24117745442381669</v>
      </c>
      <c r="M43" s="17">
        <f t="shared" si="120"/>
        <v>0.26604637639020134</v>
      </c>
      <c r="N43" s="17">
        <f t="shared" si="120"/>
        <v>0.27354816863254133</v>
      </c>
      <c r="O43" s="17">
        <f t="shared" si="120"/>
        <v>0.29110684580934099</v>
      </c>
      <c r="P43" s="17">
        <f t="shared" si="120"/>
        <v>0.24997047360340144</v>
      </c>
      <c r="Q43" s="17">
        <f t="shared" si="120"/>
        <v>0.25086231005873033</v>
      </c>
      <c r="R43" s="17">
        <f t="shared" si="120"/>
        <v>0.25</v>
      </c>
      <c r="S43" s="17">
        <f t="shared" si="120"/>
        <v>0.25</v>
      </c>
      <c r="T43" s="17">
        <f t="shared" si="120"/>
        <v>0.25</v>
      </c>
      <c r="U43" s="17">
        <f t="shared" si="120"/>
        <v>0.25</v>
      </c>
      <c r="V43" s="17">
        <f t="shared" si="120"/>
        <v>0.25</v>
      </c>
    </row>
    <row r="44" spans="2:32" x14ac:dyDescent="0.2">
      <c r="B44" s="15"/>
      <c r="N44" s="17"/>
      <c r="O44" s="17"/>
      <c r="P44" s="17"/>
      <c r="Q44" s="17"/>
      <c r="R44" s="17"/>
      <c r="S44" s="17"/>
      <c r="T44" s="17"/>
      <c r="U44" s="17"/>
      <c r="V44" s="17"/>
    </row>
    <row r="46" spans="2:32" s="4" customFormat="1" x14ac:dyDescent="0.2">
      <c r="B46" s="4" t="s">
        <v>55</v>
      </c>
      <c r="C46" s="5"/>
      <c r="D46" s="5"/>
      <c r="E46" s="5"/>
      <c r="F46" s="5"/>
      <c r="G46" s="5"/>
      <c r="H46" s="5"/>
      <c r="I46" s="5">
        <f t="shared" ref="I46:N46" si="121">I34</f>
        <v>300</v>
      </c>
      <c r="J46" s="5">
        <f t="shared" si="121"/>
        <v>270</v>
      </c>
      <c r="K46" s="5">
        <f t="shared" si="121"/>
        <v>337</v>
      </c>
      <c r="L46" s="5">
        <f t="shared" si="121"/>
        <v>1165</v>
      </c>
      <c r="M46" s="5">
        <f t="shared" si="121"/>
        <v>1669</v>
      </c>
      <c r="N46" s="5">
        <f t="shared" si="121"/>
        <v>2321</v>
      </c>
      <c r="O46" s="5">
        <f>O34</f>
        <v>3318</v>
      </c>
      <c r="P46" s="5">
        <f>P34</f>
        <v>2348</v>
      </c>
      <c r="Q46" s="5">
        <f>Q34</f>
        <v>3331</v>
      </c>
      <c r="R46" s="5">
        <f t="shared" ref="R46:V46" si="122">R34</f>
        <v>3102.1649999999995</v>
      </c>
      <c r="S46" s="5">
        <f t="shared" si="122"/>
        <v>3824.7299999999996</v>
      </c>
      <c r="T46" s="5">
        <f t="shared" si="122"/>
        <v>3515.9400000000005</v>
      </c>
      <c r="U46" s="5">
        <f t="shared" si="122"/>
        <v>4862.5200000000013</v>
      </c>
      <c r="V46" s="5">
        <f t="shared" si="122"/>
        <v>4752.3149999999996</v>
      </c>
    </row>
    <row r="47" spans="2:32" s="4" customFormat="1" x14ac:dyDescent="0.2">
      <c r="B47" s="4" t="s">
        <v>56</v>
      </c>
      <c r="C47" s="5"/>
      <c r="D47" s="5"/>
      <c r="E47" s="5"/>
      <c r="F47" s="5"/>
      <c r="G47" s="5"/>
      <c r="H47" s="5"/>
      <c r="I47" s="5"/>
      <c r="J47" s="5">
        <v>296</v>
      </c>
      <c r="K47" s="5">
        <v>464</v>
      </c>
      <c r="L47" s="5">
        <v>1178</v>
      </c>
      <c r="M47" s="5">
        <v>1659</v>
      </c>
      <c r="N47" s="5">
        <v>2343</v>
      </c>
      <c r="O47" s="5">
        <v>3280</v>
      </c>
      <c r="P47" s="5">
        <v>2269</v>
      </c>
      <c r="Q47" s="5">
        <f>8880-P47-O47</f>
        <v>3331</v>
      </c>
      <c r="R47" s="5"/>
      <c r="S47" s="5"/>
      <c r="T47" s="5"/>
      <c r="U47" s="5"/>
      <c r="V47" s="5"/>
    </row>
    <row r="48" spans="2:32" s="4" customFormat="1" x14ac:dyDescent="0.2">
      <c r="B48" s="4" t="s">
        <v>57</v>
      </c>
      <c r="C48" s="5"/>
      <c r="D48" s="5"/>
      <c r="E48" s="5"/>
      <c r="F48" s="5"/>
      <c r="G48" s="5"/>
      <c r="H48" s="5"/>
      <c r="I48" s="5"/>
      <c r="J48" s="5">
        <v>618</v>
      </c>
      <c r="K48" s="5">
        <v>621</v>
      </c>
      <c r="L48" s="5">
        <v>681</v>
      </c>
      <c r="M48" s="5">
        <v>761</v>
      </c>
      <c r="N48" s="5">
        <v>848</v>
      </c>
      <c r="O48" s="5">
        <v>880</v>
      </c>
      <c r="P48" s="5">
        <v>922</v>
      </c>
      <c r="Q48" s="5">
        <f>2758-P48-O48</f>
        <v>956</v>
      </c>
      <c r="R48" s="5"/>
      <c r="S48" s="5"/>
      <c r="T48" s="5"/>
      <c r="U48" s="5"/>
      <c r="V48" s="5"/>
    </row>
    <row r="49" spans="2:22" s="4" customFormat="1" x14ac:dyDescent="0.2">
      <c r="B49" s="4" t="s">
        <v>58</v>
      </c>
      <c r="C49" s="5"/>
      <c r="D49" s="5"/>
      <c r="E49" s="5"/>
      <c r="F49" s="5"/>
      <c r="G49" s="5"/>
      <c r="H49" s="5"/>
      <c r="I49" s="5"/>
      <c r="J49" s="5">
        <v>633</v>
      </c>
      <c r="K49" s="5">
        <v>614</v>
      </c>
      <c r="L49" s="5">
        <v>474</v>
      </c>
      <c r="M49" s="5">
        <v>475</v>
      </c>
      <c r="N49" s="5">
        <v>558</v>
      </c>
      <c r="O49" s="5">
        <v>418</v>
      </c>
      <c r="P49" s="5">
        <v>361</v>
      </c>
      <c r="Q49" s="5">
        <f>1141-P49-O49</f>
        <v>362</v>
      </c>
      <c r="R49" s="5"/>
      <c r="S49" s="5"/>
      <c r="T49" s="5"/>
      <c r="U49" s="5"/>
      <c r="V49" s="5"/>
    </row>
    <row r="50" spans="2:22" s="4" customFormat="1" x14ac:dyDescent="0.2">
      <c r="B50" s="4" t="s">
        <v>59</v>
      </c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>
        <v>33</v>
      </c>
      <c r="P50" s="5"/>
      <c r="Q50" s="5">
        <f>118-P50-O50</f>
        <v>85</v>
      </c>
      <c r="R50" s="5"/>
      <c r="S50" s="5"/>
      <c r="T50" s="5"/>
      <c r="U50" s="5"/>
      <c r="V50" s="5"/>
    </row>
    <row r="51" spans="2:22" s="4" customFormat="1" x14ac:dyDescent="0.2">
      <c r="B51" s="10" t="s">
        <v>80</v>
      </c>
      <c r="C51" s="5"/>
      <c r="D51" s="5"/>
      <c r="E51" s="5"/>
      <c r="F51" s="5"/>
      <c r="G51" s="5"/>
      <c r="H51" s="5"/>
      <c r="I51" s="5"/>
      <c r="J51" s="5">
        <v>230</v>
      </c>
      <c r="K51" s="5">
        <v>-46</v>
      </c>
      <c r="L51" s="5">
        <v>115</v>
      </c>
      <c r="M51" s="5">
        <v>253</v>
      </c>
      <c r="N51" s="5">
        <v>-19</v>
      </c>
      <c r="O51" s="5">
        <v>-30</v>
      </c>
      <c r="P51" s="5">
        <v>145</v>
      </c>
      <c r="Q51" s="5">
        <f>1-P51-O51</f>
        <v>-114</v>
      </c>
      <c r="R51" s="5"/>
      <c r="S51" s="5"/>
      <c r="T51" s="5"/>
      <c r="U51" s="5"/>
      <c r="V51" s="5"/>
    </row>
    <row r="52" spans="2:22" s="4" customFormat="1" x14ac:dyDescent="0.2">
      <c r="B52" s="4" t="s">
        <v>60</v>
      </c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>
        <v>16</v>
      </c>
      <c r="P52" s="5"/>
      <c r="Q52" s="5">
        <f>159-P52-O52</f>
        <v>143</v>
      </c>
      <c r="R52" s="5"/>
      <c r="S52" s="5"/>
      <c r="T52" s="5"/>
      <c r="U52" s="5"/>
      <c r="V52" s="5"/>
    </row>
    <row r="53" spans="2:22" s="4" customFormat="1" x14ac:dyDescent="0.2">
      <c r="B53" s="19" t="s">
        <v>69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>
        <f>106-P53-O53</f>
        <v>106</v>
      </c>
      <c r="R53" s="5"/>
      <c r="S53" s="5"/>
      <c r="T53" s="5"/>
      <c r="U53" s="5"/>
      <c r="V53" s="5"/>
    </row>
    <row r="54" spans="2:22" s="4" customFormat="1" x14ac:dyDescent="0.2">
      <c r="B54" s="4" t="s">
        <v>61</v>
      </c>
      <c r="C54" s="5"/>
      <c r="D54" s="5"/>
      <c r="E54" s="5"/>
      <c r="F54" s="5"/>
      <c r="G54" s="5"/>
      <c r="H54" s="5"/>
      <c r="I54" s="5"/>
      <c r="J54" s="5">
        <v>1242</v>
      </c>
      <c r="K54" s="5">
        <v>-12</v>
      </c>
      <c r="L54" s="5">
        <v>-324</v>
      </c>
      <c r="M54" s="5">
        <v>-1</v>
      </c>
      <c r="N54" s="5">
        <v>855</v>
      </c>
      <c r="O54" s="5">
        <f>-409-633-462-289-611+997+287+204+314</f>
        <v>-602</v>
      </c>
      <c r="P54" s="5">
        <v>-1346</v>
      </c>
      <c r="Q54" s="5">
        <f>-426-4492-1136-865-1580+4659+856+251+1016-P54-O54</f>
        <v>231</v>
      </c>
      <c r="R54" s="5"/>
      <c r="S54" s="5"/>
      <c r="T54" s="5"/>
      <c r="U54" s="5"/>
      <c r="V54" s="5"/>
    </row>
    <row r="55" spans="2:22" s="4" customFormat="1" x14ac:dyDescent="0.2">
      <c r="B55" s="4" t="s">
        <v>62</v>
      </c>
      <c r="C55" s="5"/>
      <c r="D55" s="5"/>
      <c r="E55" s="5"/>
      <c r="F55" s="5"/>
      <c r="G55" s="5"/>
      <c r="H55" s="5"/>
      <c r="I55" s="5"/>
      <c r="J55" s="5">
        <f t="shared" ref="J55:N55" si="123">SUM(J47:J54)</f>
        <v>3019</v>
      </c>
      <c r="K55" s="5">
        <f t="shared" si="123"/>
        <v>1641</v>
      </c>
      <c r="L55" s="5">
        <f t="shared" si="123"/>
        <v>2124</v>
      </c>
      <c r="M55" s="5">
        <f t="shared" si="123"/>
        <v>3147</v>
      </c>
      <c r="N55" s="5">
        <f t="shared" si="123"/>
        <v>4585</v>
      </c>
      <c r="O55" s="5">
        <f>SUM(O47:O54)</f>
        <v>3995</v>
      </c>
      <c r="P55" s="5">
        <f>SUM(P47:P54)</f>
        <v>2351</v>
      </c>
      <c r="Q55" s="5">
        <f>SUM(Q47:Q54)</f>
        <v>5100</v>
      </c>
      <c r="R55" s="5"/>
      <c r="S55" s="5"/>
      <c r="T55" s="5"/>
      <c r="U55" s="5"/>
      <c r="V55" s="5"/>
    </row>
    <row r="56" spans="2:22" s="4" customFormat="1" x14ac:dyDescent="0.2"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2:22" s="4" customFormat="1" x14ac:dyDescent="0.2">
      <c r="B57" s="10" t="s">
        <v>81</v>
      </c>
      <c r="C57" s="5"/>
      <c r="D57" s="5"/>
      <c r="E57" s="5"/>
      <c r="F57" s="5"/>
      <c r="G57" s="5"/>
      <c r="H57" s="5"/>
      <c r="I57" s="5"/>
      <c r="J57" s="5">
        <v>1151</v>
      </c>
      <c r="K57" s="5">
        <v>1348</v>
      </c>
      <c r="L57" s="5">
        <v>1505</v>
      </c>
      <c r="M57" s="5">
        <v>1819</v>
      </c>
      <c r="N57" s="5">
        <v>1810</v>
      </c>
      <c r="O57" s="5">
        <v>1767</v>
      </c>
      <c r="P57" s="5">
        <f>3497-O57</f>
        <v>1730</v>
      </c>
      <c r="Q57" s="5">
        <f>5300-P57-O57</f>
        <v>1803</v>
      </c>
      <c r="R57" s="5"/>
      <c r="S57" s="5"/>
      <c r="T57" s="5"/>
      <c r="U57" s="5"/>
      <c r="V57" s="5"/>
    </row>
    <row r="58" spans="2:22" s="4" customFormat="1" x14ac:dyDescent="0.2">
      <c r="B58" s="10" t="s">
        <v>82</v>
      </c>
      <c r="C58" s="5"/>
      <c r="D58" s="5"/>
      <c r="E58" s="5"/>
      <c r="F58" s="5"/>
      <c r="G58" s="5"/>
      <c r="H58" s="5"/>
      <c r="I58" s="5"/>
      <c r="J58" s="5">
        <f>J55-J57</f>
        <v>1868</v>
      </c>
      <c r="K58" s="5">
        <f t="shared" ref="K58:N58" si="124">K55-K57</f>
        <v>293</v>
      </c>
      <c r="L58" s="5">
        <f t="shared" si="124"/>
        <v>619</v>
      </c>
      <c r="M58" s="5">
        <f t="shared" si="124"/>
        <v>1328</v>
      </c>
      <c r="N58" s="5">
        <f t="shared" si="124"/>
        <v>2775</v>
      </c>
      <c r="O58" s="5">
        <f t="shared" ref="O58" si="125">O55-O57</f>
        <v>2228</v>
      </c>
      <c r="P58" s="5">
        <f>P55-P57</f>
        <v>621</v>
      </c>
      <c r="Q58" s="5">
        <f>Q55-Q57</f>
        <v>3297</v>
      </c>
      <c r="R58" s="5"/>
      <c r="S58" s="5"/>
      <c r="T58" s="5"/>
      <c r="U58" s="5"/>
      <c r="V58" s="5"/>
    </row>
    <row r="59" spans="2:22" s="4" customFormat="1" x14ac:dyDescent="0.2">
      <c r="B59" s="10" t="s">
        <v>83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>
        <f>SUM(J58:M58)</f>
        <v>4108</v>
      </c>
      <c r="N59" s="5">
        <f>SUM(K58:N58)</f>
        <v>5015</v>
      </c>
      <c r="O59" s="5">
        <f>SUM(L58:O58)</f>
        <v>6950</v>
      </c>
      <c r="P59" s="5">
        <f>SUM(M58:P58)</f>
        <v>6952</v>
      </c>
      <c r="Q59" s="5">
        <f>SUM(N58:Q58)</f>
        <v>8921</v>
      </c>
      <c r="R59" s="5"/>
      <c r="S59" s="5"/>
      <c r="T59" s="5"/>
      <c r="U59" s="5"/>
      <c r="V59" s="5"/>
    </row>
    <row r="60" spans="2:22" s="4" customFormat="1" x14ac:dyDescent="0.2"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2:22" s="4" customFormat="1" x14ac:dyDescent="0.2">
      <c r="B61" s="10" t="s">
        <v>3</v>
      </c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8"/>
      <c r="O61" s="8">
        <f>17576+131</f>
        <v>17707</v>
      </c>
      <c r="P61" s="8">
        <f>18324+591</f>
        <v>18915</v>
      </c>
      <c r="Q61" s="5">
        <f>19532+1575</f>
        <v>21107</v>
      </c>
      <c r="R61" s="5"/>
      <c r="S61" s="5"/>
      <c r="T61" s="5"/>
      <c r="U61" s="5"/>
      <c r="V61" s="5"/>
    </row>
    <row r="62" spans="2:22" s="4" customFormat="1" x14ac:dyDescent="0.2">
      <c r="B62" s="10" t="s">
        <v>63</v>
      </c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>
        <v>1913</v>
      </c>
      <c r="P62" s="5">
        <v>2081</v>
      </c>
      <c r="Q62" s="5">
        <v>2192</v>
      </c>
      <c r="R62" s="5"/>
      <c r="S62" s="5"/>
      <c r="T62" s="5"/>
      <c r="U62" s="5"/>
      <c r="V62" s="5"/>
    </row>
    <row r="63" spans="2:22" s="4" customFormat="1" x14ac:dyDescent="0.2">
      <c r="B63" s="10" t="s">
        <v>59</v>
      </c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>
        <v>5757</v>
      </c>
      <c r="P63" s="5">
        <v>8108</v>
      </c>
      <c r="Q63" s="5">
        <v>10327</v>
      </c>
      <c r="R63" s="5"/>
      <c r="S63" s="5"/>
      <c r="T63" s="5"/>
      <c r="U63" s="5"/>
      <c r="V63" s="5"/>
    </row>
    <row r="64" spans="2:22" s="4" customFormat="1" x14ac:dyDescent="0.2">
      <c r="B64" s="10" t="s">
        <v>64</v>
      </c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>
        <v>1723</v>
      </c>
      <c r="P64" s="5">
        <v>2118</v>
      </c>
      <c r="Q64" s="5">
        <v>2364</v>
      </c>
      <c r="R64" s="5"/>
      <c r="S64" s="5"/>
      <c r="T64" s="5"/>
      <c r="U64" s="5"/>
      <c r="V64" s="5"/>
    </row>
    <row r="65" spans="2:22" s="4" customFormat="1" x14ac:dyDescent="0.2">
      <c r="B65" s="10" t="s">
        <v>65</v>
      </c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>
        <v>4511</v>
      </c>
      <c r="P65" s="5">
        <v>4782</v>
      </c>
      <c r="Q65" s="5">
        <v>4824</v>
      </c>
      <c r="R65" s="5"/>
      <c r="S65" s="5"/>
      <c r="T65" s="5"/>
      <c r="U65" s="5"/>
      <c r="V65" s="5"/>
    </row>
    <row r="66" spans="2:22" s="4" customFormat="1" x14ac:dyDescent="0.2">
      <c r="B66" s="10" t="s">
        <v>66</v>
      </c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>
        <v>5765</v>
      </c>
      <c r="P66" s="5">
        <v>5624</v>
      </c>
      <c r="Q66" s="5">
        <v>5562</v>
      </c>
      <c r="R66" s="5"/>
      <c r="S66" s="5"/>
      <c r="T66" s="5"/>
      <c r="U66" s="5"/>
      <c r="V66" s="5"/>
    </row>
    <row r="67" spans="2:22" s="4" customFormat="1" x14ac:dyDescent="0.2">
      <c r="B67" s="10" t="s">
        <v>67</v>
      </c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>
        <v>18884</v>
      </c>
      <c r="P67" s="5">
        <v>21093</v>
      </c>
      <c r="Q67" s="5">
        <v>21926</v>
      </c>
      <c r="R67" s="5"/>
      <c r="S67" s="5"/>
      <c r="T67" s="5"/>
      <c r="U67" s="5"/>
      <c r="V67" s="5"/>
    </row>
    <row r="68" spans="2:22" s="4" customFormat="1" x14ac:dyDescent="0.2">
      <c r="B68" s="10" t="s">
        <v>68</v>
      </c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>
        <v>2016</v>
      </c>
      <c r="P68" s="5">
        <v>2185</v>
      </c>
      <c r="Q68" s="5">
        <v>2251</v>
      </c>
      <c r="R68" s="5"/>
      <c r="S68" s="5"/>
      <c r="T68" s="5"/>
      <c r="U68" s="5"/>
      <c r="V68" s="5"/>
    </row>
    <row r="69" spans="2:22" s="4" customFormat="1" x14ac:dyDescent="0.2">
      <c r="B69" s="10" t="s">
        <v>69</v>
      </c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>
        <v>1260</v>
      </c>
      <c r="P69" s="5">
        <v>218</v>
      </c>
      <c r="Q69" s="5">
        <v>218</v>
      </c>
      <c r="R69" s="5"/>
      <c r="S69" s="5"/>
      <c r="T69" s="5"/>
      <c r="U69" s="5"/>
      <c r="V69" s="5"/>
    </row>
    <row r="70" spans="2:22" s="4" customFormat="1" x14ac:dyDescent="0.2">
      <c r="B70" s="10" t="s">
        <v>70</v>
      </c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>
        <v>457</v>
      </c>
      <c r="P70" s="5">
        <f>241+196</f>
        <v>437</v>
      </c>
      <c r="Q70" s="5">
        <f>228+191</f>
        <v>419</v>
      </c>
      <c r="R70" s="5"/>
      <c r="S70" s="5"/>
      <c r="T70" s="5"/>
      <c r="U70" s="5"/>
      <c r="V70" s="5"/>
    </row>
    <row r="71" spans="2:22" s="4" customFormat="1" x14ac:dyDescent="0.2">
      <c r="B71" s="10" t="s">
        <v>71</v>
      </c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>
        <v>2138</v>
      </c>
      <c r="P71" s="5">
        <v>2952</v>
      </c>
      <c r="Q71" s="5">
        <v>3236</v>
      </c>
      <c r="R71" s="5"/>
      <c r="S71" s="5"/>
      <c r="T71" s="5"/>
      <c r="U71" s="5"/>
      <c r="V71" s="5"/>
    </row>
    <row r="72" spans="2:22" s="4" customFormat="1" x14ac:dyDescent="0.2">
      <c r="B72" s="10" t="s">
        <v>72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>
        <f>SUM(O61:O71)</f>
        <v>62131</v>
      </c>
      <c r="P72" s="5">
        <f t="shared" ref="P72:Q72" si="126">SUM(P61:P71)</f>
        <v>68513</v>
      </c>
      <c r="Q72" s="5">
        <f t="shared" si="126"/>
        <v>74426</v>
      </c>
      <c r="R72" s="5"/>
      <c r="S72" s="5"/>
      <c r="T72" s="5"/>
      <c r="U72" s="5"/>
      <c r="V72" s="5"/>
    </row>
    <row r="73" spans="2:22" x14ac:dyDescent="0.2">
      <c r="O73" s="5"/>
      <c r="P73" s="5"/>
      <c r="Q73" s="5"/>
    </row>
    <row r="74" spans="2:22" x14ac:dyDescent="0.2">
      <c r="B74" s="9" t="s">
        <v>73</v>
      </c>
      <c r="O74" s="5">
        <v>10025</v>
      </c>
      <c r="P74" s="5">
        <v>11212</v>
      </c>
      <c r="Q74" s="5">
        <v>13897</v>
      </c>
    </row>
    <row r="75" spans="2:22" x14ac:dyDescent="0.2">
      <c r="B75" s="9" t="s">
        <v>74</v>
      </c>
      <c r="O75" s="5">
        <v>5719</v>
      </c>
      <c r="P75" s="5">
        <v>6037</v>
      </c>
      <c r="Q75" s="5">
        <v>6246</v>
      </c>
    </row>
    <row r="76" spans="2:22" x14ac:dyDescent="0.2">
      <c r="B76" s="9" t="s">
        <v>75</v>
      </c>
      <c r="O76" s="5">
        <v>1447</v>
      </c>
      <c r="P76" s="5">
        <v>1858</v>
      </c>
      <c r="Q76" s="5">
        <v>1928</v>
      </c>
    </row>
    <row r="77" spans="2:22" x14ac:dyDescent="0.2">
      <c r="B77" s="9" t="s">
        <v>76</v>
      </c>
      <c r="O77" s="5">
        <v>925</v>
      </c>
      <c r="P77" s="5">
        <v>1182</v>
      </c>
      <c r="Q77" s="5">
        <v>1083</v>
      </c>
    </row>
    <row r="78" spans="2:22" x14ac:dyDescent="0.2">
      <c r="B78" s="9" t="s">
        <v>4</v>
      </c>
      <c r="O78" s="5">
        <f>1589+5245</f>
        <v>6834</v>
      </c>
      <c r="P78" s="5">
        <f>2898+1532</f>
        <v>4430</v>
      </c>
      <c r="Q78" s="5">
        <f>2096+1457</f>
        <v>3553</v>
      </c>
    </row>
    <row r="79" spans="2:22" x14ac:dyDescent="0.2">
      <c r="B79" s="9" t="s">
        <v>75</v>
      </c>
      <c r="O79" s="5">
        <v>2052</v>
      </c>
      <c r="P79" s="5">
        <v>2210</v>
      </c>
      <c r="Q79" s="5">
        <v>2265</v>
      </c>
    </row>
    <row r="80" spans="2:22" x14ac:dyDescent="0.2">
      <c r="B80" s="9" t="s">
        <v>77</v>
      </c>
      <c r="O80" s="5">
        <v>3546</v>
      </c>
      <c r="P80" s="5">
        <v>3926</v>
      </c>
      <c r="Q80" s="5">
        <v>4330</v>
      </c>
    </row>
    <row r="81" spans="2:17" x14ac:dyDescent="0.2">
      <c r="B81" s="9" t="s">
        <v>78</v>
      </c>
      <c r="O81" s="5">
        <f>30189+826+568</f>
        <v>31583</v>
      </c>
      <c r="P81" s="5">
        <f>36376+421+861</f>
        <v>37658</v>
      </c>
      <c r="Q81" s="5">
        <f>39851+852+421</f>
        <v>41124</v>
      </c>
    </row>
    <row r="82" spans="2:17" x14ac:dyDescent="0.2">
      <c r="B82" s="9" t="s">
        <v>79</v>
      </c>
      <c r="O82" s="5">
        <f>SUM(O74:O81)</f>
        <v>62131</v>
      </c>
      <c r="P82" s="5">
        <f t="shared" ref="P82:Q82" si="127">SUM(P74:P81)</f>
        <v>68513</v>
      </c>
      <c r="Q82" s="5">
        <f t="shared" si="127"/>
        <v>74426</v>
      </c>
    </row>
    <row r="83" spans="2:17" x14ac:dyDescent="0.2">
      <c r="O83" s="5"/>
    </row>
    <row r="84" spans="2:17" x14ac:dyDescent="0.2">
      <c r="O84" s="5"/>
    </row>
    <row r="85" spans="2:17" x14ac:dyDescent="0.2">
      <c r="O85" s="5"/>
    </row>
    <row r="86" spans="2:17" x14ac:dyDescent="0.2">
      <c r="O86" s="5"/>
    </row>
  </sheetData>
  <hyperlinks>
    <hyperlink ref="A1" location="Main!A1" display="Main" xr:uid="{997EC1A7-4D47-4E8D-919D-603FB3C9B2D7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Martin Shkreli</cp:lastModifiedBy>
  <cp:revision/>
  <dcterms:created xsi:type="dcterms:W3CDTF">2022-07-01T16:14:29Z</dcterms:created>
  <dcterms:modified xsi:type="dcterms:W3CDTF">2023-01-26T20:11:11Z</dcterms:modified>
  <cp:category/>
  <cp:contentStatus/>
</cp:coreProperties>
</file>