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mat821-my.sharepoint.com/personal/karljackson_smart-mat_org/Documents/2. Uni/Project Management/"/>
    </mc:Choice>
  </mc:AlternateContent>
  <xr:revisionPtr revIDLastSave="359" documentId="8_{3BF18180-7E59-4FA7-80A9-6866DC0865CE}" xr6:coauthVersionLast="47" xr6:coauthVersionMax="47" xr10:uidLastSave="{A99FE510-0392-4E6D-9871-DC4A1DA52E37}"/>
  <bookViews>
    <workbookView xWindow="-108" yWindow="-108" windowWidth="23256" windowHeight="12456" activeTab="2" xr2:uid="{177422EC-39E7-594F-8BD5-1CB3B8FD6697}"/>
  </bookViews>
  <sheets>
    <sheet name="Production Cost" sheetId="5" r:id="rId1"/>
    <sheet name="Design Cost" sheetId="3" r:id="rId2"/>
    <sheet name="Overall" sheetId="6" r:id="rId3"/>
    <sheet name="Staffing" sheetId="4" r:id="rId4"/>
    <sheet name="HW BOM for ITPM" sheetId="1" r:id="rId5"/>
    <sheet name="SW BOM for ITPM" sheetId="2" r:id="rId6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6" l="1"/>
  <c r="J8" i="6" s="1"/>
  <c r="F8" i="6"/>
  <c r="G8" i="6" s="1"/>
  <c r="L8" i="6" s="1"/>
  <c r="F9" i="6"/>
  <c r="G9" i="6" s="1"/>
  <c r="L9" i="6" s="1"/>
  <c r="K9" i="6" s="1"/>
  <c r="F10" i="6"/>
  <c r="G10" i="6"/>
  <c r="J9" i="6"/>
  <c r="E13" i="6"/>
  <c r="H22" i="5"/>
  <c r="F1" i="5"/>
  <c r="G1" i="5" a="1"/>
  <c r="G1" i="5" s="1"/>
  <c r="J1" i="5"/>
  <c r="K8" i="6" l="1"/>
  <c r="M8" i="6"/>
  <c r="N8" i="6" s="1"/>
  <c r="M9" i="6"/>
  <c r="N9" i="6" s="1"/>
  <c r="D34" i="5"/>
  <c r="D13" i="5"/>
  <c r="D3" i="5"/>
  <c r="D9" i="5"/>
  <c r="D10" i="5"/>
  <c r="D11" i="5"/>
  <c r="D15" i="5"/>
  <c r="D16" i="5"/>
  <c r="D17" i="5"/>
  <c r="H16" i="3" a="1"/>
  <c r="H16" i="3" s="1"/>
  <c r="H13" i="3" a="1"/>
  <c r="H13" i="3" s="1"/>
  <c r="H14" i="5" a="1"/>
  <c r="H14" i="5" s="1"/>
  <c r="D36" i="5"/>
  <c r="E36" i="5" a="1"/>
  <c r="E36" i="5" s="1"/>
  <c r="F36" i="5" a="1"/>
  <c r="F36" i="5" s="1"/>
  <c r="G36" i="5" a="1"/>
  <c r="G36" i="5" s="1"/>
  <c r="H36" i="5" a="1"/>
  <c r="H36" i="5"/>
  <c r="I36" i="5" a="1"/>
  <c r="I36" i="5"/>
  <c r="J36" i="5" a="1"/>
  <c r="J36" i="5"/>
  <c r="K36" i="5" a="1"/>
  <c r="K36" i="5"/>
  <c r="L36" i="5" a="1"/>
  <c r="L36" i="5"/>
  <c r="M36" i="5" a="1"/>
  <c r="M36" i="5" s="1"/>
  <c r="N36" i="5" a="1"/>
  <c r="N36" i="5"/>
  <c r="D37" i="5"/>
  <c r="E37" i="5" a="1"/>
  <c r="E37" i="5"/>
  <c r="F37" i="5" a="1"/>
  <c r="F37" i="5"/>
  <c r="G37" i="5" a="1"/>
  <c r="G37" i="5"/>
  <c r="H37" i="5" a="1"/>
  <c r="H37" i="5" s="1"/>
  <c r="I37" i="5" a="1"/>
  <c r="I37" i="5"/>
  <c r="J37" i="5" a="1"/>
  <c r="J37" i="5"/>
  <c r="K37" i="5" a="1"/>
  <c r="K37" i="5" s="1"/>
  <c r="L37" i="5" a="1"/>
  <c r="L37" i="5"/>
  <c r="M37" i="5" a="1"/>
  <c r="M37" i="5" s="1"/>
  <c r="N37" i="5" a="1"/>
  <c r="N37" i="5" s="1"/>
  <c r="D38" i="5"/>
  <c r="E38" i="5" a="1"/>
  <c r="E38" i="5" s="1"/>
  <c r="F38" i="5" a="1"/>
  <c r="F38" i="5"/>
  <c r="G38" i="5" a="1"/>
  <c r="G38" i="5" s="1"/>
  <c r="H38" i="5" a="1"/>
  <c r="H38" i="5" s="1"/>
  <c r="I38" i="5" a="1"/>
  <c r="I38" i="5"/>
  <c r="J38" i="5" a="1"/>
  <c r="J38" i="5" s="1"/>
  <c r="K38" i="5" a="1"/>
  <c r="K38" i="5"/>
  <c r="L38" i="5" a="1"/>
  <c r="L38" i="5"/>
  <c r="M38" i="5" a="1"/>
  <c r="M38" i="5" s="1"/>
  <c r="N38" i="5" a="1"/>
  <c r="N38" i="5" s="1"/>
  <c r="I34" i="5" a="1"/>
  <c r="I34" i="5" s="1"/>
  <c r="E8" i="3" a="1"/>
  <c r="E8" i="3" s="1"/>
  <c r="F8" i="3" a="1"/>
  <c r="F8" i="3" s="1"/>
  <c r="G8" i="3" a="1"/>
  <c r="G8" i="3" s="1"/>
  <c r="H8" i="3" a="1"/>
  <c r="H8" i="3" s="1"/>
  <c r="I8" i="3" a="1"/>
  <c r="I8" i="3" s="1"/>
  <c r="D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5" i="6"/>
  <c r="R5" i="6" s="1"/>
  <c r="N5" i="6"/>
  <c r="N6" i="6"/>
  <c r="N14" i="6"/>
  <c r="F12" i="6"/>
  <c r="H12" i="6" s="1"/>
  <c r="I12" i="6" s="1"/>
  <c r="J12" i="6" s="1"/>
  <c r="F11" i="6"/>
  <c r="H11" i="6" s="1"/>
  <c r="I11" i="6" s="1"/>
  <c r="J11" i="6" s="1"/>
  <c r="G12" i="6"/>
  <c r="B5" i="5"/>
  <c r="P5" i="5" s="1" a="1"/>
  <c r="P5" i="5" s="1"/>
  <c r="B6" i="5"/>
  <c r="J6" i="5" s="1" a="1"/>
  <c r="J6" i="5" s="1"/>
  <c r="B7" i="5"/>
  <c r="P7" i="5" s="1" a="1"/>
  <c r="P7" i="5" s="1"/>
  <c r="B8" i="5"/>
  <c r="P8" i="5" s="1" a="1"/>
  <c r="P8" i="5" s="1"/>
  <c r="B9" i="5"/>
  <c r="I9" i="5" s="1" a="1"/>
  <c r="I9" i="5" s="1"/>
  <c r="B10" i="5"/>
  <c r="H10" i="5" s="1" a="1"/>
  <c r="H10" i="5" s="1"/>
  <c r="B11" i="5"/>
  <c r="M11" i="5" s="1" a="1"/>
  <c r="M11" i="5" s="1"/>
  <c r="B12" i="5"/>
  <c r="P12" i="5" s="1" a="1"/>
  <c r="P12" i="5" s="1"/>
  <c r="B13" i="5"/>
  <c r="F13" i="5" s="1" a="1"/>
  <c r="F13" i="5" s="1"/>
  <c r="B14" i="5"/>
  <c r="L14" i="5" s="1" a="1"/>
  <c r="L14" i="5" s="1"/>
  <c r="B15" i="5"/>
  <c r="L15" i="5" s="1" a="1"/>
  <c r="L15" i="5" s="1"/>
  <c r="B16" i="5"/>
  <c r="J16" i="5" s="1" a="1"/>
  <c r="J16" i="5" s="1"/>
  <c r="B17" i="5"/>
  <c r="J17" i="5" s="1" a="1"/>
  <c r="J17" i="5" s="1"/>
  <c r="B4" i="5"/>
  <c r="H4" i="5" s="1" a="1"/>
  <c r="H4" i="5" s="1"/>
  <c r="B3" i="5"/>
  <c r="M3" i="5" s="1" a="1"/>
  <c r="M3" i="5" s="1"/>
  <c r="G17" i="6"/>
  <c r="G16" i="6"/>
  <c r="I17" i="6"/>
  <c r="J17" i="6" s="1"/>
  <c r="I16" i="6"/>
  <c r="J16" i="6" s="1"/>
  <c r="I18" i="6"/>
  <c r="J18" i="6" s="1"/>
  <c r="G15" i="6"/>
  <c r="L15" i="6" s="1"/>
  <c r="I15" i="6"/>
  <c r="J15" i="6" s="1"/>
  <c r="G14" i="6"/>
  <c r="L14" i="6" s="1"/>
  <c r="I14" i="6"/>
  <c r="J14" i="6" s="1"/>
  <c r="G13" i="6"/>
  <c r="L13" i="6" s="1"/>
  <c r="K13" i="6" s="1"/>
  <c r="I13" i="6"/>
  <c r="J13" i="6" s="1"/>
  <c r="I10" i="6"/>
  <c r="J10" i="6" s="1"/>
  <c r="F7" i="6"/>
  <c r="G7" i="6" s="1"/>
  <c r="I7" i="6"/>
  <c r="J7" i="6" s="1"/>
  <c r="G5" i="6"/>
  <c r="L5" i="6" s="1"/>
  <c r="G6" i="6"/>
  <c r="L6" i="6" s="1"/>
  <c r="I6" i="6"/>
  <c r="J6" i="6" s="1"/>
  <c r="I3" i="6"/>
  <c r="J3" i="6" s="1"/>
  <c r="I4" i="6"/>
  <c r="J4" i="6" s="1"/>
  <c r="I5" i="6"/>
  <c r="J5" i="6" s="1"/>
  <c r="F27" i="5" a="1"/>
  <c r="F27" i="5" s="1"/>
  <c r="H1" i="2"/>
  <c r="G3" i="2"/>
  <c r="H26" i="5" s="1" a="1"/>
  <c r="H26" i="5" s="1"/>
  <c r="G4" i="2"/>
  <c r="H27" i="5" s="1" a="1"/>
  <c r="H27" i="5" s="1"/>
  <c r="G5" i="2"/>
  <c r="H28" i="5" s="1" a="1"/>
  <c r="H28" i="5" s="1"/>
  <c r="G6" i="2"/>
  <c r="H29" i="5" s="1" a="1"/>
  <c r="H29" i="5" s="1"/>
  <c r="G7" i="2"/>
  <c r="G8" i="2"/>
  <c r="G9" i="2"/>
  <c r="G11" i="2"/>
  <c r="H30" i="5" s="1" a="1"/>
  <c r="H30" i="5" s="1"/>
  <c r="G12" i="2"/>
  <c r="H31" i="5" s="1" a="1"/>
  <c r="H31" i="5" s="1"/>
  <c r="G13" i="2"/>
  <c r="H32" i="5" s="1" a="1"/>
  <c r="H32" i="5" s="1"/>
  <c r="G14" i="2"/>
  <c r="G15" i="2"/>
  <c r="G16" i="2"/>
  <c r="G17" i="2"/>
  <c r="G18" i="2"/>
  <c r="G19" i="2"/>
  <c r="G21" i="2"/>
  <c r="G22" i="2"/>
  <c r="G23" i="2"/>
  <c r="G24" i="2"/>
  <c r="G25" i="2"/>
  <c r="G26" i="2"/>
  <c r="H33" i="5" a="1"/>
  <c r="H33" i="5" s="1"/>
  <c r="H34" i="5" a="1"/>
  <c r="H34" i="5" s="1"/>
  <c r="H35" i="5" a="1"/>
  <c r="H35" i="5" s="1"/>
  <c r="G27" i="2"/>
  <c r="G28" i="2"/>
  <c r="G29" i="2"/>
  <c r="G30" i="2"/>
  <c r="G31" i="2"/>
  <c r="G32" i="2"/>
  <c r="G33" i="2"/>
  <c r="G34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G35" i="5" a="1"/>
  <c r="G35" i="5" s="1"/>
  <c r="F35" i="5" a="1"/>
  <c r="F35" i="5" s="1"/>
  <c r="E35" i="5" a="1"/>
  <c r="E35" i="5" s="1"/>
  <c r="D35" i="5"/>
  <c r="N34" i="5" a="1"/>
  <c r="N34" i="5" s="1"/>
  <c r="M34" i="5" a="1"/>
  <c r="M34" i="5" s="1"/>
  <c r="L34" i="5" a="1"/>
  <c r="L34" i="5" s="1"/>
  <c r="K34" i="5" a="1"/>
  <c r="K34" i="5" s="1"/>
  <c r="J34" i="5" a="1"/>
  <c r="J34" i="5" s="1"/>
  <c r="G34" i="5" a="1"/>
  <c r="G34" i="5" s="1"/>
  <c r="F34" i="5" a="1"/>
  <c r="F34" i="5" s="1"/>
  <c r="E34" i="5" a="1"/>
  <c r="E34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D33" i="5" s="1"/>
  <c r="G33" i="5" a="1"/>
  <c r="G33" i="5" s="1"/>
  <c r="F33" i="5" a="1"/>
  <c r="F33" i="5" s="1"/>
  <c r="E33" i="5" a="1"/>
  <c r="E33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D32" i="5" s="1"/>
  <c r="G32" i="5" a="1"/>
  <c r="G32" i="5" s="1"/>
  <c r="F32" i="5" a="1"/>
  <c r="F32" i="5" s="1"/>
  <c r="E32" i="5" a="1"/>
  <c r="E32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G31" i="5" a="1"/>
  <c r="G31" i="5" s="1"/>
  <c r="F31" i="5" a="1"/>
  <c r="F31" i="5" s="1"/>
  <c r="E31" i="5" a="1"/>
  <c r="E31" i="5" s="1"/>
  <c r="D31" i="5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D30" i="5" s="1"/>
  <c r="G30" i="5" a="1"/>
  <c r="G30" i="5" s="1"/>
  <c r="F30" i="5" a="1"/>
  <c r="F30" i="5" s="1"/>
  <c r="E30" i="5" a="1"/>
  <c r="E30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G29" i="5" a="1"/>
  <c r="G29" i="5" s="1"/>
  <c r="F29" i="5" a="1"/>
  <c r="F29" i="5" s="1"/>
  <c r="E29" i="5" a="1"/>
  <c r="E29" i="5" s="1"/>
  <c r="D29" i="5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G28" i="5" a="1"/>
  <c r="G28" i="5" s="1"/>
  <c r="F28" i="5" a="1"/>
  <c r="F28" i="5" s="1"/>
  <c r="E28" i="5" a="1"/>
  <c r="E28" i="5" s="1"/>
  <c r="D28" i="5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D27" i="5" s="1"/>
  <c r="G27" i="5" a="1"/>
  <c r="G27" i="5" s="1"/>
  <c r="E27" i="5" a="1"/>
  <c r="E27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D26" i="5" s="1"/>
  <c r="G26" i="5" a="1"/>
  <c r="G26" i="5" s="1"/>
  <c r="F26" i="5" a="1"/>
  <c r="F26" i="5" s="1"/>
  <c r="E26" i="5" a="1"/>
  <c r="E26" i="5" s="1"/>
  <c r="D28" i="3"/>
  <c r="D29" i="3"/>
  <c r="D31" i="3"/>
  <c r="D34" i="3"/>
  <c r="E27" i="3" a="1"/>
  <c r="E27" i="3" s="1"/>
  <c r="F27" i="3" a="1"/>
  <c r="F27" i="3" s="1"/>
  <c r="G27" i="3" a="1"/>
  <c r="G27" i="3" s="1"/>
  <c r="H27" i="3" a="1"/>
  <c r="H27" i="3" s="1"/>
  <c r="D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E30" i="3" a="1"/>
  <c r="E30" i="3" s="1"/>
  <c r="F30" i="3" a="1"/>
  <c r="F30" i="3" s="1"/>
  <c r="G30" i="3" a="1"/>
  <c r="G30" i="3" s="1"/>
  <c r="H30" i="3" a="1"/>
  <c r="H30" i="3" s="1"/>
  <c r="D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E32" i="3" a="1"/>
  <c r="E32" i="3" s="1"/>
  <c r="F32" i="3" a="1"/>
  <c r="F32" i="3" s="1"/>
  <c r="G32" i="3" a="1"/>
  <c r="G32" i="3" s="1"/>
  <c r="H32" i="3" a="1"/>
  <c r="H32" i="3" s="1"/>
  <c r="D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E33" i="3" a="1"/>
  <c r="E33" i="3" s="1"/>
  <c r="F33" i="3" a="1"/>
  <c r="F33" i="3" s="1"/>
  <c r="G33" i="3" a="1"/>
  <c r="G33" i="3" s="1"/>
  <c r="H33" i="3" a="1"/>
  <c r="H33" i="3" s="1"/>
  <c r="D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E35" i="3" a="1"/>
  <c r="E35" i="3" s="1"/>
  <c r="F35" i="3" a="1"/>
  <c r="F35" i="3" s="1"/>
  <c r="G35" i="3" a="1"/>
  <c r="G35" i="3" s="1"/>
  <c r="H35" i="3" a="1"/>
  <c r="H35" i="3" s="1"/>
  <c r="D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E26" i="3" a="1"/>
  <c r="E26" i="3" s="1"/>
  <c r="D17" i="3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D16" i="3"/>
  <c r="E16" i="3" a="1"/>
  <c r="E16" i="3" s="1"/>
  <c r="F16" i="3" a="1"/>
  <c r="F16" i="3" s="1"/>
  <c r="G16" i="3" a="1"/>
  <c r="G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D15" i="3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D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D13" i="3"/>
  <c r="E13" i="3" a="1"/>
  <c r="E13" i="3" s="1"/>
  <c r="F13" i="3" a="1"/>
  <c r="F13" i="3" s="1"/>
  <c r="G13" i="3" a="1"/>
  <c r="G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D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D11" i="3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D10" i="3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D9" i="3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D3" i="3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G4" i="3" a="1"/>
  <c r="G4" i="3" s="1"/>
  <c r="G5" i="3" a="1"/>
  <c r="G5" i="3" s="1"/>
  <c r="G6" i="3" a="1"/>
  <c r="G6" i="3" s="1"/>
  <c r="G7" i="3" a="1"/>
  <c r="G7" i="3" s="1"/>
  <c r="E4" i="3" a="1"/>
  <c r="E4" i="3" s="1"/>
  <c r="F4" i="3" a="1"/>
  <c r="F4" i="3" s="1"/>
  <c r="H4" i="3" a="1"/>
  <c r="H4" i="3" s="1"/>
  <c r="I4" i="3" a="1"/>
  <c r="I4" i="3" s="1"/>
  <c r="D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E5" i="3" a="1"/>
  <c r="E5" i="3" s="1"/>
  <c r="F5" i="3" a="1"/>
  <c r="F5" i="3" s="1"/>
  <c r="H5" i="3" a="1"/>
  <c r="H5" i="3" s="1"/>
  <c r="I5" i="3" a="1"/>
  <c r="I5" i="3" s="1"/>
  <c r="D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E6" i="3" a="1"/>
  <c r="E6" i="3" s="1"/>
  <c r="F6" i="3" a="1"/>
  <c r="F6" i="3" s="1"/>
  <c r="H6" i="3" a="1"/>
  <c r="H6" i="3" s="1"/>
  <c r="I6" i="3" a="1"/>
  <c r="I6" i="3" s="1"/>
  <c r="D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E7" i="3" a="1"/>
  <c r="E7" i="3" s="1"/>
  <c r="F7" i="3" a="1"/>
  <c r="F7" i="3" s="1"/>
  <c r="H7" i="3" a="1"/>
  <c r="H7" i="3" s="1"/>
  <c r="I7" i="3" a="1"/>
  <c r="I7" i="3" s="1"/>
  <c r="D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F3" i="3" a="1"/>
  <c r="F3" i="3" s="1"/>
  <c r="E3" i="3" a="1"/>
  <c r="E3" i="3" s="1"/>
  <c r="G11" i="6" l="1"/>
  <c r="Q4" i="6"/>
  <c r="R4" i="6" s="1"/>
  <c r="P3" i="5" a="1"/>
  <c r="P3" i="5" s="1"/>
  <c r="L16" i="6"/>
  <c r="K16" i="6" s="1"/>
  <c r="H11" i="5" a="1"/>
  <c r="H11" i="5" s="1"/>
  <c r="H17" i="5" a="1"/>
  <c r="H17" i="5" s="1"/>
  <c r="N3" i="5" a="1"/>
  <c r="N3" i="5" s="1"/>
  <c r="O3" i="5" a="1"/>
  <c r="O3" i="5" s="1"/>
  <c r="G11" i="5" a="1"/>
  <c r="G11" i="5" s="1"/>
  <c r="F11" i="5" a="1"/>
  <c r="F11" i="5" s="1"/>
  <c r="O13" i="5" a="1"/>
  <c r="O13" i="5" s="1"/>
  <c r="P16" i="5" a="1"/>
  <c r="P16" i="5" s="1"/>
  <c r="L16" i="5" a="1"/>
  <c r="L16" i="5" s="1"/>
  <c r="E17" i="5" a="1"/>
  <c r="E17" i="5" s="1"/>
  <c r="G17" i="5" a="1"/>
  <c r="G17" i="5" s="1"/>
  <c r="M16" i="5" a="1"/>
  <c r="M16" i="5" s="1"/>
  <c r="F17" i="5" a="1"/>
  <c r="F17" i="5" s="1"/>
  <c r="O16" i="5" a="1"/>
  <c r="O16" i="5" s="1"/>
  <c r="N16" i="5" a="1"/>
  <c r="N16" i="5" s="1"/>
  <c r="E11" i="5" a="1"/>
  <c r="E11" i="5" s="1"/>
  <c r="N14" i="5" a="1"/>
  <c r="N14" i="5" s="1"/>
  <c r="H24" i="5"/>
  <c r="O11" i="5" a="1"/>
  <c r="O11" i="5" s="1"/>
  <c r="F5" i="5" a="1"/>
  <c r="F5" i="5" s="1"/>
  <c r="N12" i="5" a="1"/>
  <c r="N12" i="5" s="1"/>
  <c r="E7" i="5" a="1"/>
  <c r="E7" i="5" s="1"/>
  <c r="G13" i="5" a="1"/>
  <c r="G13" i="5" s="1"/>
  <c r="F7" i="5" a="1"/>
  <c r="F7" i="5" s="1"/>
  <c r="H13" i="5" a="1"/>
  <c r="H13" i="5" s="1"/>
  <c r="I16" i="5" a="1"/>
  <c r="I16" i="5" s="1"/>
  <c r="J11" i="5" a="1"/>
  <c r="J11" i="5" s="1"/>
  <c r="G7" i="5" a="1"/>
  <c r="G7" i="5" s="1"/>
  <c r="I13" i="5" a="1"/>
  <c r="I13" i="5" s="1"/>
  <c r="P13" i="5" a="1"/>
  <c r="P13" i="5" s="1"/>
  <c r="L11" i="5" a="1"/>
  <c r="L11" i="5" s="1"/>
  <c r="E5" i="5" a="1"/>
  <c r="E5" i="5" s="1"/>
  <c r="H7" i="5" a="1"/>
  <c r="H7" i="5" s="1"/>
  <c r="J13" i="5" a="1"/>
  <c r="J13" i="5" s="1"/>
  <c r="M12" i="5" a="1"/>
  <c r="M12" i="5" s="1"/>
  <c r="N11" i="5" a="1"/>
  <c r="N11" i="5" s="1"/>
  <c r="P11" i="5" a="1"/>
  <c r="P11" i="5" s="1"/>
  <c r="K13" i="5" a="1"/>
  <c r="K13" i="5" s="1"/>
  <c r="I11" i="5" a="1"/>
  <c r="I11" i="5" s="1"/>
  <c r="K11" i="5" a="1"/>
  <c r="K11" i="5" s="1"/>
  <c r="E9" i="5" a="1"/>
  <c r="E9" i="5" s="1"/>
  <c r="L13" i="5" a="1"/>
  <c r="L13" i="5" s="1"/>
  <c r="G5" i="5" a="1"/>
  <c r="G5" i="5" s="1"/>
  <c r="F9" i="5" a="1"/>
  <c r="F9" i="5" s="1"/>
  <c r="M13" i="5" a="1"/>
  <c r="M13" i="5" s="1"/>
  <c r="O14" i="5" a="1"/>
  <c r="O14" i="5" s="1"/>
  <c r="P14" i="5" a="1"/>
  <c r="P14" i="5" s="1"/>
  <c r="E12" i="5" a="1"/>
  <c r="E12" i="5" s="1"/>
  <c r="N13" i="5" a="1"/>
  <c r="N13" i="5" s="1"/>
  <c r="G9" i="5" a="1"/>
  <c r="G9" i="5" s="1"/>
  <c r="H5" i="5" a="1"/>
  <c r="H5" i="5" s="1"/>
  <c r="J7" i="5" a="1"/>
  <c r="J7" i="5" s="1"/>
  <c r="K5" i="5" a="1"/>
  <c r="K5" i="5" s="1"/>
  <c r="O7" i="5" a="1"/>
  <c r="O7" i="5" s="1"/>
  <c r="P9" i="5" a="1"/>
  <c r="P9" i="5" s="1"/>
  <c r="G8" i="5" a="1"/>
  <c r="G8" i="5" s="1"/>
  <c r="I8" i="5" a="1"/>
  <c r="I8" i="5" s="1"/>
  <c r="D8" i="5" s="1"/>
  <c r="P10" i="5" a="1"/>
  <c r="P10" i="5" s="1"/>
  <c r="K8" i="5" a="1"/>
  <c r="K8" i="5" s="1"/>
  <c r="I3" i="5" a="1"/>
  <c r="I3" i="5" s="1"/>
  <c r="L6" i="5" a="1"/>
  <c r="L6" i="5" s="1"/>
  <c r="M8" i="5" a="1"/>
  <c r="M8" i="5" s="1"/>
  <c r="J9" i="5" a="1"/>
  <c r="J9" i="5" s="1"/>
  <c r="I5" i="5" a="1"/>
  <c r="I5" i="5" s="1"/>
  <c r="D5" i="5" s="1"/>
  <c r="O9" i="5" a="1"/>
  <c r="O9" i="5" s="1"/>
  <c r="M5" i="5" a="1"/>
  <c r="M5" i="5" s="1"/>
  <c r="F8" i="5" a="1"/>
  <c r="F8" i="5" s="1"/>
  <c r="G10" i="5" a="1"/>
  <c r="G10" i="5" s="1"/>
  <c r="H8" i="5" a="1"/>
  <c r="H8" i="5" s="1"/>
  <c r="J8" i="5" a="1"/>
  <c r="J8" i="5" s="1"/>
  <c r="J3" i="5" a="1"/>
  <c r="J3" i="5" s="1"/>
  <c r="M6" i="5" a="1"/>
  <c r="M6" i="5" s="1"/>
  <c r="N8" i="5" a="1"/>
  <c r="N8" i="5" s="1"/>
  <c r="K9" i="5" a="1"/>
  <c r="K9" i="5" s="1"/>
  <c r="J5" i="5" a="1"/>
  <c r="J5" i="5" s="1"/>
  <c r="M7" i="5" a="1"/>
  <c r="M7" i="5" s="1"/>
  <c r="M9" i="5" a="1"/>
  <c r="M9" i="5" s="1"/>
  <c r="N7" i="5" a="1"/>
  <c r="N7" i="5" s="1"/>
  <c r="L5" i="5" a="1"/>
  <c r="L5" i="5" s="1"/>
  <c r="E8" i="5" a="1"/>
  <c r="E8" i="5" s="1"/>
  <c r="O5" i="5" a="1"/>
  <c r="O5" i="5" s="1"/>
  <c r="O10" i="5" a="1"/>
  <c r="O10" i="5" s="1"/>
  <c r="E3" i="5" a="1"/>
  <c r="E3" i="5" s="1"/>
  <c r="J10" i="5" a="1"/>
  <c r="J10" i="5" s="1"/>
  <c r="G3" i="5" a="1"/>
  <c r="G3" i="5" s="1"/>
  <c r="I6" i="5" a="1"/>
  <c r="I6" i="5" s="1"/>
  <c r="D6" i="5" s="1"/>
  <c r="K3" i="5" a="1"/>
  <c r="K3" i="5" s="1"/>
  <c r="N6" i="5" a="1"/>
  <c r="N6" i="5" s="1"/>
  <c r="O8" i="5" a="1"/>
  <c r="O8" i="5" s="1"/>
  <c r="H9" i="5" a="1"/>
  <c r="H9" i="5" s="1"/>
  <c r="I7" i="5" a="1"/>
  <c r="I7" i="5" s="1"/>
  <c r="D7" i="5" s="1"/>
  <c r="L9" i="5" a="1"/>
  <c r="L9" i="5" s="1"/>
  <c r="N9" i="5" a="1"/>
  <c r="N9" i="5" s="1"/>
  <c r="N5" i="5" a="1"/>
  <c r="N5" i="5" s="1"/>
  <c r="H3" i="5" a="1"/>
  <c r="H3" i="5" s="1"/>
  <c r="K6" i="5" a="1"/>
  <c r="K6" i="5" s="1"/>
  <c r="L8" i="5" a="1"/>
  <c r="L8" i="5" s="1"/>
  <c r="L3" i="5" a="1"/>
  <c r="L3" i="5" s="1"/>
  <c r="O6" i="5" a="1"/>
  <c r="O6" i="5" s="1"/>
  <c r="K7" i="5" a="1"/>
  <c r="K7" i="5" s="1"/>
  <c r="L7" i="5" a="1"/>
  <c r="L7" i="5" s="1"/>
  <c r="I10" i="5" a="1"/>
  <c r="I10" i="5" s="1"/>
  <c r="E6" i="5" a="1"/>
  <c r="E6" i="5" s="1"/>
  <c r="F3" i="5" a="1"/>
  <c r="F3" i="5" s="1"/>
  <c r="H6" i="5" a="1"/>
  <c r="H6" i="5" s="1"/>
  <c r="P6" i="5" a="1"/>
  <c r="P6" i="5" s="1"/>
  <c r="K16" i="5" a="1"/>
  <c r="K16" i="5" s="1"/>
  <c r="N15" i="5" a="1"/>
  <c r="N15" i="5" s="1"/>
  <c r="M14" i="5" a="1"/>
  <c r="M14" i="5" s="1"/>
  <c r="L11" i="6"/>
  <c r="K11" i="6" s="1"/>
  <c r="L12" i="6"/>
  <c r="K12" i="6" s="1"/>
  <c r="L17" i="6"/>
  <c r="K17" i="6" s="1"/>
  <c r="E15" i="5" a="1"/>
  <c r="E15" i="5" s="1"/>
  <c r="F15" i="5" a="1"/>
  <c r="F15" i="5" s="1"/>
  <c r="G15" i="5" a="1"/>
  <c r="G15" i="5" s="1"/>
  <c r="F12" i="5" a="1"/>
  <c r="F12" i="5" s="1"/>
  <c r="H15" i="5" a="1"/>
  <c r="H15" i="5" s="1"/>
  <c r="F6" i="5" a="1"/>
  <c r="F6" i="5" s="1"/>
  <c r="O12" i="5" a="1"/>
  <c r="O12" i="5" s="1"/>
  <c r="J15" i="5" a="1"/>
  <c r="J15" i="5" s="1"/>
  <c r="I15" i="5" a="1"/>
  <c r="I15" i="5" s="1"/>
  <c r="G6" i="5" a="1"/>
  <c r="G6" i="5" s="1"/>
  <c r="E10" i="5" a="1"/>
  <c r="E10" i="5" s="1"/>
  <c r="K15" i="5" a="1"/>
  <c r="K15" i="5" s="1"/>
  <c r="F10" i="5" a="1"/>
  <c r="F10" i="5" s="1"/>
  <c r="E13" i="5" a="1"/>
  <c r="E13" i="5" s="1"/>
  <c r="I17" i="5" a="1"/>
  <c r="I17" i="5" s="1"/>
  <c r="L17" i="5" a="1"/>
  <c r="L17" i="5" s="1"/>
  <c r="E14" i="5" a="1"/>
  <c r="E14" i="5" s="1"/>
  <c r="O15" i="5" a="1"/>
  <c r="O15" i="5" s="1"/>
  <c r="M17" i="5" a="1"/>
  <c r="M17" i="5" s="1"/>
  <c r="F14" i="5" a="1"/>
  <c r="F14" i="5" s="1"/>
  <c r="P15" i="5" a="1"/>
  <c r="P15" i="5" s="1"/>
  <c r="N17" i="5" a="1"/>
  <c r="N17" i="5" s="1"/>
  <c r="L4" i="5" a="1"/>
  <c r="L4" i="5" s="1"/>
  <c r="H12" i="5" a="1"/>
  <c r="H12" i="5" s="1"/>
  <c r="G14" i="5" a="1"/>
  <c r="G14" i="5" s="1"/>
  <c r="O17" i="5" a="1"/>
  <c r="O17" i="5" s="1"/>
  <c r="K4" i="5" a="1"/>
  <c r="K4" i="5" s="1"/>
  <c r="M4" i="5" a="1"/>
  <c r="M4" i="5" s="1"/>
  <c r="K10" i="5" a="1"/>
  <c r="K10" i="5" s="1"/>
  <c r="I12" i="5" a="1"/>
  <c r="I12" i="5" s="1"/>
  <c r="D12" i="5" s="1"/>
  <c r="E16" i="5" a="1"/>
  <c r="E16" i="5" s="1"/>
  <c r="P17" i="5" a="1"/>
  <c r="P17" i="5" s="1"/>
  <c r="F4" i="5" a="1"/>
  <c r="F4" i="5" s="1"/>
  <c r="G4" i="5" a="1"/>
  <c r="G4" i="5" s="1"/>
  <c r="N4" i="5" a="1"/>
  <c r="N4" i="5" s="1"/>
  <c r="L10" i="5" a="1"/>
  <c r="L10" i="5" s="1"/>
  <c r="J12" i="5" a="1"/>
  <c r="J12" i="5" s="1"/>
  <c r="I14" i="5" a="1"/>
  <c r="I14" i="5" s="1"/>
  <c r="D14" i="5" s="1"/>
  <c r="F16" i="5" a="1"/>
  <c r="F16" i="5" s="1"/>
  <c r="E4" i="5" a="1"/>
  <c r="E4" i="5" s="1"/>
  <c r="M15" i="5" a="1"/>
  <c r="M15" i="5" s="1"/>
  <c r="K17" i="5" a="1"/>
  <c r="K17" i="5" s="1"/>
  <c r="I4" i="5" a="1"/>
  <c r="I4" i="5" s="1"/>
  <c r="D4" i="5" s="1"/>
  <c r="O4" i="5" a="1"/>
  <c r="O4" i="5" s="1"/>
  <c r="M10" i="5" a="1"/>
  <c r="M10" i="5" s="1"/>
  <c r="K12" i="5" a="1"/>
  <c r="K12" i="5" s="1"/>
  <c r="J14" i="5" a="1"/>
  <c r="J14" i="5" s="1"/>
  <c r="G16" i="5" a="1"/>
  <c r="G16" i="5" s="1"/>
  <c r="J4" i="5" a="1"/>
  <c r="J4" i="5" s="1"/>
  <c r="P4" i="5" a="1"/>
  <c r="P4" i="5" s="1"/>
  <c r="N10" i="5" a="1"/>
  <c r="N10" i="5" s="1"/>
  <c r="L12" i="5" a="1"/>
  <c r="L12" i="5" s="1"/>
  <c r="K14" i="5" a="1"/>
  <c r="K14" i="5" s="1"/>
  <c r="H16" i="5" a="1"/>
  <c r="H16" i="5" s="1"/>
  <c r="G12" i="5" a="1"/>
  <c r="G12" i="5" s="1"/>
  <c r="K15" i="6"/>
  <c r="M15" i="6"/>
  <c r="K14" i="6"/>
  <c r="M14" i="6"/>
  <c r="M13" i="6"/>
  <c r="L10" i="6"/>
  <c r="K10" i="6" s="1"/>
  <c r="L7" i="6"/>
  <c r="K7" i="6" s="1"/>
  <c r="K6" i="6"/>
  <c r="M6" i="6"/>
  <c r="K5" i="6"/>
  <c r="M5" i="6"/>
  <c r="G1" i="2"/>
  <c r="F1" i="2"/>
  <c r="H24" i="3"/>
  <c r="F4" i="6" s="1"/>
  <c r="G4" i="6" s="1"/>
  <c r="L4" i="6" s="1"/>
  <c r="M4" i="6" s="1"/>
  <c r="N4" i="6" s="1"/>
  <c r="D26" i="3"/>
  <c r="D24" i="3" s="1"/>
  <c r="D24" i="5"/>
  <c r="I24" i="5"/>
  <c r="D1" i="3"/>
  <c r="I1" i="3"/>
  <c r="F3" i="6" s="1"/>
  <c r="G3" i="6" s="1"/>
  <c r="L3" i="6" s="1"/>
  <c r="K3" i="6" s="1"/>
  <c r="E15" i="6" l="1"/>
  <c r="N15" i="6" s="1"/>
  <c r="M12" i="6"/>
  <c r="N12" i="6" s="1"/>
  <c r="M11" i="6"/>
  <c r="N11" i="6" s="1"/>
  <c r="M17" i="6"/>
  <c r="N17" i="6" s="1"/>
  <c r="D1" i="5"/>
  <c r="I1" i="5"/>
  <c r="M16" i="6"/>
  <c r="N16" i="6" s="1"/>
  <c r="M7" i="6"/>
  <c r="N7" i="6" s="1"/>
  <c r="K4" i="6"/>
  <c r="Q3" i="6" s="1"/>
  <c r="M3" i="6"/>
  <c r="N3" i="6" s="1"/>
  <c r="M10" i="6"/>
  <c r="N10" i="6" s="1"/>
  <c r="N13" i="6" l="1"/>
  <c r="Q1" i="6"/>
  <c r="R3" i="6"/>
  <c r="F18" i="6" l="1"/>
  <c r="G18" i="6" s="1"/>
  <c r="L18" i="6" s="1"/>
  <c r="K18" i="6" l="1"/>
  <c r="M18" i="6"/>
  <c r="N18" i="6" s="1"/>
  <c r="N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<sst xmlns="http://schemas.openxmlformats.org/spreadsheetml/2006/main" count="930" uniqueCount="471">
  <si>
    <t>Component</t>
  </si>
  <si>
    <t>Model</t>
  </si>
  <si>
    <t>Spec</t>
  </si>
  <si>
    <t>Unit Price £ (qty thousand)</t>
  </si>
  <si>
    <t>Quantity per board</t>
  </si>
  <si>
    <t>Component Design Cost (person weeks)</t>
  </si>
  <si>
    <t>Manufacture Cost (unit cost per thousand)</t>
  </si>
  <si>
    <t>Code Compatible</t>
  </si>
  <si>
    <t>Pin Compatible</t>
  </si>
  <si>
    <t>Notes: If not PIN compatible, change board; if not CODE compatible - change SW (see other BOM)</t>
  </si>
  <si>
    <t>Person weeks required for Redesign</t>
  </si>
  <si>
    <t>System Impact if component changed</t>
  </si>
  <si>
    <t>Additional comments</t>
  </si>
  <si>
    <t>CPU1</t>
  </si>
  <si>
    <t>68k0</t>
  </si>
  <si>
    <t>8MHz, 16/32, 16MB max RAM</t>
  </si>
  <si>
    <t>-</t>
  </si>
  <si>
    <t>y</t>
  </si>
  <si>
    <t>n</t>
  </si>
  <si>
    <t>choose one CPU</t>
  </si>
  <si>
    <t>change board</t>
  </si>
  <si>
    <t>CPU2</t>
  </si>
  <si>
    <t>68k8</t>
  </si>
  <si>
    <t>5Mhz, 8/32, 1MB Max Ram</t>
  </si>
  <si>
    <t>CPU3</t>
  </si>
  <si>
    <t>EP7500FE</t>
  </si>
  <si>
    <t>50Mhz, 4KB cache, int VIDC and IOMD</t>
  </si>
  <si>
    <t>NEW ARCH - need new RAM and GLUE chips</t>
  </si>
  <si>
    <t>G1</t>
  </si>
  <si>
    <t>glue IOP-CPU</t>
  </si>
  <si>
    <t>Supports all existing BOM options. Same ARCH</t>
  </si>
  <si>
    <t>mod chip</t>
  </si>
  <si>
    <t>Only if using IO chip NOT currently on BOM or new ARCH</t>
  </si>
  <si>
    <t>G2</t>
  </si>
  <si>
    <t>glue RAM-CPU</t>
  </si>
  <si>
    <t>changing RAM chip needs G2 redesign - same ARCH</t>
  </si>
  <si>
    <t>G3</t>
  </si>
  <si>
    <t>glue DISP-CPU</t>
  </si>
  <si>
    <t>changing Display chip needs G3 redesign - same ARCH</t>
  </si>
  <si>
    <t>G4</t>
  </si>
  <si>
    <t>glue SYSTEM</t>
  </si>
  <si>
    <t>only change if CPU changed</t>
  </si>
  <si>
    <t>G4-1 deployed in prod with 68k8 chip</t>
  </si>
  <si>
    <t>GX</t>
  </si>
  <si>
    <t>glue special, interface XVX and CPU</t>
  </si>
  <si>
    <t>designed for XVX and EP75K</t>
  </si>
  <si>
    <t>NEW ARCH - special design</t>
  </si>
  <si>
    <t>DAC</t>
  </si>
  <si>
    <t>4 ch. Audio, Synful design</t>
  </si>
  <si>
    <t>Designed for use with 7500 and. GX chip</t>
  </si>
  <si>
    <t>Misc</t>
  </si>
  <si>
    <t>resistors, caps, etc</t>
  </si>
  <si>
    <t>just add to cost of board</t>
  </si>
  <si>
    <t>i8042</t>
  </si>
  <si>
    <t>mono snd, 2  8-bit ports</t>
  </si>
  <si>
    <t>only one INTSND required</t>
  </si>
  <si>
    <t xml:space="preserve">change board </t>
  </si>
  <si>
    <t>treat like IOP</t>
  </si>
  <si>
    <t>YM2149</t>
  </si>
  <si>
    <t>3 ch snd, env, 2 8-bit ports</t>
  </si>
  <si>
    <t>NVRAM</t>
  </si>
  <si>
    <t>M48T08</t>
  </si>
  <si>
    <t>8KB RAM, battery backed</t>
  </si>
  <si>
    <t>only 1 required</t>
  </si>
  <si>
    <t>needs GX chip change</t>
  </si>
  <si>
    <t>ROM</t>
  </si>
  <si>
    <t>8K</t>
  </si>
  <si>
    <t>8 KB ROM chip</t>
  </si>
  <si>
    <t>1 or 2 chips depends on config</t>
  </si>
  <si>
    <t>unless SCKT</t>
  </si>
  <si>
    <t>16K</t>
  </si>
  <si>
    <t>16 KB ROM chip</t>
  </si>
  <si>
    <t>32K</t>
  </si>
  <si>
    <t>32 KB ROM chip</t>
  </si>
  <si>
    <t>32Kb</t>
  </si>
  <si>
    <t>8/16 bit, 100ns</t>
  </si>
  <si>
    <t>Need 4 chips for 128Kb</t>
  </si>
  <si>
    <t>change G2 &amp; Board</t>
  </si>
  <si>
    <t>unless SCKT, still needs G2 mods though</t>
  </si>
  <si>
    <t>128Kb</t>
  </si>
  <si>
    <t xml:space="preserve">Need 4 chips for 512Kb, </t>
  </si>
  <si>
    <t>256Kb</t>
  </si>
  <si>
    <t>Need 4 chips for 1M</t>
  </si>
  <si>
    <t>512Kb</t>
  </si>
  <si>
    <t>16 bit, 100ns</t>
  </si>
  <si>
    <t>Need 4 chips for 2M</t>
  </si>
  <si>
    <t>SIMM</t>
  </si>
  <si>
    <t>4096KB</t>
  </si>
  <si>
    <t>only compatible with existing SIMM based boards</t>
  </si>
  <si>
    <t>SOCKETED</t>
  </si>
  <si>
    <t>socketed simms can be exchanged, GX is compatible</t>
  </si>
  <si>
    <t>2048KB</t>
  </si>
  <si>
    <t>1024KB</t>
  </si>
  <si>
    <t>BOARD-SLDR</t>
  </si>
  <si>
    <t>A83</t>
  </si>
  <si>
    <t>CPU, IOP, G1-4, XXKb RAM SERPORT, INTSND</t>
  </si>
  <si>
    <t>Only 1 chip of each type required except RAM</t>
  </si>
  <si>
    <t>BOARD-SCKT</t>
  </si>
  <si>
    <t>A83-S</t>
  </si>
  <si>
    <t>All ICs have sockets</t>
  </si>
  <si>
    <t>with sockets</t>
  </si>
  <si>
    <t>GPAD-SLDR</t>
  </si>
  <si>
    <t>G-96</t>
  </si>
  <si>
    <t>CPU-DAC-GX-GDISP-X MB-RAM - ROM</t>
  </si>
  <si>
    <t xml:space="preserve"> </t>
  </si>
  <si>
    <t>Special board for game console</t>
  </si>
  <si>
    <t>All components soldered EXCEPT RAM</t>
  </si>
  <si>
    <t>Pro Expansion</t>
  </si>
  <si>
    <t>ProEx</t>
  </si>
  <si>
    <t>CPU-Glue-SCSI - 4xRAM</t>
  </si>
  <si>
    <t>Expansion board - component prices from BOM</t>
  </si>
  <si>
    <t>New G if new CPU</t>
  </si>
  <si>
    <t>All comps socketed - comp costs from BOM</t>
  </si>
  <si>
    <t>16550 UART</t>
  </si>
  <si>
    <t>1 ch serial port</t>
  </si>
  <si>
    <t>Two IOP required - this is Serial</t>
  </si>
  <si>
    <t>SC100</t>
  </si>
  <si>
    <t>2ch MPX serial ports</t>
  </si>
  <si>
    <t xml:space="preserve">Multiplex:1 prt  -&gt; 2 (need cable) </t>
  </si>
  <si>
    <t>replaces SERPRT</t>
  </si>
  <si>
    <t>J6100</t>
  </si>
  <si>
    <t>9 pin 1 ch dig port</t>
  </si>
  <si>
    <t>Two IOP required - this is JyStk</t>
  </si>
  <si>
    <t>SC150</t>
  </si>
  <si>
    <t>2ch Joy/mse/keybd connector</t>
  </si>
  <si>
    <t>replaces JYSTCK</t>
  </si>
  <si>
    <t>IOP-X</t>
  </si>
  <si>
    <t>SCSI</t>
  </si>
  <si>
    <t>SCSI interface &amp; terminator</t>
  </si>
  <si>
    <t>Only for Pro Exp board</t>
  </si>
  <si>
    <t>change G chip</t>
  </si>
  <si>
    <t>new G chip if SCSI chip changes</t>
  </si>
  <si>
    <t>GDISP</t>
  </si>
  <si>
    <t>XVX</t>
  </si>
  <si>
    <t>4k cols, 1024x768, 100Mhz, 1MB VRAM</t>
  </si>
  <si>
    <t>Not included in orig Synputer design</t>
  </si>
  <si>
    <t>change board, G3 chip</t>
  </si>
  <si>
    <t>AMIDISP</t>
  </si>
  <si>
    <t>XVZ</t>
  </si>
  <si>
    <t>64k col, 1280x1024, 100Mhz, 1MB VRAM</t>
  </si>
  <si>
    <t>drop in relacement for XVX chip with bugfix</t>
  </si>
  <si>
    <t>change GX chip</t>
  </si>
  <si>
    <t>designed for game console and GX chip ONLY</t>
  </si>
  <si>
    <t>disk</t>
  </si>
  <si>
    <t>3.5" floppy</t>
  </si>
  <si>
    <t>controlled by G1, only 1 storage opt required</t>
  </si>
  <si>
    <t>change g1</t>
  </si>
  <si>
    <t>cartridge</t>
  </si>
  <si>
    <t>cartridges</t>
  </si>
  <si>
    <t>mixed</t>
  </si>
  <si>
    <t>1 of each (cart/ floppy)</t>
  </si>
  <si>
    <t>change to allow both storage devices on one chip</t>
  </si>
  <si>
    <t>DESKTOP</t>
  </si>
  <si>
    <t>int keyboard, 3 ext ports (+ exp)</t>
  </si>
  <si>
    <t>n/a</t>
  </si>
  <si>
    <t>needs new case</t>
  </si>
  <si>
    <t>LUGGABLE</t>
  </si>
  <si>
    <t>ext keyboard, 4 ext ports (+exp)</t>
  </si>
  <si>
    <t>CUSTOM</t>
  </si>
  <si>
    <t>on demand</t>
  </si>
  <si>
    <t>TBA</t>
  </si>
  <si>
    <t>int</t>
  </si>
  <si>
    <t>int keyboard for case</t>
  </si>
  <si>
    <t>controlled by G1 needs chip change</t>
  </si>
  <si>
    <t>change chip &amp; board</t>
  </si>
  <si>
    <t>ext</t>
  </si>
  <si>
    <t>ext keyboard for system</t>
  </si>
  <si>
    <t>Company</t>
  </si>
  <si>
    <t>Producer</t>
  </si>
  <si>
    <t>Code Size</t>
  </si>
  <si>
    <t>Design Cost (person weeks)</t>
  </si>
  <si>
    <t>Coding Cost (person weeks)</t>
  </si>
  <si>
    <t>Core System</t>
  </si>
  <si>
    <t>Notes</t>
  </si>
  <si>
    <t>redesign</t>
  </si>
  <si>
    <t>Impact (person weeks)</t>
  </si>
  <si>
    <t>Synful</t>
  </si>
  <si>
    <t>Boot ldr &amp; HWcfg</t>
  </si>
  <si>
    <t>In House</t>
  </si>
  <si>
    <t>Built into system ROM</t>
  </si>
  <si>
    <t>New ldr for new Arch</t>
  </si>
  <si>
    <t>Sys: Kernel</t>
  </si>
  <si>
    <t>In House/ HB/OS</t>
  </si>
  <si>
    <t>needed in ROM</t>
  </si>
  <si>
    <t>if ARCH changes recompile ALL</t>
  </si>
  <si>
    <t>SYS: Libraries</t>
  </si>
  <si>
    <t>SYS: Drivers</t>
  </si>
  <si>
    <t>4k</t>
  </si>
  <si>
    <t>new/ changed hw</t>
  </si>
  <si>
    <t>SYS: Extensions</t>
  </si>
  <si>
    <t>64k</t>
  </si>
  <si>
    <t>DISK</t>
  </si>
  <si>
    <t>new/ changed features</t>
  </si>
  <si>
    <t>SYS: GameSnd</t>
  </si>
  <si>
    <t>128k</t>
  </si>
  <si>
    <t xml:space="preserve">New sound hw </t>
  </si>
  <si>
    <t>SYS: Graphics</t>
  </si>
  <si>
    <t>New GFX HW</t>
  </si>
  <si>
    <t>hyperbasic</t>
  </si>
  <si>
    <t>BAS: Kernel</t>
  </si>
  <si>
    <t>In House/ HB OS</t>
  </si>
  <si>
    <t>BAS: core lib&amp;I/O</t>
  </si>
  <si>
    <t>BAS: fs libs</t>
  </si>
  <si>
    <t>can be ROM or DISK</t>
  </si>
  <si>
    <t>fs options. E.g. FAT</t>
  </si>
  <si>
    <t>BAS: Toolkit</t>
  </si>
  <si>
    <t>16k</t>
  </si>
  <si>
    <t>Basic utils FMT, Edit, etc.</t>
  </si>
  <si>
    <t>BAS: Examples</t>
  </si>
  <si>
    <t>480k</t>
  </si>
  <si>
    <t>DISK zip archive of files</t>
  </si>
  <si>
    <t>Should not need updating</t>
  </si>
  <si>
    <t>BAS: Wrappers</t>
  </si>
  <si>
    <t>240k</t>
  </si>
  <si>
    <t>in zip archive above</t>
  </si>
  <si>
    <t>Wrappers around OS funcs</t>
  </si>
  <si>
    <t>BAS: GDK</t>
  </si>
  <si>
    <t>450k</t>
  </si>
  <si>
    <t>DISK (cost £125 per disk - games dev kit)</t>
  </si>
  <si>
    <t>needs changes if gfx chip changes</t>
  </si>
  <si>
    <t>BAS: GUI</t>
  </si>
  <si>
    <t>800k</t>
  </si>
  <si>
    <t>DISK (cost £75 per set)</t>
  </si>
  <si>
    <t>PTR/E GUI env</t>
  </si>
  <si>
    <t>BAS: DOS tools</t>
  </si>
  <si>
    <t>600k</t>
  </si>
  <si>
    <t>DISK (cost £25 per disk) zip on cartridge</t>
  </si>
  <si>
    <t>DOS look &amp; feel</t>
  </si>
  <si>
    <t>emulators</t>
  </si>
  <si>
    <t>Emulator</t>
  </si>
  <si>
    <t>64KB</t>
  </si>
  <si>
    <t>DISK (&gt; 200k inc. machine img &amp; 5 games)</t>
  </si>
  <si>
    <t>Syntrum em for Synputer(£50/copy)</t>
  </si>
  <si>
    <t>OGRE96</t>
  </si>
  <si>
    <t>148KB</t>
  </si>
  <si>
    <t>Cartridge - £50/cartridge inc img &amp; 10 games</t>
  </si>
  <si>
    <t>Old Game Replay Engine NEW ARCH</t>
  </si>
  <si>
    <t>EZ-SYS</t>
  </si>
  <si>
    <t>EZ-Suite</t>
  </si>
  <si>
    <t>3rd party</t>
  </si>
  <si>
    <t>520KB</t>
  </si>
  <si>
    <t>DISK - bundled - £25 per machine license</t>
  </si>
  <si>
    <t>Mod if OS/ ARCH change</t>
  </si>
  <si>
    <t>HBConv</t>
  </si>
  <si>
    <t>128KB</t>
  </si>
  <si>
    <t>converts telebasic to HB prgs</t>
  </si>
  <si>
    <t xml:space="preserve">Licensed - £55 per copy </t>
  </si>
  <si>
    <t>HB96 Compiler</t>
  </si>
  <si>
    <t>500KB</t>
  </si>
  <si>
    <t>compiles HB prgs into BIN files</t>
  </si>
  <si>
    <t>licensed £99 per copy - from 1996</t>
  </si>
  <si>
    <t>MCC</t>
  </si>
  <si>
    <t>616KB</t>
  </si>
  <si>
    <t>2.8BSD based - new Arch only</t>
  </si>
  <si>
    <t>Not ROMable - Arch dependent</t>
  </si>
  <si>
    <t>Extensions</t>
  </si>
  <si>
    <t>Sound &amp; utils</t>
  </si>
  <si>
    <t>948KB</t>
  </si>
  <si>
    <t>Not ROMable - Arch dependent - 2 disks zipped</t>
  </si>
  <si>
    <t>Graphics &amp; utils</t>
  </si>
  <si>
    <t>Src Code &amp; Docs</t>
  </si>
  <si>
    <t>Not ROMable - independent - 2 disks zipped</t>
  </si>
  <si>
    <t>2.8BSD based  - change on new release</t>
  </si>
  <si>
    <t>PRG: Langs, etc</t>
  </si>
  <si>
    <t>Select Lang, etc</t>
  </si>
  <si>
    <t>Not ROMable - Arch dependent - bztar</t>
  </si>
  <si>
    <t>£50 per disk pack - distro cost only</t>
  </si>
  <si>
    <t>X-Windows</t>
  </si>
  <si>
    <t>Libs, utils, etc.</t>
  </si>
  <si>
    <t>2 MB</t>
  </si>
  <si>
    <t>£150 per disk pack - distro cost only</t>
  </si>
  <si>
    <t>Logic Research International (LRI)</t>
  </si>
  <si>
    <t>CPM68k</t>
  </si>
  <si>
    <t>LRI</t>
  </si>
  <si>
    <t>CPM+BIOS</t>
  </si>
  <si>
    <t>16KB</t>
  </si>
  <si>
    <t>alt to IH code - replaces in ROM</t>
  </si>
  <si>
    <t>Libs &amp; CLI</t>
  </si>
  <si>
    <t>Not ROMable - on DISK</t>
  </si>
  <si>
    <t>68kBASIC</t>
  </si>
  <si>
    <t>Ext Drivers</t>
  </si>
  <si>
    <t>628KB</t>
  </si>
  <si>
    <t>DISK set reqd - £45 per machine license</t>
  </si>
  <si>
    <t>HW changes</t>
  </si>
  <si>
    <t>Core Utils</t>
  </si>
  <si>
    <t>512KB</t>
  </si>
  <si>
    <t>DISK set reqd - inc in license</t>
  </si>
  <si>
    <t>CPMReady</t>
  </si>
  <si>
    <t>600KB</t>
  </si>
  <si>
    <t>CP/M-80 Emulator - £45 license</t>
  </si>
  <si>
    <t>GEM</t>
  </si>
  <si>
    <t>GEM GFX &amp; Libs</t>
  </si>
  <si>
    <t>32KB</t>
  </si>
  <si>
    <t>ROM - needs 32KB CPM-68k v2 ROM as well</t>
  </si>
  <si>
    <t xml:space="preserve">GUI opts only - change with gfx chip </t>
  </si>
  <si>
    <t>GEM Env &amp; Apps</t>
  </si>
  <si>
    <t>1512KB</t>
  </si>
  <si>
    <t>DISK set reqd - £99 per machine</t>
  </si>
  <si>
    <t>PROGRAMMING</t>
  </si>
  <si>
    <t>PRG: BASIC Exts</t>
  </si>
  <si>
    <t>464KB</t>
  </si>
  <si>
    <t>all 68kBASIC part of disk set</t>
  </si>
  <si>
    <t>should not require changes</t>
  </si>
  <si>
    <t>PRG: Libs</t>
  </si>
  <si>
    <t>PRG: Drivers</t>
  </si>
  <si>
    <t>hw changes</t>
  </si>
  <si>
    <t>PRG: toolkit</t>
  </si>
  <si>
    <t>PRG: Egs &amp; utils</t>
  </si>
  <si>
    <t>£150 per disk set license per machine</t>
  </si>
  <si>
    <t>PRG: GDK</t>
  </si>
  <si>
    <t>1628KB</t>
  </si>
  <si>
    <t>£150 per disk license per machine - game dev</t>
  </si>
  <si>
    <t>only if GFX change</t>
  </si>
  <si>
    <t>Capacities</t>
  </si>
  <si>
    <t>Unformatted</t>
  </si>
  <si>
    <t>Formatted</t>
  </si>
  <si>
    <t>cost</t>
  </si>
  <si>
    <t>Floppy</t>
  </si>
  <si>
    <t>1M</t>
  </si>
  <si>
    <t>720KB</t>
  </si>
  <si>
    <t>Cartridge</t>
  </si>
  <si>
    <t>300KB</t>
  </si>
  <si>
    <t>160KB</t>
  </si>
  <si>
    <t>$2</t>
  </si>
  <si>
    <t>Unix license</t>
  </si>
  <si>
    <t>$10,000 per CPU</t>
  </si>
  <si>
    <t>BSD copy license</t>
  </si>
  <si>
    <t>$250 - $500 per ver</t>
  </si>
  <si>
    <t>assumes you have license</t>
  </si>
  <si>
    <t>ULA1</t>
  </si>
  <si>
    <t>ULA2</t>
  </si>
  <si>
    <t>ULA3</t>
  </si>
  <si>
    <t>ULA4</t>
  </si>
  <si>
    <t>ULA5</t>
  </si>
  <si>
    <t>ULA6</t>
  </si>
  <si>
    <t>Role</t>
  </si>
  <si>
    <t>Inernal Cost</t>
  </si>
  <si>
    <t>Agency Cost</t>
  </si>
  <si>
    <t>Task/Skills</t>
  </si>
  <si>
    <t>Hardware Architect</t>
  </si>
  <si>
    <t>Software Architect</t>
  </si>
  <si>
    <t>HW Engineer</t>
  </si>
  <si>
    <t>SW Engineer</t>
  </si>
  <si>
    <t>Project Manager</t>
  </si>
  <si>
    <t>Project Analyst</t>
  </si>
  <si>
    <t>Initials</t>
  </si>
  <si>
    <t>HA</t>
  </si>
  <si>
    <t>SA</t>
  </si>
  <si>
    <t>PM</t>
  </si>
  <si>
    <t>PA</t>
  </si>
  <si>
    <t>Design, layout, fault finding</t>
  </si>
  <si>
    <t>Design, coding, fault finding</t>
  </si>
  <si>
    <t>Build, test, troubleshoot</t>
  </si>
  <si>
    <t>Code, test, troubleshoot</t>
  </si>
  <si>
    <t>Plan, manage, reporting, costing</t>
  </si>
  <si>
    <t>Update, replan, resourcing, costs</t>
  </si>
  <si>
    <t>Design Staff</t>
  </si>
  <si>
    <t>HE2</t>
  </si>
  <si>
    <t>SE2</t>
  </si>
  <si>
    <t>HE1</t>
  </si>
  <si>
    <t>SE1</t>
  </si>
  <si>
    <t>HW Engineer 2</t>
  </si>
  <si>
    <t>SW Engineer 2</t>
  </si>
  <si>
    <t>Design Cost</t>
  </si>
  <si>
    <t>ROM1</t>
  </si>
  <si>
    <t>ROM2</t>
  </si>
  <si>
    <t>ROM3</t>
  </si>
  <si>
    <t>RAM1</t>
  </si>
  <si>
    <t>RAM2</t>
  </si>
  <si>
    <t>RAM3</t>
  </si>
  <si>
    <t>RAM4</t>
  </si>
  <si>
    <t>RAM5</t>
  </si>
  <si>
    <t>RAM6</t>
  </si>
  <si>
    <t>RAM7</t>
  </si>
  <si>
    <t>INTSND1</t>
  </si>
  <si>
    <t>INTSND2</t>
  </si>
  <si>
    <t>STORAGE1</t>
  </si>
  <si>
    <t>STORAGE2</t>
  </si>
  <si>
    <t>STORAGE3</t>
  </si>
  <si>
    <t>CASE1</t>
  </si>
  <si>
    <t>CASE2</t>
  </si>
  <si>
    <t>CASE3</t>
  </si>
  <si>
    <t>KEYB1</t>
  </si>
  <si>
    <t>KEYB2</t>
  </si>
  <si>
    <t>IOP-S1</t>
  </si>
  <si>
    <t>IOP-J1</t>
  </si>
  <si>
    <t>IOP-S2</t>
  </si>
  <si>
    <t>IOP-J2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</si>
  <si>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</si>
  <si>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</si>
  <si>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</si>
  <si>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</si>
  <si>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</si>
  <si>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</si>
  <si>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</si>
  <si>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</si>
  <si>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</si>
  <si>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</si>
  <si>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</si>
  <si>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</si>
  <si>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</si>
  <si>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</si>
  <si>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</si>
  <si>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</si>
  <si>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</si>
  <si>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</si>
  <si>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</si>
  <si>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</si>
  <si>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</si>
  <si>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</si>
  <si>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</si>
  <si>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</si>
  <si>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S29</t>
  </si>
  <si>
    <t>S30</t>
  </si>
  <si>
    <t>S31</t>
  </si>
  <si>
    <t>S32</t>
  </si>
  <si>
    <t>S33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</si>
  <si>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</si>
  <si>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</si>
  <si>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</si>
  <si>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</si>
  <si>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</si>
  <si>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</si>
  <si>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</si>
  <si>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</si>
  <si>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</si>
  <si>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</si>
  <si>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</si>
  <si>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</si>
  <si>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</si>
  <si>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</si>
  <si>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</si>
  <si>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</si>
  <si>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</si>
  <si>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</si>
  <si>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</si>
  <si>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</si>
  <si>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Component2</t>
  </si>
  <si>
    <t>Code Size (KB)</t>
  </si>
  <si>
    <t>Disk</t>
  </si>
  <si>
    <t>KB</t>
  </si>
  <si>
    <t>Cost</t>
  </si>
  <si>
    <t>Hardware Design</t>
  </si>
  <si>
    <t>Wks</t>
  </si>
  <si>
    <t>Days</t>
  </si>
  <si>
    <t>Agency Staff (Wks)</t>
  </si>
  <si>
    <t>Agency Staff (Days)</t>
  </si>
  <si>
    <t>Internal Staff (Days)</t>
  </si>
  <si>
    <t>Phase</t>
  </si>
  <si>
    <t>Internal Staff (Wks)</t>
  </si>
  <si>
    <t>Internal Cost</t>
  </si>
  <si>
    <t>Total Cost</t>
  </si>
  <si>
    <t>Software Design</t>
  </si>
  <si>
    <t>Fixed Cost</t>
  </si>
  <si>
    <t>Case Build</t>
  </si>
  <si>
    <t>Board Production</t>
  </si>
  <si>
    <t>Hardware Components</t>
  </si>
  <si>
    <t>Units</t>
  </si>
  <si>
    <t>EZ-Suite License</t>
  </si>
  <si>
    <t>Design</t>
  </si>
  <si>
    <t>Production</t>
  </si>
  <si>
    <t>Testing</t>
  </si>
  <si>
    <t>Project Management</t>
  </si>
  <si>
    <t>Testing - HW</t>
  </si>
  <si>
    <t>Storage1</t>
  </si>
  <si>
    <t>https://trello.com/b/1jf1js5x/msc-project-management-grp1</t>
  </si>
  <si>
    <t>Case Build - Agency</t>
  </si>
  <si>
    <t>Board Production - Agency</t>
  </si>
  <si>
    <t>Testing - SW</t>
  </si>
  <si>
    <t>Unix License</t>
  </si>
  <si>
    <t>$.5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</si>
</sst>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164" formatCode="&quot;£&quot;#,##0.00"/>
    <numFmt numFmtId="165" formatCode="0.0"/>
  </numFmts>
  <fonts count="9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6" tint="0.79998168889431442"/>
      <name val="Calibri Light"/>
      <family val="2"/>
      <scheme val="maj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F8E3"/>
        <bgColor rgb="FFFEF8E3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9CB9C"/>
      </patternFill>
    </fill>
    <fill>
      <patternFill patternType="solid">
        <fgColor rgb="FFFFFF00"/>
        <bgColor rgb="FFFEF8E3"/>
      </patternFill>
    </fill>
    <fill>
      <patternFill patternType="solid">
        <fgColor rgb="FFFFFF00"/>
        <bgColor rgb="FFF9CB9C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1"/>
    <xf numFmtId="0" fontId="1" fillId="0" borderId="0" xfId="1" applyFont="1"/>
    <xf numFmtId="0" fontId="6" fillId="3" borderId="0" xfId="1" applyFont="1" applyFill="1"/>
    <xf numFmtId="0" fontId="6" fillId="0" borderId="0" xfId="1" applyFont="1"/>
    <xf numFmtId="0" fontId="4" fillId="0" borderId="0" xfId="1" applyFont="1"/>
    <xf numFmtId="0" fontId="4" fillId="0" borderId="0" xfId="1" applyFont="1" applyAlignment="1">
      <alignment horizontal="center" vertical="top" wrapText="1"/>
    </xf>
    <xf numFmtId="0" fontId="4" fillId="5" borderId="0" xfId="1" applyFont="1" applyFill="1"/>
    <xf numFmtId="0" fontId="1" fillId="5" borderId="0" xfId="1" applyFont="1" applyFill="1"/>
    <xf numFmtId="0" fontId="1" fillId="6" borderId="0" xfId="1" applyFont="1" applyFill="1"/>
    <xf numFmtId="6" fontId="4" fillId="0" borderId="0" xfId="1" applyNumberFormat="1" applyFont="1"/>
    <xf numFmtId="0" fontId="6" fillId="5" borderId="0" xfId="1" applyFont="1" applyFill="1"/>
    <xf numFmtId="0" fontId="8" fillId="5" borderId="0" xfId="1" applyFont="1" applyFill="1"/>
    <xf numFmtId="0" fontId="6" fillId="7" borderId="0" xfId="1" applyFont="1" applyFill="1"/>
    <xf numFmtId="0" fontId="1" fillId="2" borderId="0" xfId="1" applyFont="1" applyFill="1"/>
    <xf numFmtId="0" fontId="1" fillId="8" borderId="0" xfId="1" applyFont="1" applyFill="1"/>
    <xf numFmtId="0" fontId="5" fillId="2" borderId="0" xfId="1" applyFill="1"/>
    <xf numFmtId="0" fontId="6" fillId="2" borderId="0" xfId="1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7" fillId="4" borderId="1" xfId="1" applyFont="1" applyFill="1" applyBorder="1" applyAlignment="1">
      <alignment wrapText="1"/>
    </xf>
    <xf numFmtId="0" fontId="7" fillId="4" borderId="1" xfId="1" applyFont="1" applyFill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6" fontId="0" fillId="0" borderId="0" xfId="0" applyNumberFormat="1"/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1" applyFont="1"/>
    <xf numFmtId="164" fontId="7" fillId="4" borderId="1" xfId="1" applyNumberFormat="1" applyFont="1" applyFill="1" applyBorder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9" borderId="0" xfId="0" applyFont="1" applyFill="1"/>
  </cellXfs>
  <cellStyles count="2">
    <cellStyle name="Normal" xfId="0" builtinId="0"/>
    <cellStyle name="Normal 2" xfId="1" xr:uid="{4BEA3584-0DA6-499A-A9D7-C416D9889D83}"/>
  </cellStyles>
  <dxfs count="101"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0.79998168889431442"/>
        <name val="Calibri Light"/>
        <family val="2"/>
        <scheme val="major"/>
      </font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0.0"/>
    </dxf>
    <dxf>
      <numFmt numFmtId="164" formatCode="&quot;£&quot;#,##0.00"/>
      <alignment horizont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"/>
      <alignment horizont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</font>
      <numFmt numFmtId="0" formatCode="General"/>
    </dxf>
    <dxf>
      <numFmt numFmtId="164" formatCode="&quot;£&quot;#,##0.00"/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64" formatCode="&quot;£&quot;#,##0.00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64" formatCode="&quot;£&quot;#,##0.00"/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A95F5D-7802-44E5-BEA9-DCB8CC4C29C9}" name="Table17" displayName="Table17" ref="B2:P17" totalsRowShown="0" headerRowDxfId="100" headerRowBorderDxfId="99" tableBorderDxfId="98">
  <autoFilter ref="B2:P17" xr:uid="{19E446C4-C73E-4D7E-AA76-DEF3627C3216}"/>
  <tableColumns count="15">
    <tableColumn id="1" xr3:uid="{AB770A5F-08A9-4DA8-9BD6-A449760B099A}" name="Component"/>
    <tableColumn id="14" xr3:uid="{74385153-C913-4578-A848-DFA34A672563}" name="Design Staff" dataDxfId="97"/>
    <tableColumn id="16" xr3:uid="{C4F1E1A1-8A40-4530-9232-B47596060A48}" name="Design Cost" dataDxfId="96">
      <calculatedColumnFormula>IF(Table17[[#This Row],[Design Staff]]="","",VLOOKUP(Table17[[#This Row],[Design Staff]],Staff[[#All],[Initials]:[Inernal Cost]],2,FALSE)*Table17[[#This Row],[Component Design Cost (person weeks)]]*5)</calculatedColumnFormula>
    </tableColumn>
    <tableColumn id="2" xr3:uid="{559DDD66-E35F-448B-AE1A-D87716082BAB}" name="Model" dataDxfId="95">
      <calculatedColumnFormula array="1">IFERROR(IF(_xlfn.XLOOKUP(Table17[[#This Row],[Component]],HW[[#All],[Component]],_xlfn.XLOOKUP(E$2,HW[#Headers],HW[#All]))="","",_xlfn.XLOOKUP(Table17[[#This Row],[Component]],HW[[#All],[Component]],_xlfn.XLOOKUP(E$2,HW[#Headers],HW[#All]))),"")</calculatedColumnFormula>
    </tableColumn>
    <tableColumn id="3" xr3:uid="{B472AEFD-0B22-401E-9888-4EF0A44B7543}" name="Spec">
      <calculatedColumnFormula array="1">IFERROR(IF(_xlfn.XLOOKUP(Table17[[#This Row],[Component]],HW[[#All],[Component]],_xlfn.XLOOKUP(F$2,HW[#Headers],HW[#All]))="","",_xlfn.XLOOKUP(Table17[[#This Row],[Component]],HW[[#All],[Component]],_xlfn.XLOOKUP(F$2,HW[#Headers],HW[#All]))),"")</calculatedColumnFormula>
    </tableColumn>
    <tableColumn id="4" xr3:uid="{F82B5A32-9EA9-40D0-9D8B-CADDAF8B0AA5}" name="Unit Price £ (qty thousand)" dataDxfId="94">
      <calculatedColumnFormula array="1">IFERROR(IF(_xlfn.XLOOKUP(Table17[[#This Row],[Component]],HW[[#All],[Component]],_xlfn.XLOOKUP(G$2,HW[#Headers],HW[#All]))="","",_xlfn.XLOOKUP(Table17[[#This Row],[Component]],HW[[#All],[Component]],_xlfn.XLOOKUP(G$2,HW[#Headers],HW[#All]))),"")</calculatedColumnFormula>
    </tableColumn>
    <tableColumn id="5" xr3:uid="{E731DF85-1DE1-4DF7-B40A-9929C93AC641}" name="Quantity per board" dataDxfId="93">
      <calculatedColumnFormula array="1">IFERROR(IF(_xlfn.XLOOKUP(Table17[[#This Row],[Component]],HW[[#All],[Component]],_xlfn.XLOOKUP(H$2,HW[#Headers],HW[#All]))="","",_xlfn.XLOOKUP(Table17[[#This Row],[Component]],HW[[#All],[Component]],_xlfn.XLOOKUP(H$2,HW[#Headers],HW[#All]))),"")</calculatedColumnFormula>
    </tableColumn>
    <tableColumn id="6" xr3:uid="{425767E8-B483-4BF3-AA48-99A2CC777796}" name="Component Design Cost (person weeks)" dataDxfId="92">
      <calculatedColumnFormula array="1">IFERROR(IF(_xlfn.XLOOKUP(Table17[[#This Row],[Component]],HW[[#All],[Component]],_xlfn.XLOOKUP(I$2,HW[#Headers],HW[#All]))="","",_xlfn.XLOOKUP(Table17[[#This Row],[Component]],HW[[#All],[Component]],_xlfn.XLOOKUP(I$2,HW[#Headers],HW[#All]))),"")</calculatedColumnFormula>
    </tableColumn>
    <tableColumn id="7" xr3:uid="{AFF04645-A272-4DEE-8957-7901CAEEF5A2}" name="Manufacture Cost (unit cost per thousand)" dataDxfId="91">
      <calculatedColumnFormula array="1">IFERROR(IF(_xlfn.XLOOKUP(Table17[[#This Row],[Component]],HW[[#All],[Component]],_xlfn.XLOOKUP(J$2,HW[#Headers],HW[#All]))="","",_xlfn.XLOOKUP(Table17[[#This Row],[Component]],HW[[#All],[Component]],_xlfn.XLOOKUP(J$2,HW[#Headers],HW[#All]))),"")</calculatedColumnFormula>
    </tableColumn>
    <tableColumn id="8" xr3:uid="{EA78E08D-354F-4C44-833F-E8771BF6BF7C}" name="Code Compatible" dataDxfId="90">
      <calculatedColumnFormula array="1">IFERROR(IF(_xlfn.XLOOKUP(Table17[[#This Row],[Component]],HW[[#All],[Component]],_xlfn.XLOOKUP(K$2,HW[#Headers],HW[#All]))="","",_xlfn.XLOOKUP(Table17[[#This Row],[Component]],HW[[#All],[Component]],_xlfn.XLOOKUP(K$2,HW[#Headers],HW[#All]))),"")</calculatedColumnFormula>
    </tableColumn>
    <tableColumn id="9" xr3:uid="{888B6D1D-F1FE-4DB2-83F1-0F28B930F71A}" name="Pin Compatible" dataDxfId="89">
      <calculatedColumnFormula array="1">IFERROR(IF(_xlfn.XLOOKUP(Table17[[#This Row],[Component]],HW[[#All],[Component]],_xlfn.XLOOKUP(L$2,HW[#Headers],HW[#All]))="","",_xlfn.XLOOKUP(Table17[[#This Row],[Component]],HW[[#All],[Component]],_xlfn.XLOOKUP(L$2,HW[#Headers],HW[#All]))),"")</calculatedColumnFormula>
    </tableColumn>
    <tableColumn id="10" xr3:uid="{DCEE6235-9B39-461D-837A-B4651E26C189}" name="Notes: If not PIN compatible, change board; if not CODE compatible - change SW (see other BOM)">
      <calculatedColumnFormula array="1">IFERROR(IF(_xlfn.XLOOKUP(Table17[[#This Row],[Component]],HW[[#All],[Component]],_xlfn.XLOOKUP(M$2,HW[#Headers],HW[#All]))="","",_xlfn.XLOOKUP(Table17[[#This Row],[Component]],HW[[#All],[Component]],_xlfn.XLOOKUP(M$2,HW[#Headers],HW[#All]))),"")</calculatedColumnFormula>
    </tableColumn>
    <tableColumn id="11" xr3:uid="{CC90507C-7BFA-481B-9F95-ADC03E75B7CA}" name="Person weeks required for Redesign" dataDxfId="88">
      <calculatedColumnFormula array="1">IFERROR(IF(_xlfn.XLOOKUP(Table17[[#This Row],[Component]],HW[[#All],[Component]],_xlfn.XLOOKUP(N$2,HW[#Headers],HW[#All]))="","",_xlfn.XLOOKUP(Table17[[#This Row],[Component]],HW[[#All],[Component]],_xlfn.XLOOKUP(N$2,HW[#Headers],HW[#All]))),"")</calculatedColumnFormula>
    </tableColumn>
    <tableColumn id="12" xr3:uid="{A4A6A7B1-E7B3-43FF-8CE0-8621DA5B8119}" name="System Impact if component changed">
      <calculatedColumnFormula array="1">IFERROR(IF(_xlfn.XLOOKUP(Table17[[#This Row],[Component]],HW[[#All],[Component]],_xlfn.XLOOKUP(O$2,HW[#Headers],HW[#All]))="","",_xlfn.XLOOKUP(Table17[[#This Row],[Component]],HW[[#All],[Component]],_xlfn.XLOOKUP(O$2,HW[#Headers],HW[#All]))),"")</calculatedColumnFormula>
    </tableColumn>
    <tableColumn id="13" xr3:uid="{EA2354A9-DF82-4F6E-8E30-45F0420A67F3}" name="Additional comments" dataDxfId="87">
      <calculatedColumnFormula array="1">IFERROR(IF(_xlfn.XLOOKUP(Table17[[#This Row],[Component]],HW[[#All],[Component]],_xlfn.XLOOKUP(P$2,HW[#Headers],HW[#All]))="","",_xlfn.XLOOKUP(Table17[[#This Row],[Component]],HW[[#All],[Component]],_xlfn.XLOOKUP(P$2,HW[#Headers],HW[#All]))),"")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45618A-B933-457A-8714-89B6EF8A969D}" name="Table168" displayName="Table168" ref="B25:N38" totalsRowShown="0" headerRowDxfId="86" headerRowBorderDxfId="85" tableBorderDxfId="84">
  <autoFilter ref="B25:N38" xr:uid="{485A2BA8-6B1E-4077-8845-282DB1B9B86B}"/>
  <tableColumns count="13">
    <tableColumn id="1" xr3:uid="{6ECAF673-8602-4100-A1EA-F93AC962B7D7}" name="Component"/>
    <tableColumn id="14" xr3:uid="{69A2AEE2-7A34-4E0D-A5E5-B1D23BE66D59}" name="Design Staff" dataDxfId="83"/>
    <tableColumn id="16" xr3:uid="{C7BBC40A-5EEB-4D08-A631-C5167E5F0C8B}" name="Design Cost" dataDxfId="82">
      <calculatedColumnFormula>IF(Table168[[#This Row],[Design Staff]]="","",VLOOKUP(Table168[[#This Row],[Design Staff]],Staff[[#All],[Initials]:[Inernal Cost]],2,FALSE)*Table168[[#This Row],[Design Cost (person weeks)]]*5)</calculatedColumnFormula>
    </tableColumn>
    <tableColumn id="2" xr3:uid="{44ED44D5-22CA-45F1-9FB5-F3F85D80A505}" name="Component2" dataDxfId="81">
      <calculatedColumnFormula array="1">IFERROR(IF(_xlfn.XLOOKUP(Table168[[#This Row],[Component]],SW[[#All],[Component]],_xlfn.XLOOKUP(E$25,SW[#Headers],SW[#All]))="","",_xlfn.XLOOKUP(Table168[[#This Row],[Component]],SW[[#All],[Component]],_xlfn.XLOOKUP(E$25,SW[#Headers],SW[#All]))),"")</calculatedColumnFormula>
    </tableColumn>
    <tableColumn id="3" xr3:uid="{F7AD868F-5EAF-42A7-ACF3-C6F6A0A0F3B9}" name="Producer">
      <calculatedColumnFormula array="1">IFERROR(IF(_xlfn.XLOOKUP(Table168[[#This Row],[Component]],SW[[#All],[Component]],_xlfn.XLOOKUP(F$25,SW[#Headers],SW[#All]))="","",_xlfn.XLOOKUP(Table168[[#This Row],[Component]],SW[[#All],[Component]],_xlfn.XLOOKUP(F$25,SW[#Headers],SW[#All]))),"")</calculatedColumnFormula>
    </tableColumn>
    <tableColumn id="4" xr3:uid="{6208C400-7BA6-48FC-A6D1-56ED213B0691}" name="Code Size" dataDxfId="80">
      <calculatedColumnFormula array="1">IFERROR(IF(_xlfn.XLOOKUP(Table168[[#This Row],[Component]],SW[[#All],[Component]],_xlfn.XLOOKUP(G$25,SW[#Headers],SW[#All]))="","",_xlfn.XLOOKUP(Table168[[#This Row],[Component]],SW[[#All],[Component]],_xlfn.XLOOKUP(G$25,SW[#Headers],SW[#All]))),"")</calculatedColumnFormula>
    </tableColumn>
    <tableColumn id="17" xr3:uid="{4FF3C67C-5C0D-459F-817A-4521732CD58B}" name="Disk" dataDxfId="79">
      <calculatedColumnFormula array="1">IFERROR(IF(_xlfn.XLOOKUP(Table168[[#This Row],[Component]],SW[[#All],[Component]],_xlfn.XLOOKUP(H$25,SW[#Headers],SW[#All]))="","",_xlfn.XLOOKUP(Table168[[#This Row],[Component]],SW[[#All],[Component]],_xlfn.XLOOKUP(H$25,SW[#Headers],SW[#All]))),"")</calculatedColumnFormula>
    </tableColumn>
    <tableColumn id="5" xr3:uid="{B75F2BAD-AD7F-420D-A42A-C419971FF001}" name="Design Cost (person weeks)" dataDxfId="78">
      <calculatedColumnFormula array="1">IFERROR(IF(_xlfn.XLOOKUP(Table168[[#This Row],[Component]],SW[[#All],[Component]],_xlfn.XLOOKUP(I$25,SW[#Headers],SW[#All]))="","",_xlfn.XLOOKUP(Table168[[#This Row],[Component]],SW[[#All],[Component]],_xlfn.XLOOKUP(I$25,SW[#Headers],SW[#All]))),"")</calculatedColumnFormula>
    </tableColumn>
    <tableColumn id="6" xr3:uid="{E7454FA0-C3DD-4ECB-B768-02676D40C0EC}" name="Coding Cost (person weeks)" dataDxfId="77">
      <calculatedColumnFormula array="1">IFERROR(IF(_xlfn.XLOOKUP(Table168[[#This Row],[Component]],SW[[#All],[Component]],_xlfn.XLOOKUP(J$25,SW[#Headers],SW[#All]))="","",_xlfn.XLOOKUP(Table168[[#This Row],[Component]],SW[[#All],[Component]],_xlfn.XLOOKUP(J$25,SW[#Headers],SW[#All]))),"")</calculatedColumnFormula>
    </tableColumn>
    <tableColumn id="7" xr3:uid="{758A4C9C-C852-4892-9DFA-88E04E92AE7A}" name="Core System" dataDxfId="76">
      <calculatedColumnFormula array="1">IFERROR(IF(_xlfn.XLOOKUP(Table168[[#This Row],[Component]],SW[[#All],[Component]],_xlfn.XLOOKUP(K$25,SW[#Headers],SW[#All]))="","",_xlfn.XLOOKUP(Table168[[#This Row],[Component]],SW[[#All],[Component]],_xlfn.XLOOKUP(K$25,SW[#Headers],SW[#All]))),"")</calculatedColumnFormula>
    </tableColumn>
    <tableColumn id="8" xr3:uid="{11393393-5401-4F2B-9CD3-205B848705DC}" name="Notes" dataDxfId="75">
      <calculatedColumnFormula array="1">IFERROR(IF(_xlfn.XLOOKUP(Table168[[#This Row],[Component]],SW[[#All],[Component]],_xlfn.XLOOKUP(L$25,SW[#Headers],SW[#All]))="","",_xlfn.XLOOKUP(Table168[[#This Row],[Component]],SW[[#All],[Component]],_xlfn.XLOOKUP(L$25,SW[#Headers],SW[#All]))),"")</calculatedColumnFormula>
    </tableColumn>
    <tableColumn id="9" xr3:uid="{728856BF-266E-4946-9B69-56917519D57E}" name="redesign" dataDxfId="74">
      <calculatedColumnFormula array="1">IFERROR(IF(_xlfn.XLOOKUP(Table168[[#This Row],[Component]],SW[[#All],[Component]],_xlfn.XLOOKUP(M$25,SW[#Headers],SW[#All]))="","",_xlfn.XLOOKUP(Table168[[#This Row],[Component]],SW[[#All],[Component]],_xlfn.XLOOKUP(M$25,SW[#Headers],SW[#All]))),"")</calculatedColumnFormula>
    </tableColumn>
    <tableColumn id="10" xr3:uid="{334BE5F9-1F46-4C12-B434-A6163307AE22}" name="Impact (person weeks)">
      <calculatedColumnFormula array="1">IFERROR(IF(_xlfn.XLOOKUP(Table168[[#This Row],[Component]],SW[[#All],[Component]],_xlfn.XLOOKUP(N$25,SW[#Headers],SW[#All]))="","",_xlfn.XLOOKUP(Table168[[#This Row],[Component]],SW[[#All],[Component]],_xlfn.XLOOKUP(N$25,SW[#Headers],SW[#All]))),"")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446C4-C73E-4D7E-AA76-DEF3627C3216}" name="Table1" displayName="Table1" ref="B2:P17" totalsRowShown="0" headerRowDxfId="73" headerRowBorderDxfId="72" tableBorderDxfId="71">
  <autoFilter ref="B2:P17" xr:uid="{19E446C4-C73E-4D7E-AA76-DEF3627C3216}"/>
  <tableColumns count="15">
    <tableColumn id="1" xr3:uid="{34D9E94D-6E3D-4197-A80D-25E157341154}" name="Component"/>
    <tableColumn id="14" xr3:uid="{D276F1B3-7EA5-4F31-AD17-40D700E7877F}" name="Design Staff" dataDxfId="70"/>
    <tableColumn id="16" xr3:uid="{C40C9BEB-29ED-474C-AC37-0CBF700BBF86}" name="Design Cost" dataDxfId="69">
      <calculatedColumnFormula>IF(Table1[[#This Row],[Design Staff]]="","",VLOOKUP(Table1[[#This Row],[Design Staff]],Staff[[#All],[Initials]:[Inernal Cost]],2,FALSE)*Table1[[#This Row],[Component Design Cost (person weeks)]]*5)</calculatedColumnFormula>
    </tableColumn>
    <tableColumn id="2" xr3:uid="{5E5E29D3-316A-46AF-AF14-41AFD68BBE5F}" name="Model" dataDxfId="68">
      <calculatedColumnFormula array="1">IFERROR(IF(_xlfn.XLOOKUP(Table1[[#This Row],[Component]],HW[[#All],[Component]],_xlfn.XLOOKUP(E$2,HW[#Headers],HW[#All]))="","",_xlfn.XLOOKUP(Table1[[#This Row],[Component]],HW[[#All],[Component]],_xlfn.XLOOKUP(E$2,HW[#Headers],HW[#All]))),"")</calculatedColumnFormula>
    </tableColumn>
    <tableColumn id="3" xr3:uid="{1537A844-A034-4A6E-A91F-5BBD945ED1B9}" name="Spec">
      <calculatedColumnFormula array="1">IFERROR(IF(_xlfn.XLOOKUP(Table1[[#This Row],[Component]],HW[[#All],[Component]],_xlfn.XLOOKUP(F$2,HW[#Headers],HW[#All]))="","",_xlfn.XLOOKUP(Table1[[#This Row],[Component]],HW[[#All],[Component]],_xlfn.XLOOKUP(F$2,HW[#Headers],HW[#All]))),"")</calculatedColumnFormula>
    </tableColumn>
    <tableColumn id="4" xr3:uid="{36CF26F7-458A-430E-92D8-84586DFD8806}" name="Unit Price £ (qty thousand)" dataDxfId="67">
      <calculatedColumnFormula array="1">IFERROR(IF(_xlfn.XLOOKUP(Table1[[#This Row],[Component]],HW[[#All],[Component]],_xlfn.XLOOKUP(G$2,HW[#Headers],HW[#All]))="","",_xlfn.XLOOKUP(Table1[[#This Row],[Component]],HW[[#All],[Component]],_xlfn.XLOOKUP(G$2,HW[#Headers],HW[#All]))),"")</calculatedColumnFormula>
    </tableColumn>
    <tableColumn id="5" xr3:uid="{A7C6DFFD-BFC4-4E0E-8743-9239FB675028}" name="Quantity per board" dataDxfId="66">
      <calculatedColumnFormula array="1">IFERROR(IF(_xlfn.XLOOKUP(Table1[[#This Row],[Component]],HW[[#All],[Component]],_xlfn.XLOOKUP(H$2,HW[#Headers],HW[#All]))="","",_xlfn.XLOOKUP(Table1[[#This Row],[Component]],HW[[#All],[Component]],_xlfn.XLOOKUP(H$2,HW[#Headers],HW[#All]))),"")</calculatedColumnFormula>
    </tableColumn>
    <tableColumn id="6" xr3:uid="{ED9C8282-D047-4391-95F2-1E90D443F0C1}" name="Component Design Cost (person weeks)" dataDxfId="65">
      <calculatedColumnFormula array="1">IFERROR(IF(_xlfn.XLOOKUP(Table1[[#This Row],[Component]],HW[[#All],[Component]],_xlfn.XLOOKUP(I$2,HW[#Headers],HW[#All]))="","",_xlfn.XLOOKUP(Table1[[#This Row],[Component]],HW[[#All],[Component]],_xlfn.XLOOKUP(I$2,HW[#Headers],HW[#All]))),"")</calculatedColumnFormula>
    </tableColumn>
    <tableColumn id="7" xr3:uid="{99660256-231E-4BF1-B3C6-5865BBD241BF}" name="Manufacture Cost (unit cost per thousand)" dataDxfId="64">
      <calculatedColumnFormula array="1">IFERROR(IF(_xlfn.XLOOKUP(Table1[[#This Row],[Component]],HW[[#All],[Component]],_xlfn.XLOOKUP(J$2,HW[#Headers],HW[#All]))="","",_xlfn.XLOOKUP(Table1[[#This Row],[Component]],HW[[#All],[Component]],_xlfn.XLOOKUP(J$2,HW[#Headers],HW[#All]))),"")</calculatedColumnFormula>
    </tableColumn>
    <tableColumn id="8" xr3:uid="{2A1F0A7E-AD5A-4E02-BDE3-A41A220B1E5E}" name="Code Compatible" dataDxfId="63">
      <calculatedColumnFormula array="1">IFERROR(IF(_xlfn.XLOOKUP(Table1[[#This Row],[Component]],HW[[#All],[Component]],_xlfn.XLOOKUP(K$2,HW[#Headers],HW[#All]))="","",_xlfn.XLOOKUP(Table1[[#This Row],[Component]],HW[[#All],[Component]],_xlfn.XLOOKUP(K$2,HW[#Headers],HW[#All]))),"")</calculatedColumnFormula>
    </tableColumn>
    <tableColumn id="9" xr3:uid="{7B92CCF5-5C08-4B94-AFD5-3F1003AD79BE}" name="Pin Compatible" dataDxfId="62">
      <calculatedColumnFormula array="1">IFERROR(IF(_xlfn.XLOOKUP(Table1[[#This Row],[Component]],HW[[#All],[Component]],_xlfn.XLOOKUP(L$2,HW[#Headers],HW[#All]))="","",_xlfn.XLOOKUP(Table1[[#This Row],[Component]],HW[[#All],[Component]],_xlfn.XLOOKUP(L$2,HW[#Headers],HW[#All]))),"")</calculatedColumnFormula>
    </tableColumn>
    <tableColumn id="10" xr3:uid="{23F867BC-D53B-4B89-B0F5-F7F186802A71}" name="Notes: If not PIN compatible, change board; if not CODE compatible - change SW (see other BOM)">
      <calculatedColumnFormula array="1">IFERROR(IF(_xlfn.XLOOKUP(Table1[[#This Row],[Component]],HW[[#All],[Component]],_xlfn.XLOOKUP(M$2,HW[#Headers],HW[#All]))="","",_xlfn.XLOOKUP(Table1[[#This Row],[Component]],HW[[#All],[Component]],_xlfn.XLOOKUP(M$2,HW[#Headers],HW[#All]))),"")</calculatedColumnFormula>
    </tableColumn>
    <tableColumn id="11" xr3:uid="{030D3155-DE78-4387-A118-A722D44DFE2C}" name="Person weeks required for Redesign" dataDxfId="61">
      <calculatedColumnFormula array="1">IFERROR(IF(_xlfn.XLOOKUP(Table1[[#This Row],[Component]],HW[[#All],[Component]],_xlfn.XLOOKUP(N$2,HW[#Headers],HW[#All]))="","",_xlfn.XLOOKUP(Table1[[#This Row],[Component]],HW[[#All],[Component]],_xlfn.XLOOKUP(N$2,HW[#Headers],HW[#All]))),"")</calculatedColumnFormula>
    </tableColumn>
    <tableColumn id="12" xr3:uid="{2E18697C-0100-4D32-8A8E-3D4F4DF7FA65}" name="System Impact if component changed">
      <calculatedColumnFormula array="1">IFERROR(IF(_xlfn.XLOOKUP(Table1[[#This Row],[Component]],HW[[#All],[Component]],_xlfn.XLOOKUP(O$2,HW[#Headers],HW[#All]))="","",_xlfn.XLOOKUP(Table1[[#This Row],[Component]],HW[[#All],[Component]],_xlfn.XLOOKUP(O$2,HW[#Headers],HW[#All]))),"")</calculatedColumnFormula>
    </tableColumn>
    <tableColumn id="13" xr3:uid="{1A0020D7-C555-4674-A496-4D8F05BF17A2}" name="Additional comments" dataDxfId="60">
      <calculatedColumnFormula array="1">IFERROR(IF(_xlfn.XLOOKUP(Table1[[#This Row],[Component]],HW[[#All],[Component]],_xlfn.XLOOKUP(P$2,HW[#Headers],HW[#All]))="","",_xlfn.XLOOKUP(Table1[[#This Row],[Component]],HW[[#All],[Component]],_xlfn.XLOOKUP(P$2,HW[#Headers],HW[#All]))),"")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A2BA8-6B1E-4077-8845-282DB1B9B86B}" name="Table16" displayName="Table16" ref="B25:M35" totalsRowShown="0" headerRowDxfId="59" headerRowBorderDxfId="58" tableBorderDxfId="57">
  <autoFilter ref="B25:M35" xr:uid="{485A2BA8-6B1E-4077-8845-282DB1B9B86B}"/>
  <tableColumns count="12">
    <tableColumn id="1" xr3:uid="{B7522688-AC46-4F6F-9191-EC2A5D9543EB}" name="Component"/>
    <tableColumn id="14" xr3:uid="{78221A44-7CBF-4FFA-85B9-7C347D44F507}" name="Design Staff" dataDxfId="56"/>
    <tableColumn id="16" xr3:uid="{E3047599-0233-41D1-8797-78BC62D71D81}" name="Design Cost" dataDxfId="55">
      <calculatedColumnFormula>IF(Table16[[#This Row],[Design Staff]]="","",VLOOKUP(Table16[[#This Row],[Design Staff]],Staff[[#All],[Initials]:[Inernal Cost]],2,FALSE)*Table16[[#This Row],[Design Cost (person weeks)]]*5)</calculatedColumnFormula>
    </tableColumn>
    <tableColumn id="2" xr3:uid="{F0C6835A-3E33-48BE-9DF3-081D29AA343E}" name="Component2" dataDxfId="54">
      <calculatedColumnFormula array="1">IFERROR(IF(_xlfn.XLOOKUP(Table16[[#This Row],[Component]],SW[[#All],[Component]],_xlfn.XLOOKUP(E$25,SW[#Headers],SW[#All]))="","",_xlfn.XLOOKUP(Table16[[#This Row],[Component]],SW[[#All],[Component]],_xlfn.XLOOKUP(E$25,SW[#Headers],SW[#All]))),"")</calculatedColumnFormula>
    </tableColumn>
    <tableColumn id="3" xr3:uid="{033EAD24-4E03-4A53-965A-03CE8007724A}" name="Producer">
      <calculatedColumnFormula array="1">IFERROR(IF(_xlfn.XLOOKUP(Table16[[#This Row],[Component]],SW[[#All],[Component]],_xlfn.XLOOKUP(F$25,SW[#Headers],SW[#All]))="","",_xlfn.XLOOKUP(Table16[[#This Row],[Component]],SW[[#All],[Component]],_xlfn.XLOOKUP(F$25,SW[#Headers],SW[#All]))),"")</calculatedColumnFormula>
    </tableColumn>
    <tableColumn id="4" xr3:uid="{CF35D252-E34F-4B08-90B8-FA694EB1BC81}" name="Code Size" dataDxfId="53">
      <calculatedColumnFormula array="1">IFERROR(IF(_xlfn.XLOOKUP(Table16[[#This Row],[Component]],SW[[#All],[Component]],_xlfn.XLOOKUP(G$25,SW[#Headers],SW[#All]))="","",_xlfn.XLOOKUP(Table16[[#This Row],[Component]],SW[[#All],[Component]],_xlfn.XLOOKUP(G$25,SW[#Headers],SW[#All]))),"")</calculatedColumnFormula>
    </tableColumn>
    <tableColumn id="5" xr3:uid="{A99BE94E-5D84-48AB-B361-80349A788BF4}" name="Design Cost (person weeks)" dataDxfId="52">
      <calculatedColumnFormula array="1">IFERROR(IF(_xlfn.XLOOKUP(Table16[[#This Row],[Component]],SW[[#All],[Component]],_xlfn.XLOOKUP(H$25,SW[#Headers],SW[#All]))="","",_xlfn.XLOOKUP(Table16[[#This Row],[Component]],SW[[#All],[Component]],_xlfn.XLOOKUP(H$25,SW[#Headers],SW[#All]))),"")</calculatedColumnFormula>
    </tableColumn>
    <tableColumn id="6" xr3:uid="{7E586EE9-1BBB-47FA-86B3-4956F5F524FE}" name="Coding Cost (person weeks)" dataDxfId="51">
      <calculatedColumnFormula array="1">IFERROR(IF(_xlfn.XLOOKUP(Table16[[#This Row],[Component]],SW[[#All],[Component]],_xlfn.XLOOKUP(I$25,SW[#Headers],SW[#All]))="","",_xlfn.XLOOKUP(Table16[[#This Row],[Component]],SW[[#All],[Component]],_xlfn.XLOOKUP(I$25,SW[#Headers],SW[#All]))),"")</calculatedColumnFormula>
    </tableColumn>
    <tableColumn id="7" xr3:uid="{654222D3-A119-4D31-9C3D-78F41DCD2ACA}" name="Core System" dataDxfId="50">
      <calculatedColumnFormula array="1">IFERROR(IF(_xlfn.XLOOKUP(Table16[[#This Row],[Component]],SW[[#All],[Component]],_xlfn.XLOOKUP(J$25,SW[#Headers],SW[#All]))="","",_xlfn.XLOOKUP(Table16[[#This Row],[Component]],SW[[#All],[Component]],_xlfn.XLOOKUP(J$25,SW[#Headers],SW[#All]))),"")</calculatedColumnFormula>
    </tableColumn>
    <tableColumn id="8" xr3:uid="{107AC1EF-2644-45B7-B816-FEEFDBDF5090}" name="Notes" dataDxfId="49">
      <calculatedColumnFormula array="1">IFERROR(IF(_xlfn.XLOOKUP(Table16[[#This Row],[Component]],SW[[#All],[Component]],_xlfn.XLOOKUP(K$25,SW[#Headers],SW[#All]))="","",_xlfn.XLOOKUP(Table16[[#This Row],[Component]],SW[[#All],[Component]],_xlfn.XLOOKUP(K$25,SW[#Headers],SW[#All]))),"")</calculatedColumnFormula>
    </tableColumn>
    <tableColumn id="9" xr3:uid="{FF2CAE15-670C-4BB7-A5B4-ADEAEE1A93AF}" name="redesign" dataDxfId="48">
      <calculatedColumnFormula array="1">IFERROR(IF(_xlfn.XLOOKUP(Table16[[#This Row],[Component]],SW[[#All],[Component]],_xlfn.XLOOKUP(L$25,SW[#Headers],SW[#All]))="","",_xlfn.XLOOKUP(Table16[[#This Row],[Component]],SW[[#All],[Component]],_xlfn.XLOOKUP(L$25,SW[#Headers],SW[#All]))),"")</calculatedColumnFormula>
    </tableColumn>
    <tableColumn id="10" xr3:uid="{8582DD47-4578-4005-8D1D-EB1898BFFA12}" name="Impact (person weeks)">
      <calculatedColumnFormula array="1">IFERROR(IF(_xlfn.XLOOKUP(Table16[[#This Row],[Component]],SW[[#All],[Component]],_xlfn.XLOOKUP(M$25,SW[#Headers],SW[#All]))="","",_xlfn.XLOOKUP(Table16[[#This Row],[Component]],SW[[#All],[Component]],_xlfn.XLOOKUP(M$25,SW[#Headers],SW[#All]))),"")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B7E284-637C-415C-B73E-C75FD2551BBC}" name="Table8" displayName="Table8" ref="B2:N18" totalsRowShown="0">
  <autoFilter ref="B2:N18" xr:uid="{61B7E284-637C-415C-B73E-C75FD2551BBC}"/>
  <tableColumns count="13">
    <tableColumn id="1" xr3:uid="{E1236437-2C73-4114-8787-2CF761B82F09}" name="Phase"/>
    <tableColumn id="11" xr3:uid="{6D83ED12-E7C0-4F50-9AF1-DDC30E8AE4BE}" name="Role" dataDxfId="47"/>
    <tableColumn id="13" xr3:uid="{7A880C31-3C7B-4BB6-A60A-5D26A62D7D29}" name="Units" dataDxfId="46"/>
    <tableColumn id="12" xr3:uid="{45A6708F-49C1-45BA-8C68-B2224FC7133A}" name="Fixed Cost" dataDxfId="45"/>
    <tableColumn id="2" xr3:uid="{E8637CE3-A1FD-4CD1-A634-6DE3E80B4A58}" name="Wks" dataDxfId="44">
      <calculatedColumnFormula>'Design Cost'!I1</calculatedColumnFormula>
    </tableColumn>
    <tableColumn id="3" xr3:uid="{669B28EA-CCCB-4D68-8B57-C46CB7664FCE}" name="Days" dataDxfId="43">
      <calculatedColumnFormula>IF(Table8[[#This Row],[Wks]]="","",IFERROR(F3*5,""))</calculatedColumnFormula>
    </tableColumn>
    <tableColumn id="4" xr3:uid="{B60145EB-E0A0-47A0-AE37-494291565331}" name="Agency Staff (Wks)" dataDxfId="42"/>
    <tableColumn id="5" xr3:uid="{7383753B-384D-4806-A05E-78583A0C1A07}" name="Agency Staff (Days)" dataDxfId="41">
      <calculatedColumnFormula>IF(Table8[[#This Row],[Agency Staff (Wks)]]="","",Table8[[#This Row],[Agency Staff (Wks)]]*5)</calculatedColumnFormula>
    </tableColumn>
    <tableColumn id="7" xr3:uid="{19A4F5A0-5F3A-459C-AE02-A2865843B0DF}" name="Agency Cost" dataDxfId="40">
      <calculatedColumnFormula>IFERROR(Table8[[#This Row],[Agency Staff (Days)]]*VLOOKUP(Table8[[#This Row],[Role]],Staff[[#All],[Initials]:[Agency Cost]],3,FALSE),"")</calculatedColumnFormula>
    </tableColumn>
    <tableColumn id="8" xr3:uid="{12136EBC-22C4-40FE-955C-526C14A68CC9}" name="Internal Staff (Wks)" dataDxfId="39">
      <calculatedColumnFormula>IF(Table8[[#This Row],[Internal Staff (Days)]]="","",Table8[[#This Row],[Internal Staff (Days)]]/5)</calculatedColumnFormula>
    </tableColumn>
    <tableColumn id="6" xr3:uid="{A1A03C5C-7392-4370-B792-EC1779D1A2A0}" name="Internal Staff (Days)" dataDxfId="38">
      <calculatedColumnFormula>IF(Table8[[#This Row],[Days]]="","",Table8[[#This Row],[Days]]-Table8[[#This Row],[Agency Staff (Days)]])</calculatedColumnFormula>
    </tableColumn>
    <tableColumn id="9" xr3:uid="{3A7181C7-3FF7-455F-9BCD-995E7D3BD556}" name="Internal Cost" dataDxfId="37">
      <calculatedColumnFormula>IFERROR(Table8[[#This Row],[Internal Staff (Days)]]*VLOOKUP(Table8[[#This Row],[Role]],Staff[[#All],[Initials]:[Agency Cost]],2,FALSE),"")</calculatedColumnFormula>
    </tableColumn>
    <tableColumn id="10" xr3:uid="{FF84331E-0AE3-4419-AF97-F6A419B4527C}" name="Total Cost" dataDxfId="36">
      <calculatedColumnFormula>IF(Table8[[#This Row],[Role]]="",Table8[[#This Row],[Fixed Cost]]*Table8[[#This Row],[Units]],(Table8[[#This Row],[Internal Cost]]+Table8[[#This Row],[Agency Cost]])*Table8[[#This Row],[Units]])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D12D99-1DC5-4345-96B7-35E5D9CFA107}" name="Table9" displayName="Table9" ref="P2:R5" totalsRowShown="0">
  <autoFilter ref="P2:R5" xr:uid="{A2D12D99-1DC5-4345-96B7-35E5D9CFA107}"/>
  <tableColumns count="3">
    <tableColumn id="1" xr3:uid="{503EDF68-42A1-4F55-87B2-C58E4299580C}" name="Phase"/>
    <tableColumn id="2" xr3:uid="{C1EF1BA8-BF63-47B2-B06B-7665F21AB684}" name="Wks" dataDxfId="35">
      <calculatedColumnFormula>MAX(K3:K4)</calculatedColumnFormula>
    </tableColumn>
    <tableColumn id="3" xr3:uid="{A5986417-ABC2-495A-BEC5-06A8AEFD77D8}" name="Days" dataDxfId="34">
      <calculatedColumnFormula>Table9[[#This Row],[Wks]]*5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E739C5-0921-4F62-BB99-363B95B8A348}" name="Staff" displayName="Staff" ref="B2:F10" totalsRowShown="0">
  <autoFilter ref="B2:F10" xr:uid="{3CE739C5-0921-4F62-BB99-363B95B8A348}"/>
  <tableColumns count="5">
    <tableColumn id="1" xr3:uid="{BF8D056C-4B8B-48EB-898E-504635B3F9C6}" name="Role"/>
    <tableColumn id="2" xr3:uid="{D97DA935-A408-4724-BDAF-A06BF4914DFA}" name="Initials" dataDxfId="33"/>
    <tableColumn id="3" xr3:uid="{00E837E8-D668-4E51-B7EA-E02051663426}" name="Inernal Cost"/>
    <tableColumn id="4" xr3:uid="{1D38A3A8-FFFB-4B75-9155-B22A65A8B8CD}" name="Agency Cost"/>
    <tableColumn id="5" xr3:uid="{8E6C1092-A1C5-4CB3-B2B5-D6244CA62B13}" name="Task/Skill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11CC8-A4A4-4414-901A-8F193CFF0C2F}" name="HW" displayName="HW" ref="A1:M43" totalsRowShown="0" headerRowDxfId="32" dataDxfId="30" headerRowBorderDxfId="31" tableBorderDxfId="29">
  <autoFilter ref="A1:M43" xr:uid="{94811CC8-A4A4-4414-901A-8F193CFF0C2F}"/>
  <tableColumns count="13">
    <tableColumn id="1" xr3:uid="{45F57915-6C1D-49A8-86B3-C68878F93E90}" name="Component" dataDxfId="28"/>
    <tableColumn id="2" xr3:uid="{A939D23F-8923-45CC-86F8-01D6C1FCF862}" name="Model" dataDxfId="27"/>
    <tableColumn id="3" xr3:uid="{E3A489B2-A937-45C3-AA73-649E8E648317}" name="Spec" dataDxfId="26"/>
    <tableColumn id="4" xr3:uid="{3256416F-80B2-4556-9595-9A606D4EF871}" name="Unit Price £ (qty thousand)" dataDxfId="25"/>
    <tableColumn id="5" xr3:uid="{55719D67-D8FF-4D67-9945-204092E34142}" name="Quantity per board" dataDxfId="24"/>
    <tableColumn id="6" xr3:uid="{0891F210-BCCC-4EAF-B093-937755956E07}" name="Component Design Cost (person weeks)"/>
    <tableColumn id="7" xr3:uid="{F1EEAE93-3333-40CE-8129-E47069A38BD1}" name="Manufacture Cost (unit cost per thousand)" dataDxfId="23"/>
    <tableColumn id="8" xr3:uid="{B5029A84-BA19-417E-8796-B46EF40BF04B}" name="Code Compatible"/>
    <tableColumn id="9" xr3:uid="{816476AC-7F44-4428-9CBF-A3154934D681}" name="Pin Compatible"/>
    <tableColumn id="10" xr3:uid="{82088DCE-4E1D-4EE1-83E7-B3F58BBF56F5}" name="Notes: If not PIN compatible, change board; if not CODE compatible - change SW (see other BOM)" dataDxfId="22"/>
    <tableColumn id="11" xr3:uid="{F7B75FBC-7DEF-43A3-9C9A-6E34FC937314}" name="Person weeks required for Redesign" dataDxfId="21"/>
    <tableColumn id="12" xr3:uid="{43B011B7-3906-40AE-BB69-C42F3AF172C9}" name="System Impact if component changed" dataDxfId="20"/>
    <tableColumn id="13" xr3:uid="{55319D87-6F71-4C31-AE39-2BB96E533C73}" name="Additional commen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905A71-E1A7-44C9-9BD5-28B8BB4F51B7}" name="SW" displayName="SW" ref="A2:M50" totalsRowShown="0" headerRowDxfId="19" dataDxfId="17" headerRowBorderDxfId="18" tableBorderDxfId="16" headerRowCellStyle="Normal 2" dataCellStyle="Normal 2">
  <autoFilter ref="A2:M50" xr:uid="{FB905A71-E1A7-44C9-9BD5-28B8BB4F51B7}">
    <filterColumn colId="9">
      <filters blank="1">
        <filter val="y"/>
      </filters>
    </filterColumn>
  </autoFilter>
  <tableColumns count="13">
    <tableColumn id="1" xr3:uid="{5286949B-5061-4C5E-8980-CABF72085850}" name="Company" dataDxfId="15" dataCellStyle="Normal 2"/>
    <tableColumn id="11" xr3:uid="{E1D1FBC8-1243-46F4-B6FD-C96137D0D5F2}" name="Component" dataDxfId="14" dataCellStyle="Normal 2"/>
    <tableColumn id="2" xr3:uid="{168C6785-BFD6-404C-AE24-DB50BD16FE48}" name="Component2" dataDxfId="13" dataCellStyle="Normal 2"/>
    <tableColumn id="3" xr3:uid="{5BDA3D32-818A-4E8D-8152-B9015866A14A}" name="Producer" dataDxfId="12" dataCellStyle="Normal 2"/>
    <tableColumn id="4" xr3:uid="{C7560E73-5706-4F0E-84BD-8B9F1D9C08A3}" name="Code Size (KB)" dataDxfId="11" dataCellStyle="Normal 2"/>
    <tableColumn id="12" xr3:uid="{72379A54-4261-4EA2-A8EC-64C0091A8DD3}" name="ROM" dataDxfId="10" dataCellStyle="Normal 2">
      <calculatedColumnFormula>IF(SW[[#This Row],[Notes]]="needed in ROM", SW[[#This Row],[Code Size (KB)]],"")</calculatedColumnFormula>
    </tableColumn>
    <tableColumn id="13" xr3:uid="{4DA19EEB-574E-4B39-BE37-4E8F6029C647}" name="Disk" dataDxfId="9" dataCellStyle="Normal 2">
      <calculatedColumnFormula>IF(SW[[#This Row],[Notes]]&lt;&gt;"needed in ROM",SW[[#This Row],[Code Size (KB)]],"")</calculatedColumnFormula>
    </tableColumn>
    <tableColumn id="5" xr3:uid="{015684B6-62A8-40CB-A8A5-7E7A561049A4}" name="Design Cost (person weeks)" dataDxfId="8" dataCellStyle="Normal 2"/>
    <tableColumn id="6" xr3:uid="{BA570498-048B-4F1F-B735-81899F70D32B}" name="Coding Cost (person weeks)" dataDxfId="7" dataCellStyle="Normal 2"/>
    <tableColumn id="7" xr3:uid="{FCE117CD-A00B-4A31-8E31-6E9D04D8726C}" name="Core System" dataDxfId="6" dataCellStyle="Normal 2"/>
    <tableColumn id="8" xr3:uid="{6B808C45-9E9D-44E3-9CBE-6C03EA0310BF}" name="Notes" dataDxfId="5" dataCellStyle="Normal 2"/>
    <tableColumn id="9" xr3:uid="{4E993FD3-7270-4CFA-8FBC-C1958A5A958F}" name="redesign" dataDxfId="4" dataCellStyle="Normal 2"/>
    <tableColumn id="10" xr3:uid="{F6C801AF-EDC7-4EF6-9736-48B6DF01CAF4}" name="Impact (person weeks)" dataDxfId="3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8049-0256-482C-843F-F3043AFC6726}">
  <dimension ref="B1:P39"/>
  <sheetViews>
    <sheetView workbookViewId="0">
      <selection activeCell="B26" sqref="B26:B38"/>
    </sheetView>
  </sheetViews>
  <sheetFormatPr defaultRowHeight="13.8" x14ac:dyDescent="0.3"/>
  <cols>
    <col min="2" max="4" width="13.33203125" customWidth="1"/>
    <col min="5" max="5" width="9.88671875" customWidth="1"/>
    <col min="6" max="6" width="22.44140625" bestFit="1" customWidth="1"/>
    <col min="7" max="7" width="12.33203125" style="32" customWidth="1"/>
    <col min="8" max="8" width="10.6640625" style="26" customWidth="1"/>
    <col min="9" max="9" width="20.44140625" style="26" customWidth="1"/>
    <col min="10" max="10" width="14.88671875" style="26" customWidth="1"/>
    <col min="11" max="11" width="16.5546875" style="26" customWidth="1"/>
    <col min="12" max="12" width="15" style="26" customWidth="1"/>
    <col min="13" max="13" width="48.109375" customWidth="1"/>
    <col min="14" max="14" width="12.44140625" style="26" customWidth="1"/>
    <col min="15" max="15" width="32.33203125" customWidth="1"/>
    <col min="16" max="16" width="19.88671875" style="28" customWidth="1"/>
  </cols>
  <sheetData>
    <row r="1" spans="2:16" x14ac:dyDescent="0.3">
      <c r="D1" s="33">
        <f>SUM(Table17[Design Cost])</f>
        <v>47500</v>
      </c>
      <c r="F1" s="33">
        <f>G1*2000</f>
        <v>265000</v>
      </c>
      <c r="G1" s="32" cm="1">
        <f t="array" ref="G1">SUM(Table17[Unit Price £ (qty thousand)]*Table17[Quantity per board])</f>
        <v>132.5</v>
      </c>
      <c r="I1" s="26">
        <f>SUM(Table17[Component Design Cost (person weeks)])</f>
        <v>38</v>
      </c>
      <c r="J1" s="32">
        <f>SUM(Table17[Manufacture Cost (unit cost per thousand)])/1000</f>
        <v>4.2000000000000003E-2</v>
      </c>
    </row>
    <row r="2" spans="2:16" s="22" customFormat="1" ht="41.25" customHeight="1" x14ac:dyDescent="0.3">
      <c r="B2" s="22" t="s">
        <v>0</v>
      </c>
      <c r="C2" s="25" t="s">
        <v>356</v>
      </c>
      <c r="D2" s="31" t="s">
        <v>363</v>
      </c>
      <c r="E2" s="22" t="s">
        <v>1</v>
      </c>
      <c r="F2" s="22" t="s">
        <v>2</v>
      </c>
      <c r="G2" s="31" t="s">
        <v>3</v>
      </c>
      <c r="H2" s="25" t="s">
        <v>4</v>
      </c>
      <c r="I2" s="25" t="s">
        <v>5</v>
      </c>
      <c r="J2" s="31" t="s">
        <v>6</v>
      </c>
      <c r="K2" s="25" t="s">
        <v>7</v>
      </c>
      <c r="L2" s="25" t="s">
        <v>8</v>
      </c>
      <c r="M2" s="22" t="s">
        <v>9</v>
      </c>
      <c r="N2" s="25" t="s">
        <v>10</v>
      </c>
      <c r="O2" s="22" t="s">
        <v>11</v>
      </c>
      <c r="P2" s="27" t="s">
        <v>12</v>
      </c>
    </row>
    <row r="3" spans="2:16" x14ac:dyDescent="0.3">
      <c r="B3" t="str">
        <f>Table1[[#This Row],[Component]]</f>
        <v>CPU2</v>
      </c>
      <c r="C3" s="26"/>
      <c r="D3" s="32" t="str">
        <f>IF(Table17[[#This Row],[Design Staff]]="","",VLOOKUP(Table17[[#This Row],[Design Staff]],Staff[[#All],[Initials]:[Inernal Cost]],2,FALSE)*Table17[[#This Row],[Component Design Cost (person weeks)]]*5)</f>
        <v/>
      </c>
      <c r="E3" t="str" cm="1">
        <f t="array" ref="E3">IFERROR(IF(_xlfn.XLOOKUP(Table17[[#This Row],[Component]],HW[[#All],[Component]],_xlfn.XLOOKUP(E$2,HW[#Headers],HW[#All]))="","",_xlfn.XLOOKUP(Table17[[#This Row],[Component]],HW[[#All],[Component]],_xlfn.XLOOKUP(E$2,HW[#Headers],HW[#All]))),"")</f>
        <v>68k8</v>
      </c>
      <c r="F3" t="str" cm="1">
        <f t="array" ref="F3">IFERROR(IF(_xlfn.XLOOKUP(Table17[[#This Row],[Component]],HW[[#All],[Component]],_xlfn.XLOOKUP(F$2,HW[#Headers],HW[#All]))="","",_xlfn.XLOOKUP(Table17[[#This Row],[Component]],HW[[#All],[Component]],_xlfn.XLOOKUP(F$2,HW[#Headers],HW[#All]))),"")</f>
        <v>5Mhz, 8/32, 1MB Max Ram</v>
      </c>
      <c r="G3" s="32" cm="1">
        <f t="array" ref="G3">IFERROR(IF(_xlfn.XLOOKUP(Table17[[#This Row],[Component]],HW[[#All],[Component]],_xlfn.XLOOKUP(G$2,HW[#Headers],HW[#All]))="","",_xlfn.XLOOKUP(Table17[[#This Row],[Component]],HW[[#All],[Component]],_xlfn.XLOOKUP(G$2,HW[#Headers],HW[#All]))),"")</f>
        <v>5.5</v>
      </c>
      <c r="H3" s="26" cm="1">
        <f t="array" ref="H3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3" s="26" t="str" cm="1">
        <f t="array" ref="I3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3" s="32" t="str" cm="1">
        <f t="array" ref="J3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3" s="26" t="str" cm="1">
        <f t="array" ref="K3">IFERROR(IF(_xlfn.XLOOKUP(Table17[[#This Row],[Component]],HW[[#All],[Component]],_xlfn.XLOOKUP(K$2,HW[#Headers],HW[#All]))="","",_xlfn.XLOOKUP(Table17[[#This Row],[Component]],HW[[#All],[Component]],_xlfn.XLOOKUP(K$2,HW[#Headers],HW[#All]))),"")</f>
        <v>y</v>
      </c>
      <c r="L3" s="26" t="str" cm="1">
        <f t="array" ref="L3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3" t="str" cm="1">
        <f t="array" ref="M3">IFERROR(IF(_xlfn.XLOOKUP(Table17[[#This Row],[Component]],HW[[#All],[Component]],_xlfn.XLOOKUP(M$2,HW[#Headers],HW[#All]))="","",_xlfn.XLOOKUP(Table17[[#This Row],[Component]],HW[[#All],[Component]],_xlfn.XLOOKUP(M$2,HW[#Headers],HW[#All]))),"")</f>
        <v>choose one CPU</v>
      </c>
      <c r="N3" cm="1">
        <f t="array" ref="N3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3" t="str" cm="1">
        <f t="array" ref="O3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3" t="str" cm="1">
        <f t="array" ref="P3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4" spans="2:16" x14ac:dyDescent="0.3">
      <c r="B4" t="str">
        <f>Table1[[#This Row],[Component]]</f>
        <v>ULA1</v>
      </c>
      <c r="C4" s="26" t="s">
        <v>346</v>
      </c>
      <c r="D4" s="32">
        <f>IF(Table17[[#This Row],[Design Staff]]="","",VLOOKUP(Table17[[#This Row],[Design Staff]],Staff[[#All],[Initials]:[Inernal Cost]],2,FALSE)*Table17[[#This Row],[Component Design Cost (person weeks)]]*5)</f>
        <v>5000</v>
      </c>
      <c r="E4" t="str" cm="1">
        <f t="array" ref="E4">IFERROR(IF(_xlfn.XLOOKUP(Table17[[#This Row],[Component]],HW[[#All],[Component]],_xlfn.XLOOKUP(E$2,HW[#Headers],HW[#All]))="","",_xlfn.XLOOKUP(Table17[[#This Row],[Component]],HW[[#All],[Component]],_xlfn.XLOOKUP(E$2,HW[#Headers],HW[#All]))),"")</f>
        <v>G1</v>
      </c>
      <c r="F4" t="str" cm="1">
        <f t="array" ref="F4">IFERROR(IF(_xlfn.XLOOKUP(Table17[[#This Row],[Component]],HW[[#All],[Component]],_xlfn.XLOOKUP(F$2,HW[#Headers],HW[#All]))="","",_xlfn.XLOOKUP(Table17[[#This Row],[Component]],HW[[#All],[Component]],_xlfn.XLOOKUP(F$2,HW[#Headers],HW[#All]))),"")</f>
        <v>glue IOP-CPU</v>
      </c>
      <c r="G4" s="32" cm="1">
        <f t="array" ref="G4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4" s="26" cm="1">
        <f t="array" ref="H4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4" s="26" cm="1">
        <f t="array" ref="I4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4" s="32" t="str" cm="1">
        <f t="array" ref="J4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4" s="26" t="str" cm="1">
        <f t="array" ref="K4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4" s="26" t="str" cm="1">
        <f t="array" ref="L4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4" t="str" cm="1">
        <f t="array" ref="M4">IFERROR(IF(_xlfn.XLOOKUP(Table17[[#This Row],[Component]],HW[[#All],[Component]],_xlfn.XLOOKUP(M$2,HW[#Headers],HW[#All]))="","",_xlfn.XLOOKUP(Table17[[#This Row],[Component]],HW[[#All],[Component]],_xlfn.XLOOKUP(M$2,HW[#Headers],HW[#All]))),"")</f>
        <v>Supports all existing BOM options. Same ARCH</v>
      </c>
      <c r="N4" cm="1">
        <f t="array" ref="N4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4" t="str" cm="1">
        <f t="array" ref="O4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4" t="str" cm="1">
        <f t="array" ref="P4">IFERROR(IF(_xlfn.XLOOKUP(Table17[[#This Row],[Component]],HW[[#All],[Component]],_xlfn.XLOOKUP(P$2,HW[#Headers],HW[#All]))="","",_xlfn.XLOOKUP(Table17[[#This Row],[Component]],HW[[#All],[Component]],_xlfn.XLOOKUP(P$2,HW[#Headers],HW[#All]))),"")</f>
        <v>Only if using IO chip NOT currently on BOM or new ARCH</v>
      </c>
    </row>
    <row r="5" spans="2:16" x14ac:dyDescent="0.3">
      <c r="B5" t="str">
        <f>Table1[[#This Row],[Component]]</f>
        <v>ULA2</v>
      </c>
      <c r="C5" s="26" t="s">
        <v>346</v>
      </c>
      <c r="D5" s="32">
        <f>IF(Table17[[#This Row],[Design Staff]]="","",VLOOKUP(Table17[[#This Row],[Design Staff]],Staff[[#All],[Initials]:[Inernal Cost]],2,FALSE)*Table17[[#This Row],[Component Design Cost (person weeks)]]*5)</f>
        <v>5000</v>
      </c>
      <c r="E5" t="str" cm="1">
        <f t="array" ref="E5">IFERROR(IF(_xlfn.XLOOKUP(Table17[[#This Row],[Component]],HW[[#All],[Component]],_xlfn.XLOOKUP(E$2,HW[#Headers],HW[#All]))="","",_xlfn.XLOOKUP(Table17[[#This Row],[Component]],HW[[#All],[Component]],_xlfn.XLOOKUP(E$2,HW[#Headers],HW[#All]))),"")</f>
        <v>G2</v>
      </c>
      <c r="F5" t="str" cm="1">
        <f t="array" ref="F5">IFERROR(IF(_xlfn.XLOOKUP(Table17[[#This Row],[Component]],HW[[#All],[Component]],_xlfn.XLOOKUP(F$2,HW[#Headers],HW[#All]))="","",_xlfn.XLOOKUP(Table17[[#This Row],[Component]],HW[[#All],[Component]],_xlfn.XLOOKUP(F$2,HW[#Headers],HW[#All]))),"")</f>
        <v>glue RAM-CPU</v>
      </c>
      <c r="G5" s="32" cm="1">
        <f t="array" ref="G5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5" s="26" cm="1">
        <f t="array" ref="H5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5" s="26" cm="1">
        <f t="array" ref="I5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5" s="32" t="str" cm="1">
        <f t="array" ref="J5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5" s="26" t="str" cm="1">
        <f t="array" ref="K5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5" s="26" t="str" cm="1">
        <f t="array" ref="L5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5" t="str" cm="1">
        <f t="array" ref="M5">IFERROR(IF(_xlfn.XLOOKUP(Table17[[#This Row],[Component]],HW[[#All],[Component]],_xlfn.XLOOKUP(M$2,HW[#Headers],HW[#All]))="","",_xlfn.XLOOKUP(Table17[[#This Row],[Component]],HW[[#All],[Component]],_xlfn.XLOOKUP(M$2,HW[#Headers],HW[#All]))),"")</f>
        <v>changing RAM chip needs G2 redesign - same ARCH</v>
      </c>
      <c r="N5" cm="1">
        <f t="array" ref="N5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5" t="str" cm="1">
        <f t="array" ref="O5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5" t="str" cm="1">
        <f t="array" ref="P5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6" spans="2:16" x14ac:dyDescent="0.3">
      <c r="B6" t="str">
        <f>Table1[[#This Row],[Component]]</f>
        <v>ULA3</v>
      </c>
      <c r="C6" s="26" t="s">
        <v>346</v>
      </c>
      <c r="D6" s="32">
        <f>IF(Table17[[#This Row],[Design Staff]]="","",VLOOKUP(Table17[[#This Row],[Design Staff]],Staff[[#All],[Initials]:[Inernal Cost]],2,FALSE)*Table17[[#This Row],[Component Design Cost (person weeks)]]*5)</f>
        <v>5000</v>
      </c>
      <c r="E6" t="str" cm="1">
        <f t="array" ref="E6">IFERROR(IF(_xlfn.XLOOKUP(Table17[[#This Row],[Component]],HW[[#All],[Component]],_xlfn.XLOOKUP(E$2,HW[#Headers],HW[#All]))="","",_xlfn.XLOOKUP(Table17[[#This Row],[Component]],HW[[#All],[Component]],_xlfn.XLOOKUP(E$2,HW[#Headers],HW[#All]))),"")</f>
        <v>G3</v>
      </c>
      <c r="F6" t="str" cm="1">
        <f t="array" ref="F6">IFERROR(IF(_xlfn.XLOOKUP(Table17[[#This Row],[Component]],HW[[#All],[Component]],_xlfn.XLOOKUP(F$2,HW[#Headers],HW[#All]))="","",_xlfn.XLOOKUP(Table17[[#This Row],[Component]],HW[[#All],[Component]],_xlfn.XLOOKUP(F$2,HW[#Headers],HW[#All]))),"")</f>
        <v>glue DISP-CPU</v>
      </c>
      <c r="G6" s="32" cm="1">
        <f t="array" ref="G6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6" s="26" cm="1">
        <f t="array" ref="H6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6" s="26" cm="1">
        <f t="array" ref="I6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6" s="32" t="str" cm="1">
        <f t="array" ref="J6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6" s="26" t="str" cm="1">
        <f t="array" ref="K6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6" s="26" t="str" cm="1">
        <f t="array" ref="L6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6" t="str" cm="1">
        <f t="array" ref="M6">IFERROR(IF(_xlfn.XLOOKUP(Table17[[#This Row],[Component]],HW[[#All],[Component]],_xlfn.XLOOKUP(M$2,HW[#Headers],HW[#All]))="","",_xlfn.XLOOKUP(Table17[[#This Row],[Component]],HW[[#All],[Component]],_xlfn.XLOOKUP(M$2,HW[#Headers],HW[#All]))),"")</f>
        <v>changing Display chip needs G3 redesign - same ARCH</v>
      </c>
      <c r="N6" cm="1">
        <f t="array" ref="N6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6" t="str" cm="1">
        <f t="array" ref="O6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6" t="str" cm="1">
        <f t="array" ref="P6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7" spans="2:16" x14ac:dyDescent="0.3">
      <c r="B7" t="str">
        <f>Table1[[#This Row],[Component]]</f>
        <v>ULA4</v>
      </c>
      <c r="C7" s="26" t="s">
        <v>346</v>
      </c>
      <c r="D7" s="32">
        <f>IF(Table17[[#This Row],[Design Staff]]="","",VLOOKUP(Table17[[#This Row],[Design Staff]],Staff[[#All],[Initials]:[Inernal Cost]],2,FALSE)*Table17[[#This Row],[Component Design Cost (person weeks)]]*5)</f>
        <v>5000</v>
      </c>
      <c r="E7" t="str" cm="1">
        <f t="array" ref="E7">IFERROR(IF(_xlfn.XLOOKUP(Table17[[#This Row],[Component]],HW[[#All],[Component]],_xlfn.XLOOKUP(E$2,HW[#Headers],HW[#All]))="","",_xlfn.XLOOKUP(Table17[[#This Row],[Component]],HW[[#All],[Component]],_xlfn.XLOOKUP(E$2,HW[#Headers],HW[#All]))),"")</f>
        <v>G4</v>
      </c>
      <c r="F7" t="str" cm="1">
        <f t="array" ref="F7">IFERROR(IF(_xlfn.XLOOKUP(Table17[[#This Row],[Component]],HW[[#All],[Component]],_xlfn.XLOOKUP(F$2,HW[#Headers],HW[#All]))="","",_xlfn.XLOOKUP(Table17[[#This Row],[Component]],HW[[#All],[Component]],_xlfn.XLOOKUP(F$2,HW[#Headers],HW[#All]))),"")</f>
        <v>glue SYSTEM</v>
      </c>
      <c r="G7" s="32" cm="1">
        <f t="array" ref="G7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7" s="26" cm="1">
        <f t="array" ref="H7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7" s="26" cm="1">
        <f t="array" ref="I7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7" s="32" t="str" cm="1">
        <f t="array" ref="J7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7" s="26" t="str" cm="1">
        <f t="array" ref="K7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7" s="26" t="str" cm="1">
        <f t="array" ref="L7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7" t="str" cm="1">
        <f t="array" ref="M7">IFERROR(IF(_xlfn.XLOOKUP(Table17[[#This Row],[Component]],HW[[#All],[Component]],_xlfn.XLOOKUP(M$2,HW[#Headers],HW[#All]))="","",_xlfn.XLOOKUP(Table17[[#This Row],[Component]],HW[[#All],[Component]],_xlfn.XLOOKUP(M$2,HW[#Headers],HW[#All]))),"")</f>
        <v>only change if CPU changed</v>
      </c>
      <c r="N7" cm="1">
        <f t="array" ref="N7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7" t="str" cm="1">
        <f t="array" ref="O7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7" t="str" cm="1">
        <f t="array" ref="P7">IFERROR(IF(_xlfn.XLOOKUP(Table17[[#This Row],[Component]],HW[[#All],[Component]],_xlfn.XLOOKUP(P$2,HW[#Headers],HW[#All]))="","",_xlfn.XLOOKUP(Table17[[#This Row],[Component]],HW[[#All],[Component]],_xlfn.XLOOKUP(P$2,HW[#Headers],HW[#All]))),"")</f>
        <v>G4-1 deployed in prod with 68k8 chip</v>
      </c>
    </row>
    <row r="8" spans="2:16" x14ac:dyDescent="0.3">
      <c r="B8" t="str">
        <f>Table1[[#This Row],[Component]]</f>
        <v>ROM3</v>
      </c>
      <c r="C8" s="26" t="s">
        <v>346</v>
      </c>
      <c r="D8" s="32">
        <f>IF(Table17[[#This Row],[Design Staff]]="","",VLOOKUP(Table17[[#This Row],[Design Staff]],Staff[[#All],[Initials]:[Inernal Cost]],2,FALSE)*Table17[[#This Row],[Component Design Cost (person weeks)]]*5)</f>
        <v>5000</v>
      </c>
      <c r="E8" t="str" cm="1">
        <f t="array" ref="E8">IFERROR(IF(_xlfn.XLOOKUP(Table17[[#This Row],[Component]],HW[[#All],[Component]],_xlfn.XLOOKUP(E$2,HW[#Headers],HW[#All]))="","",_xlfn.XLOOKUP(Table17[[#This Row],[Component]],HW[[#All],[Component]],_xlfn.XLOOKUP(E$2,HW[#Headers],HW[#All]))),"")</f>
        <v>32K</v>
      </c>
      <c r="F8" t="str" cm="1">
        <f t="array" ref="F8">IFERROR(IF(_xlfn.XLOOKUP(Table17[[#This Row],[Component]],HW[[#All],[Component]],_xlfn.XLOOKUP(F$2,HW[#Headers],HW[#All]))="","",_xlfn.XLOOKUP(Table17[[#This Row],[Component]],HW[[#All],[Component]],_xlfn.XLOOKUP(F$2,HW[#Headers],HW[#All]))),"")</f>
        <v>32 KB ROM chip</v>
      </c>
      <c r="G8" s="32" cm="1">
        <f t="array" ref="G8">IFERROR(IF(_xlfn.XLOOKUP(Table17[[#This Row],[Component]],HW[[#All],[Component]],_xlfn.XLOOKUP(G$2,HW[#Headers],HW[#All]))="","",_xlfn.XLOOKUP(Table17[[#This Row],[Component]],HW[[#All],[Component]],_xlfn.XLOOKUP(G$2,HW[#Headers],HW[#All]))),"")</f>
        <v>4</v>
      </c>
      <c r="H8" s="26" cm="1">
        <f t="array" ref="H8">IFERROR(IF(_xlfn.XLOOKUP(Table17[[#This Row],[Component]],HW[[#All],[Component]],_xlfn.XLOOKUP(H$2,HW[#Headers],HW[#All]))="","",_xlfn.XLOOKUP(Table17[[#This Row],[Component]],HW[[#All],[Component]],_xlfn.XLOOKUP(H$2,HW[#Headers],HW[#All]))),"")</f>
        <v>2</v>
      </c>
      <c r="I8" s="26" cm="1">
        <f t="array" ref="I8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8" s="32" t="str" cm="1">
        <f t="array" ref="J8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8" s="26" t="str" cm="1">
        <f t="array" ref="K8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8" s="26" t="str" cm="1">
        <f t="array" ref="L8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8" t="str" cm="1">
        <f t="array" ref="M8">IFERROR(IF(_xlfn.XLOOKUP(Table17[[#This Row],[Component]],HW[[#All],[Component]],_xlfn.XLOOKUP(M$2,HW[#Headers],HW[#All]))="","",_xlfn.XLOOKUP(Table17[[#This Row],[Component]],HW[[#All],[Component]],_xlfn.XLOOKUP(M$2,HW[#Headers],HW[#All]))),"")</f>
        <v>1 or 2 chips depends on config</v>
      </c>
      <c r="N8" s="26" cm="1">
        <f t="array" ref="N8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8" t="str" cm="1">
        <f t="array" ref="O8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8" s="28" t="str" cm="1">
        <f t="array" ref="P8">IFERROR(IF(_xlfn.XLOOKUP(Table17[[#This Row],[Component]],HW[[#All],[Component]],_xlfn.XLOOKUP(P$2,HW[#Headers],HW[#All]))="","",_xlfn.XLOOKUP(Table17[[#This Row],[Component]],HW[[#All],[Component]],_xlfn.XLOOKUP(P$2,HW[#Headers],HW[#All]))),"")</f>
        <v>unless SCKT</v>
      </c>
    </row>
    <row r="9" spans="2:16" x14ac:dyDescent="0.3">
      <c r="B9" t="str">
        <f>Table1[[#This Row],[Component]]</f>
        <v>RAM2</v>
      </c>
      <c r="C9" s="26"/>
      <c r="D9" s="32" t="str">
        <f>IF(Table17[[#This Row],[Design Staff]]="","",VLOOKUP(Table17[[#This Row],[Design Staff]],Staff[[#All],[Initials]:[Inernal Cost]],2,FALSE)*Table17[[#This Row],[Component Design Cost (person weeks)]]*5)</f>
        <v/>
      </c>
      <c r="E9" t="str" cm="1">
        <f t="array" ref="E9">IFERROR(IF(_xlfn.XLOOKUP(Table17[[#This Row],[Component]],HW[[#All],[Component]],_xlfn.XLOOKUP(E$2,HW[#Headers],HW[#All]))="","",_xlfn.XLOOKUP(Table17[[#This Row],[Component]],HW[[#All],[Component]],_xlfn.XLOOKUP(E$2,HW[#Headers],HW[#All]))),"")</f>
        <v>128Kb</v>
      </c>
      <c r="F9" t="str" cm="1">
        <f t="array" ref="F9">IFERROR(IF(_xlfn.XLOOKUP(Table17[[#This Row],[Component]],HW[[#All],[Component]],_xlfn.XLOOKUP(F$2,HW[#Headers],HW[#All]))="","",_xlfn.XLOOKUP(Table17[[#This Row],[Component]],HW[[#All],[Component]],_xlfn.XLOOKUP(F$2,HW[#Headers],HW[#All]))),"")</f>
        <v>8/16 bit, 100ns</v>
      </c>
      <c r="G9" s="32" cm="1">
        <f t="array" ref="G9">IFERROR(IF(_xlfn.XLOOKUP(Table17[[#This Row],[Component]],HW[[#All],[Component]],_xlfn.XLOOKUP(G$2,HW[#Headers],HW[#All]))="","",_xlfn.XLOOKUP(Table17[[#This Row],[Component]],HW[[#All],[Component]],_xlfn.XLOOKUP(G$2,HW[#Headers],HW[#All]))),"")</f>
        <v>2.5</v>
      </c>
      <c r="H9" s="26" cm="1">
        <f t="array" ref="H9">IFERROR(IF(_xlfn.XLOOKUP(Table17[[#This Row],[Component]],HW[[#All],[Component]],_xlfn.XLOOKUP(H$2,HW[#Headers],HW[#All]))="","",_xlfn.XLOOKUP(Table17[[#This Row],[Component]],HW[[#All],[Component]],_xlfn.XLOOKUP(H$2,HW[#Headers],HW[#All]))),"")</f>
        <v>4</v>
      </c>
      <c r="I9" s="26" t="str" cm="1">
        <f t="array" ref="I9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9" s="32" t="str" cm="1">
        <f t="array" ref="J9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9" s="26" t="str" cm="1">
        <f t="array" ref="K9">IFERROR(IF(_xlfn.XLOOKUP(Table17[[#This Row],[Component]],HW[[#All],[Component]],_xlfn.XLOOKUP(K$2,HW[#Headers],HW[#All]))="","",_xlfn.XLOOKUP(Table17[[#This Row],[Component]],HW[[#All],[Component]],_xlfn.XLOOKUP(K$2,HW[#Headers],HW[#All]))),"")</f>
        <v>y</v>
      </c>
      <c r="L9" s="26" t="str" cm="1">
        <f t="array" ref="L9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9" t="str" cm="1">
        <f t="array" ref="M9">IFERROR(IF(_xlfn.XLOOKUP(Table17[[#This Row],[Component]],HW[[#All],[Component]],_xlfn.XLOOKUP(M$2,HW[#Headers],HW[#All]))="","",_xlfn.XLOOKUP(Table17[[#This Row],[Component]],HW[[#All],[Component]],_xlfn.XLOOKUP(M$2,HW[#Headers],HW[#All]))),"")</f>
        <v xml:space="preserve">Need 4 chips for 512Kb, </v>
      </c>
      <c r="N9" s="26" cm="1">
        <f t="array" ref="N9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9" t="str" cm="1">
        <f t="array" ref="O9">IFERROR(IF(_xlfn.XLOOKUP(Table17[[#This Row],[Component]],HW[[#All],[Component]],_xlfn.XLOOKUP(O$2,HW[#Headers],HW[#All]))="","",_xlfn.XLOOKUP(Table17[[#This Row],[Component]],HW[[#All],[Component]],_xlfn.XLOOKUP(O$2,HW[#Headers],HW[#All]))),"")</f>
        <v>change G2 &amp; Board</v>
      </c>
      <c r="P9" s="28" t="str" cm="1">
        <f t="array" ref="P9">IFERROR(IF(_xlfn.XLOOKUP(Table17[[#This Row],[Component]],HW[[#All],[Component]],_xlfn.XLOOKUP(P$2,HW[#Headers],HW[#All]))="","",_xlfn.XLOOKUP(Table17[[#This Row],[Component]],HW[[#All],[Component]],_xlfn.XLOOKUP(P$2,HW[#Headers],HW[#All]))),"")</f>
        <v>unless SCKT, still needs G2 mods though</v>
      </c>
    </row>
    <row r="10" spans="2:16" x14ac:dyDescent="0.3">
      <c r="B10" t="str">
        <f>Table1[[#This Row],[Component]]</f>
        <v>IOP-J2</v>
      </c>
      <c r="C10" s="26"/>
      <c r="D10" s="32" t="str">
        <f>IF(Table17[[#This Row],[Design Staff]]="","",VLOOKUP(Table17[[#This Row],[Design Staff]],Staff[[#All],[Initials]:[Inernal Cost]],2,FALSE)*Table17[[#This Row],[Component Design Cost (person weeks)]]*5)</f>
        <v/>
      </c>
      <c r="E10" t="str" cm="1">
        <f t="array" ref="E10">IFERROR(IF(_xlfn.XLOOKUP(Table17[[#This Row],[Component]],HW[[#All],[Component]],_xlfn.XLOOKUP(E$2,HW[#Headers],HW[#All]))="","",_xlfn.XLOOKUP(Table17[[#This Row],[Component]],HW[[#All],[Component]],_xlfn.XLOOKUP(E$2,HW[#Headers],HW[#All]))),"")</f>
        <v>SC150</v>
      </c>
      <c r="F10" t="str" cm="1">
        <f t="array" ref="F10">IFERROR(IF(_xlfn.XLOOKUP(Table17[[#This Row],[Component]],HW[[#All],[Component]],_xlfn.XLOOKUP(F$2,HW[#Headers],HW[#All]))="","",_xlfn.XLOOKUP(Table17[[#This Row],[Component]],HW[[#All],[Component]],_xlfn.XLOOKUP(F$2,HW[#Headers],HW[#All]))),"")</f>
        <v>2ch Joy/mse/keybd connector</v>
      </c>
      <c r="G10" s="32" cm="1">
        <f t="array" ref="G10">IFERROR(IF(_xlfn.XLOOKUP(Table17[[#This Row],[Component]],HW[[#All],[Component]],_xlfn.XLOOKUP(G$2,HW[#Headers],HW[#All]))="","",_xlfn.XLOOKUP(Table17[[#This Row],[Component]],HW[[#All],[Component]],_xlfn.XLOOKUP(G$2,HW[#Headers],HW[#All]))),"")</f>
        <v>15</v>
      </c>
      <c r="H10" s="26" cm="1">
        <f t="array" ref="H10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0" s="26" t="str" cm="1">
        <f t="array" ref="I10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0" s="32" t="str" cm="1">
        <f t="array" ref="J10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0" s="26" t="str" cm="1">
        <f t="array" ref="K10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0" s="26" t="str" cm="1">
        <f t="array" ref="L10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0" t="str" cm="1">
        <f t="array" ref="M10">IFERROR(IF(_xlfn.XLOOKUP(Table17[[#This Row],[Component]],HW[[#All],[Component]],_xlfn.XLOOKUP(M$2,HW[#Headers],HW[#All]))="","",_xlfn.XLOOKUP(Table17[[#This Row],[Component]],HW[[#All],[Component]],_xlfn.XLOOKUP(M$2,HW[#Headers],HW[#All]))),"")</f>
        <v xml:space="preserve">Multiplex:1 prt  -&gt; 2 (need cable) </v>
      </c>
      <c r="N10" s="26" cm="1">
        <f t="array" ref="N10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0" t="str" cm="1">
        <f t="array" ref="O10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10" s="28" t="str" cm="1">
        <f t="array" ref="P10">IFERROR(IF(_xlfn.XLOOKUP(Table17[[#This Row],[Component]],HW[[#All],[Component]],_xlfn.XLOOKUP(P$2,HW[#Headers],HW[#All]))="","",_xlfn.XLOOKUP(Table17[[#This Row],[Component]],HW[[#All],[Component]],_xlfn.XLOOKUP(P$2,HW[#Headers],HW[#All]))),"")</f>
        <v>replaces JYSTCK</v>
      </c>
    </row>
    <row r="11" spans="2:16" x14ac:dyDescent="0.3">
      <c r="B11" t="str">
        <f>Table1[[#This Row],[Component]]</f>
        <v>IOP-S1</v>
      </c>
      <c r="C11" s="26"/>
      <c r="D11" s="32" t="str">
        <f>IF(Table17[[#This Row],[Design Staff]]="","",VLOOKUP(Table17[[#This Row],[Design Staff]],Staff[[#All],[Initials]:[Inernal Cost]],2,FALSE)*Table17[[#This Row],[Component Design Cost (person weeks)]]*5)</f>
        <v/>
      </c>
      <c r="E11" t="str" cm="1">
        <f t="array" ref="E11">IFERROR(IF(_xlfn.XLOOKUP(Table17[[#This Row],[Component]],HW[[#All],[Component]],_xlfn.XLOOKUP(E$2,HW[#Headers],HW[#All]))="","",_xlfn.XLOOKUP(Table17[[#This Row],[Component]],HW[[#All],[Component]],_xlfn.XLOOKUP(E$2,HW[#Headers],HW[#All]))),"")</f>
        <v>16550 UART</v>
      </c>
      <c r="F11" t="str" cm="1">
        <f t="array" ref="F11">IFERROR(IF(_xlfn.XLOOKUP(Table17[[#This Row],[Component]],HW[[#All],[Component]],_xlfn.XLOOKUP(F$2,HW[#Headers],HW[#All]))="","",_xlfn.XLOOKUP(Table17[[#This Row],[Component]],HW[[#All],[Component]],_xlfn.XLOOKUP(F$2,HW[#Headers],HW[#All]))),"")</f>
        <v>1 ch serial port</v>
      </c>
      <c r="G11" s="32" cm="1">
        <f t="array" ref="G11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11" s="26" cm="1">
        <f t="array" ref="H11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1" s="26" t="str" cm="1">
        <f t="array" ref="I11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11" s="32" t="str" cm="1">
        <f t="array" ref="J11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1" s="26" t="str" cm="1">
        <f t="array" ref="K11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1" s="26" t="str" cm="1">
        <f t="array" ref="L11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1" t="str" cm="1">
        <f t="array" ref="M11">IFERROR(IF(_xlfn.XLOOKUP(Table17[[#This Row],[Component]],HW[[#All],[Component]],_xlfn.XLOOKUP(M$2,HW[#Headers],HW[#All]))="","",_xlfn.XLOOKUP(Table17[[#This Row],[Component]],HW[[#All],[Component]],_xlfn.XLOOKUP(M$2,HW[#Headers],HW[#All]))),"")</f>
        <v>Two IOP required - this is Serial</v>
      </c>
      <c r="N11" s="26" cm="1">
        <f t="array" ref="N11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1" t="str" cm="1">
        <f t="array" ref="O11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11" s="28" t="str" cm="1">
        <f t="array" ref="P11">IFERROR(IF(_xlfn.XLOOKUP(Table17[[#This Row],[Component]],HW[[#All],[Component]],_xlfn.XLOOKUP(P$2,HW[#Headers],HW[#All]))="","",_xlfn.XLOOKUP(Table17[[#This Row],[Component]],HW[[#All],[Component]],_xlfn.XLOOKUP(P$2,HW[#Headers],HW[#All]))),"")</f>
        <v>unless SCKT</v>
      </c>
    </row>
    <row r="12" spans="2:16" x14ac:dyDescent="0.3">
      <c r="B12" t="str">
        <f>Table1[[#This Row],[Component]]</f>
        <v>BOARD-SLDR</v>
      </c>
      <c r="C12" s="26" t="s">
        <v>346</v>
      </c>
      <c r="D12" s="32">
        <f>IF(Table17[[#This Row],[Design Staff]]="","",VLOOKUP(Table17[[#This Row],[Design Staff]],Staff[[#All],[Initials]:[Inernal Cost]],2,FALSE)*Table17[[#This Row],[Component Design Cost (person weeks)]]*5)</f>
        <v>10000</v>
      </c>
      <c r="E12" t="str" cm="1">
        <f t="array" ref="E12">IFERROR(IF(_xlfn.XLOOKUP(Table17[[#This Row],[Component]],HW[[#All],[Component]],_xlfn.XLOOKUP(E$2,HW[#Headers],HW[#All]))="","",_xlfn.XLOOKUP(Table17[[#This Row],[Component]],HW[[#All],[Component]],_xlfn.XLOOKUP(E$2,HW[#Headers],HW[#All]))),"")</f>
        <v>A83</v>
      </c>
      <c r="F12" t="str" cm="1">
        <f t="array" ref="F12">IFERROR(IF(_xlfn.XLOOKUP(Table17[[#This Row],[Component]],HW[[#All],[Component]],_xlfn.XLOOKUP(F$2,HW[#Headers],HW[#All]))="","",_xlfn.XLOOKUP(Table17[[#This Row],[Component]],HW[[#All],[Component]],_xlfn.XLOOKUP(F$2,HW[#Headers],HW[#All]))),"")</f>
        <v>CPU, IOP, G1-4, XXKb RAM SERPORT, INTSND</v>
      </c>
      <c r="G12" s="32" cm="1">
        <f t="array" ref="G12">IFERROR(IF(_xlfn.XLOOKUP(Table17[[#This Row],[Component]],HW[[#All],[Component]],_xlfn.XLOOKUP(G$2,HW[#Headers],HW[#All]))="","",_xlfn.XLOOKUP(Table17[[#This Row],[Component]],HW[[#All],[Component]],_xlfn.XLOOKUP(G$2,HW[#Headers],HW[#All]))),"")</f>
        <v>15</v>
      </c>
      <c r="H12" s="26" cm="1">
        <f t="array" ref="H12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2" s="26" cm="1">
        <f t="array" ref="I12">IFERROR(IF(_xlfn.XLOOKUP(Table17[[#This Row],[Component]],HW[[#All],[Component]],_xlfn.XLOOKUP(I$2,HW[#Headers],HW[#All]))="","",_xlfn.XLOOKUP(Table17[[#This Row],[Component]],HW[[#All],[Component]],_xlfn.XLOOKUP(I$2,HW[#Headers],HW[#All]))),"")</f>
        <v>8</v>
      </c>
      <c r="J12" s="32" cm="1">
        <f t="array" ref="J12">IFERROR(IF(_xlfn.XLOOKUP(Table17[[#This Row],[Component]],HW[[#All],[Component]],_xlfn.XLOOKUP(J$2,HW[#Headers],HW[#All]))="","",_xlfn.XLOOKUP(Table17[[#This Row],[Component]],HW[[#All],[Component]],_xlfn.XLOOKUP(J$2,HW[#Headers],HW[#All]))),"")</f>
        <v>10</v>
      </c>
      <c r="K12" s="26" t="str" cm="1">
        <f t="array" ref="K12">IFERROR(IF(_xlfn.XLOOKUP(Table17[[#This Row],[Component]],HW[[#All],[Component]],_xlfn.XLOOKUP(K$2,HW[#Headers],HW[#All]))="","",_xlfn.XLOOKUP(Table17[[#This Row],[Component]],HW[[#All],[Component]],_xlfn.XLOOKUP(K$2,HW[#Headers],HW[#All]))),"")</f>
        <v>-</v>
      </c>
      <c r="L12" s="26" t="str" cm="1">
        <f t="array" ref="L12">IFERROR(IF(_xlfn.XLOOKUP(Table17[[#This Row],[Component]],HW[[#All],[Component]],_xlfn.XLOOKUP(L$2,HW[#Headers],HW[#All]))="","",_xlfn.XLOOKUP(Table17[[#This Row],[Component]],HW[[#All],[Component]],_xlfn.XLOOKUP(L$2,HW[#Headers],HW[#All]))),"")</f>
        <v>-</v>
      </c>
      <c r="M12" t="str" cm="1">
        <f t="array" ref="M12">IFERROR(IF(_xlfn.XLOOKUP(Table17[[#This Row],[Component]],HW[[#All],[Component]],_xlfn.XLOOKUP(M$2,HW[#Headers],HW[#All]))="","",_xlfn.XLOOKUP(Table17[[#This Row],[Component]],HW[[#All],[Component]],_xlfn.XLOOKUP(M$2,HW[#Headers],HW[#All]))),"")</f>
        <v>Only 1 chip of each type required except RAM</v>
      </c>
      <c r="N12" s="26" t="str" cm="1">
        <f t="array" ref="N12">IFERROR(IF(_xlfn.XLOOKUP(Table17[[#This Row],[Component]],HW[[#All],[Component]],_xlfn.XLOOKUP(N$2,HW[#Headers],HW[#All]))="","",_xlfn.XLOOKUP(Table17[[#This Row],[Component]],HW[[#All],[Component]],_xlfn.XLOOKUP(N$2,HW[#Headers],HW[#All]))),"")</f>
        <v>-</v>
      </c>
      <c r="O12" t="str" cm="1">
        <f t="array" ref="O12">IFERROR(IF(_xlfn.XLOOKUP(Table17[[#This Row],[Component]],HW[[#All],[Component]],_xlfn.XLOOKUP(O$2,HW[#Headers],HW[#All]))="","",_xlfn.XLOOKUP(Table17[[#This Row],[Component]],HW[[#All],[Component]],_xlfn.XLOOKUP(O$2,HW[#Headers],HW[#All]))),"")</f>
        <v>-</v>
      </c>
      <c r="P12" s="28" t="str" cm="1">
        <f t="array" ref="P12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3" spans="2:16" x14ac:dyDescent="0.3">
      <c r="B13" t="str">
        <f>Table1[[#This Row],[Component]]</f>
        <v>Storage1</v>
      </c>
      <c r="C13" s="26"/>
      <c r="D13" s="32" t="str">
        <f>IF(Table17[[#This Row],[Design Staff]]="","",VLOOKUP(Table17[[#This Row],[Design Staff]],Staff[[#All],[Initials]:[Inernal Cost]],2,FALSE)*Table17[[#This Row],[Component Design Cost (person weeks)]]*5)</f>
        <v/>
      </c>
      <c r="E13" t="str" cm="1">
        <f t="array" ref="E13">IFERROR(IF(_xlfn.XLOOKUP(Table17[[#This Row],[Component]],HW[[#All],[Component]],_xlfn.XLOOKUP(E$2,HW[#Headers],HW[#All]))="","",_xlfn.XLOOKUP(Table17[[#This Row],[Component]],HW[[#All],[Component]],_xlfn.XLOOKUP(E$2,HW[#Headers],HW[#All]))),"")</f>
        <v>disk</v>
      </c>
      <c r="F13" t="str" cm="1">
        <f t="array" ref="F13">IFERROR(IF(_xlfn.XLOOKUP(Table17[[#This Row],[Component]],HW[[#All],[Component]],_xlfn.XLOOKUP(F$2,HW[#Headers],HW[#All]))="","",_xlfn.XLOOKUP(Table17[[#This Row],[Component]],HW[[#All],[Component]],_xlfn.XLOOKUP(F$2,HW[#Headers],HW[#All]))),"")</f>
        <v>3.5" floppy</v>
      </c>
      <c r="G13" s="32" cm="1">
        <f t="array" ref="G13">IFERROR(IF(_xlfn.XLOOKUP(Table17[[#This Row],[Component]],HW[[#All],[Component]],_xlfn.XLOOKUP(G$2,HW[#Headers],HW[#All]))="","",_xlfn.XLOOKUP(Table17[[#This Row],[Component]],HW[[#All],[Component]],_xlfn.XLOOKUP(G$2,HW[#Headers],HW[#All]))),"")</f>
        <v>7.5</v>
      </c>
      <c r="H13" s="26" cm="1">
        <f t="array" ref="H13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3" s="26" t="str" cm="1">
        <f t="array" ref="I13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3" s="32" t="str" cm="1">
        <f t="array" ref="J13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3" s="26" t="str" cm="1">
        <f t="array" ref="K13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3" s="26" t="str" cm="1">
        <f t="array" ref="L13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3" t="str" cm="1">
        <f t="array" ref="M13">IFERROR(IF(_xlfn.XLOOKUP(Table17[[#This Row],[Component]],HW[[#All],[Component]],_xlfn.XLOOKUP(M$2,HW[#Headers],HW[#All]))="","",_xlfn.XLOOKUP(Table17[[#This Row],[Component]],HW[[#All],[Component]],_xlfn.XLOOKUP(M$2,HW[#Headers],HW[#All]))),"")</f>
        <v>controlled by G1, only 1 storage opt required</v>
      </c>
      <c r="N13" s="26" cm="1">
        <f t="array" ref="N13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13" t="str" cm="1">
        <f t="array" ref="O13">IFERROR(IF(_xlfn.XLOOKUP(Table17[[#This Row],[Component]],HW[[#All],[Component]],_xlfn.XLOOKUP(O$2,HW[#Headers],HW[#All]))="","",_xlfn.XLOOKUP(Table17[[#This Row],[Component]],HW[[#All],[Component]],_xlfn.XLOOKUP(O$2,HW[#Headers],HW[#All]))),"")</f>
        <v>change g1</v>
      </c>
      <c r="P13" s="28" t="str" cm="1">
        <f t="array" ref="P13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4" spans="2:16" x14ac:dyDescent="0.3">
      <c r="B14" t="str">
        <f>Table1[[#This Row],[Component]]</f>
        <v>CASE1</v>
      </c>
      <c r="C14" s="26" t="s">
        <v>346</v>
      </c>
      <c r="D14" s="32">
        <f>IF(Table17[[#This Row],[Design Staff]]="","",VLOOKUP(Table17[[#This Row],[Design Staff]],Staff[[#All],[Initials]:[Inernal Cost]],2,FALSE)*Table17[[#This Row],[Component Design Cost (person weeks)]]*5)</f>
        <v>12500</v>
      </c>
      <c r="E14" t="str" cm="1">
        <f t="array" ref="E14">IFERROR(IF(_xlfn.XLOOKUP(Table17[[#This Row],[Component]],HW[[#All],[Component]],_xlfn.XLOOKUP(E$2,HW[#Headers],HW[#All]))="","",_xlfn.XLOOKUP(Table17[[#This Row],[Component]],HW[[#All],[Component]],_xlfn.XLOOKUP(E$2,HW[#Headers],HW[#All]))),"")</f>
        <v>DESKTOP</v>
      </c>
      <c r="F14" t="str" cm="1">
        <f t="array" ref="F14">IFERROR(IF(_xlfn.XLOOKUP(Table17[[#This Row],[Component]],HW[[#All],[Component]],_xlfn.XLOOKUP(F$2,HW[#Headers],HW[#All]))="","",_xlfn.XLOOKUP(Table17[[#This Row],[Component]],HW[[#All],[Component]],_xlfn.XLOOKUP(F$2,HW[#Headers],HW[#All]))),"")</f>
        <v>int keyboard, 3 ext ports (+ exp)</v>
      </c>
      <c r="G14" s="32" cm="1">
        <f t="array" ref="G14">IFERROR(IF(_xlfn.XLOOKUP(Table17[[#This Row],[Component]],HW[[#All],[Component]],_xlfn.XLOOKUP(G$2,HW[#Headers],HW[#All]))="","",_xlfn.XLOOKUP(Table17[[#This Row],[Component]],HW[[#All],[Component]],_xlfn.XLOOKUP(G$2,HW[#Headers],HW[#All]))),"")</f>
        <v>25</v>
      </c>
      <c r="H14" s="26" cm="1">
        <f t="array" ref="H14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4" s="26" cm="1">
        <f t="array" ref="I14">IFERROR(IF(_xlfn.XLOOKUP(Table17[[#This Row],[Component]],HW[[#All],[Component]],_xlfn.XLOOKUP(I$2,HW[#Headers],HW[#All]))="","",_xlfn.XLOOKUP(Table17[[#This Row],[Component]],HW[[#All],[Component]],_xlfn.XLOOKUP(I$2,HW[#Headers],HW[#All]))),"")</f>
        <v>10</v>
      </c>
      <c r="J14" s="32" cm="1">
        <f t="array" ref="J14">IFERROR(IF(_xlfn.XLOOKUP(Table17[[#This Row],[Component]],HW[[#All],[Component]],_xlfn.XLOOKUP(J$2,HW[#Headers],HW[#All]))="","",_xlfn.XLOOKUP(Table17[[#This Row],[Component]],HW[[#All],[Component]],_xlfn.XLOOKUP(J$2,HW[#Headers],HW[#All]))),"")</f>
        <v>20</v>
      </c>
      <c r="K14" s="26" t="str" cm="1">
        <f t="array" ref="K14">IFERROR(IF(_xlfn.XLOOKUP(Table17[[#This Row],[Component]],HW[[#All],[Component]],_xlfn.XLOOKUP(K$2,HW[#Headers],HW[#All]))="","",_xlfn.XLOOKUP(Table17[[#This Row],[Component]],HW[[#All],[Component]],_xlfn.XLOOKUP(K$2,HW[#Headers],HW[#All]))),"")</f>
        <v/>
      </c>
      <c r="L14" s="26" t="str" cm="1">
        <f t="array" ref="L14">IFERROR(IF(_xlfn.XLOOKUP(Table17[[#This Row],[Component]],HW[[#All],[Component]],_xlfn.XLOOKUP(L$2,HW[#Headers],HW[#All]))="","",_xlfn.XLOOKUP(Table17[[#This Row],[Component]],HW[[#All],[Component]],_xlfn.XLOOKUP(L$2,HW[#Headers],HW[#All]))),"")</f>
        <v/>
      </c>
      <c r="M14" t="str" cm="1">
        <f t="array" ref="M14">IFERROR(IF(_xlfn.XLOOKUP(Table17[[#This Row],[Component]],HW[[#All],[Component]],_xlfn.XLOOKUP(M$2,HW[#Headers],HW[#All]))="","",_xlfn.XLOOKUP(Table17[[#This Row],[Component]],HW[[#All],[Component]],_xlfn.XLOOKUP(M$2,HW[#Headers],HW[#All]))),"")</f>
        <v>n/a</v>
      </c>
      <c r="N14" s="26" cm="1">
        <f t="array" ref="N14">IFERROR(IF(_xlfn.XLOOKUP(Table17[[#This Row],[Component]],HW[[#All],[Component]],_xlfn.XLOOKUP(N$2,HW[#Headers],HW[#All]))="","",_xlfn.XLOOKUP(Table17[[#This Row],[Component]],HW[[#All],[Component]],_xlfn.XLOOKUP(N$2,HW[#Headers],HW[#All]))),"")</f>
        <v>5</v>
      </c>
      <c r="O14" t="str" cm="1">
        <f t="array" ref="O14">IFERROR(IF(_xlfn.XLOOKUP(Table17[[#This Row],[Component]],HW[[#All],[Component]],_xlfn.XLOOKUP(O$2,HW[#Headers],HW[#All]))="","",_xlfn.XLOOKUP(Table17[[#This Row],[Component]],HW[[#All],[Component]],_xlfn.XLOOKUP(O$2,HW[#Headers],HW[#All]))),"")</f>
        <v>needs new case</v>
      </c>
      <c r="P14" s="28" t="str" cm="1">
        <f t="array" ref="P14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5" spans="2:16" x14ac:dyDescent="0.3">
      <c r="B15" t="str">
        <f>Table1[[#This Row],[Component]]</f>
        <v>KEYB1</v>
      </c>
      <c r="C15" s="26"/>
      <c r="D15" s="32" t="str">
        <f>IF(Table17[[#This Row],[Design Staff]]="","",VLOOKUP(Table17[[#This Row],[Design Staff]],Staff[[#All],[Initials]:[Inernal Cost]],2,FALSE)*Table17[[#This Row],[Component Design Cost (person weeks)]]*5)</f>
        <v/>
      </c>
      <c r="E15" t="str" cm="1">
        <f t="array" ref="E15">IFERROR(IF(_xlfn.XLOOKUP(Table17[[#This Row],[Component]],HW[[#All],[Component]],_xlfn.XLOOKUP(E$2,HW[#Headers],HW[#All]))="","",_xlfn.XLOOKUP(Table17[[#This Row],[Component]],HW[[#All],[Component]],_xlfn.XLOOKUP(E$2,HW[#Headers],HW[#All]))),"")</f>
        <v>int</v>
      </c>
      <c r="F15" t="str" cm="1">
        <f t="array" ref="F15">IFERROR(IF(_xlfn.XLOOKUP(Table17[[#This Row],[Component]],HW[[#All],[Component]],_xlfn.XLOOKUP(F$2,HW[#Headers],HW[#All]))="","",_xlfn.XLOOKUP(Table17[[#This Row],[Component]],HW[[#All],[Component]],_xlfn.XLOOKUP(F$2,HW[#Headers],HW[#All]))),"")</f>
        <v>int keyboard for case</v>
      </c>
      <c r="G15" s="32" cm="1">
        <f t="array" ref="G15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15" s="26" cm="1">
        <f t="array" ref="H15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5" s="26" t="str" cm="1">
        <f t="array" ref="I15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5" s="32" t="str" cm="1">
        <f t="array" ref="J15">IFERROR(IF(_xlfn.XLOOKUP(Table17[[#This Row],[Component]],HW[[#All],[Component]],_xlfn.XLOOKUP(J$2,HW[#Headers],HW[#All]))="","",_xlfn.XLOOKUP(Table17[[#This Row],[Component]],HW[[#All],[Component]],_xlfn.XLOOKUP(J$2,HW[#Headers],HW[#All]))),"")</f>
        <v/>
      </c>
      <c r="K15" s="26" t="str" cm="1">
        <f t="array" ref="K15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5" s="26" t="str" cm="1">
        <f t="array" ref="L15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5" t="str" cm="1">
        <f t="array" ref="M15">IFERROR(IF(_xlfn.XLOOKUP(Table17[[#This Row],[Component]],HW[[#All],[Component]],_xlfn.XLOOKUP(M$2,HW[#Headers],HW[#All]))="","",_xlfn.XLOOKUP(Table17[[#This Row],[Component]],HW[[#All],[Component]],_xlfn.XLOOKUP(M$2,HW[#Headers],HW[#All]))),"")</f>
        <v>controlled by G1 needs chip change</v>
      </c>
      <c r="N15" s="26" cm="1">
        <f t="array" ref="N15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5" t="str" cm="1">
        <f t="array" ref="O15">IFERROR(IF(_xlfn.XLOOKUP(Table17[[#This Row],[Component]],HW[[#All],[Component]],_xlfn.XLOOKUP(O$2,HW[#Headers],HW[#All]))="","",_xlfn.XLOOKUP(Table17[[#This Row],[Component]],HW[[#All],[Component]],_xlfn.XLOOKUP(O$2,HW[#Headers],HW[#All]))),"")</f>
        <v>change chip &amp; board</v>
      </c>
      <c r="P15" s="28" t="str" cm="1">
        <f t="array" ref="P15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6" spans="2:16" x14ac:dyDescent="0.3">
      <c r="B16" t="str">
        <f>Table1[[#This Row],[Component]]</f>
        <v>Pro Expansion</v>
      </c>
      <c r="C16" s="26"/>
      <c r="D16" s="32" t="str">
        <f>IF(Table17[[#This Row],[Design Staff]]="","",VLOOKUP(Table17[[#This Row],[Design Staff]],Staff[[#All],[Initials]:[Inernal Cost]],2,FALSE)*Table17[[#This Row],[Component Design Cost (person weeks)]]*5)</f>
        <v/>
      </c>
      <c r="E16" t="str" cm="1">
        <f t="array" ref="E16">IFERROR(IF(_xlfn.XLOOKUP(Table17[[#This Row],[Component]],HW[[#All],[Component]],_xlfn.XLOOKUP(E$2,HW[#Headers],HW[#All]))="","",_xlfn.XLOOKUP(Table17[[#This Row],[Component]],HW[[#All],[Component]],_xlfn.XLOOKUP(E$2,HW[#Headers],HW[#All]))),"")</f>
        <v>ProEx</v>
      </c>
      <c r="F16" t="str" cm="1">
        <f t="array" ref="F16">IFERROR(IF(_xlfn.XLOOKUP(Table17[[#This Row],[Component]],HW[[#All],[Component]],_xlfn.XLOOKUP(F$2,HW[#Headers],HW[#All]))="","",_xlfn.XLOOKUP(Table17[[#This Row],[Component]],HW[[#All],[Component]],_xlfn.XLOOKUP(F$2,HW[#Headers],HW[#All]))),"")</f>
        <v>CPU-Glue-SCSI - 4xRAM</v>
      </c>
      <c r="G16" s="32" cm="1">
        <f t="array" ref="G16">IFERROR(IF(_xlfn.XLOOKUP(Table17[[#This Row],[Component]],HW[[#All],[Component]],_xlfn.XLOOKUP(G$2,HW[#Headers],HW[#All]))="","",_xlfn.XLOOKUP(Table17[[#This Row],[Component]],HW[[#All],[Component]],_xlfn.XLOOKUP(G$2,HW[#Headers],HW[#All]))),"")</f>
        <v>15</v>
      </c>
      <c r="H16" s="26" cm="1">
        <f t="array" ref="H16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6" s="26" t="str" cm="1">
        <f t="array" ref="I16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6" s="32" cm="1">
        <f t="array" ref="J16">IFERROR(IF(_xlfn.XLOOKUP(Table17[[#This Row],[Component]],HW[[#All],[Component]],_xlfn.XLOOKUP(J$2,HW[#Headers],HW[#All]))="","",_xlfn.XLOOKUP(Table17[[#This Row],[Component]],HW[[#All],[Component]],_xlfn.XLOOKUP(J$2,HW[#Headers],HW[#All]))),"")</f>
        <v>12</v>
      </c>
      <c r="K16" s="26" t="str" cm="1">
        <f t="array" ref="K16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6" s="26" t="str" cm="1">
        <f t="array" ref="L16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6" t="str" cm="1">
        <f t="array" ref="M16">IFERROR(IF(_xlfn.XLOOKUP(Table17[[#This Row],[Component]],HW[[#All],[Component]],_xlfn.XLOOKUP(M$2,HW[#Headers],HW[#All]))="","",_xlfn.XLOOKUP(Table17[[#This Row],[Component]],HW[[#All],[Component]],_xlfn.XLOOKUP(M$2,HW[#Headers],HW[#All]))),"")</f>
        <v>Expansion board - component prices from BOM</v>
      </c>
      <c r="N16" s="26" cm="1">
        <f t="array" ref="N16">IFERROR(IF(_xlfn.XLOOKUP(Table17[[#This Row],[Component]],HW[[#All],[Component]],_xlfn.XLOOKUP(N$2,HW[#Headers],HW[#All]))="","",_xlfn.XLOOKUP(Table17[[#This Row],[Component]],HW[[#All],[Component]],_xlfn.XLOOKUP(N$2,HW[#Headers],HW[#All]))),"")</f>
        <v>4</v>
      </c>
      <c r="O16" t="str" cm="1">
        <f t="array" ref="O16">IFERROR(IF(_xlfn.XLOOKUP(Table17[[#This Row],[Component]],HW[[#All],[Component]],_xlfn.XLOOKUP(O$2,HW[#Headers],HW[#All]))="","",_xlfn.XLOOKUP(Table17[[#This Row],[Component]],HW[[#All],[Component]],_xlfn.XLOOKUP(O$2,HW[#Headers],HW[#All]))),"")</f>
        <v>New G if new CPU</v>
      </c>
      <c r="P16" s="28" t="str" cm="1">
        <f t="array" ref="P16">IFERROR(IF(_xlfn.XLOOKUP(Table17[[#This Row],[Component]],HW[[#All],[Component]],_xlfn.XLOOKUP(P$2,HW[#Headers],HW[#All]))="","",_xlfn.XLOOKUP(Table17[[#This Row],[Component]],HW[[#All],[Component]],_xlfn.XLOOKUP(P$2,HW[#Headers],HW[#All]))),"")</f>
        <v>All comps socketed - comp costs from BOM</v>
      </c>
    </row>
    <row r="17" spans="2:16" x14ac:dyDescent="0.3">
      <c r="B17" t="str">
        <f>Table1[[#This Row],[Component]]</f>
        <v>INTSND1</v>
      </c>
      <c r="C17" s="26"/>
      <c r="D17" s="32" t="str">
        <f>IF(Table17[[#This Row],[Design Staff]]="","",VLOOKUP(Table17[[#This Row],[Design Staff]],Staff[[#All],[Initials]:[Inernal Cost]],2,FALSE)*Table17[[#This Row],[Component Design Cost (person weeks)]]*5)</f>
        <v/>
      </c>
      <c r="E17" t="str" cm="1">
        <f t="array" ref="E17">IFERROR(IF(_xlfn.XLOOKUP(Table17[[#This Row],[Component]],HW[[#All],[Component]],_xlfn.XLOOKUP(E$2,HW[#Headers],HW[#All]))="","",_xlfn.XLOOKUP(Table17[[#This Row],[Component]],HW[[#All],[Component]],_xlfn.XLOOKUP(E$2,HW[#Headers],HW[#All]))),"")</f>
        <v>i8042</v>
      </c>
      <c r="F17" t="str" cm="1">
        <f t="array" ref="F17">IFERROR(IF(_xlfn.XLOOKUP(Table17[[#This Row],[Component]],HW[[#All],[Component]],_xlfn.XLOOKUP(F$2,HW[#Headers],HW[#All]))="","",_xlfn.XLOOKUP(Table17[[#This Row],[Component]],HW[[#All],[Component]],_xlfn.XLOOKUP(F$2,HW[#Headers],HW[#All]))),"")</f>
        <v>mono snd, 2  8-bit ports</v>
      </c>
      <c r="G17" s="32" cm="1">
        <f t="array" ref="G17">IFERROR(IF(_xlfn.XLOOKUP(Table17[[#This Row],[Component]],HW[[#All],[Component]],_xlfn.XLOOKUP(G$2,HW[#Headers],HW[#All]))="","",_xlfn.XLOOKUP(Table17[[#This Row],[Component]],HW[[#All],[Component]],_xlfn.XLOOKUP(G$2,HW[#Headers],HW[#All]))),"")</f>
        <v>1.5</v>
      </c>
      <c r="H17" s="26" cm="1">
        <f t="array" ref="H17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7" s="26" t="str" cm="1">
        <f t="array" ref="I17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17" s="32" t="str" cm="1">
        <f t="array" ref="J17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7" s="26" t="str" cm="1">
        <f t="array" ref="K17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7" s="26" t="str" cm="1">
        <f t="array" ref="L17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7" t="str" cm="1">
        <f t="array" ref="M17">IFERROR(IF(_xlfn.XLOOKUP(Table17[[#This Row],[Component]],HW[[#All],[Component]],_xlfn.XLOOKUP(M$2,HW[#Headers],HW[#All]))="","",_xlfn.XLOOKUP(Table17[[#This Row],[Component]],HW[[#All],[Component]],_xlfn.XLOOKUP(M$2,HW[#Headers],HW[#All]))),"")</f>
        <v>only one INTSND required</v>
      </c>
      <c r="N17" s="26" cm="1">
        <f t="array" ref="N17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7" t="str" cm="1">
        <f t="array" ref="O17">IFERROR(IF(_xlfn.XLOOKUP(Table17[[#This Row],[Component]],HW[[#All],[Component]],_xlfn.XLOOKUP(O$2,HW[#Headers],HW[#All]))="","",_xlfn.XLOOKUP(Table17[[#This Row],[Component]],HW[[#All],[Component]],_xlfn.XLOOKUP(O$2,HW[#Headers],HW[#All]))),"")</f>
        <v xml:space="preserve">change board </v>
      </c>
      <c r="P17" s="28" t="str" cm="1">
        <f t="array" ref="P17">IFERROR(IF(_xlfn.XLOOKUP(Table17[[#This Row],[Component]],HW[[#All],[Component]],_xlfn.XLOOKUP(P$2,HW[#Headers],HW[#All]))="","",_xlfn.XLOOKUP(Table17[[#This Row],[Component]],HW[[#All],[Component]],_xlfn.XLOOKUP(P$2,HW[#Headers],HW[#All]))),"")</f>
        <v>treat like IOP</v>
      </c>
    </row>
    <row r="22" spans="2:16" x14ac:dyDescent="0.3">
      <c r="G22" s="32" t="s">
        <v>441</v>
      </c>
      <c r="H22" s="32">
        <f>H23*0.5</f>
        <v>1</v>
      </c>
    </row>
    <row r="23" spans="2:16" x14ac:dyDescent="0.3">
      <c r="G23" s="32" t="s">
        <v>439</v>
      </c>
      <c r="H23" s="26">
        <v>2</v>
      </c>
    </row>
    <row r="24" spans="2:16" x14ac:dyDescent="0.3">
      <c r="D24" s="33" t="e">
        <f>SUM(Table168[Design Cost])</f>
        <v>#VALUE!</v>
      </c>
      <c r="G24" s="32" t="s">
        <v>440</v>
      </c>
      <c r="H24" s="26">
        <f>SUM(Table168[Disk])</f>
        <v>512</v>
      </c>
      <c r="I24" s="26">
        <f>SUM(Table168[Design Cost (person weeks)])</f>
        <v>32</v>
      </c>
    </row>
    <row r="25" spans="2:16" ht="46.8" x14ac:dyDescent="0.3">
      <c r="B25" s="22" t="s">
        <v>0</v>
      </c>
      <c r="C25" s="25" t="s">
        <v>356</v>
      </c>
      <c r="D25" s="31" t="s">
        <v>363</v>
      </c>
      <c r="E25" s="23" t="s">
        <v>437</v>
      </c>
      <c r="F25" s="23" t="s">
        <v>168</v>
      </c>
      <c r="G25" s="35" t="s">
        <v>169</v>
      </c>
      <c r="H25" s="35" t="s">
        <v>439</v>
      </c>
      <c r="I25" s="23" t="s">
        <v>170</v>
      </c>
      <c r="J25" s="23" t="s">
        <v>171</v>
      </c>
      <c r="K25" s="23" t="s">
        <v>172</v>
      </c>
      <c r="L25" s="23" t="s">
        <v>173</v>
      </c>
      <c r="M25" s="24" t="s">
        <v>174</v>
      </c>
      <c r="N25" s="23" t="s">
        <v>175</v>
      </c>
      <c r="P25"/>
    </row>
    <row r="26" spans="2:16" x14ac:dyDescent="0.3">
      <c r="B26" s="7" t="s">
        <v>388</v>
      </c>
      <c r="C26" s="26" t="s">
        <v>347</v>
      </c>
      <c r="D26" s="32">
        <f>IF(Table168[[#This Row],[Design Staff]]="","",VLOOKUP(Table168[[#This Row],[Design Staff]],Staff[[#All],[Initials]:[Inernal Cost]],2,FALSE)*Table168[[#This Row],[Design Cost (person weeks)]]*5)</f>
        <v>3000</v>
      </c>
      <c r="E26" t="str" cm="1">
        <f t="array" ref="E26">IFERROR(IF(_xlfn.XLOOKUP(Table168[[#This Row],[Component]],SW[[#All],[Component]],_xlfn.XLOOKUP(E$25,SW[#Headers],SW[#All]))="","",_xlfn.XLOOKUP(Table168[[#This Row],[Component]],SW[[#All],[Component]],_xlfn.XLOOKUP(E$25,SW[#Headers],SW[#All]))),"")</f>
        <v>Boot ldr &amp; HWcfg</v>
      </c>
      <c r="F26" t="str" cm="1">
        <f t="array" ref="F26">IFERROR(IF(_xlfn.XLOOKUP(Table168[[#This Row],[Component]],SW[[#All],[Component]],_xlfn.XLOOKUP(F$25,SW[#Headers],SW[#All]))="","",_xlfn.XLOOKUP(Table168[[#This Row],[Component]],SW[[#All],[Component]],_xlfn.XLOOKUP(F$25,SW[#Headers],SW[#All]))),"")</f>
        <v>In House</v>
      </c>
      <c r="G26" s="33" t="str" cm="1">
        <f t="array" ref="G26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6" cm="1">
        <f t="array" ref="H26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26" cm="1">
        <f t="array" ref="I26">IFERROR(IF(_xlfn.XLOOKUP(Table168[[#This Row],[Component]],SW[[#All],[Component]],_xlfn.XLOOKUP(I$25,SW[#Headers],SW[#All]))="","",_xlfn.XLOOKUP(Table168[[#This Row],[Component]],SW[[#All],[Component]],_xlfn.XLOOKUP(I$25,SW[#Headers],SW[#All]))),"")</f>
        <v>2</v>
      </c>
      <c r="J26" t="str" cm="1">
        <f t="array" ref="J26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6" t="str" cm="1">
        <f t="array" ref="K26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6" t="str" cm="1">
        <f t="array" ref="L26">IFERROR(IF(_xlfn.XLOOKUP(Table168[[#This Row],[Component]],SW[[#All],[Component]],_xlfn.XLOOKUP(L$25,SW[#Headers],SW[#All]))="","",_xlfn.XLOOKUP(Table168[[#This Row],[Component]],SW[[#All],[Component]],_xlfn.XLOOKUP(L$25,SW[#Headers],SW[#All]))),"")</f>
        <v>Built into system ROM</v>
      </c>
      <c r="M26" t="str" cm="1">
        <f t="array" ref="M26">IFERROR(IF(_xlfn.XLOOKUP(Table168[[#This Row],[Component]],SW[[#All],[Component]],_xlfn.XLOOKUP(M$25,SW[#Headers],SW[#All]))="","",_xlfn.XLOOKUP(Table168[[#This Row],[Component]],SW[[#All],[Component]],_xlfn.XLOOKUP(M$25,SW[#Headers],SW[#All]))),"")</f>
        <v>New ldr for new Arch</v>
      </c>
      <c r="N26" cm="1">
        <f t="array" ref="N26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26"/>
    </row>
    <row r="27" spans="2:16" x14ac:dyDescent="0.3">
      <c r="B27" s="7" t="s">
        <v>389</v>
      </c>
      <c r="C27" s="26" t="s">
        <v>347</v>
      </c>
      <c r="D27" s="32">
        <f>IF(Table168[[#This Row],[Design Staff]]="","",VLOOKUP(Table168[[#This Row],[Design Staff]],Staff[[#All],[Initials]:[Inernal Cost]],2,FALSE)*Table168[[#This Row],[Design Cost (person weeks)]]*5)</f>
        <v>12000</v>
      </c>
      <c r="E27" t="str" cm="1">
        <f t="array" ref="E27">IFERROR(IF(_xlfn.XLOOKUP(Table168[[#This Row],[Component]],SW[[#All],[Component]],_xlfn.XLOOKUP(E$25,SW[#Headers],SW[#All]))="","",_xlfn.XLOOKUP(Table168[[#This Row],[Component]],SW[[#All],[Component]],_xlfn.XLOOKUP(E$25,SW[#Headers],SW[#All]))),"")</f>
        <v>Sys: Kernel</v>
      </c>
      <c r="F27" t="str" cm="1">
        <f t="array" ref="F27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7" s="33" t="str" cm="1">
        <f t="array" ref="G27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7" t="str" cm="1">
        <f t="array" ref="H27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7" cm="1">
        <f t="array" ref="I27">IFERROR(IF(_xlfn.XLOOKUP(Table168[[#This Row],[Component]],SW[[#All],[Component]],_xlfn.XLOOKUP(I$25,SW[#Headers],SW[#All]))="","",_xlfn.XLOOKUP(Table168[[#This Row],[Component]],SW[[#All],[Component]],_xlfn.XLOOKUP(I$25,SW[#Headers],SW[#All]))),"")</f>
        <v>8</v>
      </c>
      <c r="J27" t="str" cm="1">
        <f t="array" ref="J27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7" t="str" cm="1">
        <f t="array" ref="K27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7" t="str" cm="1">
        <f t="array" ref="L27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7" t="str" cm="1">
        <f t="array" ref="M27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27" cm="1">
        <f t="array" ref="N27">IFERROR(IF(_xlfn.XLOOKUP(Table168[[#This Row],[Component]],SW[[#All],[Component]],_xlfn.XLOOKUP(N$25,SW[#Headers],SW[#All]))="","",_xlfn.XLOOKUP(Table168[[#This Row],[Component]],SW[[#All],[Component]],_xlfn.XLOOKUP(N$25,SW[#Headers],SW[#All]))),"")</f>
        <v>6</v>
      </c>
      <c r="P27"/>
    </row>
    <row r="28" spans="2:16" x14ac:dyDescent="0.3">
      <c r="B28" s="7" t="s">
        <v>390</v>
      </c>
      <c r="C28" s="26"/>
      <c r="D28" s="32" t="str">
        <f>IF(Table168[[#This Row],[Design Staff]]="","",VLOOKUP(Table168[[#This Row],[Design Staff]],Staff[[#All],[Initials]:[Inernal Cost]],2,FALSE)*Table168[[#This Row],[Design Cost (person weeks)]]*5)</f>
        <v/>
      </c>
      <c r="E28" t="str" cm="1">
        <f t="array" ref="E28">IFERROR(IF(_xlfn.XLOOKUP(Table168[[#This Row],[Component]],SW[[#All],[Component]],_xlfn.XLOOKUP(E$25,SW[#Headers],SW[#All]))="","",_xlfn.XLOOKUP(Table168[[#This Row],[Component]],SW[[#All],[Component]],_xlfn.XLOOKUP(E$25,SW[#Headers],SW[#All]))),"")</f>
        <v>SYS: Libraries</v>
      </c>
      <c r="F28" t="str" cm="1">
        <f t="array" ref="F28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8" s="33" t="str" cm="1">
        <f t="array" ref="G28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8" t="str" cm="1">
        <f t="array" ref="H28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8" t="str" cm="1">
        <f t="array" ref="I28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28" t="str" cm="1">
        <f t="array" ref="J28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8" t="str" cm="1">
        <f t="array" ref="K28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8" t="str" cm="1">
        <f t="array" ref="L28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8" t="str" cm="1">
        <f t="array" ref="M28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28" cm="1">
        <f t="array" ref="N28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28"/>
    </row>
    <row r="29" spans="2:16" x14ac:dyDescent="0.3">
      <c r="B29" s="7" t="s">
        <v>391</v>
      </c>
      <c r="C29" s="26"/>
      <c r="D29" s="32" t="str">
        <f>IF(Table168[[#This Row],[Design Staff]]="","",VLOOKUP(Table168[[#This Row],[Design Staff]],Staff[[#All],[Initials]:[Inernal Cost]],2,FALSE)*Table168[[#This Row],[Design Cost (person weeks)]]*5)</f>
        <v/>
      </c>
      <c r="E29" t="str" cm="1">
        <f t="array" ref="E29">IFERROR(IF(_xlfn.XLOOKUP(Table168[[#This Row],[Component]],SW[[#All],[Component]],_xlfn.XLOOKUP(E$25,SW[#Headers],SW[#All]))="","",_xlfn.XLOOKUP(Table168[[#This Row],[Component]],SW[[#All],[Component]],_xlfn.XLOOKUP(E$25,SW[#Headers],SW[#All]))),"")</f>
        <v>SYS: Drivers</v>
      </c>
      <c r="F29" t="str" cm="1">
        <f t="array" ref="F29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9" s="33" t="str" cm="1">
        <f t="array" ref="G29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9" t="str" cm="1">
        <f t="array" ref="H29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9" t="str" cm="1">
        <f t="array" ref="I29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29" t="str" cm="1">
        <f t="array" ref="J29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9" t="str" cm="1">
        <f t="array" ref="K29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9" t="str" cm="1">
        <f t="array" ref="L29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9" t="str" cm="1">
        <f t="array" ref="M29">IFERROR(IF(_xlfn.XLOOKUP(Table168[[#This Row],[Component]],SW[[#All],[Component]],_xlfn.XLOOKUP(M$25,SW[#Headers],SW[#All]))="","",_xlfn.XLOOKUP(Table168[[#This Row],[Component]],SW[[#All],[Component]],_xlfn.XLOOKUP(M$25,SW[#Headers],SW[#All]))),"")</f>
        <v>new/ changed hw</v>
      </c>
      <c r="N29" cm="1">
        <f t="array" ref="N29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29"/>
    </row>
    <row r="30" spans="2:16" x14ac:dyDescent="0.3">
      <c r="B30" s="7" t="s">
        <v>396</v>
      </c>
      <c r="C30" s="26" t="s">
        <v>347</v>
      </c>
      <c r="D30" s="32">
        <f>IF(Table168[[#This Row],[Design Staff]]="","",VLOOKUP(Table168[[#This Row],[Design Staff]],Staff[[#All],[Initials]:[Inernal Cost]],2,FALSE)*Table168[[#This Row],[Design Cost (person weeks)]]*5)</f>
        <v>12000</v>
      </c>
      <c r="E30" t="str" cm="1">
        <f t="array" ref="E30">IFERROR(IF(_xlfn.XLOOKUP(Table168[[#This Row],[Component]],SW[[#All],[Component]],_xlfn.XLOOKUP(E$25,SW[#Headers],SW[#All]))="","",_xlfn.XLOOKUP(Table168[[#This Row],[Component]],SW[[#All],[Component]],_xlfn.XLOOKUP(E$25,SW[#Headers],SW[#All]))),"")</f>
        <v>BAS: Kernel</v>
      </c>
      <c r="F30" t="str" cm="1">
        <f t="array" ref="F30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0" s="33" t="str" cm="1">
        <f t="array" ref="G30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0" t="str" cm="1">
        <f t="array" ref="H30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0" cm="1">
        <f t="array" ref="I30">IFERROR(IF(_xlfn.XLOOKUP(Table168[[#This Row],[Component]],SW[[#All],[Component]],_xlfn.XLOOKUP(I$25,SW[#Headers],SW[#All]))="","",_xlfn.XLOOKUP(Table168[[#This Row],[Component]],SW[[#All],[Component]],_xlfn.XLOOKUP(I$25,SW[#Headers],SW[#All]))),"")</f>
        <v>8</v>
      </c>
      <c r="J30" t="str" cm="1">
        <f t="array" ref="J30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0" t="str" cm="1">
        <f t="array" ref="K30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0" t="str" cm="1">
        <f t="array" ref="L30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30" t="str" cm="1">
        <f t="array" ref="M30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0" cm="1">
        <f t="array" ref="N30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0"/>
    </row>
    <row r="31" spans="2:16" x14ac:dyDescent="0.3">
      <c r="B31" s="7" t="s">
        <v>397</v>
      </c>
      <c r="C31" s="26"/>
      <c r="D31" s="32" t="str">
        <f>IF(Table168[[#This Row],[Design Staff]]="","",VLOOKUP(Table168[[#This Row],[Design Staff]],Staff[[#All],[Initials]:[Inernal Cost]],2,FALSE)*Table168[[#This Row],[Design Cost (person weeks)]]*5)</f>
        <v/>
      </c>
      <c r="E31" t="str" cm="1">
        <f t="array" ref="E31">IFERROR(IF(_xlfn.XLOOKUP(Table168[[#This Row],[Component]],SW[[#All],[Component]],_xlfn.XLOOKUP(E$25,SW[#Headers],SW[#All]))="","",_xlfn.XLOOKUP(Table168[[#This Row],[Component]],SW[[#All],[Component]],_xlfn.XLOOKUP(E$25,SW[#Headers],SW[#All]))),"")</f>
        <v>BAS: core lib&amp;I/O</v>
      </c>
      <c r="F31" t="str" cm="1">
        <f t="array" ref="F31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1" s="33" t="str" cm="1">
        <f t="array" ref="G31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1" t="str" cm="1">
        <f t="array" ref="H31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1" t="str" cm="1">
        <f t="array" ref="I31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1" t="str" cm="1">
        <f t="array" ref="J31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1" t="str" cm="1">
        <f t="array" ref="K31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1" t="str" cm="1">
        <f t="array" ref="L31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31" t="str" cm="1">
        <f t="array" ref="M31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1" cm="1">
        <f t="array" ref="N31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1"/>
    </row>
    <row r="32" spans="2:16" x14ac:dyDescent="0.3">
      <c r="B32" s="7" t="s">
        <v>398</v>
      </c>
      <c r="C32" s="26" t="s">
        <v>347</v>
      </c>
      <c r="D32" s="32">
        <f>IF(Table168[[#This Row],[Design Staff]]="","",VLOOKUP(Table168[[#This Row],[Design Staff]],Staff[[#All],[Initials]:[Inernal Cost]],2,FALSE)*Table168[[#This Row],[Design Cost (person weeks)]]*5)</f>
        <v>3000</v>
      </c>
      <c r="E32" t="str" cm="1">
        <f t="array" ref="E32">IFERROR(IF(_xlfn.XLOOKUP(Table168[[#This Row],[Component]],SW[[#All],[Component]],_xlfn.XLOOKUP(E$25,SW[#Headers],SW[#All]))="","",_xlfn.XLOOKUP(Table168[[#This Row],[Component]],SW[[#All],[Component]],_xlfn.XLOOKUP(E$25,SW[#Headers],SW[#All]))),"")</f>
        <v>BAS: fs libs</v>
      </c>
      <c r="F32" t="str" cm="1">
        <f t="array" ref="F32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2" s="33" t="str" cm="1">
        <f t="array" ref="G32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2" cm="1">
        <f t="array" ref="H32">IFERROR(IF(_xlfn.XLOOKUP(Table168[[#This Row],[Component]],SW[[#All],[Component]],_xlfn.XLOOKUP(H$25,SW[#Headers],SW[#All]))="","",_xlfn.XLOOKUP(Table168[[#This Row],[Component]],SW[[#All],[Component]],_xlfn.XLOOKUP(H$25,SW[#Headers],SW[#All]))),"")</f>
        <v>8</v>
      </c>
      <c r="I32" cm="1">
        <f t="array" ref="I32">IFERROR(IF(_xlfn.XLOOKUP(Table168[[#This Row],[Component]],SW[[#All],[Component]],_xlfn.XLOOKUP(I$25,SW[#Headers],SW[#All]))="","",_xlfn.XLOOKUP(Table168[[#This Row],[Component]],SW[[#All],[Component]],_xlfn.XLOOKUP(I$25,SW[#Headers],SW[#All]))),"")</f>
        <v>2</v>
      </c>
      <c r="J32" t="str" cm="1">
        <f t="array" ref="J32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2" t="str" cm="1">
        <f t="array" ref="K32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2" t="str" cm="1">
        <f t="array" ref="L32">IFERROR(IF(_xlfn.XLOOKUP(Table168[[#This Row],[Component]],SW[[#All],[Component]],_xlfn.XLOOKUP(L$25,SW[#Headers],SW[#All]))="","",_xlfn.XLOOKUP(Table168[[#This Row],[Component]],SW[[#All],[Component]],_xlfn.XLOOKUP(L$25,SW[#Headers],SW[#All]))),"")</f>
        <v>can be ROM or DISK</v>
      </c>
      <c r="M32" t="str" cm="1">
        <f t="array" ref="M32">IFERROR(IF(_xlfn.XLOOKUP(Table168[[#This Row],[Component]],SW[[#All],[Component]],_xlfn.XLOOKUP(M$25,SW[#Headers],SW[#All]))="","",_xlfn.XLOOKUP(Table168[[#This Row],[Component]],SW[[#All],[Component]],_xlfn.XLOOKUP(M$25,SW[#Headers],SW[#All]))),"")</f>
        <v>fs options. E.g. FAT</v>
      </c>
      <c r="N32" cm="1">
        <f t="array" ref="N32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32"/>
    </row>
    <row r="33" spans="2:16" x14ac:dyDescent="0.3">
      <c r="B33" s="7" t="s">
        <v>420</v>
      </c>
      <c r="C33" s="26" t="s">
        <v>347</v>
      </c>
      <c r="D33" s="32">
        <f>IF(Table168[[#This Row],[Design Staff]]="","",VLOOKUP(Table168[[#This Row],[Design Staff]],Staff[[#All],[Initials]:[Inernal Cost]],2,FALSE)*Table168[[#This Row],[Design Cost (person weeks)]]*5)</f>
        <v>6000</v>
      </c>
      <c r="E33" t="str" cm="1">
        <f t="array" ref="E33">IFERROR(IF(_xlfn.XLOOKUP(Table168[[#This Row],[Component]],SW[[#All],[Component]],_xlfn.XLOOKUP(E$25,SW[#Headers],SW[#All]))="","",_xlfn.XLOOKUP(Table168[[#This Row],[Component]],SW[[#All],[Component]],_xlfn.XLOOKUP(E$25,SW[#Headers],SW[#All]))),"")</f>
        <v>CPM+BIOS</v>
      </c>
      <c r="F33" t="str" cm="1">
        <f t="array" ref="F33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3" s="33" t="str" cm="1">
        <f t="array" ref="G33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3" cm="1">
        <f t="array" ref="H33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33" cm="1">
        <f t="array" ref="I33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3" t="str" cm="1">
        <f t="array" ref="J33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3" t="str" cm="1">
        <f t="array" ref="K33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3" t="str" cm="1">
        <f t="array" ref="L33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3" t="str" cm="1">
        <f t="array" ref="M33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3" cm="1">
        <f t="array" ref="N33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3"/>
    </row>
    <row r="34" spans="2:16" x14ac:dyDescent="0.3">
      <c r="B34" s="7" t="s">
        <v>421</v>
      </c>
      <c r="C34" s="26" t="s">
        <v>347</v>
      </c>
      <c r="D34" s="32" t="e">
        <f>IF(Table168[[#This Row],[Design Staff]]="","",VLOOKUP(Table168[[#This Row],[Design Staff]],Staff[[#All],[Initials]:[Inernal Cost]],2,FALSE)*Table168[[#This Row],[Design Cost (person weeks)]]*5)</f>
        <v>#VALUE!</v>
      </c>
      <c r="E34" t="str" cm="1">
        <f t="array" ref="E34">IFERROR(IF(_xlfn.XLOOKUP(Table168[[#This Row],[Component]],SW[[#All],[Component]],_xlfn.XLOOKUP(E$25,SW[#Headers],SW[#All]))="","",_xlfn.XLOOKUP(Table168[[#This Row],[Component]],SW[[#All],[Component]],_xlfn.XLOOKUP(E$25,SW[#Headers],SW[#All]))),"")</f>
        <v>Libs &amp; CLI</v>
      </c>
      <c r="F34" t="str" cm="1">
        <f t="array" ref="F34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4" s="33" t="str" cm="1">
        <f t="array" ref="G34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4" cm="1">
        <f t="array" ref="H34">IFERROR(IF(_xlfn.XLOOKUP(Table168[[#This Row],[Component]],SW[[#All],[Component]],_xlfn.XLOOKUP(H$25,SW[#Headers],SW[#All]))="","",_xlfn.XLOOKUP(Table168[[#This Row],[Component]],SW[[#All],[Component]],_xlfn.XLOOKUP(H$25,SW[#Headers],SW[#All]))),"")</f>
        <v>16</v>
      </c>
      <c r="I34" t="str" cm="1">
        <f t="array" ref="I34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4" t="str" cm="1">
        <f t="array" ref="J34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4" t="str" cm="1">
        <f t="array" ref="K34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4" t="str" cm="1">
        <f t="array" ref="L34">IFERROR(IF(_xlfn.XLOOKUP(Table168[[#This Row],[Component]],SW[[#All],[Component]],_xlfn.XLOOKUP(L$25,SW[#Headers],SW[#All]))="","",_xlfn.XLOOKUP(Table168[[#This Row],[Component]],SW[[#All],[Component]],_xlfn.XLOOKUP(L$25,SW[#Headers],SW[#All]))),"")</f>
        <v>Not ROMable - on DISK</v>
      </c>
      <c r="M34" t="str" cm="1">
        <f t="array" ref="M34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4" cm="1">
        <f t="array" ref="N34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4"/>
    </row>
    <row r="35" spans="2:16" x14ac:dyDescent="0.3">
      <c r="B35" s="7" t="s">
        <v>422</v>
      </c>
      <c r="C35" s="26"/>
      <c r="D35" s="32" t="str">
        <f>IF(Table168[[#This Row],[Design Staff]]="","",VLOOKUP(Table168[[#This Row],[Design Staff]],Staff[[#All],[Initials]:[Inernal Cost]],2,FALSE)*Table168[[#This Row],[Design Cost (person weeks)]]*5)</f>
        <v/>
      </c>
      <c r="E35" t="str" cm="1">
        <f t="array" ref="E35">IFERROR(IF(_xlfn.XLOOKUP(Table168[[#This Row],[Component]],SW[[#All],[Component]],_xlfn.XLOOKUP(E$25,SW[#Headers],SW[#All]))="","",_xlfn.XLOOKUP(Table168[[#This Row],[Component]],SW[[#All],[Component]],_xlfn.XLOOKUP(E$25,SW[#Headers],SW[#All]))),"")</f>
        <v>68kBASIC</v>
      </c>
      <c r="F35" t="str" cm="1">
        <f t="array" ref="F35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5" s="33" t="str" cm="1">
        <f t="array" ref="G35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5" cm="1">
        <f t="array" ref="H35">IFERROR(IF(_xlfn.XLOOKUP(Table168[[#This Row],[Component]],SW[[#All],[Component]],_xlfn.XLOOKUP(H$25,SW[#Headers],SW[#All]))="","",_xlfn.XLOOKUP(Table168[[#This Row],[Component]],SW[[#All],[Component]],_xlfn.XLOOKUP(H$25,SW[#Headers],SW[#All]))),"")</f>
        <v>472</v>
      </c>
      <c r="I35" cm="1">
        <f t="array" ref="I35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5" t="str" cm="1">
        <f t="array" ref="J35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5" t="str" cm="1">
        <f t="array" ref="K35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5" t="str" cm="1">
        <f t="array" ref="L35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5" t="str" cm="1">
        <f t="array" ref="M35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5" cm="1">
        <f t="array" ref="N35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5"/>
    </row>
    <row r="36" spans="2:16" x14ac:dyDescent="0.3">
      <c r="B36" s="7" t="s">
        <v>412</v>
      </c>
      <c r="C36" s="26"/>
      <c r="D36" s="32" t="str">
        <f>IF(Table168[[#This Row],[Design Staff]]="","",VLOOKUP(Table168[[#This Row],[Design Staff]],Staff[[#All],[Initials]:[Inernal Cost]],2,FALSE)*Table168[[#This Row],[Design Cost (person weeks)]]*5)</f>
        <v/>
      </c>
      <c r="E36" t="str" cm="1">
        <f t="array" ref="E36">IFERROR(IF(_xlfn.XLOOKUP(Table168[[#This Row],[Component]],SW[[#All],[Component]],_xlfn.XLOOKUP(E$25,SW[#Headers],SW[#All]))="","",_xlfn.XLOOKUP(Table168[[#This Row],[Component]],SW[[#All],[Component]],_xlfn.XLOOKUP(E$25,SW[#Headers],SW[#All]))),"")</f>
        <v/>
      </c>
      <c r="F36" t="str" cm="1">
        <f t="array" ref="F36">IFERROR(IF(_xlfn.XLOOKUP(Table168[[#This Row],[Component]],SW[[#All],[Component]],_xlfn.XLOOKUP(F$25,SW[#Headers],SW[#All]))="","",_xlfn.XLOOKUP(Table168[[#This Row],[Component]],SW[[#All],[Component]],_xlfn.XLOOKUP(F$25,SW[#Headers],SW[#All]))),"")</f>
        <v/>
      </c>
      <c r="G36" s="33" t="str" cm="1">
        <f t="array" ref="G36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6" t="str" cm="1">
        <f t="array" ref="H36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6" t="str" cm="1">
        <f t="array" ref="I36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6" t="str" cm="1">
        <f t="array" ref="J36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6" t="str" cm="1">
        <f t="array" ref="K36">IFERROR(IF(_xlfn.XLOOKUP(Table168[[#This Row],[Component]],SW[[#All],[Component]],_xlfn.XLOOKUP(K$25,SW[#Headers],SW[#All]))="","",_xlfn.XLOOKUP(Table168[[#This Row],[Component]],SW[[#All],[Component]],_xlfn.XLOOKUP(K$25,SW[#Headers],SW[#All]))),"")</f>
        <v/>
      </c>
      <c r="L36" t="str" cm="1">
        <f t="array" ref="L36">IFERROR(IF(_xlfn.XLOOKUP(Table168[[#This Row],[Component]],SW[[#All],[Component]],_xlfn.XLOOKUP(L$25,SW[#Headers],SW[#All]))="","",_xlfn.XLOOKUP(Table168[[#This Row],[Component]],SW[[#All],[Component]],_xlfn.XLOOKUP(L$25,SW[#Headers],SW[#All]))),"")</f>
        <v/>
      </c>
      <c r="M36" t="str" cm="1">
        <f t="array" ref="M36">IFERROR(IF(_xlfn.XLOOKUP(Table168[[#This Row],[Component]],SW[[#All],[Component]],_xlfn.XLOOKUP(M$25,SW[#Headers],SW[#All]))="","",_xlfn.XLOOKUP(Table168[[#This Row],[Component]],SW[[#All],[Component]],_xlfn.XLOOKUP(M$25,SW[#Headers],SW[#All]))),"")</f>
        <v/>
      </c>
      <c r="N36" t="str" cm="1">
        <f t="array" ref="N36">IFERROR(IF(_xlfn.XLOOKUP(Table168[[#This Row],[Component]],SW[[#All],[Component]],_xlfn.XLOOKUP(N$25,SW[#Headers],SW[#All]))="","",_xlfn.XLOOKUP(Table168[[#This Row],[Component]],SW[[#All],[Component]],_xlfn.XLOOKUP(N$25,SW[#Headers],SW[#All]))),"")</f>
        <v/>
      </c>
      <c r="P36"/>
    </row>
    <row r="37" spans="2:16" x14ac:dyDescent="0.3">
      <c r="B37" s="7" t="s">
        <v>420</v>
      </c>
      <c r="C37" s="26" t="s">
        <v>347</v>
      </c>
      <c r="D37" s="32">
        <f>IF(Table168[[#This Row],[Design Staff]]="","",VLOOKUP(Table168[[#This Row],[Design Staff]],Staff[[#All],[Initials]:[Inernal Cost]],2,FALSE)*Table168[[#This Row],[Design Cost (person weeks)]]*5)</f>
        <v>6000</v>
      </c>
      <c r="E37" t="str" cm="1">
        <f t="array" ref="E37">IFERROR(IF(_xlfn.XLOOKUP(Table168[[#This Row],[Component]],SW[[#All],[Component]],_xlfn.XLOOKUP(E$25,SW[#Headers],SW[#All]))="","",_xlfn.XLOOKUP(Table168[[#This Row],[Component]],SW[[#All],[Component]],_xlfn.XLOOKUP(E$25,SW[#Headers],SW[#All]))),"")</f>
        <v>CPM+BIOS</v>
      </c>
      <c r="F37" t="str" cm="1">
        <f t="array" ref="F37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7" s="33" t="str" cm="1">
        <f t="array" ref="G37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7" cm="1">
        <f t="array" ref="H37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37" cm="1">
        <f t="array" ref="I37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7" t="str" cm="1">
        <f t="array" ref="J37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7" t="str" cm="1">
        <f t="array" ref="K37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7" t="str" cm="1">
        <f t="array" ref="L37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7" t="str" cm="1">
        <f t="array" ref="M37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7" cm="1">
        <f t="array" ref="N37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7"/>
    </row>
    <row r="38" spans="2:16" x14ac:dyDescent="0.3">
      <c r="B38" s="7" t="s">
        <v>421</v>
      </c>
      <c r="C38" s="26"/>
      <c r="D38" s="32" t="str">
        <f>IF(Table168[[#This Row],[Design Staff]]="","",VLOOKUP(Table168[[#This Row],[Design Staff]],Staff[[#All],[Initials]:[Inernal Cost]],2,FALSE)*Table168[[#This Row],[Design Cost (person weeks)]]*5)</f>
        <v/>
      </c>
      <c r="E38" t="str" cm="1">
        <f t="array" ref="E38">IFERROR(IF(_xlfn.XLOOKUP(Table168[[#This Row],[Component]],SW[[#All],[Component]],_xlfn.XLOOKUP(E$25,SW[#Headers],SW[#All]))="","",_xlfn.XLOOKUP(Table168[[#This Row],[Component]],SW[[#All],[Component]],_xlfn.XLOOKUP(E$25,SW[#Headers],SW[#All]))),"")</f>
        <v>Libs &amp; CLI</v>
      </c>
      <c r="F38" t="str" cm="1">
        <f t="array" ref="F38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8" s="33" t="str" cm="1">
        <f t="array" ref="G38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8" cm="1">
        <f t="array" ref="H38">IFERROR(IF(_xlfn.XLOOKUP(Table168[[#This Row],[Component]],SW[[#All],[Component]],_xlfn.XLOOKUP(H$25,SW[#Headers],SW[#All]))="","",_xlfn.XLOOKUP(Table168[[#This Row],[Component]],SW[[#All],[Component]],_xlfn.XLOOKUP(H$25,SW[#Headers],SW[#All]))),"")</f>
        <v>16</v>
      </c>
      <c r="I38" t="str" cm="1">
        <f t="array" ref="I38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8" t="str" cm="1">
        <f t="array" ref="J38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8" t="str" cm="1">
        <f t="array" ref="K38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8" t="str" cm="1">
        <f t="array" ref="L38">IFERROR(IF(_xlfn.XLOOKUP(Table168[[#This Row],[Component]],SW[[#All],[Component]],_xlfn.XLOOKUP(L$25,SW[#Headers],SW[#All]))="","",_xlfn.XLOOKUP(Table168[[#This Row],[Component]],SW[[#All],[Component]],_xlfn.XLOOKUP(L$25,SW[#Headers],SW[#All]))),"")</f>
        <v>Not ROMable - on DISK</v>
      </c>
      <c r="M38" t="str" cm="1">
        <f t="array" ref="M38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8" cm="1">
        <f t="array" ref="N38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8"/>
    </row>
    <row r="39" spans="2:16" x14ac:dyDescent="0.3">
      <c r="P39"/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1DC734-524F-4533-975E-B8F84C00A928}">
          <x14:formula1>
            <xm:f>'HW BOM for ITPM'!$A$2:$A$4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A9EF-4E36-4229-9032-8983EA986179}">
  <dimension ref="B1:P39"/>
  <sheetViews>
    <sheetView topLeftCell="A16" workbookViewId="0">
      <selection activeCell="B26" sqref="B26:H35"/>
    </sheetView>
  </sheetViews>
  <sheetFormatPr defaultRowHeight="13.8" x14ac:dyDescent="0.3"/>
  <cols>
    <col min="2" max="4" width="13.33203125" customWidth="1"/>
    <col min="5" max="5" width="9.88671875" customWidth="1"/>
    <col min="6" max="6" width="22.44140625" bestFit="1" customWidth="1"/>
    <col min="7" max="7" width="12.33203125" style="26" customWidth="1"/>
    <col min="8" max="8" width="10.6640625" style="26" customWidth="1"/>
    <col min="9" max="9" width="20.44140625" style="26" customWidth="1"/>
    <col min="10" max="10" width="14.88671875" style="26" customWidth="1"/>
    <col min="11" max="11" width="16.5546875" style="26" customWidth="1"/>
    <col min="12" max="12" width="15" style="26" customWidth="1"/>
    <col min="13" max="13" width="48.109375" customWidth="1"/>
    <col min="14" max="14" width="12.44140625" style="26" customWidth="1"/>
    <col min="15" max="15" width="32.33203125" customWidth="1"/>
    <col min="16" max="16" width="19.88671875" style="28" customWidth="1"/>
  </cols>
  <sheetData>
    <row r="1" spans="2:16" x14ac:dyDescent="0.3">
      <c r="D1" s="33">
        <f>SUM(Table1[Design Cost])</f>
        <v>47500</v>
      </c>
      <c r="I1" s="26">
        <f>SUM(Table1[Component Design Cost (person weeks)])</f>
        <v>38</v>
      </c>
    </row>
    <row r="2" spans="2:16" s="22" customFormat="1" ht="41.25" customHeight="1" x14ac:dyDescent="0.3">
      <c r="B2" s="22" t="s">
        <v>0</v>
      </c>
      <c r="C2" s="25" t="s">
        <v>356</v>
      </c>
      <c r="D2" s="31" t="s">
        <v>363</v>
      </c>
      <c r="E2" s="22" t="s">
        <v>1</v>
      </c>
      <c r="F2" s="22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2" t="s">
        <v>9</v>
      </c>
      <c r="N2" s="25" t="s">
        <v>10</v>
      </c>
      <c r="O2" s="22" t="s">
        <v>11</v>
      </c>
      <c r="P2" s="27" t="s">
        <v>12</v>
      </c>
    </row>
    <row r="3" spans="2:16" x14ac:dyDescent="0.3">
      <c r="B3" t="s">
        <v>21</v>
      </c>
      <c r="C3" s="26"/>
      <c r="D3" s="32" t="str">
        <f>IF(Table1[[#This Row],[Design Staff]]="","",VLOOKUP(Table1[[#This Row],[Design Staff]],Staff[[#All],[Initials]:[Inernal Cost]],2,FALSE)*Table1[[#This Row],[Component Design Cost (person weeks)]]*5)</f>
        <v/>
      </c>
      <c r="E3" t="str" cm="1">
        <f t="array" ref="E3">IFERROR(IF(_xlfn.XLOOKUP(Table1[[#This Row],[Component]],HW[[#All],[Component]],_xlfn.XLOOKUP(E$2,HW[#Headers],HW[#All]))="","",_xlfn.XLOOKUP(Table1[[#This Row],[Component]],HW[[#All],[Component]],_xlfn.XLOOKUP(E$2,HW[#Headers],HW[#All]))),"")</f>
        <v>68k8</v>
      </c>
      <c r="F3" t="str" cm="1">
        <f t="array" ref="F3">IFERROR(IF(_xlfn.XLOOKUP(Table1[[#This Row],[Component]],HW[[#All],[Component]],_xlfn.XLOOKUP(F$2,HW[#Headers],HW[#All]))="","",_xlfn.XLOOKUP(Table1[[#This Row],[Component]],HW[[#All],[Component]],_xlfn.XLOOKUP(F$2,HW[#Headers],HW[#All]))),"")</f>
        <v>5Mhz, 8/32, 1MB Max Ram</v>
      </c>
      <c r="G3" s="26" cm="1">
        <f t="array" ref="G3">IFERROR(IF(_xlfn.XLOOKUP(Table1[[#This Row],[Component]],HW[[#All],[Component]],_xlfn.XLOOKUP(G$2,HW[#Headers],HW[#All]))="","",_xlfn.XLOOKUP(Table1[[#This Row],[Component]],HW[[#All],[Component]],_xlfn.XLOOKUP(G$2,HW[#Headers],HW[#All]))),"")</f>
        <v>5.5</v>
      </c>
      <c r="H3" s="26" cm="1">
        <f t="array" ref="H3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3" s="26" t="str" cm="1">
        <f t="array" ref="I3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3" s="26" t="str" cm="1">
        <f t="array" ref="J3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3" s="26" t="str" cm="1">
        <f t="array" ref="K3">IFERROR(IF(_xlfn.XLOOKUP(Table1[[#This Row],[Component]],HW[[#All],[Component]],_xlfn.XLOOKUP(K$2,HW[#Headers],HW[#All]))="","",_xlfn.XLOOKUP(Table1[[#This Row],[Component]],HW[[#All],[Component]],_xlfn.XLOOKUP(K$2,HW[#Headers],HW[#All]))),"")</f>
        <v>y</v>
      </c>
      <c r="L3" s="26" t="str" cm="1">
        <f t="array" ref="L3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3" t="str" cm="1">
        <f t="array" ref="M3">IFERROR(IF(_xlfn.XLOOKUP(Table1[[#This Row],[Component]],HW[[#All],[Component]],_xlfn.XLOOKUP(M$2,HW[#Headers],HW[#All]))="","",_xlfn.XLOOKUP(Table1[[#This Row],[Component]],HW[[#All],[Component]],_xlfn.XLOOKUP(M$2,HW[#Headers],HW[#All]))),"")</f>
        <v>choose one CPU</v>
      </c>
      <c r="N3" cm="1">
        <f t="array" ref="N3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3" t="str" cm="1">
        <f t="array" ref="O3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3" t="str" cm="1">
        <f t="array" ref="P3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4" spans="2:16" x14ac:dyDescent="0.3">
      <c r="B4" t="s">
        <v>329</v>
      </c>
      <c r="C4" s="26" t="s">
        <v>346</v>
      </c>
      <c r="D4" s="32">
        <f>IF(Table1[[#This Row],[Design Staff]]="","",VLOOKUP(Table1[[#This Row],[Design Staff]],Staff[[#All],[Initials]:[Inernal Cost]],2,FALSE)*Table1[[#This Row],[Component Design Cost (person weeks)]]*5)</f>
        <v>5000</v>
      </c>
      <c r="E4" t="str" cm="1">
        <f t="array" ref="E4">IFERROR(IF(_xlfn.XLOOKUP(Table1[[#This Row],[Component]],HW[[#All],[Component]],_xlfn.XLOOKUP(E$2,HW[#Headers],HW[#All]))="","",_xlfn.XLOOKUP(Table1[[#This Row],[Component]],HW[[#All],[Component]],_xlfn.XLOOKUP(E$2,HW[#Headers],HW[#All]))),"")</f>
        <v>G1</v>
      </c>
      <c r="F4" t="str" cm="1">
        <f t="array" ref="F4">IFERROR(IF(_xlfn.XLOOKUP(Table1[[#This Row],[Component]],HW[[#All],[Component]],_xlfn.XLOOKUP(F$2,HW[#Headers],HW[#All]))="","",_xlfn.XLOOKUP(Table1[[#This Row],[Component]],HW[[#All],[Component]],_xlfn.XLOOKUP(F$2,HW[#Headers],HW[#All]))),"")</f>
        <v>glue IOP-CPU</v>
      </c>
      <c r="G4" s="26" cm="1">
        <f t="array" ref="G4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4" s="26" cm="1">
        <f t="array" ref="H4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4" s="26" cm="1">
        <f t="array" ref="I4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4" s="26" t="str" cm="1">
        <f t="array" ref="J4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4" s="26" t="str" cm="1">
        <f t="array" ref="K4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4" s="26" t="str" cm="1">
        <f t="array" ref="L4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4" t="str" cm="1">
        <f t="array" ref="M4">IFERROR(IF(_xlfn.XLOOKUP(Table1[[#This Row],[Component]],HW[[#All],[Component]],_xlfn.XLOOKUP(M$2,HW[#Headers],HW[#All]))="","",_xlfn.XLOOKUP(Table1[[#This Row],[Component]],HW[[#All],[Component]],_xlfn.XLOOKUP(M$2,HW[#Headers],HW[#All]))),"")</f>
        <v>Supports all existing BOM options. Same ARCH</v>
      </c>
      <c r="N4" cm="1">
        <f t="array" ref="N4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4" t="str" cm="1">
        <f t="array" ref="O4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4" t="str" cm="1">
        <f t="array" ref="P4">IFERROR(IF(_xlfn.XLOOKUP(Table1[[#This Row],[Component]],HW[[#All],[Component]],_xlfn.XLOOKUP(P$2,HW[#Headers],HW[#All]))="","",_xlfn.XLOOKUP(Table1[[#This Row],[Component]],HW[[#All],[Component]],_xlfn.XLOOKUP(P$2,HW[#Headers],HW[#All]))),"")</f>
        <v>Only if using IO chip NOT currently on BOM or new ARCH</v>
      </c>
    </row>
    <row r="5" spans="2:16" x14ac:dyDescent="0.3">
      <c r="B5" t="s">
        <v>330</v>
      </c>
      <c r="C5" s="26" t="s">
        <v>346</v>
      </c>
      <c r="D5" s="32">
        <f>IF(Table1[[#This Row],[Design Staff]]="","",VLOOKUP(Table1[[#This Row],[Design Staff]],Staff[[#All],[Initials]:[Inernal Cost]],2,FALSE)*Table1[[#This Row],[Component Design Cost (person weeks)]]*5)</f>
        <v>5000</v>
      </c>
      <c r="E5" t="str" cm="1">
        <f t="array" ref="E5">IFERROR(IF(_xlfn.XLOOKUP(Table1[[#This Row],[Component]],HW[[#All],[Component]],_xlfn.XLOOKUP(E$2,HW[#Headers],HW[#All]))="","",_xlfn.XLOOKUP(Table1[[#This Row],[Component]],HW[[#All],[Component]],_xlfn.XLOOKUP(E$2,HW[#Headers],HW[#All]))),"")</f>
        <v>G2</v>
      </c>
      <c r="F5" t="str" cm="1">
        <f t="array" ref="F5">IFERROR(IF(_xlfn.XLOOKUP(Table1[[#This Row],[Component]],HW[[#All],[Component]],_xlfn.XLOOKUP(F$2,HW[#Headers],HW[#All]))="","",_xlfn.XLOOKUP(Table1[[#This Row],[Component]],HW[[#All],[Component]],_xlfn.XLOOKUP(F$2,HW[#Headers],HW[#All]))),"")</f>
        <v>glue RAM-CPU</v>
      </c>
      <c r="G5" s="26" cm="1">
        <f t="array" ref="G5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5" s="26" cm="1">
        <f t="array" ref="H5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5" s="26" cm="1">
        <f t="array" ref="I5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5" s="26" t="str" cm="1">
        <f t="array" ref="J5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5" s="26" t="str" cm="1">
        <f t="array" ref="K5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5" s="26" t="str" cm="1">
        <f t="array" ref="L5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5" t="str" cm="1">
        <f t="array" ref="M5">IFERROR(IF(_xlfn.XLOOKUP(Table1[[#This Row],[Component]],HW[[#All],[Component]],_xlfn.XLOOKUP(M$2,HW[#Headers],HW[#All]))="","",_xlfn.XLOOKUP(Table1[[#This Row],[Component]],HW[[#All],[Component]],_xlfn.XLOOKUP(M$2,HW[#Headers],HW[#All]))),"")</f>
        <v>changing RAM chip needs G2 redesign - same ARCH</v>
      </c>
      <c r="N5" cm="1">
        <f t="array" ref="N5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5" t="str" cm="1">
        <f t="array" ref="O5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5" t="str" cm="1">
        <f t="array" ref="P5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6" spans="2:16" x14ac:dyDescent="0.3">
      <c r="B6" t="s">
        <v>331</v>
      </c>
      <c r="C6" s="26" t="s">
        <v>346</v>
      </c>
      <c r="D6" s="32">
        <f>IF(Table1[[#This Row],[Design Staff]]="","",VLOOKUP(Table1[[#This Row],[Design Staff]],Staff[[#All],[Initials]:[Inernal Cost]],2,FALSE)*Table1[[#This Row],[Component Design Cost (person weeks)]]*5)</f>
        <v>5000</v>
      </c>
      <c r="E6" t="str" cm="1">
        <f t="array" ref="E6">IFERROR(IF(_xlfn.XLOOKUP(Table1[[#This Row],[Component]],HW[[#All],[Component]],_xlfn.XLOOKUP(E$2,HW[#Headers],HW[#All]))="","",_xlfn.XLOOKUP(Table1[[#This Row],[Component]],HW[[#All],[Component]],_xlfn.XLOOKUP(E$2,HW[#Headers],HW[#All]))),"")</f>
        <v>G3</v>
      </c>
      <c r="F6" t="str" cm="1">
        <f t="array" ref="F6">IFERROR(IF(_xlfn.XLOOKUP(Table1[[#This Row],[Component]],HW[[#All],[Component]],_xlfn.XLOOKUP(F$2,HW[#Headers],HW[#All]))="","",_xlfn.XLOOKUP(Table1[[#This Row],[Component]],HW[[#All],[Component]],_xlfn.XLOOKUP(F$2,HW[#Headers],HW[#All]))),"")</f>
        <v>glue DISP-CPU</v>
      </c>
      <c r="G6" s="26" cm="1">
        <f t="array" ref="G6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6" s="26" cm="1">
        <f t="array" ref="H6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6" s="26" cm="1">
        <f t="array" ref="I6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6" s="26" t="str" cm="1">
        <f t="array" ref="J6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6" s="26" t="str" cm="1">
        <f t="array" ref="K6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6" s="26" t="str" cm="1">
        <f t="array" ref="L6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6" t="str" cm="1">
        <f t="array" ref="M6">IFERROR(IF(_xlfn.XLOOKUP(Table1[[#This Row],[Component]],HW[[#All],[Component]],_xlfn.XLOOKUP(M$2,HW[#Headers],HW[#All]))="","",_xlfn.XLOOKUP(Table1[[#This Row],[Component]],HW[[#All],[Component]],_xlfn.XLOOKUP(M$2,HW[#Headers],HW[#All]))),"")</f>
        <v>changing Display chip needs G3 redesign - same ARCH</v>
      </c>
      <c r="N6" cm="1">
        <f t="array" ref="N6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6" t="str" cm="1">
        <f t="array" ref="O6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6" t="str" cm="1">
        <f t="array" ref="P6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7" spans="2:16" x14ac:dyDescent="0.3">
      <c r="B7" t="s">
        <v>332</v>
      </c>
      <c r="C7" s="26" t="s">
        <v>346</v>
      </c>
      <c r="D7" s="32">
        <f>IF(Table1[[#This Row],[Design Staff]]="","",VLOOKUP(Table1[[#This Row],[Design Staff]],Staff[[#All],[Initials]:[Inernal Cost]],2,FALSE)*Table1[[#This Row],[Component Design Cost (person weeks)]]*5)</f>
        <v>5000</v>
      </c>
      <c r="E7" t="str" cm="1">
        <f t="array" ref="E7">IFERROR(IF(_xlfn.XLOOKUP(Table1[[#This Row],[Component]],HW[[#All],[Component]],_xlfn.XLOOKUP(E$2,HW[#Headers],HW[#All]))="","",_xlfn.XLOOKUP(Table1[[#This Row],[Component]],HW[[#All],[Component]],_xlfn.XLOOKUP(E$2,HW[#Headers],HW[#All]))),"")</f>
        <v>G4</v>
      </c>
      <c r="F7" t="str" cm="1">
        <f t="array" ref="F7">IFERROR(IF(_xlfn.XLOOKUP(Table1[[#This Row],[Component]],HW[[#All],[Component]],_xlfn.XLOOKUP(F$2,HW[#Headers],HW[#All]))="","",_xlfn.XLOOKUP(Table1[[#This Row],[Component]],HW[[#All],[Component]],_xlfn.XLOOKUP(F$2,HW[#Headers],HW[#All]))),"")</f>
        <v>glue SYSTEM</v>
      </c>
      <c r="G7" s="26" cm="1">
        <f t="array" ref="G7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7" s="26" cm="1">
        <f t="array" ref="H7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7" s="26" cm="1">
        <f t="array" ref="I7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7" s="26" t="str" cm="1">
        <f t="array" ref="J7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7" s="26" t="str" cm="1">
        <f t="array" ref="K7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7" s="26" t="str" cm="1">
        <f t="array" ref="L7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7" t="str" cm="1">
        <f t="array" ref="M7">IFERROR(IF(_xlfn.XLOOKUP(Table1[[#This Row],[Component]],HW[[#All],[Component]],_xlfn.XLOOKUP(M$2,HW[#Headers],HW[#All]))="","",_xlfn.XLOOKUP(Table1[[#This Row],[Component]],HW[[#All],[Component]],_xlfn.XLOOKUP(M$2,HW[#Headers],HW[#All]))),"")</f>
        <v>only change if CPU changed</v>
      </c>
      <c r="N7" cm="1">
        <f t="array" ref="N7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7" t="str" cm="1">
        <f t="array" ref="O7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7" t="str" cm="1">
        <f t="array" ref="P7">IFERROR(IF(_xlfn.XLOOKUP(Table1[[#This Row],[Component]],HW[[#All],[Component]],_xlfn.XLOOKUP(P$2,HW[#Headers],HW[#All]))="","",_xlfn.XLOOKUP(Table1[[#This Row],[Component]],HW[[#All],[Component]],_xlfn.XLOOKUP(P$2,HW[#Headers],HW[#All]))),"")</f>
        <v>G4-1 deployed in prod with 68k8 chip</v>
      </c>
    </row>
    <row r="8" spans="2:16" x14ac:dyDescent="0.3">
      <c r="B8" t="s">
        <v>366</v>
      </c>
      <c r="C8" s="26" t="s">
        <v>346</v>
      </c>
      <c r="D8" s="32">
        <f>IF(Table1[[#This Row],[Design Staff]]="","",VLOOKUP(Table1[[#This Row],[Design Staff]],Staff[[#All],[Initials]:[Inernal Cost]],2,FALSE)*Table1[[#This Row],[Component Design Cost (person weeks)]]*5)</f>
        <v>5000</v>
      </c>
      <c r="E8" t="str" cm="1">
        <f t="array" ref="E8">IFERROR(IF(_xlfn.XLOOKUP(Table1[[#This Row],[Component]],HW[[#All],[Component]],_xlfn.XLOOKUP(E$2,HW[#Headers],HW[#All]))="","",_xlfn.XLOOKUP(Table1[[#This Row],[Component]],HW[[#All],[Component]],_xlfn.XLOOKUP(E$2,HW[#Headers],HW[#All]))),"")</f>
        <v>32K</v>
      </c>
      <c r="F8" t="str" cm="1">
        <f t="array" ref="F8">IFERROR(IF(_xlfn.XLOOKUP(Table1[[#This Row],[Component]],HW[[#All],[Component]],_xlfn.XLOOKUP(F$2,HW[#Headers],HW[#All]))="","",_xlfn.XLOOKUP(Table1[[#This Row],[Component]],HW[[#All],[Component]],_xlfn.XLOOKUP(F$2,HW[#Headers],HW[#All]))),"")</f>
        <v>32 KB ROM chip</v>
      </c>
      <c r="G8" s="26" cm="1">
        <f t="array" ref="G8">IFERROR(IF(_xlfn.XLOOKUP(Table1[[#This Row],[Component]],HW[[#All],[Component]],_xlfn.XLOOKUP(G$2,HW[#Headers],HW[#All]))="","",_xlfn.XLOOKUP(Table1[[#This Row],[Component]],HW[[#All],[Component]],_xlfn.XLOOKUP(G$2,HW[#Headers],HW[#All]))),"")</f>
        <v>4</v>
      </c>
      <c r="H8" s="26" cm="1">
        <f t="array" ref="H8">IFERROR(IF(_xlfn.XLOOKUP(Table1[[#This Row],[Component]],HW[[#All],[Component]],_xlfn.XLOOKUP(H$2,HW[#Headers],HW[#All]))="","",_xlfn.XLOOKUP(Table1[[#This Row],[Component]],HW[[#All],[Component]],_xlfn.XLOOKUP(H$2,HW[#Headers],HW[#All]))),"")</f>
        <v>2</v>
      </c>
      <c r="I8" s="26" cm="1">
        <f t="array" ref="I8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8" s="26" t="str" cm="1">
        <f t="array" ref="J8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8" s="26" t="str" cm="1">
        <f t="array" ref="K8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8" s="26" t="str" cm="1">
        <f t="array" ref="L8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8" t="str" cm="1">
        <f t="array" ref="M8">IFERROR(IF(_xlfn.XLOOKUP(Table1[[#This Row],[Component]],HW[[#All],[Component]],_xlfn.XLOOKUP(M$2,HW[#Headers],HW[#All]))="","",_xlfn.XLOOKUP(Table1[[#This Row],[Component]],HW[[#All],[Component]],_xlfn.XLOOKUP(M$2,HW[#Headers],HW[#All]))),"")</f>
        <v>1 or 2 chips depends on config</v>
      </c>
      <c r="N8" s="26" cm="1">
        <f t="array" ref="N8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8" t="str" cm="1">
        <f t="array" ref="O8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8" s="28" t="str" cm="1">
        <f t="array" ref="P8">IFERROR(IF(_xlfn.XLOOKUP(Table1[[#This Row],[Component]],HW[[#All],[Component]],_xlfn.XLOOKUP(P$2,HW[#Headers],HW[#All]))="","",_xlfn.XLOOKUP(Table1[[#This Row],[Component]],HW[[#All],[Component]],_xlfn.XLOOKUP(P$2,HW[#Headers],HW[#All]))),"")</f>
        <v>unless SCKT</v>
      </c>
    </row>
    <row r="9" spans="2:16" x14ac:dyDescent="0.3">
      <c r="B9" t="s">
        <v>368</v>
      </c>
      <c r="C9" s="26"/>
      <c r="D9" s="32" t="str">
        <f>IF(Table1[[#This Row],[Design Staff]]="","",VLOOKUP(Table1[[#This Row],[Design Staff]],Staff[[#All],[Initials]:[Inernal Cost]],2,FALSE)*Table1[[#This Row],[Component Design Cost (person weeks)]]*5)</f>
        <v/>
      </c>
      <c r="E9" t="str" cm="1">
        <f t="array" ref="E9">IFERROR(IF(_xlfn.XLOOKUP(Table1[[#This Row],[Component]],HW[[#All],[Component]],_xlfn.XLOOKUP(E$2,HW[#Headers],HW[#All]))="","",_xlfn.XLOOKUP(Table1[[#This Row],[Component]],HW[[#All],[Component]],_xlfn.XLOOKUP(E$2,HW[#Headers],HW[#All]))),"")</f>
        <v>128Kb</v>
      </c>
      <c r="F9" t="str" cm="1">
        <f t="array" ref="F9">IFERROR(IF(_xlfn.XLOOKUP(Table1[[#This Row],[Component]],HW[[#All],[Component]],_xlfn.XLOOKUP(F$2,HW[#Headers],HW[#All]))="","",_xlfn.XLOOKUP(Table1[[#This Row],[Component]],HW[[#All],[Component]],_xlfn.XLOOKUP(F$2,HW[#Headers],HW[#All]))),"")</f>
        <v>8/16 bit, 100ns</v>
      </c>
      <c r="G9" s="26" cm="1">
        <f t="array" ref="G9">IFERROR(IF(_xlfn.XLOOKUP(Table1[[#This Row],[Component]],HW[[#All],[Component]],_xlfn.XLOOKUP(G$2,HW[#Headers],HW[#All]))="","",_xlfn.XLOOKUP(Table1[[#This Row],[Component]],HW[[#All],[Component]],_xlfn.XLOOKUP(G$2,HW[#Headers],HW[#All]))),"")</f>
        <v>2.5</v>
      </c>
      <c r="H9" s="26" cm="1">
        <f t="array" ref="H9">IFERROR(IF(_xlfn.XLOOKUP(Table1[[#This Row],[Component]],HW[[#All],[Component]],_xlfn.XLOOKUP(H$2,HW[#Headers],HW[#All]))="","",_xlfn.XLOOKUP(Table1[[#This Row],[Component]],HW[[#All],[Component]],_xlfn.XLOOKUP(H$2,HW[#Headers],HW[#All]))),"")</f>
        <v>4</v>
      </c>
      <c r="I9" s="26" t="str" cm="1">
        <f t="array" ref="I9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9" s="26" t="str" cm="1">
        <f t="array" ref="J9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9" s="26" t="str" cm="1">
        <f t="array" ref="K9">IFERROR(IF(_xlfn.XLOOKUP(Table1[[#This Row],[Component]],HW[[#All],[Component]],_xlfn.XLOOKUP(K$2,HW[#Headers],HW[#All]))="","",_xlfn.XLOOKUP(Table1[[#This Row],[Component]],HW[[#All],[Component]],_xlfn.XLOOKUP(K$2,HW[#Headers],HW[#All]))),"")</f>
        <v>y</v>
      </c>
      <c r="L9" s="26" t="str" cm="1">
        <f t="array" ref="L9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9" t="str" cm="1">
        <f t="array" ref="M9">IFERROR(IF(_xlfn.XLOOKUP(Table1[[#This Row],[Component]],HW[[#All],[Component]],_xlfn.XLOOKUP(M$2,HW[#Headers],HW[#All]))="","",_xlfn.XLOOKUP(Table1[[#This Row],[Component]],HW[[#All],[Component]],_xlfn.XLOOKUP(M$2,HW[#Headers],HW[#All]))),"")</f>
        <v xml:space="preserve">Need 4 chips for 512Kb, </v>
      </c>
      <c r="N9" s="26" cm="1">
        <f t="array" ref="N9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9" t="str" cm="1">
        <f t="array" ref="O9">IFERROR(IF(_xlfn.XLOOKUP(Table1[[#This Row],[Component]],HW[[#All],[Component]],_xlfn.XLOOKUP(O$2,HW[#Headers],HW[#All]))="","",_xlfn.XLOOKUP(Table1[[#This Row],[Component]],HW[[#All],[Component]],_xlfn.XLOOKUP(O$2,HW[#Headers],HW[#All]))),"")</f>
        <v>change G2 &amp; Board</v>
      </c>
      <c r="P9" s="28" t="str" cm="1">
        <f t="array" ref="P9">IFERROR(IF(_xlfn.XLOOKUP(Table1[[#This Row],[Component]],HW[[#All],[Component]],_xlfn.XLOOKUP(P$2,HW[#Headers],HW[#All]))="","",_xlfn.XLOOKUP(Table1[[#This Row],[Component]],HW[[#All],[Component]],_xlfn.XLOOKUP(P$2,HW[#Headers],HW[#All]))),"")</f>
        <v>unless SCKT, still needs G2 mods though</v>
      </c>
    </row>
    <row r="10" spans="2:16" x14ac:dyDescent="0.3">
      <c r="B10" s="1" t="s">
        <v>387</v>
      </c>
      <c r="C10" s="26"/>
      <c r="D10" s="32" t="str">
        <f>IF(Table1[[#This Row],[Design Staff]]="","",VLOOKUP(Table1[[#This Row],[Design Staff]],Staff[[#All],[Initials]:[Inernal Cost]],2,FALSE)*Table1[[#This Row],[Component Design Cost (person weeks)]]*5)</f>
        <v/>
      </c>
      <c r="E10" t="str" cm="1">
        <f t="array" ref="E10">IFERROR(IF(_xlfn.XLOOKUP(Table1[[#This Row],[Component]],HW[[#All],[Component]],_xlfn.XLOOKUP(E$2,HW[#Headers],HW[#All]))="","",_xlfn.XLOOKUP(Table1[[#This Row],[Component]],HW[[#All],[Component]],_xlfn.XLOOKUP(E$2,HW[#Headers],HW[#All]))),"")</f>
        <v>SC150</v>
      </c>
      <c r="F10" t="str" cm="1">
        <f t="array" ref="F10">IFERROR(IF(_xlfn.XLOOKUP(Table1[[#This Row],[Component]],HW[[#All],[Component]],_xlfn.XLOOKUP(F$2,HW[#Headers],HW[#All]))="","",_xlfn.XLOOKUP(Table1[[#This Row],[Component]],HW[[#All],[Component]],_xlfn.XLOOKUP(F$2,HW[#Headers],HW[#All]))),"")</f>
        <v>2ch Joy/mse/keybd connector</v>
      </c>
      <c r="G10" s="26" cm="1">
        <f t="array" ref="G10">IFERROR(IF(_xlfn.XLOOKUP(Table1[[#This Row],[Component]],HW[[#All],[Component]],_xlfn.XLOOKUP(G$2,HW[#Headers],HW[#All]))="","",_xlfn.XLOOKUP(Table1[[#This Row],[Component]],HW[[#All],[Component]],_xlfn.XLOOKUP(G$2,HW[#Headers],HW[#All]))),"")</f>
        <v>15</v>
      </c>
      <c r="H10" s="26" cm="1">
        <f t="array" ref="H10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0" s="26" t="str" cm="1">
        <f t="array" ref="I10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0" s="26" t="str" cm="1">
        <f t="array" ref="J10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0" s="26" t="str" cm="1">
        <f t="array" ref="K10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0" s="26" t="str" cm="1">
        <f t="array" ref="L10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0" t="str" cm="1">
        <f t="array" ref="M10">IFERROR(IF(_xlfn.XLOOKUP(Table1[[#This Row],[Component]],HW[[#All],[Component]],_xlfn.XLOOKUP(M$2,HW[#Headers],HW[#All]))="","",_xlfn.XLOOKUP(Table1[[#This Row],[Component]],HW[[#All],[Component]],_xlfn.XLOOKUP(M$2,HW[#Headers],HW[#All]))),"")</f>
        <v xml:space="preserve">Multiplex:1 prt  -&gt; 2 (need cable) </v>
      </c>
      <c r="N10" s="26" cm="1">
        <f t="array" ref="N10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0" t="str" cm="1">
        <f t="array" ref="O10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10" s="28" t="str" cm="1">
        <f t="array" ref="P10">IFERROR(IF(_xlfn.XLOOKUP(Table1[[#This Row],[Component]],HW[[#All],[Component]],_xlfn.XLOOKUP(P$2,HW[#Headers],HW[#All]))="","",_xlfn.XLOOKUP(Table1[[#This Row],[Component]],HW[[#All],[Component]],_xlfn.XLOOKUP(P$2,HW[#Headers],HW[#All]))),"")</f>
        <v>replaces JYSTCK</v>
      </c>
    </row>
    <row r="11" spans="2:16" x14ac:dyDescent="0.3">
      <c r="B11" s="40" t="s">
        <v>384</v>
      </c>
      <c r="C11" s="26"/>
      <c r="D11" s="32" t="str">
        <f>IF(Table1[[#This Row],[Design Staff]]="","",VLOOKUP(Table1[[#This Row],[Design Staff]],Staff[[#All],[Initials]:[Inernal Cost]],2,FALSE)*Table1[[#This Row],[Component Design Cost (person weeks)]]*5)</f>
        <v/>
      </c>
      <c r="E11" t="str" cm="1">
        <f t="array" ref="E11">IFERROR(IF(_xlfn.XLOOKUP(Table1[[#This Row],[Component]],HW[[#All],[Component]],_xlfn.XLOOKUP(E$2,HW[#Headers],HW[#All]))="","",_xlfn.XLOOKUP(Table1[[#This Row],[Component]],HW[[#All],[Component]],_xlfn.XLOOKUP(E$2,HW[#Headers],HW[#All]))),"")</f>
        <v>16550 UART</v>
      </c>
      <c r="F11" t="str" cm="1">
        <f t="array" ref="F11">IFERROR(IF(_xlfn.XLOOKUP(Table1[[#This Row],[Component]],HW[[#All],[Component]],_xlfn.XLOOKUP(F$2,HW[#Headers],HW[#All]))="","",_xlfn.XLOOKUP(Table1[[#This Row],[Component]],HW[[#All],[Component]],_xlfn.XLOOKUP(F$2,HW[#Headers],HW[#All]))),"")</f>
        <v>1 ch serial port</v>
      </c>
      <c r="G11" s="26" cm="1">
        <f t="array" ref="G11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11" s="26" cm="1">
        <f t="array" ref="H11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1" s="26" t="str" cm="1">
        <f t="array" ref="I11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11" s="26" t="str" cm="1">
        <f t="array" ref="J11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1" s="26" t="str" cm="1">
        <f t="array" ref="K11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1" s="26" t="str" cm="1">
        <f t="array" ref="L11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1" t="str" cm="1">
        <f t="array" ref="M11">IFERROR(IF(_xlfn.XLOOKUP(Table1[[#This Row],[Component]],HW[[#All],[Component]],_xlfn.XLOOKUP(M$2,HW[#Headers],HW[#All]))="","",_xlfn.XLOOKUP(Table1[[#This Row],[Component]],HW[[#All],[Component]],_xlfn.XLOOKUP(M$2,HW[#Headers],HW[#All]))),"")</f>
        <v>Two IOP required - this is Serial</v>
      </c>
      <c r="N11" s="26" cm="1">
        <f t="array" ref="N11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1" t="str" cm="1">
        <f t="array" ref="O11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11" s="28" t="str" cm="1">
        <f t="array" ref="P11">IFERROR(IF(_xlfn.XLOOKUP(Table1[[#This Row],[Component]],HW[[#All],[Component]],_xlfn.XLOOKUP(P$2,HW[#Headers],HW[#All]))="","",_xlfn.XLOOKUP(Table1[[#This Row],[Component]],HW[[#All],[Component]],_xlfn.XLOOKUP(P$2,HW[#Headers],HW[#All]))),"")</f>
        <v>unless SCKT</v>
      </c>
    </row>
    <row r="12" spans="2:16" x14ac:dyDescent="0.3">
      <c r="B12" s="1" t="s">
        <v>93</v>
      </c>
      <c r="C12" s="26" t="s">
        <v>346</v>
      </c>
      <c r="D12" s="32">
        <f>IF(Table1[[#This Row],[Design Staff]]="","",VLOOKUP(Table1[[#This Row],[Design Staff]],Staff[[#All],[Initials]:[Inernal Cost]],2,FALSE)*Table1[[#This Row],[Component Design Cost (person weeks)]]*5)</f>
        <v>10000</v>
      </c>
      <c r="E12" t="str" cm="1">
        <f t="array" ref="E12">IFERROR(IF(_xlfn.XLOOKUP(Table1[[#This Row],[Component]],HW[[#All],[Component]],_xlfn.XLOOKUP(E$2,HW[#Headers],HW[#All]))="","",_xlfn.XLOOKUP(Table1[[#This Row],[Component]],HW[[#All],[Component]],_xlfn.XLOOKUP(E$2,HW[#Headers],HW[#All]))),"")</f>
        <v>A83</v>
      </c>
      <c r="F12" t="str" cm="1">
        <f t="array" ref="F12">IFERROR(IF(_xlfn.XLOOKUP(Table1[[#This Row],[Component]],HW[[#All],[Component]],_xlfn.XLOOKUP(F$2,HW[#Headers],HW[#All]))="","",_xlfn.XLOOKUP(Table1[[#This Row],[Component]],HW[[#All],[Component]],_xlfn.XLOOKUP(F$2,HW[#Headers],HW[#All]))),"")</f>
        <v>CPU, IOP, G1-4, XXKb RAM SERPORT, INTSND</v>
      </c>
      <c r="G12" s="26" cm="1">
        <f t="array" ref="G12">IFERROR(IF(_xlfn.XLOOKUP(Table1[[#This Row],[Component]],HW[[#All],[Component]],_xlfn.XLOOKUP(G$2,HW[#Headers],HW[#All]))="","",_xlfn.XLOOKUP(Table1[[#This Row],[Component]],HW[[#All],[Component]],_xlfn.XLOOKUP(G$2,HW[#Headers],HW[#All]))),"")</f>
        <v>15</v>
      </c>
      <c r="H12" s="26" cm="1">
        <f t="array" ref="H12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2" s="26" cm="1">
        <f t="array" ref="I12">IFERROR(IF(_xlfn.XLOOKUP(Table1[[#This Row],[Component]],HW[[#All],[Component]],_xlfn.XLOOKUP(I$2,HW[#Headers],HW[#All]))="","",_xlfn.XLOOKUP(Table1[[#This Row],[Component]],HW[[#All],[Component]],_xlfn.XLOOKUP(I$2,HW[#Headers],HW[#All]))),"")</f>
        <v>8</v>
      </c>
      <c r="J12" s="26" cm="1">
        <f t="array" ref="J12">IFERROR(IF(_xlfn.XLOOKUP(Table1[[#This Row],[Component]],HW[[#All],[Component]],_xlfn.XLOOKUP(J$2,HW[#Headers],HW[#All]))="","",_xlfn.XLOOKUP(Table1[[#This Row],[Component]],HW[[#All],[Component]],_xlfn.XLOOKUP(J$2,HW[#Headers],HW[#All]))),"")</f>
        <v>10</v>
      </c>
      <c r="K12" s="26" t="str" cm="1">
        <f t="array" ref="K12">IFERROR(IF(_xlfn.XLOOKUP(Table1[[#This Row],[Component]],HW[[#All],[Component]],_xlfn.XLOOKUP(K$2,HW[#Headers],HW[#All]))="","",_xlfn.XLOOKUP(Table1[[#This Row],[Component]],HW[[#All],[Component]],_xlfn.XLOOKUP(K$2,HW[#Headers],HW[#All]))),"")</f>
        <v>-</v>
      </c>
      <c r="L12" s="26" t="str" cm="1">
        <f t="array" ref="L12">IFERROR(IF(_xlfn.XLOOKUP(Table1[[#This Row],[Component]],HW[[#All],[Component]],_xlfn.XLOOKUP(L$2,HW[#Headers],HW[#All]))="","",_xlfn.XLOOKUP(Table1[[#This Row],[Component]],HW[[#All],[Component]],_xlfn.XLOOKUP(L$2,HW[#Headers],HW[#All]))),"")</f>
        <v>-</v>
      </c>
      <c r="M12" t="str" cm="1">
        <f t="array" ref="M12">IFERROR(IF(_xlfn.XLOOKUP(Table1[[#This Row],[Component]],HW[[#All],[Component]],_xlfn.XLOOKUP(M$2,HW[#Headers],HW[#All]))="","",_xlfn.XLOOKUP(Table1[[#This Row],[Component]],HW[[#All],[Component]],_xlfn.XLOOKUP(M$2,HW[#Headers],HW[#All]))),"")</f>
        <v>Only 1 chip of each type required except RAM</v>
      </c>
      <c r="N12" s="26" t="str" cm="1">
        <f t="array" ref="N12">IFERROR(IF(_xlfn.XLOOKUP(Table1[[#This Row],[Component]],HW[[#All],[Component]],_xlfn.XLOOKUP(N$2,HW[#Headers],HW[#All]))="","",_xlfn.XLOOKUP(Table1[[#This Row],[Component]],HW[[#All],[Component]],_xlfn.XLOOKUP(N$2,HW[#Headers],HW[#All]))),"")</f>
        <v>-</v>
      </c>
      <c r="O12" t="str" cm="1">
        <f t="array" ref="O12">IFERROR(IF(_xlfn.XLOOKUP(Table1[[#This Row],[Component]],HW[[#All],[Component]],_xlfn.XLOOKUP(O$2,HW[#Headers],HW[#All]))="","",_xlfn.XLOOKUP(Table1[[#This Row],[Component]],HW[[#All],[Component]],_xlfn.XLOOKUP(O$2,HW[#Headers],HW[#All]))),"")</f>
        <v>-</v>
      </c>
      <c r="P12" s="28" t="str" cm="1">
        <f t="array" ref="P12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3" spans="2:16" x14ac:dyDescent="0.3">
      <c r="B13" t="s">
        <v>464</v>
      </c>
      <c r="C13" s="26"/>
      <c r="D13" s="32" t="str">
        <f>IF(Table1[[#This Row],[Design Staff]]="","",VLOOKUP(Table1[[#This Row],[Design Staff]],Staff[[#All],[Initials]:[Inernal Cost]],2,FALSE)*Table1[[#This Row],[Component Design Cost (person weeks)]]*5)</f>
        <v/>
      </c>
      <c r="E13" t="str" cm="1">
        <f t="array" ref="E13">IFERROR(IF(_xlfn.XLOOKUP(Table1[[#This Row],[Component]],HW[[#All],[Component]],_xlfn.XLOOKUP(E$2,HW[#Headers],HW[#All]))="","",_xlfn.XLOOKUP(Table1[[#This Row],[Component]],HW[[#All],[Component]],_xlfn.XLOOKUP(E$2,HW[#Headers],HW[#All]))),"")</f>
        <v>disk</v>
      </c>
      <c r="F13" t="str" cm="1">
        <f t="array" ref="F13">IFERROR(IF(_xlfn.XLOOKUP(Table1[[#This Row],[Component]],HW[[#All],[Component]],_xlfn.XLOOKUP(F$2,HW[#Headers],HW[#All]))="","",_xlfn.XLOOKUP(Table1[[#This Row],[Component]],HW[[#All],[Component]],_xlfn.XLOOKUP(F$2,HW[#Headers],HW[#All]))),"")</f>
        <v>3.5" floppy</v>
      </c>
      <c r="G13" s="26" cm="1">
        <f t="array" ref="G13">IFERROR(IF(_xlfn.XLOOKUP(Table1[[#This Row],[Component]],HW[[#All],[Component]],_xlfn.XLOOKUP(G$2,HW[#Headers],HW[#All]))="","",_xlfn.XLOOKUP(Table1[[#This Row],[Component]],HW[[#All],[Component]],_xlfn.XLOOKUP(G$2,HW[#Headers],HW[#All]))),"")</f>
        <v>7.5</v>
      </c>
      <c r="H13" s="26" cm="1">
        <f t="array" ref="H13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3" s="26" t="str" cm="1">
        <f t="array" ref="I13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3" s="26" t="str" cm="1">
        <f t="array" ref="J13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3" s="26" t="str" cm="1">
        <f t="array" ref="K13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3" s="26" t="str" cm="1">
        <f t="array" ref="L13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3" t="str" cm="1">
        <f t="array" ref="M13">IFERROR(IF(_xlfn.XLOOKUP(Table1[[#This Row],[Component]],HW[[#All],[Component]],_xlfn.XLOOKUP(M$2,HW[#Headers],HW[#All]))="","",_xlfn.XLOOKUP(Table1[[#This Row],[Component]],HW[[#All],[Component]],_xlfn.XLOOKUP(M$2,HW[#Headers],HW[#All]))),"")</f>
        <v>controlled by G1, only 1 storage opt required</v>
      </c>
      <c r="N13" s="26" cm="1">
        <f t="array" ref="N13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13" t="str" cm="1">
        <f t="array" ref="O13">IFERROR(IF(_xlfn.XLOOKUP(Table1[[#This Row],[Component]],HW[[#All],[Component]],_xlfn.XLOOKUP(O$2,HW[#Headers],HW[#All]))="","",_xlfn.XLOOKUP(Table1[[#This Row],[Component]],HW[[#All],[Component]],_xlfn.XLOOKUP(O$2,HW[#Headers],HW[#All]))),"")</f>
        <v>change g1</v>
      </c>
      <c r="P13" s="28" t="str" cm="1">
        <f t="array" ref="P13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4" spans="2:16" x14ac:dyDescent="0.3">
      <c r="B14" s="1" t="s">
        <v>379</v>
      </c>
      <c r="C14" s="26" t="s">
        <v>346</v>
      </c>
      <c r="D14" s="32">
        <f>IF(Table1[[#This Row],[Design Staff]]="","",VLOOKUP(Table1[[#This Row],[Design Staff]],Staff[[#All],[Initials]:[Inernal Cost]],2,FALSE)*Table1[[#This Row],[Component Design Cost (person weeks)]]*5)</f>
        <v>12500</v>
      </c>
      <c r="E14" t="str" cm="1">
        <f t="array" ref="E14">IFERROR(IF(_xlfn.XLOOKUP(Table1[[#This Row],[Component]],HW[[#All],[Component]],_xlfn.XLOOKUP(E$2,HW[#Headers],HW[#All]))="","",_xlfn.XLOOKUP(Table1[[#This Row],[Component]],HW[[#All],[Component]],_xlfn.XLOOKUP(E$2,HW[#Headers],HW[#All]))),"")</f>
        <v>DESKTOP</v>
      </c>
      <c r="F14" t="str" cm="1">
        <f t="array" ref="F14">IFERROR(IF(_xlfn.XLOOKUP(Table1[[#This Row],[Component]],HW[[#All],[Component]],_xlfn.XLOOKUP(F$2,HW[#Headers],HW[#All]))="","",_xlfn.XLOOKUP(Table1[[#This Row],[Component]],HW[[#All],[Component]],_xlfn.XLOOKUP(F$2,HW[#Headers],HW[#All]))),"")</f>
        <v>int keyboard, 3 ext ports (+ exp)</v>
      </c>
      <c r="G14" s="26" cm="1">
        <f t="array" ref="G14">IFERROR(IF(_xlfn.XLOOKUP(Table1[[#This Row],[Component]],HW[[#All],[Component]],_xlfn.XLOOKUP(G$2,HW[#Headers],HW[#All]))="","",_xlfn.XLOOKUP(Table1[[#This Row],[Component]],HW[[#All],[Component]],_xlfn.XLOOKUP(G$2,HW[#Headers],HW[#All]))),"")</f>
        <v>25</v>
      </c>
      <c r="H14" s="26" cm="1">
        <f t="array" ref="H14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4" s="26" cm="1">
        <f t="array" ref="I14">IFERROR(IF(_xlfn.XLOOKUP(Table1[[#This Row],[Component]],HW[[#All],[Component]],_xlfn.XLOOKUP(I$2,HW[#Headers],HW[#All]))="","",_xlfn.XLOOKUP(Table1[[#This Row],[Component]],HW[[#All],[Component]],_xlfn.XLOOKUP(I$2,HW[#Headers],HW[#All]))),"")</f>
        <v>10</v>
      </c>
      <c r="J14" s="26" cm="1">
        <f t="array" ref="J14">IFERROR(IF(_xlfn.XLOOKUP(Table1[[#This Row],[Component]],HW[[#All],[Component]],_xlfn.XLOOKUP(J$2,HW[#Headers],HW[#All]))="","",_xlfn.XLOOKUP(Table1[[#This Row],[Component]],HW[[#All],[Component]],_xlfn.XLOOKUP(J$2,HW[#Headers],HW[#All]))),"")</f>
        <v>20</v>
      </c>
      <c r="K14" s="26" t="str" cm="1">
        <f t="array" ref="K14">IFERROR(IF(_xlfn.XLOOKUP(Table1[[#This Row],[Component]],HW[[#All],[Component]],_xlfn.XLOOKUP(K$2,HW[#Headers],HW[#All]))="","",_xlfn.XLOOKUP(Table1[[#This Row],[Component]],HW[[#All],[Component]],_xlfn.XLOOKUP(K$2,HW[#Headers],HW[#All]))),"")</f>
        <v/>
      </c>
      <c r="L14" s="26" t="str" cm="1">
        <f t="array" ref="L14">IFERROR(IF(_xlfn.XLOOKUP(Table1[[#This Row],[Component]],HW[[#All],[Component]],_xlfn.XLOOKUP(L$2,HW[#Headers],HW[#All]))="","",_xlfn.XLOOKUP(Table1[[#This Row],[Component]],HW[[#All],[Component]],_xlfn.XLOOKUP(L$2,HW[#Headers],HW[#All]))),"")</f>
        <v/>
      </c>
      <c r="M14" t="str" cm="1">
        <f t="array" ref="M14">IFERROR(IF(_xlfn.XLOOKUP(Table1[[#This Row],[Component]],HW[[#All],[Component]],_xlfn.XLOOKUP(M$2,HW[#Headers],HW[#All]))="","",_xlfn.XLOOKUP(Table1[[#This Row],[Component]],HW[[#All],[Component]],_xlfn.XLOOKUP(M$2,HW[#Headers],HW[#All]))),"")</f>
        <v>n/a</v>
      </c>
      <c r="N14" s="26" cm="1">
        <f t="array" ref="N14">IFERROR(IF(_xlfn.XLOOKUP(Table1[[#This Row],[Component]],HW[[#All],[Component]],_xlfn.XLOOKUP(N$2,HW[#Headers],HW[#All]))="","",_xlfn.XLOOKUP(Table1[[#This Row],[Component]],HW[[#All],[Component]],_xlfn.XLOOKUP(N$2,HW[#Headers],HW[#All]))),"")</f>
        <v>5</v>
      </c>
      <c r="O14" t="str" cm="1">
        <f t="array" ref="O14">IFERROR(IF(_xlfn.XLOOKUP(Table1[[#This Row],[Component]],HW[[#All],[Component]],_xlfn.XLOOKUP(O$2,HW[#Headers],HW[#All]))="","",_xlfn.XLOOKUP(Table1[[#This Row],[Component]],HW[[#All],[Component]],_xlfn.XLOOKUP(O$2,HW[#Headers],HW[#All]))),"")</f>
        <v>needs new case</v>
      </c>
      <c r="P14" s="28" t="str" cm="1">
        <f t="array" ref="P14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5" spans="2:16" x14ac:dyDescent="0.3">
      <c r="B15" s="1" t="s">
        <v>382</v>
      </c>
      <c r="C15" s="26"/>
      <c r="D15" s="32" t="str">
        <f>IF(Table1[[#This Row],[Design Staff]]="","",VLOOKUP(Table1[[#This Row],[Design Staff]],Staff[[#All],[Initials]:[Inernal Cost]],2,FALSE)*Table1[[#This Row],[Component Design Cost (person weeks)]]*5)</f>
        <v/>
      </c>
      <c r="E15" t="str" cm="1">
        <f t="array" ref="E15">IFERROR(IF(_xlfn.XLOOKUP(Table1[[#This Row],[Component]],HW[[#All],[Component]],_xlfn.XLOOKUP(E$2,HW[#Headers],HW[#All]))="","",_xlfn.XLOOKUP(Table1[[#This Row],[Component]],HW[[#All],[Component]],_xlfn.XLOOKUP(E$2,HW[#Headers],HW[#All]))),"")</f>
        <v>int</v>
      </c>
      <c r="F15" t="str" cm="1">
        <f t="array" ref="F15">IFERROR(IF(_xlfn.XLOOKUP(Table1[[#This Row],[Component]],HW[[#All],[Component]],_xlfn.XLOOKUP(F$2,HW[#Headers],HW[#All]))="","",_xlfn.XLOOKUP(Table1[[#This Row],[Component]],HW[[#All],[Component]],_xlfn.XLOOKUP(F$2,HW[#Headers],HW[#All]))),"")</f>
        <v>int keyboard for case</v>
      </c>
      <c r="G15" s="26" cm="1">
        <f t="array" ref="G15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15" s="26" cm="1">
        <f t="array" ref="H15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5" s="26" t="str" cm="1">
        <f t="array" ref="I15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5" s="26" t="str" cm="1">
        <f t="array" ref="J15">IFERROR(IF(_xlfn.XLOOKUP(Table1[[#This Row],[Component]],HW[[#All],[Component]],_xlfn.XLOOKUP(J$2,HW[#Headers],HW[#All]))="","",_xlfn.XLOOKUP(Table1[[#This Row],[Component]],HW[[#All],[Component]],_xlfn.XLOOKUP(J$2,HW[#Headers],HW[#All]))),"")</f>
        <v/>
      </c>
      <c r="K15" s="26" t="str" cm="1">
        <f t="array" ref="K15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5" s="26" t="str" cm="1">
        <f t="array" ref="L15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5" t="str" cm="1">
        <f t="array" ref="M15">IFERROR(IF(_xlfn.XLOOKUP(Table1[[#This Row],[Component]],HW[[#All],[Component]],_xlfn.XLOOKUP(M$2,HW[#Headers],HW[#All]))="","",_xlfn.XLOOKUP(Table1[[#This Row],[Component]],HW[[#All],[Component]],_xlfn.XLOOKUP(M$2,HW[#Headers],HW[#All]))),"")</f>
        <v>controlled by G1 needs chip change</v>
      </c>
      <c r="N15" s="26" cm="1">
        <f t="array" ref="N15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5" t="str" cm="1">
        <f t="array" ref="O15">IFERROR(IF(_xlfn.XLOOKUP(Table1[[#This Row],[Component]],HW[[#All],[Component]],_xlfn.XLOOKUP(O$2,HW[#Headers],HW[#All]))="","",_xlfn.XLOOKUP(Table1[[#This Row],[Component]],HW[[#All],[Component]],_xlfn.XLOOKUP(O$2,HW[#Headers],HW[#All]))),"")</f>
        <v>change chip &amp; board</v>
      </c>
      <c r="P15" s="28" t="str" cm="1">
        <f t="array" ref="P15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6" spans="2:16" x14ac:dyDescent="0.3">
      <c r="B16" s="1" t="s">
        <v>107</v>
      </c>
      <c r="C16" s="26"/>
      <c r="D16" s="32" t="str">
        <f>IF(Table1[[#This Row],[Design Staff]]="","",VLOOKUP(Table1[[#This Row],[Design Staff]],Staff[[#All],[Initials]:[Inernal Cost]],2,FALSE)*Table1[[#This Row],[Component Design Cost (person weeks)]]*5)</f>
        <v/>
      </c>
      <c r="E16" t="str" cm="1">
        <f t="array" ref="E16">IFERROR(IF(_xlfn.XLOOKUP(Table1[[#This Row],[Component]],HW[[#All],[Component]],_xlfn.XLOOKUP(E$2,HW[#Headers],HW[#All]))="","",_xlfn.XLOOKUP(Table1[[#This Row],[Component]],HW[[#All],[Component]],_xlfn.XLOOKUP(E$2,HW[#Headers],HW[#All]))),"")</f>
        <v>ProEx</v>
      </c>
      <c r="F16" t="str" cm="1">
        <f t="array" ref="F16">IFERROR(IF(_xlfn.XLOOKUP(Table1[[#This Row],[Component]],HW[[#All],[Component]],_xlfn.XLOOKUP(F$2,HW[#Headers],HW[#All]))="","",_xlfn.XLOOKUP(Table1[[#This Row],[Component]],HW[[#All],[Component]],_xlfn.XLOOKUP(F$2,HW[#Headers],HW[#All]))),"")</f>
        <v>CPU-Glue-SCSI - 4xRAM</v>
      </c>
      <c r="G16" s="26" cm="1">
        <f t="array" ref="G16">IFERROR(IF(_xlfn.XLOOKUP(Table1[[#This Row],[Component]],HW[[#All],[Component]],_xlfn.XLOOKUP(G$2,HW[#Headers],HW[#All]))="","",_xlfn.XLOOKUP(Table1[[#This Row],[Component]],HW[[#All],[Component]],_xlfn.XLOOKUP(G$2,HW[#Headers],HW[#All]))),"")</f>
        <v>15</v>
      </c>
      <c r="H16" s="26" cm="1">
        <f t="array" ref="H16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6" s="26" t="str" cm="1">
        <f t="array" ref="I16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6" s="26" cm="1">
        <f t="array" ref="J16">IFERROR(IF(_xlfn.XLOOKUP(Table1[[#This Row],[Component]],HW[[#All],[Component]],_xlfn.XLOOKUP(J$2,HW[#Headers],HW[#All]))="","",_xlfn.XLOOKUP(Table1[[#This Row],[Component]],HW[[#All],[Component]],_xlfn.XLOOKUP(J$2,HW[#Headers],HW[#All]))),"")</f>
        <v>12</v>
      </c>
      <c r="K16" s="26" t="str" cm="1">
        <f t="array" ref="K16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6" s="26" t="str" cm="1">
        <f t="array" ref="L16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6" t="str" cm="1">
        <f t="array" ref="M16">IFERROR(IF(_xlfn.XLOOKUP(Table1[[#This Row],[Component]],HW[[#All],[Component]],_xlfn.XLOOKUP(M$2,HW[#Headers],HW[#All]))="","",_xlfn.XLOOKUP(Table1[[#This Row],[Component]],HW[[#All],[Component]],_xlfn.XLOOKUP(M$2,HW[#Headers],HW[#All]))),"")</f>
        <v>Expansion board - component prices from BOM</v>
      </c>
      <c r="N16" s="26" cm="1">
        <f t="array" ref="N16">IFERROR(IF(_xlfn.XLOOKUP(Table1[[#This Row],[Component]],HW[[#All],[Component]],_xlfn.XLOOKUP(N$2,HW[#Headers],HW[#All]))="","",_xlfn.XLOOKUP(Table1[[#This Row],[Component]],HW[[#All],[Component]],_xlfn.XLOOKUP(N$2,HW[#Headers],HW[#All]))),"")</f>
        <v>4</v>
      </c>
      <c r="O16" t="str" cm="1">
        <f t="array" ref="O16">IFERROR(IF(_xlfn.XLOOKUP(Table1[[#This Row],[Component]],HW[[#All],[Component]],_xlfn.XLOOKUP(O$2,HW[#Headers],HW[#All]))="","",_xlfn.XLOOKUP(Table1[[#This Row],[Component]],HW[[#All],[Component]],_xlfn.XLOOKUP(O$2,HW[#Headers],HW[#All]))),"")</f>
        <v>New G if new CPU</v>
      </c>
      <c r="P16" s="28" t="str" cm="1">
        <f t="array" ref="P16">IFERROR(IF(_xlfn.XLOOKUP(Table1[[#This Row],[Component]],HW[[#All],[Component]],_xlfn.XLOOKUP(P$2,HW[#Headers],HW[#All]))="","",_xlfn.XLOOKUP(Table1[[#This Row],[Component]],HW[[#All],[Component]],_xlfn.XLOOKUP(P$2,HW[#Headers],HW[#All]))),"")</f>
        <v>All comps socketed - comp costs from BOM</v>
      </c>
    </row>
    <row r="17" spans="2:16" x14ac:dyDescent="0.3">
      <c r="B17" s="40" t="s">
        <v>374</v>
      </c>
      <c r="C17" s="26"/>
      <c r="D17" s="32" t="str">
        <f>IF(Table1[[#This Row],[Design Staff]]="","",VLOOKUP(Table1[[#This Row],[Design Staff]],Staff[[#All],[Initials]:[Inernal Cost]],2,FALSE)*Table1[[#This Row],[Component Design Cost (person weeks)]]*5)</f>
        <v/>
      </c>
      <c r="E17" t="str" cm="1">
        <f t="array" ref="E17">IFERROR(IF(_xlfn.XLOOKUP(Table1[[#This Row],[Component]],HW[[#All],[Component]],_xlfn.XLOOKUP(E$2,HW[#Headers],HW[#All]))="","",_xlfn.XLOOKUP(Table1[[#This Row],[Component]],HW[[#All],[Component]],_xlfn.XLOOKUP(E$2,HW[#Headers],HW[#All]))),"")</f>
        <v>i8042</v>
      </c>
      <c r="F17" t="str" cm="1">
        <f t="array" ref="F17">IFERROR(IF(_xlfn.XLOOKUP(Table1[[#This Row],[Component]],HW[[#All],[Component]],_xlfn.XLOOKUP(F$2,HW[#Headers],HW[#All]))="","",_xlfn.XLOOKUP(Table1[[#This Row],[Component]],HW[[#All],[Component]],_xlfn.XLOOKUP(F$2,HW[#Headers],HW[#All]))),"")</f>
        <v>mono snd, 2  8-bit ports</v>
      </c>
      <c r="G17" s="26" cm="1">
        <f t="array" ref="G17">IFERROR(IF(_xlfn.XLOOKUP(Table1[[#This Row],[Component]],HW[[#All],[Component]],_xlfn.XLOOKUP(G$2,HW[#Headers],HW[#All]))="","",_xlfn.XLOOKUP(Table1[[#This Row],[Component]],HW[[#All],[Component]],_xlfn.XLOOKUP(G$2,HW[#Headers],HW[#All]))),"")</f>
        <v>1.5</v>
      </c>
      <c r="H17" s="26" cm="1">
        <f t="array" ref="H17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7" s="26" t="str" cm="1">
        <f t="array" ref="I17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17" s="26" t="str" cm="1">
        <f t="array" ref="J17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7" s="26" t="str" cm="1">
        <f t="array" ref="K17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7" s="26" t="str" cm="1">
        <f t="array" ref="L17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7" t="str" cm="1">
        <f t="array" ref="M17">IFERROR(IF(_xlfn.XLOOKUP(Table1[[#This Row],[Component]],HW[[#All],[Component]],_xlfn.XLOOKUP(M$2,HW[#Headers],HW[#All]))="","",_xlfn.XLOOKUP(Table1[[#This Row],[Component]],HW[[#All],[Component]],_xlfn.XLOOKUP(M$2,HW[#Headers],HW[#All]))),"")</f>
        <v>only one INTSND required</v>
      </c>
      <c r="N17" s="26" cm="1">
        <f t="array" ref="N17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7" t="str" cm="1">
        <f t="array" ref="O17">IFERROR(IF(_xlfn.XLOOKUP(Table1[[#This Row],[Component]],HW[[#All],[Component]],_xlfn.XLOOKUP(O$2,HW[#Headers],HW[#All]))="","",_xlfn.XLOOKUP(Table1[[#This Row],[Component]],HW[[#All],[Component]],_xlfn.XLOOKUP(O$2,HW[#Headers],HW[#All]))),"")</f>
        <v xml:space="preserve">change board </v>
      </c>
      <c r="P17" s="28" t="str" cm="1">
        <f t="array" ref="P17">IFERROR(IF(_xlfn.XLOOKUP(Table1[[#This Row],[Component]],HW[[#All],[Component]],_xlfn.XLOOKUP(P$2,HW[#Headers],HW[#All]))="","",_xlfn.XLOOKUP(Table1[[#This Row],[Component]],HW[[#All],[Component]],_xlfn.XLOOKUP(P$2,HW[#Headers],HW[#All]))),"")</f>
        <v>treat like IOP</v>
      </c>
    </row>
    <row r="24" spans="2:16" x14ac:dyDescent="0.3">
      <c r="D24" s="33">
        <f>SUM(Table16[Design Cost])</f>
        <v>42000</v>
      </c>
      <c r="H24" s="26">
        <f>SUM(Table16[Design Cost (person weeks)])</f>
        <v>28</v>
      </c>
    </row>
    <row r="25" spans="2:16" ht="62.4" x14ac:dyDescent="0.3">
      <c r="B25" s="22" t="s">
        <v>0</v>
      </c>
      <c r="C25" s="25" t="s">
        <v>356</v>
      </c>
      <c r="D25" s="31" t="s">
        <v>363</v>
      </c>
      <c r="E25" s="23" t="s">
        <v>437</v>
      </c>
      <c r="F25" s="23" t="s">
        <v>168</v>
      </c>
      <c r="G25" s="23" t="s">
        <v>169</v>
      </c>
      <c r="H25" s="23" t="s">
        <v>170</v>
      </c>
      <c r="I25" s="23" t="s">
        <v>171</v>
      </c>
      <c r="J25" s="23" t="s">
        <v>172</v>
      </c>
      <c r="K25" s="23" t="s">
        <v>173</v>
      </c>
      <c r="L25" s="24" t="s">
        <v>174</v>
      </c>
      <c r="M25" s="23" t="s">
        <v>175</v>
      </c>
      <c r="N25"/>
      <c r="P25"/>
    </row>
    <row r="26" spans="2:16" x14ac:dyDescent="0.3">
      <c r="B26" s="7" t="s">
        <v>388</v>
      </c>
      <c r="C26" s="26" t="s">
        <v>347</v>
      </c>
      <c r="D26" s="32">
        <f>IF(Table16[[#This Row],[Design Staff]]="","",VLOOKUP(Table16[[#This Row],[Design Staff]],Staff[[#All],[Initials]:[Inernal Cost]],2,FALSE)*Table16[[#This Row],[Design Cost (person weeks)]]*5)</f>
        <v>3000</v>
      </c>
      <c r="E26" t="str" cm="1">
        <f t="array" ref="E26">IFERROR(IF(_xlfn.XLOOKUP(Table16[[#This Row],[Component]],SW[[#All],[Component]],_xlfn.XLOOKUP(E$25,SW[#Headers],SW[#All]))="","",_xlfn.XLOOKUP(Table16[[#This Row],[Component]],SW[[#All],[Component]],_xlfn.XLOOKUP(E$25,SW[#Headers],SW[#All]))),"")</f>
        <v>Boot ldr &amp; HWcfg</v>
      </c>
      <c r="F26" t="str" cm="1">
        <f t="array" ref="F26">IFERROR(IF(_xlfn.XLOOKUP(Table16[[#This Row],[Component]],SW[[#All],[Component]],_xlfn.XLOOKUP(F$25,SW[#Headers],SW[#All]))="","",_xlfn.XLOOKUP(Table16[[#This Row],[Component]],SW[[#All],[Component]],_xlfn.XLOOKUP(F$25,SW[#Headers],SW[#All]))),"")</f>
        <v>In House</v>
      </c>
      <c r="G26" t="str" cm="1">
        <f t="array" ref="G26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6" cm="1">
        <f t="array" ref="H26">IFERROR(IF(_xlfn.XLOOKUP(Table16[[#This Row],[Component]],SW[[#All],[Component]],_xlfn.XLOOKUP(H$25,SW[#Headers],SW[#All]))="","",_xlfn.XLOOKUP(Table16[[#This Row],[Component]],SW[[#All],[Component]],_xlfn.XLOOKUP(H$25,SW[#Headers],SW[#All]))),"")</f>
        <v>2</v>
      </c>
      <c r="I26" t="str" cm="1">
        <f t="array" ref="I26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6" t="str" cm="1">
        <f t="array" ref="J26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6" t="str" cm="1">
        <f t="array" ref="K26">IFERROR(IF(_xlfn.XLOOKUP(Table16[[#This Row],[Component]],SW[[#All],[Component]],_xlfn.XLOOKUP(K$25,SW[#Headers],SW[#All]))="","",_xlfn.XLOOKUP(Table16[[#This Row],[Component]],SW[[#All],[Component]],_xlfn.XLOOKUP(K$25,SW[#Headers],SW[#All]))),"")</f>
        <v>Built into system ROM</v>
      </c>
      <c r="L26" t="str" cm="1">
        <f t="array" ref="L26">IFERROR(IF(_xlfn.XLOOKUP(Table16[[#This Row],[Component]],SW[[#All],[Component]],_xlfn.XLOOKUP(L$25,SW[#Headers],SW[#All]))="","",_xlfn.XLOOKUP(Table16[[#This Row],[Component]],SW[[#All],[Component]],_xlfn.XLOOKUP(L$25,SW[#Headers],SW[#All]))),"")</f>
        <v>New ldr for new Arch</v>
      </c>
      <c r="M26" cm="1">
        <f t="array" ref="M26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26"/>
      <c r="P26"/>
    </row>
    <row r="27" spans="2:16" x14ac:dyDescent="0.3">
      <c r="B27" s="7" t="s">
        <v>389</v>
      </c>
      <c r="C27" s="26" t="s">
        <v>347</v>
      </c>
      <c r="D27" s="32">
        <f>IF(Table16[[#This Row],[Design Staff]]="","",VLOOKUP(Table16[[#This Row],[Design Staff]],Staff[[#All],[Initials]:[Inernal Cost]],2,FALSE)*Table16[[#This Row],[Design Cost (person weeks)]]*5)</f>
        <v>12000</v>
      </c>
      <c r="E27" t="str" cm="1">
        <f t="array" ref="E27">IFERROR(IF(_xlfn.XLOOKUP(Table16[[#This Row],[Component]],SW[[#All],[Component]],_xlfn.XLOOKUP(E$25,SW[#Headers],SW[#All]))="","",_xlfn.XLOOKUP(Table16[[#This Row],[Component]],SW[[#All],[Component]],_xlfn.XLOOKUP(E$25,SW[#Headers],SW[#All]))),"")</f>
        <v>Sys: Kernel</v>
      </c>
      <c r="F27" t="str" cm="1">
        <f t="array" ref="F27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7" t="str" cm="1">
        <f t="array" ref="G27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7" cm="1">
        <f t="array" ref="H27">IFERROR(IF(_xlfn.XLOOKUP(Table16[[#This Row],[Component]],SW[[#All],[Component]],_xlfn.XLOOKUP(H$25,SW[#Headers],SW[#All]))="","",_xlfn.XLOOKUP(Table16[[#This Row],[Component]],SW[[#All],[Component]],_xlfn.XLOOKUP(H$25,SW[#Headers],SW[#All]))),"")</f>
        <v>8</v>
      </c>
      <c r="I27" t="str" cm="1">
        <f t="array" ref="I27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7" t="str" cm="1">
        <f t="array" ref="J27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7" t="str" cm="1">
        <f t="array" ref="K27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7" t="str" cm="1">
        <f t="array" ref="L27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27" cm="1">
        <f t="array" ref="M27">IFERROR(IF(_xlfn.XLOOKUP(Table16[[#This Row],[Component]],SW[[#All],[Component]],_xlfn.XLOOKUP(M$25,SW[#Headers],SW[#All]))="","",_xlfn.XLOOKUP(Table16[[#This Row],[Component]],SW[[#All],[Component]],_xlfn.XLOOKUP(M$25,SW[#Headers],SW[#All]))),"")</f>
        <v>6</v>
      </c>
      <c r="N27"/>
      <c r="P27"/>
    </row>
    <row r="28" spans="2:16" x14ac:dyDescent="0.3">
      <c r="B28" s="7" t="s">
        <v>390</v>
      </c>
      <c r="C28" s="26"/>
      <c r="D28" s="32" t="str">
        <f>IF(Table16[[#This Row],[Design Staff]]="","",VLOOKUP(Table16[[#This Row],[Design Staff]],Staff[[#All],[Initials]:[Inernal Cost]],2,FALSE)*Table16[[#This Row],[Design Cost (person weeks)]]*5)</f>
        <v/>
      </c>
      <c r="E28" t="str" cm="1">
        <f t="array" ref="E28">IFERROR(IF(_xlfn.XLOOKUP(Table16[[#This Row],[Component]],SW[[#All],[Component]],_xlfn.XLOOKUP(E$25,SW[#Headers],SW[#All]))="","",_xlfn.XLOOKUP(Table16[[#This Row],[Component]],SW[[#All],[Component]],_xlfn.XLOOKUP(E$25,SW[#Headers],SW[#All]))),"")</f>
        <v>SYS: Libraries</v>
      </c>
      <c r="F28" t="str" cm="1">
        <f t="array" ref="F28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8" t="str" cm="1">
        <f t="array" ref="G28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8" t="str" cm="1">
        <f t="array" ref="H28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28" t="str" cm="1">
        <f t="array" ref="I28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8" t="str" cm="1">
        <f t="array" ref="J28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8" t="str" cm="1">
        <f t="array" ref="K28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8" t="str" cm="1">
        <f t="array" ref="L28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28" cm="1">
        <f t="array" ref="M28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28"/>
      <c r="P28"/>
    </row>
    <row r="29" spans="2:16" x14ac:dyDescent="0.3">
      <c r="B29" s="7" t="s">
        <v>391</v>
      </c>
      <c r="C29" s="26"/>
      <c r="D29" s="32" t="str">
        <f>IF(Table16[[#This Row],[Design Staff]]="","",VLOOKUP(Table16[[#This Row],[Design Staff]],Staff[[#All],[Initials]:[Inernal Cost]],2,FALSE)*Table16[[#This Row],[Design Cost (person weeks)]]*5)</f>
        <v/>
      </c>
      <c r="E29" t="str" cm="1">
        <f t="array" ref="E29">IFERROR(IF(_xlfn.XLOOKUP(Table16[[#This Row],[Component]],SW[[#All],[Component]],_xlfn.XLOOKUP(E$25,SW[#Headers],SW[#All]))="","",_xlfn.XLOOKUP(Table16[[#This Row],[Component]],SW[[#All],[Component]],_xlfn.XLOOKUP(E$25,SW[#Headers],SW[#All]))),"")</f>
        <v>SYS: Drivers</v>
      </c>
      <c r="F29" t="str" cm="1">
        <f t="array" ref="F29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9" t="str" cm="1">
        <f t="array" ref="G29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9" t="str" cm="1">
        <f t="array" ref="H29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29" t="str" cm="1">
        <f t="array" ref="I29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9" t="str" cm="1">
        <f t="array" ref="J29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9" t="str" cm="1">
        <f t="array" ref="K29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9" t="str" cm="1">
        <f t="array" ref="L29">IFERROR(IF(_xlfn.XLOOKUP(Table16[[#This Row],[Component]],SW[[#All],[Component]],_xlfn.XLOOKUP(L$25,SW[#Headers],SW[#All]))="","",_xlfn.XLOOKUP(Table16[[#This Row],[Component]],SW[[#All],[Component]],_xlfn.XLOOKUP(L$25,SW[#Headers],SW[#All]))),"")</f>
        <v>new/ changed hw</v>
      </c>
      <c r="M29" cm="1">
        <f t="array" ref="M29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29"/>
      <c r="P29"/>
    </row>
    <row r="30" spans="2:16" x14ac:dyDescent="0.3">
      <c r="B30" s="7" t="s">
        <v>396</v>
      </c>
      <c r="C30" s="26" t="s">
        <v>347</v>
      </c>
      <c r="D30" s="32">
        <f>IF(Table16[[#This Row],[Design Staff]]="","",VLOOKUP(Table16[[#This Row],[Design Staff]],Staff[[#All],[Initials]:[Inernal Cost]],2,FALSE)*Table16[[#This Row],[Design Cost (person weeks)]]*5)</f>
        <v>12000</v>
      </c>
      <c r="E30" t="str" cm="1">
        <f t="array" ref="E30">IFERROR(IF(_xlfn.XLOOKUP(Table16[[#This Row],[Component]],SW[[#All],[Component]],_xlfn.XLOOKUP(E$25,SW[#Headers],SW[#All]))="","",_xlfn.XLOOKUP(Table16[[#This Row],[Component]],SW[[#All],[Component]],_xlfn.XLOOKUP(E$25,SW[#Headers],SW[#All]))),"")</f>
        <v>BAS: Kernel</v>
      </c>
      <c r="F30" t="str" cm="1">
        <f t="array" ref="F30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0" t="str" cm="1">
        <f t="array" ref="G30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0" cm="1">
        <f t="array" ref="H30">IFERROR(IF(_xlfn.XLOOKUP(Table16[[#This Row],[Component]],SW[[#All],[Component]],_xlfn.XLOOKUP(H$25,SW[#Headers],SW[#All]))="","",_xlfn.XLOOKUP(Table16[[#This Row],[Component]],SW[[#All],[Component]],_xlfn.XLOOKUP(H$25,SW[#Headers],SW[#All]))),"")</f>
        <v>8</v>
      </c>
      <c r="I30" t="str" cm="1">
        <f t="array" ref="I30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0" t="str" cm="1">
        <f t="array" ref="J30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0" t="str" cm="1">
        <f t="array" ref="K30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30" t="str" cm="1">
        <f t="array" ref="L30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0" cm="1">
        <f t="array" ref="M30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0"/>
      <c r="P30"/>
    </row>
    <row r="31" spans="2:16" x14ac:dyDescent="0.3">
      <c r="B31" s="7" t="s">
        <v>397</v>
      </c>
      <c r="C31" s="26"/>
      <c r="D31" s="32" t="str">
        <f>IF(Table16[[#This Row],[Design Staff]]="","",VLOOKUP(Table16[[#This Row],[Design Staff]],Staff[[#All],[Initials]:[Inernal Cost]],2,FALSE)*Table16[[#This Row],[Design Cost (person weeks)]]*5)</f>
        <v/>
      </c>
      <c r="E31" t="str" cm="1">
        <f t="array" ref="E31">IFERROR(IF(_xlfn.XLOOKUP(Table16[[#This Row],[Component]],SW[[#All],[Component]],_xlfn.XLOOKUP(E$25,SW[#Headers],SW[#All]))="","",_xlfn.XLOOKUP(Table16[[#This Row],[Component]],SW[[#All],[Component]],_xlfn.XLOOKUP(E$25,SW[#Headers],SW[#All]))),"")</f>
        <v>BAS: core lib&amp;I/O</v>
      </c>
      <c r="F31" t="str" cm="1">
        <f t="array" ref="F31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1" t="str" cm="1">
        <f t="array" ref="G31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1" t="str" cm="1">
        <f t="array" ref="H31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31" t="str" cm="1">
        <f t="array" ref="I31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1" t="str" cm="1">
        <f t="array" ref="J31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1" t="str" cm="1">
        <f t="array" ref="K31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31" t="str" cm="1">
        <f t="array" ref="L31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1" cm="1">
        <f t="array" ref="M31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1"/>
      <c r="P31"/>
    </row>
    <row r="32" spans="2:16" x14ac:dyDescent="0.3">
      <c r="B32" s="7" t="s">
        <v>398</v>
      </c>
      <c r="C32" s="26" t="s">
        <v>347</v>
      </c>
      <c r="D32" s="32">
        <f>IF(Table16[[#This Row],[Design Staff]]="","",VLOOKUP(Table16[[#This Row],[Design Staff]],Staff[[#All],[Initials]:[Inernal Cost]],2,FALSE)*Table16[[#This Row],[Design Cost (person weeks)]]*5)</f>
        <v>3000</v>
      </c>
      <c r="E32" t="str" cm="1">
        <f t="array" ref="E32">IFERROR(IF(_xlfn.XLOOKUP(Table16[[#This Row],[Component]],SW[[#All],[Component]],_xlfn.XLOOKUP(E$25,SW[#Headers],SW[#All]))="","",_xlfn.XLOOKUP(Table16[[#This Row],[Component]],SW[[#All],[Component]],_xlfn.XLOOKUP(E$25,SW[#Headers],SW[#All]))),"")</f>
        <v>BAS: fs libs</v>
      </c>
      <c r="F32" t="str" cm="1">
        <f t="array" ref="F32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2" t="str" cm="1">
        <f t="array" ref="G32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2" cm="1">
        <f t="array" ref="H32">IFERROR(IF(_xlfn.XLOOKUP(Table16[[#This Row],[Component]],SW[[#All],[Component]],_xlfn.XLOOKUP(H$25,SW[#Headers],SW[#All]))="","",_xlfn.XLOOKUP(Table16[[#This Row],[Component]],SW[[#All],[Component]],_xlfn.XLOOKUP(H$25,SW[#Headers],SW[#All]))),"")</f>
        <v>2</v>
      </c>
      <c r="I32" t="str" cm="1">
        <f t="array" ref="I32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2" t="str" cm="1">
        <f t="array" ref="J32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2" t="str" cm="1">
        <f t="array" ref="K32">IFERROR(IF(_xlfn.XLOOKUP(Table16[[#This Row],[Component]],SW[[#All],[Component]],_xlfn.XLOOKUP(K$25,SW[#Headers],SW[#All]))="","",_xlfn.XLOOKUP(Table16[[#This Row],[Component]],SW[[#All],[Component]],_xlfn.XLOOKUP(K$25,SW[#Headers],SW[#All]))),"")</f>
        <v>can be ROM or DISK</v>
      </c>
      <c r="L32" t="str" cm="1">
        <f t="array" ref="L32">IFERROR(IF(_xlfn.XLOOKUP(Table16[[#This Row],[Component]],SW[[#All],[Component]],_xlfn.XLOOKUP(L$25,SW[#Headers],SW[#All]))="","",_xlfn.XLOOKUP(Table16[[#This Row],[Component]],SW[[#All],[Component]],_xlfn.XLOOKUP(L$25,SW[#Headers],SW[#All]))),"")</f>
        <v>fs options. E.g. FAT</v>
      </c>
      <c r="M32" cm="1">
        <f t="array" ref="M32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32"/>
      <c r="P32"/>
    </row>
    <row r="33" spans="2:16" x14ac:dyDescent="0.3">
      <c r="B33" s="7" t="s">
        <v>420</v>
      </c>
      <c r="C33" s="26" t="s">
        <v>347</v>
      </c>
      <c r="D33" s="32">
        <f>IF(Table16[[#This Row],[Design Staff]]="","",VLOOKUP(Table16[[#This Row],[Design Staff]],Staff[[#All],[Initials]:[Inernal Cost]],2,FALSE)*Table16[[#This Row],[Design Cost (person weeks)]]*5)</f>
        <v>6000</v>
      </c>
      <c r="E33" t="str" cm="1">
        <f t="array" ref="E33">IFERROR(IF(_xlfn.XLOOKUP(Table16[[#This Row],[Component]],SW[[#All],[Component]],_xlfn.XLOOKUP(E$25,SW[#Headers],SW[#All]))="","",_xlfn.XLOOKUP(Table16[[#This Row],[Component]],SW[[#All],[Component]],_xlfn.XLOOKUP(E$25,SW[#Headers],SW[#All]))),"")</f>
        <v>CPM+BIOS</v>
      </c>
      <c r="F33" t="str" cm="1">
        <f t="array" ref="F33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3" t="str" cm="1">
        <f t="array" ref="G33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3" cm="1">
        <f t="array" ref="H33">IFERROR(IF(_xlfn.XLOOKUP(Table16[[#This Row],[Component]],SW[[#All],[Component]],_xlfn.XLOOKUP(H$25,SW[#Headers],SW[#All]))="","",_xlfn.XLOOKUP(Table16[[#This Row],[Component]],SW[[#All],[Component]],_xlfn.XLOOKUP(H$25,SW[#Headers],SW[#All]))),"")</f>
        <v>4</v>
      </c>
      <c r="I33" t="str" cm="1">
        <f t="array" ref="I33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3" t="str" cm="1">
        <f t="array" ref="J33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3" t="str" cm="1">
        <f t="array" ref="K33">IFERROR(IF(_xlfn.XLOOKUP(Table16[[#This Row],[Component]],SW[[#All],[Component]],_xlfn.XLOOKUP(K$25,SW[#Headers],SW[#All]))="","",_xlfn.XLOOKUP(Table16[[#This Row],[Component]],SW[[#All],[Component]],_xlfn.XLOOKUP(K$25,SW[#Headers],SW[#All]))),"")</f>
        <v>alt to IH code - replaces in ROM</v>
      </c>
      <c r="L33" t="str" cm="1">
        <f t="array" ref="L33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3" cm="1">
        <f t="array" ref="M33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3"/>
      <c r="P33"/>
    </row>
    <row r="34" spans="2:16" x14ac:dyDescent="0.3">
      <c r="B34" s="7" t="s">
        <v>421</v>
      </c>
      <c r="C34" s="26"/>
      <c r="D34" s="32" t="str">
        <f>IF(Table16[[#This Row],[Design Staff]]="","",VLOOKUP(Table16[[#This Row],[Design Staff]],Staff[[#All],[Initials]:[Inernal Cost]],2,FALSE)*Table16[[#This Row],[Design Cost (person weeks)]]*5)</f>
        <v/>
      </c>
      <c r="E34" t="str" cm="1">
        <f t="array" ref="E34">IFERROR(IF(_xlfn.XLOOKUP(Table16[[#This Row],[Component]],SW[[#All],[Component]],_xlfn.XLOOKUP(E$25,SW[#Headers],SW[#All]))="","",_xlfn.XLOOKUP(Table16[[#This Row],[Component]],SW[[#All],[Component]],_xlfn.XLOOKUP(E$25,SW[#Headers],SW[#All]))),"")</f>
        <v>Libs &amp; CLI</v>
      </c>
      <c r="F34" t="str" cm="1">
        <f t="array" ref="F34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4" t="str" cm="1">
        <f t="array" ref="G34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4" t="str" cm="1">
        <f t="array" ref="H34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34" t="str" cm="1">
        <f t="array" ref="I34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4" t="str" cm="1">
        <f t="array" ref="J34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4" t="str" cm="1">
        <f t="array" ref="K34">IFERROR(IF(_xlfn.XLOOKUP(Table16[[#This Row],[Component]],SW[[#All],[Component]],_xlfn.XLOOKUP(K$25,SW[#Headers],SW[#All]))="","",_xlfn.XLOOKUP(Table16[[#This Row],[Component]],SW[[#All],[Component]],_xlfn.XLOOKUP(K$25,SW[#Headers],SW[#All]))),"")</f>
        <v>Not ROMable - on DISK</v>
      </c>
      <c r="L34" t="str" cm="1">
        <f t="array" ref="L34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4" cm="1">
        <f t="array" ref="M34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4"/>
      <c r="P34"/>
    </row>
    <row r="35" spans="2:16" x14ac:dyDescent="0.3">
      <c r="B35" s="7" t="s">
        <v>422</v>
      </c>
      <c r="C35" s="26" t="s">
        <v>347</v>
      </c>
      <c r="D35" s="32">
        <f>IF(Table16[[#This Row],[Design Staff]]="","",VLOOKUP(Table16[[#This Row],[Design Staff]],Staff[[#All],[Initials]:[Inernal Cost]],2,FALSE)*Table16[[#This Row],[Design Cost (person weeks)]]*5)</f>
        <v>6000</v>
      </c>
      <c r="E35" t="str" cm="1">
        <f t="array" ref="E35">IFERROR(IF(_xlfn.XLOOKUP(Table16[[#This Row],[Component]],SW[[#All],[Component]],_xlfn.XLOOKUP(E$25,SW[#Headers],SW[#All]))="","",_xlfn.XLOOKUP(Table16[[#This Row],[Component]],SW[[#All],[Component]],_xlfn.XLOOKUP(E$25,SW[#Headers],SW[#All]))),"")</f>
        <v>68kBASIC</v>
      </c>
      <c r="F35" t="str" cm="1">
        <f t="array" ref="F35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5" t="str" cm="1">
        <f t="array" ref="G35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5" cm="1">
        <f t="array" ref="H35">IFERROR(IF(_xlfn.XLOOKUP(Table16[[#This Row],[Component]],SW[[#All],[Component]],_xlfn.XLOOKUP(H$25,SW[#Headers],SW[#All]))="","",_xlfn.XLOOKUP(Table16[[#This Row],[Component]],SW[[#All],[Component]],_xlfn.XLOOKUP(H$25,SW[#Headers],SW[#All]))),"")</f>
        <v>4</v>
      </c>
      <c r="I35" t="str" cm="1">
        <f t="array" ref="I35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5" t="str" cm="1">
        <f t="array" ref="J35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5" t="str" cm="1">
        <f t="array" ref="K35">IFERROR(IF(_xlfn.XLOOKUP(Table16[[#This Row],[Component]],SW[[#All],[Component]],_xlfn.XLOOKUP(K$25,SW[#Headers],SW[#All]))="","",_xlfn.XLOOKUP(Table16[[#This Row],[Component]],SW[[#All],[Component]],_xlfn.XLOOKUP(K$25,SW[#Headers],SW[#All]))),"")</f>
        <v>alt to IH code - replaces in ROM</v>
      </c>
      <c r="L35" t="str" cm="1">
        <f t="array" ref="L35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5" cm="1">
        <f t="array" ref="M35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5"/>
      <c r="P35"/>
    </row>
    <row r="36" spans="2:16" x14ac:dyDescent="0.3">
      <c r="N36"/>
      <c r="P36"/>
    </row>
    <row r="37" spans="2:16" x14ac:dyDescent="0.3">
      <c r="N37"/>
      <c r="P37"/>
    </row>
    <row r="38" spans="2:16" x14ac:dyDescent="0.3">
      <c r="N38"/>
      <c r="P38"/>
    </row>
    <row r="39" spans="2:16" x14ac:dyDescent="0.3">
      <c r="N39"/>
      <c r="P39"/>
    </row>
  </sheetData>
  <conditionalFormatting sqref="B10:B11 B16:B17">
    <cfRule type="expression" dxfId="2" priority="5">
      <formula>VLOOKUP($A10,$B$2:$B$22,1,FALSE)=$A10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0E996-80AD-43A5-BE39-100C773EDA9B}">
          <x14:formula1>
            <xm:f>'HW BOM for ITPM'!$A$2:$A$4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6380-7EFD-4F67-A856-A47FE67D46ED}">
  <dimension ref="B1:R18"/>
  <sheetViews>
    <sheetView tabSelected="1" topLeftCell="C1" workbookViewId="0">
      <selection activeCell="H4" sqref="H4"/>
    </sheetView>
  </sheetViews>
  <sheetFormatPr defaultRowHeight="13.8" x14ac:dyDescent="0.3"/>
  <cols>
    <col min="2" max="2" width="14.5546875" bestFit="1" customWidth="1"/>
    <col min="3" max="4" width="14.5546875" style="26" customWidth="1"/>
    <col min="5" max="5" width="11.33203125" style="29" bestFit="1" customWidth="1"/>
    <col min="6" max="6" width="9.109375" style="29"/>
    <col min="7" max="7" width="17.5546875" style="26" customWidth="1"/>
    <col min="8" max="9" width="17.88671875" style="26" customWidth="1"/>
    <col min="10" max="10" width="18.44140625" style="26" customWidth="1"/>
    <col min="11" max="11" width="9.109375" style="26"/>
    <col min="12" max="13" width="9.88671875" style="26" bestFit="1" customWidth="1"/>
    <col min="14" max="14" width="13.5546875" style="26" customWidth="1"/>
  </cols>
  <sheetData>
    <row r="1" spans="2:18" x14ac:dyDescent="0.3">
      <c r="N1" s="32">
        <f>SUM(Table8[Total Cost])</f>
        <v>499350</v>
      </c>
      <c r="Q1" s="36">
        <f>SUM(Table9[Wks])</f>
        <v>38</v>
      </c>
    </row>
    <row r="2" spans="2:18" x14ac:dyDescent="0.3">
      <c r="B2" t="s">
        <v>448</v>
      </c>
      <c r="C2" s="26" t="s">
        <v>335</v>
      </c>
      <c r="D2" s="26" t="s">
        <v>457</v>
      </c>
      <c r="E2" s="32" t="s">
        <v>453</v>
      </c>
      <c r="F2" s="29" t="s">
        <v>443</v>
      </c>
      <c r="G2" s="29" t="s">
        <v>444</v>
      </c>
      <c r="H2" s="26" t="s">
        <v>445</v>
      </c>
      <c r="I2" s="26" t="s">
        <v>446</v>
      </c>
      <c r="J2" s="26" t="s">
        <v>337</v>
      </c>
      <c r="K2" s="26" t="s">
        <v>449</v>
      </c>
      <c r="L2" s="26" t="s">
        <v>447</v>
      </c>
      <c r="M2" s="26" t="s">
        <v>450</v>
      </c>
      <c r="N2" s="32" t="s">
        <v>451</v>
      </c>
      <c r="P2" t="s">
        <v>448</v>
      </c>
      <c r="Q2" t="s">
        <v>443</v>
      </c>
      <c r="R2" t="s">
        <v>444</v>
      </c>
    </row>
    <row r="3" spans="2:18" x14ac:dyDescent="0.3">
      <c r="B3" t="s">
        <v>442</v>
      </c>
      <c r="C3" s="26" t="s">
        <v>346</v>
      </c>
      <c r="D3" s="26">
        <v>1</v>
      </c>
      <c r="E3" s="32"/>
      <c r="F3" s="29">
        <f>'Design Cost'!I1</f>
        <v>38</v>
      </c>
      <c r="G3" s="29">
        <f>IF(Table8[[#This Row],[Wks]]="","",IFERROR(F3*5,""))</f>
        <v>190</v>
      </c>
      <c r="H3" s="26">
        <v>9</v>
      </c>
      <c r="I3" s="26">
        <f>IF(Table8[[#This Row],[Agency Staff (Wks)]]="","",Table8[[#This Row],[Agency Staff (Wks)]]*5)</f>
        <v>45</v>
      </c>
      <c r="J3" s="32">
        <f>IFERROR(Table8[[#This Row],[Agency Staff (Days)]]*VLOOKUP(Table8[[#This Row],[Role]],Staff[[#All],[Initials]:[Agency Cost]],3,FALSE),"")</f>
        <v>18000</v>
      </c>
      <c r="K3" s="38">
        <f>IF(Table8[[#This Row],[Internal Staff (Days)]]="","",Table8[[#This Row],[Internal Staff (Days)]]/5)</f>
        <v>29</v>
      </c>
      <c r="L3" s="26">
        <f>IF(Table8[[#This Row],[Days]]="","",Table8[[#This Row],[Days]]-Table8[[#This Row],[Agency Staff (Days)]])</f>
        <v>145</v>
      </c>
      <c r="M3" s="32">
        <f>IFERROR(Table8[[#This Row],[Internal Staff (Days)]]*VLOOKUP(Table8[[#This Row],[Role]],Staff[[#All],[Initials]:[Agency Cost]],2,FALSE),"")</f>
        <v>36250</v>
      </c>
      <c r="N3" s="32">
        <f>IF(Table8[[#This Row],[Role]]="",Table8[[#This Row],[Fixed Cost]]*Table8[[#This Row],[Units]],(Table8[[#This Row],[Internal Cost]]+Table8[[#This Row],[Agency Cost]])*Table8[[#This Row],[Units]])</f>
        <v>54250</v>
      </c>
      <c r="P3" t="s">
        <v>459</v>
      </c>
      <c r="Q3" s="36">
        <f t="shared" ref="Q3" si="0">MAX(K3:K4)</f>
        <v>29</v>
      </c>
      <c r="R3">
        <f>Table9[[#This Row],[Wks]]*5</f>
        <v>145</v>
      </c>
    </row>
    <row r="4" spans="2:18" x14ac:dyDescent="0.3">
      <c r="B4" t="s">
        <v>452</v>
      </c>
      <c r="C4" s="26" t="s">
        <v>347</v>
      </c>
      <c r="D4" s="26">
        <v>1</v>
      </c>
      <c r="E4" s="32"/>
      <c r="F4" s="29">
        <f>'Design Cost'!H24</f>
        <v>28</v>
      </c>
      <c r="G4" s="29">
        <f>IF(Table8[[#This Row],[Wks]]="","",IFERROR(F4*5,""))</f>
        <v>140</v>
      </c>
      <c r="H4" s="26">
        <v>0</v>
      </c>
      <c r="I4" s="26">
        <f>IF(Table8[[#This Row],[Agency Staff (Wks)]]="","",Table8[[#This Row],[Agency Staff (Wks)]]*5)</f>
        <v>0</v>
      </c>
      <c r="J4" s="32">
        <f>IFERROR(Table8[[#This Row],[Agency Staff (Days)]]*VLOOKUP(Table8[[#This Row],[Role]],Staff[[#All],[Initials]:[Agency Cost]],3,FALSE),"")</f>
        <v>0</v>
      </c>
      <c r="K4" s="38">
        <f>IF(Table8[[#This Row],[Internal Staff (Days)]]="","",Table8[[#This Row],[Internal Staff (Days)]]/5)</f>
        <v>28</v>
      </c>
      <c r="L4" s="26">
        <f>IF(Table8[[#This Row],[Days]]="","",Table8[[#This Row],[Days]]-Table8[[#This Row],[Agency Staff (Days)]])</f>
        <v>140</v>
      </c>
      <c r="M4" s="32">
        <f>IFERROR(Table8[[#This Row],[Internal Staff (Days)]]*VLOOKUP(Table8[[#This Row],[Role]],Staff[[#All],[Initials]:[Agency Cost]],2,FALSE),"")</f>
        <v>42000</v>
      </c>
      <c r="N4" s="32">
        <f>IF(Table8[[#This Row],[Role]]="",Table8[[#This Row],[Fixed Cost]]*Table8[[#This Row],[Units]],(Table8[[#This Row],[Internal Cost]]+Table8[[#This Row],[Agency Cost]])*Table8[[#This Row],[Units]])</f>
        <v>42000</v>
      </c>
      <c r="P4" t="s">
        <v>460</v>
      </c>
      <c r="Q4" s="36">
        <f>D10*F10</f>
        <v>8</v>
      </c>
      <c r="R4">
        <f>Table9[[#This Row],[Wks]]*5</f>
        <v>40</v>
      </c>
    </row>
    <row r="5" spans="2:18" hidden="1" x14ac:dyDescent="0.3">
      <c r="B5" t="s">
        <v>469</v>
      </c>
      <c r="D5" s="26">
        <v>0</v>
      </c>
      <c r="E5" s="32">
        <v>10000</v>
      </c>
      <c r="G5" s="29" t="str">
        <f>IF(Table8[[#This Row],[Wks]]="","",IFERROR(F5*5,""))</f>
        <v/>
      </c>
      <c r="I5" s="26" t="str">
        <f>IF(Table8[[#This Row],[Agency Staff (Wks)]]="","",Table8[[#This Row],[Agency Staff (Wks)]]*5)</f>
        <v/>
      </c>
      <c r="J5" s="32" t="str">
        <f>IFERROR(Table8[[#This Row],[Agency Staff (Days)]]*VLOOKUP(Table8[[#This Row],[Role]],Staff[[#All],[Initials]:[Agency Cost]],3,FALSE),"")</f>
        <v/>
      </c>
      <c r="K5" s="38" t="str">
        <f>IF(Table8[[#This Row],[Internal Staff (Days)]]="","",Table8[[#This Row],[Internal Staff (Days)]]/5)</f>
        <v/>
      </c>
      <c r="L5" s="26" t="str">
        <f>IF(Table8[[#This Row],[Days]]="","",Table8[[#This Row],[Days]]-Table8[[#This Row],[Agency Staff (Days)]])</f>
        <v/>
      </c>
      <c r="M5" s="32" t="str">
        <f>IFERROR(Table8[[#This Row],[Internal Staff (Days)]]*VLOOKUP(Table8[[#This Row],[Role]],Staff[[#All],[Initials]:[Agency Cost]],2,FALSE),"")</f>
        <v/>
      </c>
      <c r="N5" s="32">
        <f>IF(Table8[[#This Row],[Role]]="",Table8[[#This Row],[Fixed Cost]]*Table8[[#This Row],[Units]],(Table8[[#This Row],[Internal Cost]]+Table8[[#This Row],[Agency Cost]])*Table8[[#This Row],[Units]])</f>
        <v>0</v>
      </c>
      <c r="P5" t="s">
        <v>461</v>
      </c>
      <c r="Q5" s="36">
        <f>MAX(F16:F17)</f>
        <v>1</v>
      </c>
      <c r="R5">
        <f>Table9[[#This Row],[Wks]]*5</f>
        <v>5</v>
      </c>
    </row>
    <row r="6" spans="2:18" x14ac:dyDescent="0.3">
      <c r="B6" s="4" t="s">
        <v>326</v>
      </c>
      <c r="D6" s="26">
        <v>1</v>
      </c>
      <c r="E6" s="32">
        <v>500</v>
      </c>
      <c r="G6" s="29" t="str">
        <f>IF(Table8[[#This Row],[Wks]]="","",IFERROR(F6*5,""))</f>
        <v/>
      </c>
      <c r="I6" s="26" t="str">
        <f>IF(Table8[[#This Row],[Agency Staff (Wks)]]="","",Table8[[#This Row],[Agency Staff (Wks)]]*5)</f>
        <v/>
      </c>
      <c r="J6" s="32" t="str">
        <f>IFERROR(Table8[[#This Row],[Agency Staff (Days)]]*VLOOKUP(Table8[[#This Row],[Role]],Staff[[#All],[Initials]:[Agency Cost]],3,FALSE),"")</f>
        <v/>
      </c>
      <c r="K6" s="38" t="str">
        <f>IF(Table8[[#This Row],[Internal Staff (Days)]]="","",Table8[[#This Row],[Internal Staff (Days)]]/5)</f>
        <v/>
      </c>
      <c r="L6" s="26" t="str">
        <f>IF(Table8[[#This Row],[Days]]="","",Table8[[#This Row],[Days]]-Table8[[#This Row],[Agency Staff (Days)]])</f>
        <v/>
      </c>
      <c r="M6" s="32" t="str">
        <f>IFERROR(Table8[[#This Row],[Internal Staff (Days)]]*VLOOKUP(Table8[[#This Row],[Role]],Staff[[#All],[Initials]:[Agency Cost]],2,FALSE),"")</f>
        <v/>
      </c>
      <c r="N6" s="32">
        <f>IF(Table8[[#This Row],[Role]]="",Table8[[#This Row],[Fixed Cost]]*Table8[[#This Row],[Units]],(Table8[[#This Row],[Internal Cost]]+Table8[[#This Row],[Agency Cost]])*Table8[[#This Row],[Units]])</f>
        <v>500</v>
      </c>
    </row>
    <row r="7" spans="2:18" x14ac:dyDescent="0.3">
      <c r="B7" t="s">
        <v>454</v>
      </c>
      <c r="C7" s="26" t="s">
        <v>359</v>
      </c>
      <c r="D7" s="26">
        <v>1000</v>
      </c>
      <c r="E7" s="32"/>
      <c r="F7" s="29">
        <f>1/5/20</f>
        <v>0.01</v>
      </c>
      <c r="G7" s="29">
        <f>IF(Table8[[#This Row],[Wks]]="","",IFERROR(F7*5,""))</f>
        <v>0.05</v>
      </c>
      <c r="H7" s="26">
        <v>0</v>
      </c>
      <c r="I7" s="26">
        <f>IF(Table8[[#This Row],[Agency Staff (Wks)]]="","",Table8[[#This Row],[Agency Staff (Wks)]]*5)</f>
        <v>0</v>
      </c>
      <c r="J7" s="32">
        <f>IFERROR(Table8[[#This Row],[Agency Staff (Days)]]*VLOOKUP(Table8[[#This Row],[Role]],Staff[[#All],[Initials]:[Agency Cost]],3,FALSE),"")</f>
        <v>0</v>
      </c>
      <c r="K7" s="38">
        <f>IF(Table8[[#This Row],[Internal Staff (Days)]]="","",Table8[[#This Row],[Internal Staff (Days)]]/5)</f>
        <v>0.01</v>
      </c>
      <c r="L7" s="26">
        <f>IF(Table8[[#This Row],[Days]]="","",Table8[[#This Row],[Days]]-Table8[[#This Row],[Agency Staff (Days)]])</f>
        <v>0.05</v>
      </c>
      <c r="M7" s="32">
        <f>IFERROR(Table8[[#This Row],[Internal Staff (Days)]]*VLOOKUP(Table8[[#This Row],[Role]],Staff[[#All],[Initials]:[Agency Cost]],2,FALSE),"")</f>
        <v>8.75</v>
      </c>
      <c r="N7" s="32">
        <f>IF(Table8[[#This Row],[Role]]="",Table8[[#This Row],[Fixed Cost]]*Table8[[#This Row],[Units]],(Table8[[#This Row],[Internal Cost]]+Table8[[#This Row],[Agency Cost]])*Table8[[#This Row],[Units]])</f>
        <v>8750</v>
      </c>
    </row>
    <row r="8" spans="2:18" x14ac:dyDescent="0.3">
      <c r="B8" t="s">
        <v>454</v>
      </c>
      <c r="C8" s="26" t="s">
        <v>357</v>
      </c>
      <c r="D8" s="26">
        <v>1000</v>
      </c>
      <c r="E8" s="32"/>
      <c r="F8" s="29">
        <f>1/5/20</f>
        <v>0.01</v>
      </c>
      <c r="G8" s="29">
        <f>IF(Table8[[#This Row],[Wks]]="","",IFERROR(F8*5,""))</f>
        <v>0.05</v>
      </c>
      <c r="H8" s="26">
        <v>0</v>
      </c>
      <c r="I8" s="26">
        <f>IF(Table8[[#This Row],[Agency Staff (Wks)]]="","",Table8[[#This Row],[Agency Staff (Wks)]]*5)</f>
        <v>0</v>
      </c>
      <c r="J8" s="32">
        <f>IFERROR(Table8[[#This Row],[Agency Staff (Days)]]*VLOOKUP(Table8[[#This Row],[Role]],Staff[[#All],[Initials]:[Agency Cost]],3,FALSE),"")</f>
        <v>0</v>
      </c>
      <c r="K8" s="38">
        <f>IF(Table8[[#This Row],[Internal Staff (Days)]]="","",Table8[[#This Row],[Internal Staff (Days)]]/5)</f>
        <v>0.01</v>
      </c>
      <c r="L8" s="26">
        <f>IF(Table8[[#This Row],[Days]]="","",Table8[[#This Row],[Days]]-Table8[[#This Row],[Agency Staff (Days)]])</f>
        <v>0.05</v>
      </c>
      <c r="M8" s="32">
        <f>IFERROR(Table8[[#This Row],[Internal Staff (Days)]]*VLOOKUP(Table8[[#This Row],[Role]],Staff[[#All],[Initials]:[Agency Cost]],2,FALSE),"")</f>
        <v>8.75</v>
      </c>
      <c r="N8" s="32">
        <f>IF(Table8[[#This Row],[Role]]="",Table8[[#This Row],[Fixed Cost]]*Table8[[#This Row],[Units]],(Table8[[#This Row],[Internal Cost]]+Table8[[#This Row],[Agency Cost]])*Table8[[#This Row],[Units]])</f>
        <v>8750</v>
      </c>
    </row>
    <row r="9" spans="2:18" x14ac:dyDescent="0.3">
      <c r="B9" t="s">
        <v>455</v>
      </c>
      <c r="C9" s="26" t="s">
        <v>359</v>
      </c>
      <c r="D9" s="26">
        <v>1000</v>
      </c>
      <c r="E9" s="32"/>
      <c r="F9" s="29">
        <f>1/5/25</f>
        <v>8.0000000000000002E-3</v>
      </c>
      <c r="G9" s="29">
        <f>IF(Table8[[#This Row],[Wks]]="","",IFERROR(F9*5,""))</f>
        <v>0.04</v>
      </c>
      <c r="I9" s="26">
        <v>0</v>
      </c>
      <c r="J9" s="32">
        <f>IFERROR(Table8[[#This Row],[Agency Staff (Days)]]*VLOOKUP(Table8[[#This Row],[Role]],Staff[[#All],[Initials]:[Agency Cost]],3,FALSE),"")</f>
        <v>0</v>
      </c>
      <c r="K9" s="38">
        <f>IF(Table8[[#This Row],[Internal Staff (Days)]]="","",Table8[[#This Row],[Internal Staff (Days)]]/5)</f>
        <v>8.0000000000000002E-3</v>
      </c>
      <c r="L9" s="26">
        <f>IF(Table8[[#This Row],[Days]]="","",Table8[[#This Row],[Days]]-Table8[[#This Row],[Agency Staff (Days)]])</f>
        <v>0.04</v>
      </c>
      <c r="M9" s="32">
        <f>IFERROR(Table8[[#This Row],[Internal Staff (Days)]]*VLOOKUP(Table8[[#This Row],[Role]],Staff[[#All],[Initials]:[Agency Cost]],2,FALSE),"")</f>
        <v>7</v>
      </c>
      <c r="N9" s="32">
        <f>IF(Table8[[#This Row],[Role]]="",Table8[[#This Row],[Fixed Cost]]*Table8[[#This Row],[Units]],(Table8[[#This Row],[Internal Cost]]+Table8[[#This Row],[Agency Cost]])*Table8[[#This Row],[Units]])</f>
        <v>7000</v>
      </c>
    </row>
    <row r="10" spans="2:18" x14ac:dyDescent="0.3">
      <c r="B10" t="s">
        <v>455</v>
      </c>
      <c r="C10" s="26" t="s">
        <v>357</v>
      </c>
      <c r="D10" s="26">
        <v>1000</v>
      </c>
      <c r="E10" s="32"/>
      <c r="F10" s="29">
        <f>1/5/25</f>
        <v>8.0000000000000002E-3</v>
      </c>
      <c r="G10" s="29">
        <f>IF(Table8[[#This Row],[Wks]]="","",IFERROR(F10*5,""))</f>
        <v>0.04</v>
      </c>
      <c r="H10" s="26">
        <v>0</v>
      </c>
      <c r="I10" s="26">
        <f>IF(Table8[[#This Row],[Agency Staff (Wks)]]="","",Table8[[#This Row],[Agency Staff (Wks)]]*5)</f>
        <v>0</v>
      </c>
      <c r="J10" s="32">
        <f>IFERROR(Table8[[#This Row],[Agency Staff (Days)]]*VLOOKUP(Table8[[#This Row],[Role]],Staff[[#All],[Initials]:[Agency Cost]],3,FALSE),"")</f>
        <v>0</v>
      </c>
      <c r="K10" s="38">
        <f>IF(Table8[[#This Row],[Internal Staff (Days)]]="","",Table8[[#This Row],[Internal Staff (Days)]]/5)</f>
        <v>8.0000000000000002E-3</v>
      </c>
      <c r="L10" s="26">
        <f>IF(Table8[[#This Row],[Days]]="","",Table8[[#This Row],[Days]]-Table8[[#This Row],[Agency Staff (Days)]])</f>
        <v>0.04</v>
      </c>
      <c r="M10" s="32">
        <f>IFERROR(Table8[[#This Row],[Internal Staff (Days)]]*VLOOKUP(Table8[[#This Row],[Role]],Staff[[#All],[Initials]:[Agency Cost]],2,FALSE),"")</f>
        <v>7</v>
      </c>
      <c r="N10" s="32">
        <f>IF(Table8[[#This Row],[Role]]="",Table8[[#This Row],[Fixed Cost]]*Table8[[#This Row],[Units]],(Table8[[#This Row],[Internal Cost]]+Table8[[#This Row],[Agency Cost]])*Table8[[#This Row],[Units]])</f>
        <v>7000</v>
      </c>
    </row>
    <row r="11" spans="2:18" x14ac:dyDescent="0.3">
      <c r="B11" t="s">
        <v>466</v>
      </c>
      <c r="C11" s="26" t="s">
        <v>359</v>
      </c>
      <c r="D11" s="26">
        <v>0</v>
      </c>
      <c r="E11" s="32"/>
      <c r="F11" s="29">
        <f>1/5/20</f>
        <v>0.01</v>
      </c>
      <c r="G11" s="29">
        <f>IF(Table8[[#This Row],[Wks]]="","",IFERROR(F11*5,""))</f>
        <v>0.05</v>
      </c>
      <c r="H11" s="26">
        <f>Table8[[#This Row],[Wks]]</f>
        <v>0.01</v>
      </c>
      <c r="I11" s="26">
        <f>IF(Table8[[#This Row],[Agency Staff (Wks)]]="","",Table8[[#This Row],[Agency Staff (Wks)]]*5)</f>
        <v>0.05</v>
      </c>
      <c r="J11" s="32">
        <f>IFERROR(Table8[[#This Row],[Agency Staff (Days)]]*VLOOKUP(Table8[[#This Row],[Role]],Staff[[#All],[Initials]:[Agency Cost]],3,FALSE),"")</f>
        <v>13.75</v>
      </c>
      <c r="K11" s="38">
        <f>IF(Table8[[#This Row],[Internal Staff (Days)]]="","",Table8[[#This Row],[Internal Staff (Days)]]/5)</f>
        <v>0</v>
      </c>
      <c r="L11" s="26">
        <f>IF(Table8[[#This Row],[Days]]="","",Table8[[#This Row],[Days]]-Table8[[#This Row],[Agency Staff (Days)]])</f>
        <v>0</v>
      </c>
      <c r="M11" s="32">
        <f>IFERROR(Table8[[#This Row],[Internal Staff (Days)]]*VLOOKUP(Table8[[#This Row],[Role]],Staff[[#All],[Initials]:[Agency Cost]],2,FALSE),"")</f>
        <v>0</v>
      </c>
      <c r="N11" s="32">
        <f>IF(Table8[[#This Row],[Role]]="",Table8[[#This Row],[Fixed Cost]]*Table8[[#This Row],[Units]],(Table8[[#This Row],[Internal Cost]]+Table8[[#This Row],[Agency Cost]])*Table8[[#This Row],[Units]])</f>
        <v>0</v>
      </c>
    </row>
    <row r="12" spans="2:18" x14ac:dyDescent="0.3">
      <c r="B12" t="s">
        <v>467</v>
      </c>
      <c r="C12" s="26" t="s">
        <v>357</v>
      </c>
      <c r="D12" s="26">
        <v>0</v>
      </c>
      <c r="E12" s="32"/>
      <c r="F12" s="29">
        <f>1/5/25</f>
        <v>8.0000000000000002E-3</v>
      </c>
      <c r="G12" s="29">
        <f>IF(Table8[[#This Row],[Wks]]="","",IFERROR(F12*5,""))</f>
        <v>0.04</v>
      </c>
      <c r="H12" s="26">
        <f>Table8[[#This Row],[Wks]]</f>
        <v>8.0000000000000002E-3</v>
      </c>
      <c r="I12" s="26">
        <f>IF(Table8[[#This Row],[Agency Staff (Wks)]]="","",Table8[[#This Row],[Agency Staff (Wks)]]*5)</f>
        <v>0.04</v>
      </c>
      <c r="J12" s="32">
        <f>IFERROR(Table8[[#This Row],[Agency Staff (Days)]]*VLOOKUP(Table8[[#This Row],[Role]],Staff[[#All],[Initials]:[Agency Cost]],3,FALSE),"")</f>
        <v>11</v>
      </c>
      <c r="K12" s="38">
        <f>IF(Table8[[#This Row],[Internal Staff (Days)]]="","",Table8[[#This Row],[Internal Staff (Days)]]/5)</f>
        <v>0</v>
      </c>
      <c r="L12" s="26">
        <f>IF(Table8[[#This Row],[Days]]="","",Table8[[#This Row],[Days]]-Table8[[#This Row],[Agency Staff (Days)]])</f>
        <v>0</v>
      </c>
      <c r="M12" s="32">
        <f>IFERROR(Table8[[#This Row],[Internal Staff (Days)]]*VLOOKUP(Table8[[#This Row],[Role]],Staff[[#All],[Initials]:[Agency Cost]],2,FALSE),"")</f>
        <v>0</v>
      </c>
      <c r="N12" s="32">
        <f>IF(Table8[[#This Row],[Role]]="",Table8[[#This Row],[Fixed Cost]]*Table8[[#This Row],[Units]],(Table8[[#This Row],[Internal Cost]]+Table8[[#This Row],[Agency Cost]])*Table8[[#This Row],[Units]])</f>
        <v>0</v>
      </c>
    </row>
    <row r="13" spans="2:18" x14ac:dyDescent="0.3">
      <c r="B13" t="s">
        <v>456</v>
      </c>
      <c r="D13" s="26">
        <v>2000</v>
      </c>
      <c r="E13" s="32">
        <f>'Production Cost'!G1+'Production Cost'!J1-'Production Cost'!J1</f>
        <v>132.5</v>
      </c>
      <c r="G13" s="29" t="str">
        <f>IF(Table8[[#This Row],[Wks]]="","",IFERROR(F13*5,""))</f>
        <v/>
      </c>
      <c r="I13" s="26" t="str">
        <f>IF(Table8[[#This Row],[Agency Staff (Wks)]]="","",Table8[[#This Row],[Agency Staff (Wks)]]*5)</f>
        <v/>
      </c>
      <c r="J13" s="32" t="str">
        <f>IFERROR(Table8[[#This Row],[Agency Staff (Days)]]*VLOOKUP(Table8[[#This Row],[Role]],Staff[[#All],[Initials]:[Agency Cost]],3,FALSE),"")</f>
        <v/>
      </c>
      <c r="K13" s="38" t="str">
        <f>IF(Table8[[#This Row],[Internal Staff (Days)]]="","",Table8[[#This Row],[Internal Staff (Days)]]/5)</f>
        <v/>
      </c>
      <c r="L13" s="26" t="str">
        <f>IF(Table8[[#This Row],[Days]]="","",Table8[[#This Row],[Days]]-Table8[[#This Row],[Agency Staff (Days)]])</f>
        <v/>
      </c>
      <c r="M13" s="32" t="str">
        <f>IFERROR(Table8[[#This Row],[Internal Staff (Days)]]*VLOOKUP(Table8[[#This Row],[Role]],Staff[[#All],[Initials]:[Agency Cost]],2,FALSE),"")</f>
        <v/>
      </c>
      <c r="N13" s="32">
        <f>IF(Table8[[#This Row],[Role]]="",Table8[[#This Row],[Fixed Cost]]*Table8[[#This Row],[Units]],(Table8[[#This Row],[Internal Cost]]+Table8[[#This Row],[Agency Cost]])*Table8[[#This Row],[Units]])</f>
        <v>265000</v>
      </c>
    </row>
    <row r="14" spans="2:18" x14ac:dyDescent="0.3">
      <c r="B14" t="s">
        <v>458</v>
      </c>
      <c r="D14" s="26">
        <v>2000</v>
      </c>
      <c r="E14" s="37">
        <v>25</v>
      </c>
      <c r="G14" s="29" t="str">
        <f>IF(Table8[[#This Row],[Wks]]="","",IFERROR(F14*5,""))</f>
        <v/>
      </c>
      <c r="I14" s="26" t="str">
        <f>IF(Table8[[#This Row],[Agency Staff (Wks)]]="","",Table8[[#This Row],[Agency Staff (Wks)]]*5)</f>
        <v/>
      </c>
      <c r="J14" s="32" t="str">
        <f>IFERROR(Table8[[#This Row],[Agency Staff (Days)]]*VLOOKUP(Table8[[#This Row],[Role]],Staff[[#All],[Initials]:[Agency Cost]],3,FALSE),"")</f>
        <v/>
      </c>
      <c r="K14" s="38" t="str">
        <f>IF(Table8[[#This Row],[Internal Staff (Days)]]="","",Table8[[#This Row],[Internal Staff (Days)]]/5)</f>
        <v/>
      </c>
      <c r="L14" s="26" t="str">
        <f>IF(Table8[[#This Row],[Days]]="","",Table8[[#This Row],[Days]]-Table8[[#This Row],[Agency Staff (Days)]])</f>
        <v/>
      </c>
      <c r="M14" s="32" t="str">
        <f>IFERROR(Table8[[#This Row],[Internal Staff (Days)]]*VLOOKUP(Table8[[#This Row],[Role]],Staff[[#All],[Initials]:[Agency Cost]],2,FALSE),"")</f>
        <v/>
      </c>
      <c r="N14" s="32">
        <f>IF(Table8[[#This Row],[Role]]="",Table8[[#This Row],[Fixed Cost]]*Table8[[#This Row],[Units]],(Table8[[#This Row],[Internal Cost]]+Table8[[#This Row],[Agency Cost]])*Table8[[#This Row],[Units]])</f>
        <v>50000</v>
      </c>
    </row>
    <row r="15" spans="2:18" x14ac:dyDescent="0.3">
      <c r="B15" t="s">
        <v>439</v>
      </c>
      <c r="D15" s="26">
        <v>2000</v>
      </c>
      <c r="E15" s="37">
        <f>'Production Cost'!H22</f>
        <v>1</v>
      </c>
      <c r="G15" s="29" t="str">
        <f>IF(Table8[[#This Row],[Wks]]="","",IFERROR(F15*5,""))</f>
        <v/>
      </c>
      <c r="I15" s="26" t="str">
        <f>IF(Table8[[#This Row],[Agency Staff (Wks)]]="","",Table8[[#This Row],[Agency Staff (Wks)]]*5)</f>
        <v/>
      </c>
      <c r="J15" s="32" t="str">
        <f>IFERROR(Table8[[#This Row],[Agency Staff (Days)]]*VLOOKUP(Table8[[#This Row],[Role]],Staff[[#All],[Initials]:[Agency Cost]],3,FALSE),"")</f>
        <v/>
      </c>
      <c r="K15" s="38" t="str">
        <f>IF(Table8[[#This Row],[Internal Staff (Days)]]="","",Table8[[#This Row],[Internal Staff (Days)]]/5)</f>
        <v/>
      </c>
      <c r="L15" s="26" t="str">
        <f>IF(Table8[[#This Row],[Days]]="","",Table8[[#This Row],[Days]]-Table8[[#This Row],[Agency Staff (Days)]])</f>
        <v/>
      </c>
      <c r="M15" s="32" t="str">
        <f>IFERROR(Table8[[#This Row],[Internal Staff (Days)]]*VLOOKUP(Table8[[#This Row],[Role]],Staff[[#All],[Initials]:[Agency Cost]],2,FALSE),"")</f>
        <v/>
      </c>
      <c r="N15" s="32">
        <f>IF(Table8[[#This Row],[Role]]="",Table8[[#This Row],[Fixed Cost]]*Table8[[#This Row],[Units]],(Table8[[#This Row],[Internal Cost]]+Table8[[#This Row],[Agency Cost]])*Table8[[#This Row],[Units]])</f>
        <v>2000</v>
      </c>
    </row>
    <row r="16" spans="2:18" x14ac:dyDescent="0.3">
      <c r="B16" t="s">
        <v>463</v>
      </c>
      <c r="C16" s="26" t="s">
        <v>359</v>
      </c>
      <c r="D16" s="26">
        <v>1</v>
      </c>
      <c r="E16" s="37"/>
      <c r="F16" s="39">
        <v>1</v>
      </c>
      <c r="G16" s="29">
        <f>IF(Table8[[#This Row],[Wks]]="","",IFERROR(F16*5,""))</f>
        <v>5</v>
      </c>
      <c r="H16" s="26">
        <v>0</v>
      </c>
      <c r="I16" s="26">
        <f>IF(Table8[[#This Row],[Agency Staff (Wks)]]="","",Table8[[#This Row],[Agency Staff (Wks)]]*5)</f>
        <v>0</v>
      </c>
      <c r="J16" s="32">
        <f>IFERROR(Table8[[#This Row],[Agency Staff (Days)]]*VLOOKUP(Table8[[#This Row],[Role]],Staff[[#All],[Initials]:[Agency Cost]],3,FALSE),"")</f>
        <v>0</v>
      </c>
      <c r="K16" s="38">
        <f>IF(Table8[[#This Row],[Internal Staff (Days)]]="","",Table8[[#This Row],[Internal Staff (Days)]]/5)</f>
        <v>1</v>
      </c>
      <c r="L16" s="26">
        <f>IF(Table8[[#This Row],[Days]]="","",Table8[[#This Row],[Days]]-Table8[[#This Row],[Agency Staff (Days)]])</f>
        <v>5</v>
      </c>
      <c r="M16" s="32">
        <f>IFERROR(Table8[[#This Row],[Internal Staff (Days)]]*VLOOKUP(Table8[[#This Row],[Role]],Staff[[#All],[Initials]:[Agency Cost]],2,FALSE),"")</f>
        <v>875</v>
      </c>
      <c r="N16" s="32">
        <f>IF(Table8[[#This Row],[Role]]="",Table8[[#This Row],[Fixed Cost]]*Table8[[#This Row],[Units]],(Table8[[#This Row],[Internal Cost]]+Table8[[#This Row],[Agency Cost]])*Table8[[#This Row],[Units]])</f>
        <v>875</v>
      </c>
    </row>
    <row r="17" spans="2:14" x14ac:dyDescent="0.3">
      <c r="B17" t="s">
        <v>468</v>
      </c>
      <c r="C17" s="26" t="s">
        <v>360</v>
      </c>
      <c r="D17" s="26">
        <v>1</v>
      </c>
      <c r="E17" s="37"/>
      <c r="F17" s="39">
        <v>1</v>
      </c>
      <c r="G17" s="29">
        <f>IF(Table8[[#This Row],[Wks]]="","",IFERROR(F17*5,""))</f>
        <v>5</v>
      </c>
      <c r="H17" s="26">
        <v>0</v>
      </c>
      <c r="I17" s="26">
        <f>IF(Table8[[#This Row],[Agency Staff (Wks)]]="","",Table8[[#This Row],[Agency Staff (Wks)]]*5)</f>
        <v>0</v>
      </c>
      <c r="J17" s="32">
        <f>IFERROR(Table8[[#This Row],[Agency Staff (Days)]]*VLOOKUP(Table8[[#This Row],[Role]],Staff[[#All],[Initials]:[Agency Cost]],3,FALSE),"")</f>
        <v>0</v>
      </c>
      <c r="K17" s="38">
        <f>IF(Table8[[#This Row],[Internal Staff (Days)]]="","",Table8[[#This Row],[Internal Staff (Days)]]/5)</f>
        <v>1</v>
      </c>
      <c r="L17" s="26">
        <f>IF(Table8[[#This Row],[Days]]="","",Table8[[#This Row],[Days]]-Table8[[#This Row],[Agency Staff (Days)]])</f>
        <v>5</v>
      </c>
      <c r="M17" s="32">
        <f>IFERROR(Table8[[#This Row],[Internal Staff (Days)]]*VLOOKUP(Table8[[#This Row],[Role]],Staff[[#All],[Initials]:[Agency Cost]],2,FALSE),"")</f>
        <v>975</v>
      </c>
      <c r="N17" s="32">
        <f>IF(Table8[[#This Row],[Role]]="",Table8[[#This Row],[Fixed Cost]]*Table8[[#This Row],[Units]],(Table8[[#This Row],[Internal Cost]]+Table8[[#This Row],[Agency Cost]])*Table8[[#This Row],[Units]])</f>
        <v>975</v>
      </c>
    </row>
    <row r="18" spans="2:14" x14ac:dyDescent="0.3">
      <c r="B18" t="s">
        <v>462</v>
      </c>
      <c r="C18" s="26" t="s">
        <v>348</v>
      </c>
      <c r="D18" s="26">
        <v>1</v>
      </c>
      <c r="E18" s="37"/>
      <c r="F18" s="39">
        <f>Q1</f>
        <v>38</v>
      </c>
      <c r="G18" s="29">
        <f>IF(Table8[[#This Row],[Wks]]="","",IFERROR(F18*5,""))</f>
        <v>190</v>
      </c>
      <c r="H18" s="26">
        <v>0</v>
      </c>
      <c r="I18" s="26">
        <f>IF(Table8[[#This Row],[Agency Staff (Wks)]]="","",Table8[[#This Row],[Agency Staff (Wks)]]*5)</f>
        <v>0</v>
      </c>
      <c r="J18" s="32">
        <f>IFERROR(Table8[[#This Row],[Agency Staff (Days)]]*VLOOKUP(Table8[[#This Row],[Role]],Staff[[#All],[Initials]:[Agency Cost]],3,FALSE),"")</f>
        <v>0</v>
      </c>
      <c r="K18" s="38">
        <f>IF(Table8[[#This Row],[Internal Staff (Days)]]="","",Table8[[#This Row],[Internal Staff (Days)]]/5)</f>
        <v>38</v>
      </c>
      <c r="L18" s="26">
        <f>IF(Table8[[#This Row],[Days]]="","",Table8[[#This Row],[Days]]-Table8[[#This Row],[Agency Staff (Days)]])</f>
        <v>190</v>
      </c>
      <c r="M18" s="32">
        <f>IFERROR(Table8[[#This Row],[Internal Staff (Days)]]*VLOOKUP(Table8[[#This Row],[Role]],Staff[[#All],[Initials]:[Agency Cost]],2,FALSE),"")</f>
        <v>52250</v>
      </c>
      <c r="N18" s="32">
        <f>IF(Table8[[#This Row],[Role]]="",Table8[[#This Row],[Fixed Cost]]*Table8[[#This Row],[Units]],(Table8[[#This Row],[Internal Cost]]+Table8[[#This Row],[Agency Cost]])*Table8[[#This Row],[Units]])</f>
        <v>52250</v>
      </c>
    </row>
  </sheetData>
  <conditionalFormatting sqref="D3:D18">
    <cfRule type="cellIs" dxfId="1" priority="1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0EA-D897-488C-AEB8-BB83528B94C5}">
  <dimension ref="B2:F23"/>
  <sheetViews>
    <sheetView workbookViewId="0">
      <selection activeCell="N9" sqref="N9"/>
    </sheetView>
  </sheetViews>
  <sheetFormatPr defaultRowHeight="13.8" x14ac:dyDescent="0.3"/>
  <cols>
    <col min="2" max="2" width="16.33203125" bestFit="1" customWidth="1"/>
    <col min="3" max="3" width="16.33203125" style="26" customWidth="1"/>
    <col min="4" max="4" width="12.44140625" customWidth="1"/>
    <col min="5" max="5" width="12.5546875" customWidth="1"/>
    <col min="6" max="6" width="27.44140625" bestFit="1" customWidth="1"/>
  </cols>
  <sheetData>
    <row r="2" spans="2:6" x14ac:dyDescent="0.3">
      <c r="B2" t="s">
        <v>335</v>
      </c>
      <c r="C2" s="26" t="s">
        <v>345</v>
      </c>
      <c r="D2" t="s">
        <v>336</v>
      </c>
      <c r="E2" t="s">
        <v>337</v>
      </c>
      <c r="F2" t="s">
        <v>338</v>
      </c>
    </row>
    <row r="3" spans="2:6" x14ac:dyDescent="0.3">
      <c r="B3" t="s">
        <v>339</v>
      </c>
      <c r="C3" s="26" t="s">
        <v>346</v>
      </c>
      <c r="D3" s="30">
        <v>250</v>
      </c>
      <c r="E3" s="30">
        <v>400</v>
      </c>
      <c r="F3" t="s">
        <v>350</v>
      </c>
    </row>
    <row r="4" spans="2:6" x14ac:dyDescent="0.3">
      <c r="B4" t="s">
        <v>340</v>
      </c>
      <c r="C4" s="26" t="s">
        <v>347</v>
      </c>
      <c r="D4" s="30">
        <v>300</v>
      </c>
      <c r="E4" s="30">
        <v>450</v>
      </c>
      <c r="F4" t="s">
        <v>351</v>
      </c>
    </row>
    <row r="5" spans="2:6" x14ac:dyDescent="0.3">
      <c r="B5" t="s">
        <v>341</v>
      </c>
      <c r="C5" s="26" t="s">
        <v>359</v>
      </c>
      <c r="D5" s="30">
        <v>175</v>
      </c>
      <c r="E5" s="30">
        <v>275</v>
      </c>
      <c r="F5" t="s">
        <v>352</v>
      </c>
    </row>
    <row r="6" spans="2:6" x14ac:dyDescent="0.3">
      <c r="B6" t="s">
        <v>361</v>
      </c>
      <c r="C6" s="26" t="s">
        <v>357</v>
      </c>
      <c r="D6" s="30">
        <v>175</v>
      </c>
      <c r="E6" s="30">
        <v>275</v>
      </c>
      <c r="F6" t="s">
        <v>352</v>
      </c>
    </row>
    <row r="7" spans="2:6" x14ac:dyDescent="0.3">
      <c r="B7" t="s">
        <v>342</v>
      </c>
      <c r="C7" s="26" t="s">
        <v>360</v>
      </c>
      <c r="D7" s="30">
        <v>195</v>
      </c>
      <c r="E7" s="30">
        <v>295</v>
      </c>
      <c r="F7" t="s">
        <v>353</v>
      </c>
    </row>
    <row r="8" spans="2:6" x14ac:dyDescent="0.3">
      <c r="B8" t="s">
        <v>362</v>
      </c>
      <c r="C8" s="26" t="s">
        <v>358</v>
      </c>
      <c r="D8" s="30">
        <v>195</v>
      </c>
      <c r="E8" s="30">
        <v>295</v>
      </c>
      <c r="F8" t="s">
        <v>353</v>
      </c>
    </row>
    <row r="9" spans="2:6" x14ac:dyDescent="0.3">
      <c r="B9" t="s">
        <v>343</v>
      </c>
      <c r="C9" s="26" t="s">
        <v>348</v>
      </c>
      <c r="D9" s="30">
        <v>275</v>
      </c>
      <c r="E9" s="30">
        <v>450</v>
      </c>
      <c r="F9" t="s">
        <v>354</v>
      </c>
    </row>
    <row r="10" spans="2:6" x14ac:dyDescent="0.3">
      <c r="B10" t="s">
        <v>344</v>
      </c>
      <c r="C10" s="26" t="s">
        <v>349</v>
      </c>
      <c r="D10" s="30">
        <v>175</v>
      </c>
      <c r="E10" s="30">
        <v>250</v>
      </c>
      <c r="F10" t="s">
        <v>355</v>
      </c>
    </row>
    <row r="23" spans="2:2" x14ac:dyDescent="0.3">
      <c r="B23" t="s">
        <v>465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81C0-C9FE-4848-AE1A-64326C0ADB4B}">
  <sheetPr>
    <outlinePr summaryBelow="0" summaryRight="0"/>
  </sheetPr>
  <dimension ref="A1:AB56"/>
  <sheetViews>
    <sheetView topLeftCell="A6" zoomScale="130" zoomScaleNormal="130" workbookViewId="0">
      <selection activeCell="C34" sqref="C34"/>
    </sheetView>
  </sheetViews>
  <sheetFormatPr defaultColWidth="15.109375" defaultRowHeight="15.75" customHeight="1" x14ac:dyDescent="0.3"/>
  <cols>
    <col min="2" max="2" width="12.44140625" customWidth="1"/>
    <col min="3" max="3" width="35.109375" customWidth="1"/>
    <col min="4" max="4" width="10.6640625" customWidth="1"/>
    <col min="5" max="5" width="15.44140625" customWidth="1"/>
    <col min="6" max="6" width="21" customWidth="1"/>
    <col min="7" max="7" width="13.44140625" customWidth="1"/>
    <col min="8" max="8" width="15.6640625" customWidth="1"/>
    <col min="9" max="9" width="14.109375" customWidth="1"/>
    <col min="10" max="10" width="56.44140625" customWidth="1"/>
    <col min="11" max="11" width="12.88671875" customWidth="1"/>
    <col min="12" max="12" width="31.6640625" customWidth="1"/>
    <col min="13" max="13" width="54.5546875" bestFit="1" customWidth="1"/>
  </cols>
  <sheetData>
    <row r="1" spans="1:28" ht="41.4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8" x14ac:dyDescent="0.3">
      <c r="A2" s="1" t="s">
        <v>13</v>
      </c>
      <c r="B2" s="1" t="s">
        <v>14</v>
      </c>
      <c r="C2" s="1" t="s">
        <v>15</v>
      </c>
      <c r="D2" s="1">
        <v>8</v>
      </c>
      <c r="E2" s="1">
        <v>1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</v>
      </c>
      <c r="L2" s="1" t="s">
        <v>20</v>
      </c>
    </row>
    <row r="3" spans="1:28" ht="13.8" x14ac:dyDescent="0.3">
      <c r="A3" s="1" t="s">
        <v>21</v>
      </c>
      <c r="B3" s="1" t="s">
        <v>22</v>
      </c>
      <c r="C3" s="1" t="s">
        <v>23</v>
      </c>
      <c r="D3" s="1">
        <v>5.5</v>
      </c>
      <c r="E3" s="1">
        <v>1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</v>
      </c>
      <c r="L3" s="1" t="s">
        <v>20</v>
      </c>
    </row>
    <row r="4" spans="1:28" ht="13.8" x14ac:dyDescent="0.3">
      <c r="A4" s="1" t="s">
        <v>24</v>
      </c>
      <c r="B4" s="1" t="s">
        <v>25</v>
      </c>
      <c r="C4" s="1" t="s">
        <v>26</v>
      </c>
      <c r="D4" s="1">
        <v>15</v>
      </c>
      <c r="E4" s="1">
        <v>1</v>
      </c>
      <c r="F4" s="1"/>
      <c r="G4" s="1"/>
      <c r="H4" s="1" t="s">
        <v>18</v>
      </c>
      <c r="I4" s="1" t="s">
        <v>18</v>
      </c>
      <c r="J4" s="1" t="s">
        <v>19</v>
      </c>
      <c r="K4" s="1">
        <v>4</v>
      </c>
      <c r="L4" s="1" t="s">
        <v>20</v>
      </c>
      <c r="M4" s="1" t="s">
        <v>27</v>
      </c>
    </row>
    <row r="5" spans="1:28" ht="13.8" x14ac:dyDescent="0.3">
      <c r="A5" s="1" t="s">
        <v>329</v>
      </c>
      <c r="B5" s="1" t="s">
        <v>28</v>
      </c>
      <c r="C5" s="1" t="s">
        <v>29</v>
      </c>
      <c r="D5" s="1">
        <v>5</v>
      </c>
      <c r="E5" s="1">
        <v>1</v>
      </c>
      <c r="F5" s="1">
        <v>4</v>
      </c>
      <c r="G5" s="1" t="s">
        <v>16</v>
      </c>
      <c r="H5" s="1" t="s">
        <v>18</v>
      </c>
      <c r="I5" s="1" t="s">
        <v>17</v>
      </c>
      <c r="J5" s="1" t="s">
        <v>30</v>
      </c>
      <c r="K5" s="1">
        <v>2</v>
      </c>
      <c r="L5" s="1" t="s">
        <v>31</v>
      </c>
      <c r="M5" s="1" t="s">
        <v>32</v>
      </c>
    </row>
    <row r="6" spans="1:28" ht="13.8" x14ac:dyDescent="0.3">
      <c r="A6" s="1" t="s">
        <v>330</v>
      </c>
      <c r="B6" s="1" t="s">
        <v>33</v>
      </c>
      <c r="C6" s="1" t="s">
        <v>34</v>
      </c>
      <c r="D6" s="1">
        <v>5</v>
      </c>
      <c r="E6" s="1">
        <v>1</v>
      </c>
      <c r="F6" s="1">
        <v>4</v>
      </c>
      <c r="G6" s="1" t="s">
        <v>16</v>
      </c>
      <c r="H6" s="1" t="s">
        <v>18</v>
      </c>
      <c r="I6" s="1" t="s">
        <v>17</v>
      </c>
      <c r="J6" s="1" t="s">
        <v>35</v>
      </c>
      <c r="K6" s="1">
        <v>2</v>
      </c>
      <c r="L6" s="1" t="s">
        <v>31</v>
      </c>
    </row>
    <row r="7" spans="1:28" ht="13.8" x14ac:dyDescent="0.3">
      <c r="A7" s="1" t="s">
        <v>331</v>
      </c>
      <c r="B7" s="1" t="s">
        <v>36</v>
      </c>
      <c r="C7" s="1" t="s">
        <v>37</v>
      </c>
      <c r="D7" s="1">
        <v>5</v>
      </c>
      <c r="E7" s="1">
        <v>1</v>
      </c>
      <c r="F7" s="1">
        <v>4</v>
      </c>
      <c r="G7" s="1" t="s">
        <v>16</v>
      </c>
      <c r="H7" s="1" t="s">
        <v>18</v>
      </c>
      <c r="I7" s="1" t="s">
        <v>17</v>
      </c>
      <c r="J7" s="1" t="s">
        <v>38</v>
      </c>
      <c r="K7" s="1">
        <v>2</v>
      </c>
      <c r="L7" s="1" t="s">
        <v>31</v>
      </c>
    </row>
    <row r="8" spans="1:28" ht="13.8" x14ac:dyDescent="0.3">
      <c r="A8" s="1" t="s">
        <v>332</v>
      </c>
      <c r="B8" s="1" t="s">
        <v>39</v>
      </c>
      <c r="C8" s="1" t="s">
        <v>40</v>
      </c>
      <c r="D8" s="1">
        <v>5</v>
      </c>
      <c r="E8" s="1">
        <v>1</v>
      </c>
      <c r="F8" s="1">
        <v>4</v>
      </c>
      <c r="G8" s="1" t="s">
        <v>16</v>
      </c>
      <c r="H8" s="1" t="s">
        <v>18</v>
      </c>
      <c r="I8" s="1" t="s">
        <v>17</v>
      </c>
      <c r="J8" s="1" t="s">
        <v>41</v>
      </c>
      <c r="K8" s="1">
        <v>2</v>
      </c>
      <c r="L8" s="1" t="s">
        <v>31</v>
      </c>
      <c r="M8" s="1" t="s">
        <v>42</v>
      </c>
    </row>
    <row r="9" spans="1:28" ht="13.8" x14ac:dyDescent="0.3">
      <c r="A9" s="1" t="s">
        <v>333</v>
      </c>
      <c r="B9" s="1" t="s">
        <v>43</v>
      </c>
      <c r="C9" s="1" t="s">
        <v>44</v>
      </c>
      <c r="D9" s="1">
        <v>5</v>
      </c>
      <c r="E9" s="1">
        <v>1</v>
      </c>
      <c r="F9" s="1">
        <v>5</v>
      </c>
      <c r="G9" s="1"/>
      <c r="H9" s="1" t="s">
        <v>18</v>
      </c>
      <c r="I9" s="1" t="s">
        <v>18</v>
      </c>
      <c r="J9" s="1" t="s">
        <v>45</v>
      </c>
      <c r="K9" s="1">
        <v>3</v>
      </c>
      <c r="L9" s="1" t="s">
        <v>31</v>
      </c>
      <c r="M9" s="1" t="s">
        <v>46</v>
      </c>
    </row>
    <row r="10" spans="1:28" ht="13.8" x14ac:dyDescent="0.3">
      <c r="A10" s="1" t="s">
        <v>334</v>
      </c>
      <c r="B10" s="1" t="s">
        <v>47</v>
      </c>
      <c r="C10" s="1" t="s">
        <v>48</v>
      </c>
      <c r="D10" s="1">
        <v>5</v>
      </c>
      <c r="E10" s="1">
        <v>1</v>
      </c>
      <c r="F10" s="1">
        <v>4</v>
      </c>
      <c r="G10" s="1"/>
      <c r="H10" s="1" t="s">
        <v>18</v>
      </c>
      <c r="I10" s="1" t="s">
        <v>18</v>
      </c>
      <c r="J10" s="1" t="s">
        <v>49</v>
      </c>
      <c r="K10" s="1">
        <v>2</v>
      </c>
      <c r="L10" s="1" t="s">
        <v>31</v>
      </c>
      <c r="M10" s="1" t="s">
        <v>46</v>
      </c>
    </row>
    <row r="11" spans="1:28" ht="13.8" x14ac:dyDescent="0.3">
      <c r="A11" s="1" t="s">
        <v>50</v>
      </c>
      <c r="B11" s="1" t="s">
        <v>51</v>
      </c>
      <c r="C11" s="1" t="s">
        <v>16</v>
      </c>
      <c r="D11" s="1">
        <v>0.5</v>
      </c>
      <c r="E11" s="1">
        <v>100</v>
      </c>
      <c r="F11" s="1" t="s">
        <v>16</v>
      </c>
      <c r="G11" s="1" t="s">
        <v>16</v>
      </c>
      <c r="H11" s="1" t="s">
        <v>17</v>
      </c>
      <c r="I11" s="1" t="s">
        <v>17</v>
      </c>
      <c r="J11" s="1" t="s">
        <v>52</v>
      </c>
      <c r="K11" s="1" t="s">
        <v>16</v>
      </c>
      <c r="L11" s="1" t="s">
        <v>16</v>
      </c>
    </row>
    <row r="12" spans="1:28" ht="13.8" x14ac:dyDescent="0.3">
      <c r="A12" s="40" t="s">
        <v>374</v>
      </c>
      <c r="B12" s="1" t="s">
        <v>53</v>
      </c>
      <c r="C12" s="1" t="s">
        <v>54</v>
      </c>
      <c r="D12" s="1">
        <v>1.5</v>
      </c>
      <c r="E12" s="1">
        <v>1</v>
      </c>
      <c r="F12" s="1" t="s">
        <v>16</v>
      </c>
      <c r="G12" s="1" t="s">
        <v>16</v>
      </c>
      <c r="H12" s="1" t="s">
        <v>18</v>
      </c>
      <c r="I12" s="1" t="s">
        <v>17</v>
      </c>
      <c r="J12" s="1" t="s">
        <v>55</v>
      </c>
      <c r="K12" s="1">
        <v>1</v>
      </c>
      <c r="L12" s="1" t="s">
        <v>56</v>
      </c>
      <c r="M12" s="1" t="s">
        <v>57</v>
      </c>
    </row>
    <row r="13" spans="1:28" ht="13.8" x14ac:dyDescent="0.3">
      <c r="A13" s="1" t="s">
        <v>375</v>
      </c>
      <c r="B13" s="1" t="s">
        <v>58</v>
      </c>
      <c r="C13" s="1" t="s">
        <v>59</v>
      </c>
      <c r="D13" s="1">
        <v>2.5</v>
      </c>
      <c r="E13" s="1">
        <v>1</v>
      </c>
      <c r="F13" s="1" t="s">
        <v>16</v>
      </c>
      <c r="G13" s="1" t="s">
        <v>16</v>
      </c>
      <c r="H13" s="1" t="s">
        <v>18</v>
      </c>
      <c r="I13" s="1" t="s">
        <v>17</v>
      </c>
      <c r="J13" s="1" t="s">
        <v>55</v>
      </c>
      <c r="K13" s="1">
        <v>1</v>
      </c>
      <c r="L13" s="1" t="s">
        <v>20</v>
      </c>
      <c r="M13" s="1" t="s">
        <v>57</v>
      </c>
    </row>
    <row r="14" spans="1:28" ht="13.8" x14ac:dyDescent="0.3">
      <c r="A14" s="1" t="s">
        <v>60</v>
      </c>
      <c r="B14" s="1" t="s">
        <v>61</v>
      </c>
      <c r="C14" s="1" t="s">
        <v>62</v>
      </c>
      <c r="D14" s="1">
        <v>25</v>
      </c>
      <c r="E14" s="1">
        <v>1</v>
      </c>
      <c r="F14" s="1"/>
      <c r="G14" s="1"/>
      <c r="H14" s="1" t="s">
        <v>18</v>
      </c>
      <c r="I14" s="1" t="s">
        <v>17</v>
      </c>
      <c r="J14" s="1" t="s">
        <v>63</v>
      </c>
      <c r="K14" s="1">
        <v>2</v>
      </c>
      <c r="L14" s="1" t="s">
        <v>20</v>
      </c>
      <c r="M14" s="1" t="s">
        <v>64</v>
      </c>
    </row>
    <row r="15" spans="1:28" ht="13.8" x14ac:dyDescent="0.3">
      <c r="A15" s="1" t="s">
        <v>364</v>
      </c>
      <c r="B15" s="1" t="s">
        <v>66</v>
      </c>
      <c r="C15" s="1" t="s">
        <v>67</v>
      </c>
      <c r="D15" s="1">
        <v>1.5</v>
      </c>
      <c r="E15" s="1">
        <v>1</v>
      </c>
      <c r="F15" s="1">
        <v>4</v>
      </c>
      <c r="G15" s="1" t="s">
        <v>16</v>
      </c>
      <c r="H15" s="1" t="s">
        <v>18</v>
      </c>
      <c r="I15" s="1" t="s">
        <v>17</v>
      </c>
      <c r="J15" s="1" t="s">
        <v>68</v>
      </c>
      <c r="K15" s="1">
        <v>1</v>
      </c>
      <c r="L15" s="1" t="s">
        <v>20</v>
      </c>
      <c r="M15" s="1" t="s">
        <v>69</v>
      </c>
    </row>
    <row r="16" spans="1:28" ht="13.8" x14ac:dyDescent="0.3">
      <c r="A16" s="1" t="s">
        <v>365</v>
      </c>
      <c r="B16" s="1" t="s">
        <v>70</v>
      </c>
      <c r="C16" s="1" t="s">
        <v>71</v>
      </c>
      <c r="D16" s="1">
        <v>2</v>
      </c>
      <c r="E16" s="1">
        <v>1</v>
      </c>
      <c r="F16" s="1">
        <v>4</v>
      </c>
      <c r="G16" s="1" t="s">
        <v>16</v>
      </c>
      <c r="H16" s="1" t="s">
        <v>18</v>
      </c>
      <c r="I16" s="1" t="s">
        <v>17</v>
      </c>
      <c r="J16" s="1" t="s">
        <v>68</v>
      </c>
      <c r="K16" s="1">
        <v>1</v>
      </c>
      <c r="L16" s="1" t="s">
        <v>20</v>
      </c>
      <c r="M16" s="1" t="s">
        <v>69</v>
      </c>
    </row>
    <row r="17" spans="1:13" ht="13.8" x14ac:dyDescent="0.3">
      <c r="A17" s="1" t="s">
        <v>366</v>
      </c>
      <c r="B17" s="1" t="s">
        <v>72</v>
      </c>
      <c r="C17" s="1" t="s">
        <v>73</v>
      </c>
      <c r="D17" s="1">
        <v>4</v>
      </c>
      <c r="E17" s="1">
        <v>2</v>
      </c>
      <c r="F17" s="1">
        <v>4</v>
      </c>
      <c r="G17" s="1" t="s">
        <v>16</v>
      </c>
      <c r="H17" s="1" t="s">
        <v>18</v>
      </c>
      <c r="I17" s="1" t="s">
        <v>17</v>
      </c>
      <c r="J17" s="1" t="s">
        <v>68</v>
      </c>
      <c r="K17" s="1">
        <v>1</v>
      </c>
      <c r="L17" s="1" t="s">
        <v>20</v>
      </c>
      <c r="M17" s="1" t="s">
        <v>69</v>
      </c>
    </row>
    <row r="18" spans="1:13" ht="13.8" x14ac:dyDescent="0.3">
      <c r="A18" s="1" t="s">
        <v>367</v>
      </c>
      <c r="B18" s="1" t="s">
        <v>74</v>
      </c>
      <c r="C18" s="1" t="s">
        <v>75</v>
      </c>
      <c r="D18" s="1">
        <v>1.5</v>
      </c>
      <c r="E18" s="1">
        <v>4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76</v>
      </c>
      <c r="K18" s="1">
        <v>2</v>
      </c>
      <c r="L18" s="1" t="s">
        <v>77</v>
      </c>
      <c r="M18" s="1" t="s">
        <v>78</v>
      </c>
    </row>
    <row r="19" spans="1:13" ht="13.8" x14ac:dyDescent="0.3">
      <c r="A19" s="1" t="s">
        <v>368</v>
      </c>
      <c r="B19" s="1" t="s">
        <v>79</v>
      </c>
      <c r="C19" s="1" t="s">
        <v>75</v>
      </c>
      <c r="D19" s="1">
        <v>2.5</v>
      </c>
      <c r="E19" s="1">
        <v>4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80</v>
      </c>
      <c r="K19" s="1">
        <v>2</v>
      </c>
      <c r="L19" s="1" t="s">
        <v>77</v>
      </c>
      <c r="M19" s="1" t="s">
        <v>78</v>
      </c>
    </row>
    <row r="20" spans="1:13" ht="13.8" x14ac:dyDescent="0.3">
      <c r="A20" s="1" t="s">
        <v>369</v>
      </c>
      <c r="B20" s="1" t="s">
        <v>81</v>
      </c>
      <c r="C20" s="1" t="s">
        <v>75</v>
      </c>
      <c r="D20" s="1">
        <v>5</v>
      </c>
      <c r="E20" s="1">
        <v>4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82</v>
      </c>
      <c r="K20" s="1">
        <v>2</v>
      </c>
      <c r="L20" s="1" t="s">
        <v>77</v>
      </c>
      <c r="M20" s="1" t="s">
        <v>78</v>
      </c>
    </row>
    <row r="21" spans="1:13" ht="13.8" x14ac:dyDescent="0.3">
      <c r="A21" s="1" t="s">
        <v>370</v>
      </c>
      <c r="B21" s="1" t="s">
        <v>83</v>
      </c>
      <c r="C21" s="1" t="s">
        <v>84</v>
      </c>
      <c r="D21" s="1">
        <v>10</v>
      </c>
      <c r="E21" s="1">
        <v>4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85</v>
      </c>
      <c r="K21" s="1">
        <v>2</v>
      </c>
      <c r="L21" s="1" t="s">
        <v>77</v>
      </c>
      <c r="M21" s="1" t="s">
        <v>78</v>
      </c>
    </row>
    <row r="22" spans="1:13" ht="13.8" x14ac:dyDescent="0.3">
      <c r="A22" s="1" t="s">
        <v>371</v>
      </c>
      <c r="B22" s="1" t="s">
        <v>86</v>
      </c>
      <c r="C22" s="1" t="s">
        <v>87</v>
      </c>
      <c r="D22" s="1">
        <v>60</v>
      </c>
      <c r="E22" s="1">
        <v>2</v>
      </c>
      <c r="F22" s="1"/>
      <c r="G22" s="1"/>
      <c r="H22" s="1" t="s">
        <v>17</v>
      </c>
      <c r="I22" s="1" t="s">
        <v>17</v>
      </c>
      <c r="J22" s="1" t="s">
        <v>88</v>
      </c>
      <c r="K22" s="1">
        <v>0</v>
      </c>
      <c r="L22" s="1" t="s">
        <v>89</v>
      </c>
      <c r="M22" s="1" t="s">
        <v>90</v>
      </c>
    </row>
    <row r="23" spans="1:13" ht="13.8" x14ac:dyDescent="0.3">
      <c r="A23" s="1" t="s">
        <v>372</v>
      </c>
      <c r="B23" s="1" t="s">
        <v>86</v>
      </c>
      <c r="C23" s="1" t="s">
        <v>91</v>
      </c>
      <c r="D23" s="1">
        <v>25</v>
      </c>
      <c r="E23" s="1">
        <v>2</v>
      </c>
      <c r="F23" s="1"/>
      <c r="G23" s="1"/>
      <c r="H23" s="1" t="s">
        <v>17</v>
      </c>
      <c r="I23" s="1" t="s">
        <v>17</v>
      </c>
      <c r="J23" s="1" t="s">
        <v>88</v>
      </c>
      <c r="K23" s="1">
        <v>0</v>
      </c>
      <c r="L23" s="1" t="s">
        <v>89</v>
      </c>
      <c r="M23" s="1" t="s">
        <v>90</v>
      </c>
    </row>
    <row r="24" spans="1:13" ht="13.8" x14ac:dyDescent="0.3">
      <c r="A24" s="1" t="s">
        <v>373</v>
      </c>
      <c r="B24" s="1" t="s">
        <v>86</v>
      </c>
      <c r="C24" s="1" t="s">
        <v>92</v>
      </c>
      <c r="D24" s="1">
        <v>15</v>
      </c>
      <c r="E24" s="1">
        <v>2</v>
      </c>
      <c r="F24" s="1"/>
      <c r="G24" s="1"/>
      <c r="H24" s="1" t="s">
        <v>17</v>
      </c>
      <c r="I24" s="1" t="s">
        <v>17</v>
      </c>
      <c r="J24" s="1" t="s">
        <v>88</v>
      </c>
      <c r="K24" s="1">
        <v>0</v>
      </c>
      <c r="L24" s="1" t="s">
        <v>89</v>
      </c>
      <c r="M24" s="1" t="s">
        <v>90</v>
      </c>
    </row>
    <row r="25" spans="1:13" ht="27.6" x14ac:dyDescent="0.3">
      <c r="A25" s="1" t="s">
        <v>93</v>
      </c>
      <c r="B25" s="1" t="s">
        <v>94</v>
      </c>
      <c r="C25" s="2" t="s">
        <v>95</v>
      </c>
      <c r="D25" s="1">
        <v>15</v>
      </c>
      <c r="E25" s="1">
        <v>1</v>
      </c>
      <c r="F25" s="1">
        <v>8</v>
      </c>
      <c r="G25" s="1">
        <v>10</v>
      </c>
      <c r="H25" s="1" t="s">
        <v>16</v>
      </c>
      <c r="I25" s="1" t="s">
        <v>16</v>
      </c>
      <c r="J25" s="2" t="s">
        <v>96</v>
      </c>
      <c r="K25" s="1" t="s">
        <v>16</v>
      </c>
      <c r="L25" s="1" t="s">
        <v>16</v>
      </c>
    </row>
    <row r="26" spans="1:13" ht="13.8" x14ac:dyDescent="0.3">
      <c r="A26" s="1" t="s">
        <v>97</v>
      </c>
      <c r="B26" s="1" t="s">
        <v>98</v>
      </c>
      <c r="C26" s="1" t="s">
        <v>99</v>
      </c>
      <c r="D26" s="1">
        <v>25</v>
      </c>
      <c r="E26" s="1">
        <v>1</v>
      </c>
      <c r="F26" s="1">
        <v>8</v>
      </c>
      <c r="G26" s="1">
        <v>14</v>
      </c>
      <c r="H26" s="1" t="s">
        <v>16</v>
      </c>
      <c r="I26" s="1" t="s">
        <v>16</v>
      </c>
      <c r="J26" s="1" t="s">
        <v>100</v>
      </c>
      <c r="K26" s="1"/>
      <c r="L26" s="1"/>
    </row>
    <row r="27" spans="1:13" ht="13.8" x14ac:dyDescent="0.3">
      <c r="A27" s="1" t="s">
        <v>101</v>
      </c>
      <c r="B27" s="1" t="s">
        <v>102</v>
      </c>
      <c r="C27" s="1" t="s">
        <v>103</v>
      </c>
      <c r="D27" s="1">
        <v>20</v>
      </c>
      <c r="E27" s="1">
        <v>1</v>
      </c>
      <c r="F27" s="1">
        <v>6</v>
      </c>
      <c r="G27" s="1">
        <v>10</v>
      </c>
      <c r="H27" s="1" t="s">
        <v>104</v>
      </c>
      <c r="I27" s="1" t="s">
        <v>104</v>
      </c>
      <c r="J27" s="1" t="s">
        <v>105</v>
      </c>
      <c r="K27" s="1" t="s">
        <v>104</v>
      </c>
      <c r="L27" s="1"/>
      <c r="M27" s="1" t="s">
        <v>106</v>
      </c>
    </row>
    <row r="28" spans="1:13" ht="13.8" x14ac:dyDescent="0.3">
      <c r="A28" s="1" t="s">
        <v>107</v>
      </c>
      <c r="B28" s="1" t="s">
        <v>108</v>
      </c>
      <c r="C28" s="1" t="s">
        <v>109</v>
      </c>
      <c r="D28" s="1">
        <v>15</v>
      </c>
      <c r="E28" s="1">
        <v>1</v>
      </c>
      <c r="F28" s="1"/>
      <c r="G28" s="1">
        <v>12</v>
      </c>
      <c r="H28" s="1" t="s">
        <v>18</v>
      </c>
      <c r="I28" s="1" t="s">
        <v>18</v>
      </c>
      <c r="J28" s="1" t="s">
        <v>110</v>
      </c>
      <c r="K28" s="1">
        <v>4</v>
      </c>
      <c r="L28" s="1" t="s">
        <v>111</v>
      </c>
      <c r="M28" s="1" t="s">
        <v>112</v>
      </c>
    </row>
    <row r="29" spans="1:13" ht="13.8" x14ac:dyDescent="0.3">
      <c r="A29" s="40" t="s">
        <v>384</v>
      </c>
      <c r="B29" s="1" t="s">
        <v>113</v>
      </c>
      <c r="C29" s="1" t="s">
        <v>114</v>
      </c>
      <c r="D29" s="1">
        <v>5</v>
      </c>
      <c r="E29" s="1">
        <v>1</v>
      </c>
      <c r="F29" s="1" t="s">
        <v>16</v>
      </c>
      <c r="G29" s="1" t="s">
        <v>16</v>
      </c>
      <c r="H29" s="1" t="s">
        <v>18</v>
      </c>
      <c r="I29" s="1" t="s">
        <v>17</v>
      </c>
      <c r="J29" s="1" t="s">
        <v>115</v>
      </c>
      <c r="K29" s="1">
        <v>1</v>
      </c>
      <c r="L29" s="1" t="s">
        <v>20</v>
      </c>
      <c r="M29" s="1" t="s">
        <v>69</v>
      </c>
    </row>
    <row r="30" spans="1:13" ht="13.8" x14ac:dyDescent="0.3">
      <c r="A30" s="1" t="s">
        <v>385</v>
      </c>
      <c r="B30" s="1" t="s">
        <v>116</v>
      </c>
      <c r="C30" s="1" t="s">
        <v>117</v>
      </c>
      <c r="D30" s="1">
        <v>12</v>
      </c>
      <c r="E30" s="1">
        <v>1</v>
      </c>
      <c r="F30" s="1"/>
      <c r="G30" s="1" t="s">
        <v>16</v>
      </c>
      <c r="H30" s="1" t="s">
        <v>18</v>
      </c>
      <c r="I30" s="1" t="s">
        <v>17</v>
      </c>
      <c r="J30" s="1" t="s">
        <v>118</v>
      </c>
      <c r="K30" s="1">
        <v>1</v>
      </c>
      <c r="L30" s="1" t="s">
        <v>20</v>
      </c>
      <c r="M30" s="1" t="s">
        <v>119</v>
      </c>
    </row>
    <row r="31" spans="1:13" ht="17.25" customHeight="1" x14ac:dyDescent="0.3">
      <c r="A31" s="1" t="s">
        <v>386</v>
      </c>
      <c r="B31" s="1" t="s">
        <v>120</v>
      </c>
      <c r="C31" s="1" t="s">
        <v>121</v>
      </c>
      <c r="D31" s="1">
        <v>5</v>
      </c>
      <c r="E31" s="1">
        <v>1</v>
      </c>
      <c r="F31" s="1" t="s">
        <v>16</v>
      </c>
      <c r="G31" s="1" t="s">
        <v>16</v>
      </c>
      <c r="H31" s="1" t="s">
        <v>18</v>
      </c>
      <c r="I31" s="1" t="s">
        <v>17</v>
      </c>
      <c r="J31" s="1" t="s">
        <v>122</v>
      </c>
      <c r="K31" s="1">
        <v>1</v>
      </c>
      <c r="L31" s="2" t="s">
        <v>20</v>
      </c>
      <c r="M31" s="1" t="s">
        <v>69</v>
      </c>
    </row>
    <row r="32" spans="1:13" ht="17.25" customHeight="1" x14ac:dyDescent="0.3">
      <c r="A32" s="1" t="s">
        <v>387</v>
      </c>
      <c r="B32" s="1" t="s">
        <v>123</v>
      </c>
      <c r="C32" s="1" t="s">
        <v>124</v>
      </c>
      <c r="D32" s="1">
        <v>15</v>
      </c>
      <c r="E32" s="1">
        <v>1</v>
      </c>
      <c r="F32" s="1"/>
      <c r="G32" s="1" t="s">
        <v>16</v>
      </c>
      <c r="H32" s="1" t="s">
        <v>18</v>
      </c>
      <c r="I32" s="1" t="s">
        <v>17</v>
      </c>
      <c r="J32" s="1" t="s">
        <v>118</v>
      </c>
      <c r="K32" s="1">
        <v>1</v>
      </c>
      <c r="L32" s="2" t="s">
        <v>20</v>
      </c>
      <c r="M32" s="1" t="s">
        <v>125</v>
      </c>
    </row>
    <row r="33" spans="1:28" ht="17.25" customHeight="1" x14ac:dyDescent="0.3">
      <c r="A33" s="1" t="s">
        <v>126</v>
      </c>
      <c r="B33" s="1" t="s">
        <v>127</v>
      </c>
      <c r="C33" s="1" t="s">
        <v>128</v>
      </c>
      <c r="D33" s="1">
        <v>5</v>
      </c>
      <c r="E33" s="1">
        <v>1</v>
      </c>
      <c r="F33" s="1"/>
      <c r="G33" s="1"/>
      <c r="H33" s="1" t="s">
        <v>18</v>
      </c>
      <c r="I33" s="1" t="s">
        <v>18</v>
      </c>
      <c r="J33" s="1" t="s">
        <v>129</v>
      </c>
      <c r="K33" s="1">
        <v>4</v>
      </c>
      <c r="L33" s="2" t="s">
        <v>130</v>
      </c>
      <c r="M33" s="1" t="s">
        <v>131</v>
      </c>
    </row>
    <row r="34" spans="1:28" ht="27.75" customHeight="1" x14ac:dyDescent="0.3">
      <c r="A34" s="1" t="s">
        <v>132</v>
      </c>
      <c r="B34" s="1" t="s">
        <v>133</v>
      </c>
      <c r="C34" s="1" t="s">
        <v>134</v>
      </c>
      <c r="D34" s="1">
        <v>25</v>
      </c>
      <c r="F34" s="1" t="s">
        <v>16</v>
      </c>
      <c r="G34" s="1" t="s">
        <v>16</v>
      </c>
      <c r="H34" s="1" t="s">
        <v>18</v>
      </c>
      <c r="I34" s="1" t="s">
        <v>18</v>
      </c>
      <c r="J34" s="1" t="s">
        <v>135</v>
      </c>
      <c r="K34" s="1">
        <v>3</v>
      </c>
      <c r="L34" s="2" t="s">
        <v>136</v>
      </c>
    </row>
    <row r="35" spans="1:28" ht="23.1" customHeight="1" x14ac:dyDescent="0.3">
      <c r="A35" s="1" t="s">
        <v>137</v>
      </c>
      <c r="B35" s="1" t="s">
        <v>138</v>
      </c>
      <c r="C35" s="1" t="s">
        <v>139</v>
      </c>
      <c r="D35" s="1">
        <v>55</v>
      </c>
      <c r="E35" s="1">
        <v>1</v>
      </c>
      <c r="F35" s="1"/>
      <c r="G35" s="1"/>
      <c r="H35" s="1" t="s">
        <v>17</v>
      </c>
      <c r="I35" s="1" t="s">
        <v>17</v>
      </c>
      <c r="J35" s="1" t="s">
        <v>140</v>
      </c>
      <c r="K35" s="1">
        <v>4</v>
      </c>
      <c r="L35" s="2" t="s">
        <v>141</v>
      </c>
      <c r="M35" s="1" t="s">
        <v>142</v>
      </c>
    </row>
    <row r="36" spans="1:28" ht="13.8" x14ac:dyDescent="0.3">
      <c r="A36" s="1" t="s">
        <v>376</v>
      </c>
      <c r="B36" s="1" t="s">
        <v>143</v>
      </c>
      <c r="C36" s="1" t="s">
        <v>144</v>
      </c>
      <c r="D36" s="1">
        <v>7.5</v>
      </c>
      <c r="E36" s="1">
        <v>1</v>
      </c>
      <c r="F36" s="1"/>
      <c r="G36" s="1" t="s">
        <v>16</v>
      </c>
      <c r="H36" s="1" t="s">
        <v>18</v>
      </c>
      <c r="I36" s="1" t="s">
        <v>18</v>
      </c>
      <c r="J36" s="1" t="s">
        <v>145</v>
      </c>
      <c r="K36" s="1">
        <v>2</v>
      </c>
      <c r="L36" s="1" t="s">
        <v>146</v>
      </c>
    </row>
    <row r="37" spans="1:28" ht="13.8" x14ac:dyDescent="0.3">
      <c r="A37" s="1" t="s">
        <v>377</v>
      </c>
      <c r="B37" s="1" t="s">
        <v>147</v>
      </c>
      <c r="C37" s="1" t="s">
        <v>148</v>
      </c>
      <c r="D37" s="1">
        <v>5</v>
      </c>
      <c r="E37" s="1">
        <v>2</v>
      </c>
      <c r="F37" s="1"/>
      <c r="G37" s="1" t="s">
        <v>16</v>
      </c>
      <c r="H37" s="1" t="s">
        <v>18</v>
      </c>
      <c r="I37" s="1" t="s">
        <v>18</v>
      </c>
      <c r="J37" s="1" t="s">
        <v>145</v>
      </c>
      <c r="K37" s="1">
        <v>2</v>
      </c>
      <c r="L37" s="1" t="s">
        <v>146</v>
      </c>
    </row>
    <row r="38" spans="1:28" ht="13.8" x14ac:dyDescent="0.3">
      <c r="A38" s="1" t="s">
        <v>378</v>
      </c>
      <c r="B38" s="1" t="s">
        <v>149</v>
      </c>
      <c r="C38" s="1" t="s">
        <v>150</v>
      </c>
      <c r="D38" s="1">
        <v>12.5</v>
      </c>
      <c r="E38" s="1">
        <v>1</v>
      </c>
      <c r="F38" s="1"/>
      <c r="H38" s="1" t="s">
        <v>18</v>
      </c>
      <c r="I38" s="1" t="s">
        <v>18</v>
      </c>
      <c r="J38" s="1" t="s">
        <v>145</v>
      </c>
      <c r="K38" s="1">
        <v>2</v>
      </c>
      <c r="L38" s="1" t="s">
        <v>146</v>
      </c>
      <c r="M38" s="1" t="s">
        <v>151</v>
      </c>
    </row>
    <row r="39" spans="1:28" ht="13.8" x14ac:dyDescent="0.3">
      <c r="A39" s="1" t="s">
        <v>379</v>
      </c>
      <c r="B39" s="1" t="s">
        <v>152</v>
      </c>
      <c r="C39" s="1" t="s">
        <v>153</v>
      </c>
      <c r="D39" s="1">
        <v>25</v>
      </c>
      <c r="E39" s="1">
        <v>1</v>
      </c>
      <c r="F39">
        <v>10</v>
      </c>
      <c r="G39" s="1">
        <v>20</v>
      </c>
      <c r="J39" s="1" t="s">
        <v>154</v>
      </c>
      <c r="K39" s="1">
        <v>5</v>
      </c>
      <c r="L39" s="1" t="s">
        <v>155</v>
      </c>
    </row>
    <row r="40" spans="1:28" ht="13.8" x14ac:dyDescent="0.3">
      <c r="A40" s="1" t="s">
        <v>380</v>
      </c>
      <c r="B40" s="1" t="s">
        <v>156</v>
      </c>
      <c r="C40" s="1" t="s">
        <v>157</v>
      </c>
      <c r="D40" s="1">
        <v>35</v>
      </c>
      <c r="E40" s="1">
        <v>1</v>
      </c>
      <c r="F40" s="1">
        <v>10</v>
      </c>
      <c r="G40" s="1">
        <v>20</v>
      </c>
      <c r="H40" s="1"/>
      <c r="I40" s="1"/>
      <c r="J40" s="1" t="s">
        <v>154</v>
      </c>
      <c r="K40" s="1">
        <v>5</v>
      </c>
      <c r="L40" s="1" t="s">
        <v>155</v>
      </c>
      <c r="M40" s="1"/>
      <c r="N40" s="1"/>
    </row>
    <row r="41" spans="1:28" ht="13.8" x14ac:dyDescent="0.3">
      <c r="A41" s="1" t="s">
        <v>381</v>
      </c>
      <c r="B41" s="1" t="s">
        <v>158</v>
      </c>
      <c r="C41" s="1" t="s">
        <v>159</v>
      </c>
      <c r="D41" s="1" t="s">
        <v>160</v>
      </c>
      <c r="E41" s="1">
        <v>1</v>
      </c>
      <c r="F41">
        <v>20</v>
      </c>
      <c r="G41">
        <v>20</v>
      </c>
      <c r="J41" s="1" t="s">
        <v>154</v>
      </c>
      <c r="K41" s="1">
        <v>5</v>
      </c>
      <c r="L41" s="1" t="s">
        <v>155</v>
      </c>
      <c r="M41" s="1"/>
      <c r="N41" s="1"/>
    </row>
    <row r="42" spans="1:28" ht="13.8" x14ac:dyDescent="0.3">
      <c r="A42" s="1" t="s">
        <v>382</v>
      </c>
      <c r="B42" s="1" t="s">
        <v>161</v>
      </c>
      <c r="C42" s="1" t="s">
        <v>162</v>
      </c>
      <c r="D42" s="1">
        <v>5</v>
      </c>
      <c r="E42" s="1">
        <v>1</v>
      </c>
      <c r="H42" t="s">
        <v>18</v>
      </c>
      <c r="I42" t="s">
        <v>18</v>
      </c>
      <c r="J42" s="1" t="s">
        <v>163</v>
      </c>
      <c r="K42" s="1">
        <v>1</v>
      </c>
      <c r="L42" s="1" t="s">
        <v>164</v>
      </c>
    </row>
    <row r="43" spans="1:28" ht="13.8" x14ac:dyDescent="0.3">
      <c r="A43" s="1" t="s">
        <v>383</v>
      </c>
      <c r="B43" s="1" t="s">
        <v>165</v>
      </c>
      <c r="C43" s="1" t="s">
        <v>166</v>
      </c>
      <c r="D43" s="1">
        <v>7.5</v>
      </c>
      <c r="E43" s="1">
        <v>1</v>
      </c>
      <c r="F43" s="1"/>
      <c r="G43" s="1"/>
      <c r="H43" s="1" t="s">
        <v>18</v>
      </c>
      <c r="I43" s="1" t="s">
        <v>18</v>
      </c>
      <c r="J43" s="1" t="s">
        <v>163</v>
      </c>
      <c r="K43" s="1">
        <v>1</v>
      </c>
      <c r="L43" s="1" t="s">
        <v>164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8" x14ac:dyDescent="0.3">
      <c r="A46" s="1"/>
      <c r="B46" s="1"/>
      <c r="C46" s="1"/>
      <c r="D46" s="1"/>
      <c r="E46" s="1"/>
      <c r="F46" s="1"/>
      <c r="G46" s="1"/>
      <c r="H46" s="1"/>
      <c r="I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8" x14ac:dyDescent="0.3">
      <c r="A52" s="1"/>
      <c r="B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8" x14ac:dyDescent="0.3">
      <c r="A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8" x14ac:dyDescent="0.3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6" spans="1:28" ht="13.8" x14ac:dyDescent="0.3">
      <c r="Z56" s="1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AA3D7B9-5962-48BE-8ADD-F392010137FE}">
            <xm:f>VLOOKUP($A2,'Design Cost'!$B$2:$B$22,1,FALSE)=$A2</xm:f>
            <x14:dxf>
              <fill>
                <patternFill>
                  <bgColor theme="9" tint="0.59996337778862885"/>
                </patternFill>
              </fill>
            </x14:dxf>
          </x14:cfRule>
          <xm:sqref>A2:A43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F895-05FA-4AE3-BAFE-15F89ACCA647}">
  <dimension ref="A1:M55"/>
  <sheetViews>
    <sheetView workbookViewId="0">
      <selection activeCell="H53" sqref="H53"/>
    </sheetView>
  </sheetViews>
  <sheetFormatPr defaultRowHeight="13.8" x14ac:dyDescent="0.3"/>
  <cols>
    <col min="1" max="2" width="12.88671875" customWidth="1"/>
    <col min="3" max="3" width="17.6640625" customWidth="1"/>
    <col min="4" max="4" width="21.6640625" bestFit="1" customWidth="1"/>
    <col min="5" max="7" width="13.33203125" customWidth="1"/>
    <col min="8" max="8" width="32.33203125" customWidth="1"/>
    <col min="9" max="9" width="32.44140625" customWidth="1"/>
    <col min="10" max="10" width="16.33203125" customWidth="1"/>
    <col min="11" max="11" width="38.5546875" bestFit="1" customWidth="1"/>
    <col min="12" max="12" width="31.88671875" bestFit="1" customWidth="1"/>
    <col min="13" max="13" width="27.109375" customWidth="1"/>
  </cols>
  <sheetData>
    <row r="1" spans="1:13" x14ac:dyDescent="0.3">
      <c r="D1" t="s">
        <v>65</v>
      </c>
      <c r="F1">
        <f>SUM(SW[ROM])</f>
        <v>30</v>
      </c>
      <c r="G1">
        <f>SUM(SW[Disk])</f>
        <v>1224</v>
      </c>
      <c r="H1">
        <f>SUM(SW[Design Cost (person weeks)])</f>
        <v>145</v>
      </c>
    </row>
    <row r="2" spans="1:13" ht="31.2" x14ac:dyDescent="0.3">
      <c r="A2" s="23" t="s">
        <v>167</v>
      </c>
      <c r="B2" s="23" t="s">
        <v>0</v>
      </c>
      <c r="C2" s="23" t="s">
        <v>437</v>
      </c>
      <c r="D2" s="23" t="s">
        <v>168</v>
      </c>
      <c r="E2" s="23" t="s">
        <v>438</v>
      </c>
      <c r="F2" s="23" t="s">
        <v>65</v>
      </c>
      <c r="G2" s="23" t="s">
        <v>439</v>
      </c>
      <c r="H2" s="23" t="s">
        <v>170</v>
      </c>
      <c r="I2" s="23" t="s">
        <v>171</v>
      </c>
      <c r="J2" s="23" t="s">
        <v>172</v>
      </c>
      <c r="K2" s="23" t="s">
        <v>173</v>
      </c>
      <c r="L2" s="24" t="s">
        <v>174</v>
      </c>
      <c r="M2" s="23" t="s">
        <v>175</v>
      </c>
    </row>
    <row r="3" spans="1:13" x14ac:dyDescent="0.3">
      <c r="A3" s="7" t="s">
        <v>176</v>
      </c>
      <c r="B3" s="7" t="s">
        <v>388</v>
      </c>
      <c r="C3" s="5" t="s">
        <v>177</v>
      </c>
      <c r="D3" s="5" t="s">
        <v>178</v>
      </c>
      <c r="E3" s="4"/>
      <c r="F3" s="4" t="str">
        <f>IF(SW[[#This Row],[Notes]]="needed in ROM", SW[[#This Row],[Code Size (KB)]],"")</f>
        <v/>
      </c>
      <c r="G3" s="4">
        <f>IF(SW[[#This Row],[Notes]]&lt;&gt;"needed in ROM",SW[[#This Row],[Code Size (KB)]],"")</f>
        <v>0</v>
      </c>
      <c r="H3" s="5">
        <v>2</v>
      </c>
      <c r="I3" s="15"/>
      <c r="J3" s="5" t="s">
        <v>17</v>
      </c>
      <c r="K3" s="5" t="s">
        <v>179</v>
      </c>
      <c r="L3" s="5" t="s">
        <v>180</v>
      </c>
      <c r="M3" s="3">
        <v>2</v>
      </c>
    </row>
    <row r="4" spans="1:13" x14ac:dyDescent="0.3">
      <c r="A4" s="7" t="s">
        <v>176</v>
      </c>
      <c r="B4" s="7" t="s">
        <v>389</v>
      </c>
      <c r="C4" s="4" t="s">
        <v>181</v>
      </c>
      <c r="D4" s="6" t="s">
        <v>182</v>
      </c>
      <c r="E4" s="4">
        <v>6</v>
      </c>
      <c r="F4" s="4">
        <f>IF(SW[[#This Row],[Notes]]="needed in ROM", SW[[#This Row],[Code Size (KB)]],"")</f>
        <v>6</v>
      </c>
      <c r="G4" s="4" t="str">
        <f>IF(SW[[#This Row],[Notes]]&lt;&gt;"needed in ROM",SW[[#This Row],[Code Size (KB)]],"")</f>
        <v/>
      </c>
      <c r="H4" s="4">
        <v>8</v>
      </c>
      <c r="I4" s="16"/>
      <c r="J4" s="4" t="s">
        <v>17</v>
      </c>
      <c r="K4" s="4" t="s">
        <v>183</v>
      </c>
      <c r="L4" s="8" t="s">
        <v>184</v>
      </c>
      <c r="M4" s="3">
        <v>6</v>
      </c>
    </row>
    <row r="5" spans="1:13" x14ac:dyDescent="0.3">
      <c r="A5" s="7" t="s">
        <v>176</v>
      </c>
      <c r="B5" s="7" t="s">
        <v>390</v>
      </c>
      <c r="C5" s="4" t="s">
        <v>185</v>
      </c>
      <c r="D5" s="6" t="s">
        <v>182</v>
      </c>
      <c r="E5" s="4">
        <v>8</v>
      </c>
      <c r="F5" s="4">
        <f>IF(SW[[#This Row],[Notes]]="needed in ROM", SW[[#This Row],[Code Size (KB)]],"")</f>
        <v>8</v>
      </c>
      <c r="G5" s="4" t="str">
        <f>IF(SW[[#This Row],[Notes]]&lt;&gt;"needed in ROM",SW[[#This Row],[Code Size (KB)]],"")</f>
        <v/>
      </c>
      <c r="H5" s="4"/>
      <c r="I5" s="16"/>
      <c r="J5" s="4" t="s">
        <v>17</v>
      </c>
      <c r="K5" s="4" t="s">
        <v>183</v>
      </c>
      <c r="L5" s="8" t="s">
        <v>184</v>
      </c>
      <c r="M5" s="3">
        <v>4</v>
      </c>
    </row>
    <row r="6" spans="1:13" x14ac:dyDescent="0.3">
      <c r="A6" s="7" t="s">
        <v>176</v>
      </c>
      <c r="B6" s="7" t="s">
        <v>391</v>
      </c>
      <c r="C6" s="4" t="s">
        <v>186</v>
      </c>
      <c r="D6" s="6" t="s">
        <v>182</v>
      </c>
      <c r="E6" s="4">
        <v>8</v>
      </c>
      <c r="F6" s="4">
        <f>IF(SW[[#This Row],[Notes]]="needed in ROM", SW[[#This Row],[Code Size (KB)]],"")</f>
        <v>8</v>
      </c>
      <c r="G6" s="4" t="str">
        <f>IF(SW[[#This Row],[Notes]]&lt;&gt;"needed in ROM",SW[[#This Row],[Code Size (KB)]],"")</f>
        <v/>
      </c>
      <c r="H6" s="4"/>
      <c r="I6" s="16"/>
      <c r="J6" s="4" t="s">
        <v>17</v>
      </c>
      <c r="K6" s="4" t="s">
        <v>183</v>
      </c>
      <c r="L6" s="4" t="s">
        <v>188</v>
      </c>
      <c r="M6" s="4">
        <v>2</v>
      </c>
    </row>
    <row r="7" spans="1:13" hidden="1" x14ac:dyDescent="0.3">
      <c r="A7" s="7" t="s">
        <v>176</v>
      </c>
      <c r="B7" s="7" t="s">
        <v>392</v>
      </c>
      <c r="C7" s="4" t="s">
        <v>189</v>
      </c>
      <c r="D7" s="4" t="s">
        <v>182</v>
      </c>
      <c r="E7" s="4" t="s">
        <v>187</v>
      </c>
      <c r="F7" s="4" t="str">
        <f>IF(SW[[#This Row],[Notes]]="needed in ROM", SW[[#This Row],[Code Size (KB)]],"")</f>
        <v/>
      </c>
      <c r="G7" s="4" t="str">
        <f>IF(SW[[#This Row],[Notes]]&lt;&gt;"needed in ROM",SW[[#This Row],[Code Size (KB)]],"")</f>
        <v>4k</v>
      </c>
      <c r="H7" s="4">
        <v>2</v>
      </c>
      <c r="I7" s="16"/>
      <c r="J7" s="4" t="s">
        <v>18</v>
      </c>
      <c r="K7" s="4" t="s">
        <v>191</v>
      </c>
      <c r="L7" s="4" t="s">
        <v>192</v>
      </c>
      <c r="M7" s="3">
        <v>3</v>
      </c>
    </row>
    <row r="8" spans="1:13" hidden="1" x14ac:dyDescent="0.3">
      <c r="A8" s="7" t="s">
        <v>176</v>
      </c>
      <c r="B8" s="7" t="s">
        <v>393</v>
      </c>
      <c r="C8" s="4" t="s">
        <v>193</v>
      </c>
      <c r="D8" s="4" t="s">
        <v>182</v>
      </c>
      <c r="E8" s="4" t="s">
        <v>190</v>
      </c>
      <c r="F8" s="4" t="str">
        <f>IF(SW[[#This Row],[Notes]]="needed in ROM", SW[[#This Row],[Code Size (KB)]],"")</f>
        <v/>
      </c>
      <c r="G8" s="4" t="str">
        <f>IF(SW[[#This Row],[Notes]]&lt;&gt;"needed in ROM",SW[[#This Row],[Code Size (KB)]],"")</f>
        <v>64k</v>
      </c>
      <c r="H8" s="4">
        <v>2</v>
      </c>
      <c r="I8" s="16"/>
      <c r="J8" s="4" t="s">
        <v>18</v>
      </c>
      <c r="K8" s="4" t="s">
        <v>191</v>
      </c>
      <c r="L8" s="4" t="s">
        <v>195</v>
      </c>
      <c r="M8" s="4">
        <v>2</v>
      </c>
    </row>
    <row r="9" spans="1:13" hidden="1" x14ac:dyDescent="0.3">
      <c r="A9" s="7" t="s">
        <v>176</v>
      </c>
      <c r="B9" s="7" t="s">
        <v>394</v>
      </c>
      <c r="C9" s="4" t="s">
        <v>196</v>
      </c>
      <c r="D9" s="4" t="s">
        <v>182</v>
      </c>
      <c r="E9" s="4" t="s">
        <v>194</v>
      </c>
      <c r="F9" s="4" t="str">
        <f>IF(SW[[#This Row],[Notes]]="needed in ROM", SW[[#This Row],[Code Size (KB)]],"")</f>
        <v/>
      </c>
      <c r="G9" s="4" t="str">
        <f>IF(SW[[#This Row],[Notes]]&lt;&gt;"needed in ROM",SW[[#This Row],[Code Size (KB)]],"")</f>
        <v>128k</v>
      </c>
      <c r="H9" s="4">
        <v>4</v>
      </c>
      <c r="I9" s="16"/>
      <c r="J9" s="4" t="s">
        <v>18</v>
      </c>
      <c r="K9" s="4" t="s">
        <v>191</v>
      </c>
      <c r="L9" s="4" t="s">
        <v>197</v>
      </c>
      <c r="M9" s="4">
        <v>2</v>
      </c>
    </row>
    <row r="10" spans="1:13" x14ac:dyDescent="0.3">
      <c r="A10" s="7"/>
      <c r="B10" s="7" t="s">
        <v>395</v>
      </c>
      <c r="C10" s="6" t="s">
        <v>198</v>
      </c>
      <c r="D10" s="4"/>
      <c r="E10" s="4" t="s">
        <v>194</v>
      </c>
      <c r="F10" s="4" t="str">
        <f>IF(SW[[#This Row],[Notes]]="needed in ROM", SW[[#This Row],[Code Size (KB)]],"")</f>
        <v/>
      </c>
      <c r="G10" s="4">
        <v>128</v>
      </c>
      <c r="H10" s="4"/>
      <c r="I10" s="16"/>
      <c r="J10" s="4"/>
      <c r="K10" s="4"/>
      <c r="L10" s="4"/>
      <c r="M10" s="4"/>
    </row>
    <row r="11" spans="1:13" x14ac:dyDescent="0.3">
      <c r="A11" s="7" t="s">
        <v>176</v>
      </c>
      <c r="B11" s="7" t="s">
        <v>396</v>
      </c>
      <c r="C11" s="4" t="s">
        <v>199</v>
      </c>
      <c r="D11" s="6" t="s">
        <v>200</v>
      </c>
      <c r="E11" s="4"/>
      <c r="F11" s="4">
        <f>IF(SW[[#This Row],[Notes]]="needed in ROM", SW[[#This Row],[Code Size (KB)]],"")</f>
        <v>0</v>
      </c>
      <c r="G11" s="4" t="str">
        <f>IF(SW[[#This Row],[Notes]]&lt;&gt;"needed in ROM",SW[[#This Row],[Code Size (KB)]],"")</f>
        <v/>
      </c>
      <c r="H11" s="4">
        <v>8</v>
      </c>
      <c r="I11" s="16"/>
      <c r="J11" s="4" t="s">
        <v>17</v>
      </c>
      <c r="K11" s="4" t="s">
        <v>183</v>
      </c>
      <c r="L11" s="8" t="s">
        <v>184</v>
      </c>
      <c r="M11" s="4">
        <v>4</v>
      </c>
    </row>
    <row r="12" spans="1:13" x14ac:dyDescent="0.3">
      <c r="A12" s="7" t="s">
        <v>176</v>
      </c>
      <c r="B12" s="7" t="s">
        <v>397</v>
      </c>
      <c r="C12" s="4" t="s">
        <v>201</v>
      </c>
      <c r="D12" s="6" t="s">
        <v>200</v>
      </c>
      <c r="E12" s="4">
        <v>8</v>
      </c>
      <c r="F12" s="4">
        <f>IF(SW[[#This Row],[Notes]]="needed in ROM", SW[[#This Row],[Code Size (KB)]],"")</f>
        <v>8</v>
      </c>
      <c r="G12" s="4" t="str">
        <f>IF(SW[[#This Row],[Notes]]&lt;&gt;"needed in ROM",SW[[#This Row],[Code Size (KB)]],"")</f>
        <v/>
      </c>
      <c r="H12" s="4"/>
      <c r="I12" s="16"/>
      <c r="J12" s="4" t="s">
        <v>17</v>
      </c>
      <c r="K12" s="4" t="s">
        <v>183</v>
      </c>
      <c r="L12" s="8" t="s">
        <v>184</v>
      </c>
      <c r="M12" s="4">
        <v>4</v>
      </c>
    </row>
    <row r="13" spans="1:13" x14ac:dyDescent="0.3">
      <c r="A13" s="7" t="s">
        <v>176</v>
      </c>
      <c r="B13" s="7" t="s">
        <v>398</v>
      </c>
      <c r="C13" s="4" t="s">
        <v>202</v>
      </c>
      <c r="D13" s="4" t="s">
        <v>200</v>
      </c>
      <c r="E13" s="4">
        <v>8</v>
      </c>
      <c r="F13" s="4" t="str">
        <f>IF(SW[[#This Row],[Notes]]="needed in ROM", SW[[#This Row],[Code Size (KB)]],"")</f>
        <v/>
      </c>
      <c r="G13" s="4">
        <f>IF(SW[[#This Row],[Notes]]&lt;&gt;"needed in ROM",SW[[#This Row],[Code Size (KB)]],"")</f>
        <v>8</v>
      </c>
      <c r="H13" s="4">
        <v>2</v>
      </c>
      <c r="I13" s="16"/>
      <c r="J13" s="4" t="s">
        <v>17</v>
      </c>
      <c r="K13" s="4" t="s">
        <v>203</v>
      </c>
      <c r="L13" s="4" t="s">
        <v>204</v>
      </c>
      <c r="M13" s="4">
        <v>2</v>
      </c>
    </row>
    <row r="14" spans="1:13" hidden="1" x14ac:dyDescent="0.3">
      <c r="A14" s="7" t="s">
        <v>176</v>
      </c>
      <c r="B14" s="7" t="s">
        <v>399</v>
      </c>
      <c r="C14" s="4" t="s">
        <v>205</v>
      </c>
      <c r="D14" s="4" t="s">
        <v>200</v>
      </c>
      <c r="E14" s="4" t="s">
        <v>187</v>
      </c>
      <c r="F14" s="4" t="str">
        <f>IF(SW[[#This Row],[Notes]]="needed in ROM", SW[[#This Row],[Code Size (KB)]],"")</f>
        <v/>
      </c>
      <c r="G14" s="4" t="str">
        <f>IF(SW[[#This Row],[Notes]]&lt;&gt;"needed in ROM",SW[[#This Row],[Code Size (KB)]],"")</f>
        <v>4k</v>
      </c>
      <c r="H14" s="4">
        <v>4</v>
      </c>
      <c r="I14" s="16"/>
      <c r="J14" s="4" t="s">
        <v>18</v>
      </c>
      <c r="K14" s="4" t="s">
        <v>203</v>
      </c>
      <c r="L14" s="4" t="s">
        <v>207</v>
      </c>
      <c r="M14" s="4">
        <v>2</v>
      </c>
    </row>
    <row r="15" spans="1:13" hidden="1" x14ac:dyDescent="0.3">
      <c r="A15" s="7" t="s">
        <v>176</v>
      </c>
      <c r="B15" s="7" t="s">
        <v>400</v>
      </c>
      <c r="C15" s="4" t="s">
        <v>208</v>
      </c>
      <c r="D15" s="4" t="s">
        <v>200</v>
      </c>
      <c r="E15" s="4" t="s">
        <v>206</v>
      </c>
      <c r="F15" s="4" t="str">
        <f>IF(SW[[#This Row],[Notes]]="needed in ROM", SW[[#This Row],[Code Size (KB)]],"")</f>
        <v/>
      </c>
      <c r="G15" s="4" t="str">
        <f>IF(SW[[#This Row],[Notes]]&lt;&gt;"needed in ROM",SW[[#This Row],[Code Size (KB)]],"")</f>
        <v>16k</v>
      </c>
      <c r="H15" s="4">
        <v>2</v>
      </c>
      <c r="I15" s="16"/>
      <c r="J15" s="4" t="s">
        <v>18</v>
      </c>
      <c r="K15" s="4" t="s">
        <v>210</v>
      </c>
      <c r="L15" s="4" t="s">
        <v>211</v>
      </c>
      <c r="M15" s="4">
        <v>1</v>
      </c>
    </row>
    <row r="16" spans="1:13" hidden="1" x14ac:dyDescent="0.3">
      <c r="A16" s="7" t="s">
        <v>176</v>
      </c>
      <c r="B16" s="7" t="s">
        <v>401</v>
      </c>
      <c r="C16" s="4" t="s">
        <v>212</v>
      </c>
      <c r="D16" s="4" t="s">
        <v>200</v>
      </c>
      <c r="E16" s="4" t="s">
        <v>209</v>
      </c>
      <c r="F16" s="4" t="str">
        <f>IF(SW[[#This Row],[Notes]]="needed in ROM", SW[[#This Row],[Code Size (KB)]],"")</f>
        <v/>
      </c>
      <c r="G16" s="4" t="str">
        <f>IF(SW[[#This Row],[Notes]]&lt;&gt;"needed in ROM",SW[[#This Row],[Code Size (KB)]],"")</f>
        <v>480k</v>
      </c>
      <c r="H16" s="4">
        <v>4</v>
      </c>
      <c r="I16" s="16"/>
      <c r="J16" s="4" t="s">
        <v>18</v>
      </c>
      <c r="K16" s="4" t="s">
        <v>214</v>
      </c>
      <c r="L16" s="4" t="s">
        <v>215</v>
      </c>
      <c r="M16" s="4">
        <v>2</v>
      </c>
    </row>
    <row r="17" spans="1:13" hidden="1" x14ac:dyDescent="0.3">
      <c r="A17" s="7" t="s">
        <v>176</v>
      </c>
      <c r="B17" s="7" t="s">
        <v>402</v>
      </c>
      <c r="C17" s="4" t="s">
        <v>216</v>
      </c>
      <c r="D17" s="4" t="s">
        <v>200</v>
      </c>
      <c r="E17" s="4" t="s">
        <v>213</v>
      </c>
      <c r="F17" s="4" t="str">
        <f>IF(SW[[#This Row],[Notes]]="needed in ROM", SW[[#This Row],[Code Size (KB)]],"")</f>
        <v/>
      </c>
      <c r="G17" s="4" t="str">
        <f>IF(SW[[#This Row],[Notes]]&lt;&gt;"needed in ROM",SW[[#This Row],[Code Size (KB)]],"")</f>
        <v>240k</v>
      </c>
      <c r="H17" s="4">
        <v>4</v>
      </c>
      <c r="I17" s="16"/>
      <c r="J17" s="4" t="s">
        <v>18</v>
      </c>
      <c r="K17" s="4" t="s">
        <v>218</v>
      </c>
      <c r="L17" s="4" t="s">
        <v>219</v>
      </c>
      <c r="M17" s="4">
        <v>1</v>
      </c>
    </row>
    <row r="18" spans="1:13" hidden="1" x14ac:dyDescent="0.3">
      <c r="A18" s="7" t="s">
        <v>176</v>
      </c>
      <c r="B18" s="7" t="s">
        <v>403</v>
      </c>
      <c r="C18" s="4" t="s">
        <v>220</v>
      </c>
      <c r="D18" s="4" t="s">
        <v>200</v>
      </c>
      <c r="E18" s="4" t="s">
        <v>217</v>
      </c>
      <c r="F18" s="4" t="str">
        <f>IF(SW[[#This Row],[Notes]]="needed in ROM", SW[[#This Row],[Code Size (KB)]],"")</f>
        <v/>
      </c>
      <c r="G18" s="4" t="str">
        <f>IF(SW[[#This Row],[Notes]]&lt;&gt;"needed in ROM",SW[[#This Row],[Code Size (KB)]],"")</f>
        <v>450k</v>
      </c>
      <c r="H18" s="4">
        <v>8</v>
      </c>
      <c r="I18" s="16"/>
      <c r="J18" s="4" t="s">
        <v>18</v>
      </c>
      <c r="K18" s="4" t="s">
        <v>222</v>
      </c>
      <c r="L18" s="4" t="s">
        <v>223</v>
      </c>
      <c r="M18" s="4">
        <v>4</v>
      </c>
    </row>
    <row r="19" spans="1:13" hidden="1" x14ac:dyDescent="0.3">
      <c r="A19" s="7" t="s">
        <v>176</v>
      </c>
      <c r="B19" s="7" t="s">
        <v>404</v>
      </c>
      <c r="C19" s="4" t="s">
        <v>224</v>
      </c>
      <c r="D19" s="4" t="s">
        <v>200</v>
      </c>
      <c r="E19" s="4" t="s">
        <v>221</v>
      </c>
      <c r="F19" s="4" t="str">
        <f>IF(SW[[#This Row],[Notes]]="needed in ROM", SW[[#This Row],[Code Size (KB)]],"")</f>
        <v/>
      </c>
      <c r="G19" s="4" t="str">
        <f>IF(SW[[#This Row],[Notes]]&lt;&gt;"needed in ROM",SW[[#This Row],[Code Size (KB)]],"")</f>
        <v>800k</v>
      </c>
      <c r="H19" s="4">
        <v>4</v>
      </c>
      <c r="I19" s="16"/>
      <c r="J19" s="4" t="s">
        <v>18</v>
      </c>
      <c r="K19" s="4" t="s">
        <v>226</v>
      </c>
      <c r="L19" s="4" t="s">
        <v>227</v>
      </c>
      <c r="M19" s="4">
        <v>4</v>
      </c>
    </row>
    <row r="20" spans="1:13" x14ac:dyDescent="0.3">
      <c r="A20" s="7"/>
      <c r="B20" s="7" t="s">
        <v>405</v>
      </c>
      <c r="C20" s="6" t="s">
        <v>228</v>
      </c>
      <c r="D20" s="4"/>
      <c r="E20" s="4" t="s">
        <v>225</v>
      </c>
      <c r="F20" s="4" t="str">
        <f>IF(SW[[#This Row],[Notes]]="needed in ROM", SW[[#This Row],[Code Size (KB)]],"")</f>
        <v/>
      </c>
      <c r="G20" s="4">
        <v>600</v>
      </c>
      <c r="H20" s="4"/>
      <c r="I20" s="16"/>
      <c r="J20" s="4"/>
      <c r="K20" s="4"/>
      <c r="L20" s="4"/>
      <c r="M20" s="4"/>
    </row>
    <row r="21" spans="1:13" hidden="1" x14ac:dyDescent="0.3">
      <c r="A21" s="7" t="s">
        <v>176</v>
      </c>
      <c r="B21" s="7" t="s">
        <v>406</v>
      </c>
      <c r="C21" s="4" t="s">
        <v>229</v>
      </c>
      <c r="D21" s="4" t="s">
        <v>178</v>
      </c>
      <c r="E21" s="4"/>
      <c r="F21" s="4" t="str">
        <f>IF(SW[[#This Row],[Notes]]="needed in ROM", SW[[#This Row],[Code Size (KB)]],"")</f>
        <v/>
      </c>
      <c r="G21" s="4">
        <f>IF(SW[[#This Row],[Notes]]&lt;&gt;"needed in ROM",SW[[#This Row],[Code Size (KB)]],"")</f>
        <v>0</v>
      </c>
      <c r="H21" s="4">
        <v>6</v>
      </c>
      <c r="I21" s="16"/>
      <c r="J21" s="4" t="s">
        <v>18</v>
      </c>
      <c r="K21" s="4" t="s">
        <v>231</v>
      </c>
      <c r="L21" s="4" t="s">
        <v>232</v>
      </c>
      <c r="M21" s="4">
        <v>2</v>
      </c>
    </row>
    <row r="22" spans="1:13" hidden="1" x14ac:dyDescent="0.3">
      <c r="A22" s="7" t="s">
        <v>176</v>
      </c>
      <c r="B22" s="7" t="s">
        <v>407</v>
      </c>
      <c r="C22" s="4" t="s">
        <v>233</v>
      </c>
      <c r="D22" s="4" t="s">
        <v>178</v>
      </c>
      <c r="E22" s="4" t="s">
        <v>230</v>
      </c>
      <c r="F22" s="4" t="str">
        <f>IF(SW[[#This Row],[Notes]]="needed in ROM", SW[[#This Row],[Code Size (KB)]],"")</f>
        <v/>
      </c>
      <c r="G22" s="4" t="str">
        <f>IF(SW[[#This Row],[Notes]]&lt;&gt;"needed in ROM",SW[[#This Row],[Code Size (KB)]],"")</f>
        <v>64KB</v>
      </c>
      <c r="H22" s="4">
        <v>4</v>
      </c>
      <c r="I22" s="16"/>
      <c r="J22" s="4" t="s">
        <v>18</v>
      </c>
      <c r="K22" s="4" t="s">
        <v>235</v>
      </c>
      <c r="L22" s="4" t="s">
        <v>236</v>
      </c>
      <c r="M22" s="4">
        <v>4</v>
      </c>
    </row>
    <row r="23" spans="1:13" x14ac:dyDescent="0.3">
      <c r="A23" s="7"/>
      <c r="B23" s="7" t="s">
        <v>408</v>
      </c>
      <c r="C23" s="4"/>
      <c r="D23" s="4"/>
      <c r="E23" s="4" t="s">
        <v>234</v>
      </c>
      <c r="F23" s="4" t="str">
        <f>IF(SW[[#This Row],[Notes]]="needed in ROM", SW[[#This Row],[Code Size (KB)]],"")</f>
        <v/>
      </c>
      <c r="G23" s="4" t="str">
        <f>IF(SW[[#This Row],[Notes]]&lt;&gt;"needed in ROM",SW[[#This Row],[Code Size (KB)]],"")</f>
        <v>148KB</v>
      </c>
      <c r="H23" s="4"/>
      <c r="I23" s="16"/>
      <c r="J23" s="4"/>
      <c r="K23" s="4"/>
      <c r="L23" s="4"/>
      <c r="M23" s="4"/>
    </row>
    <row r="24" spans="1:13" hidden="1" x14ac:dyDescent="0.3">
      <c r="A24" s="9" t="s">
        <v>237</v>
      </c>
      <c r="B24" s="7" t="s">
        <v>409</v>
      </c>
      <c r="C24" s="10" t="s">
        <v>238</v>
      </c>
      <c r="D24" s="10" t="s">
        <v>239</v>
      </c>
      <c r="E24" s="4"/>
      <c r="F24" s="4" t="str">
        <f>IF(SW[[#This Row],[Notes]]="needed in ROM", SW[[#This Row],[Code Size (KB)]],"")</f>
        <v/>
      </c>
      <c r="G24" s="4">
        <f>IF(SW[[#This Row],[Notes]]&lt;&gt;"needed in ROM",SW[[#This Row],[Code Size (KB)]],"")</f>
        <v>0</v>
      </c>
      <c r="H24" s="10">
        <v>10</v>
      </c>
      <c r="I24" s="16"/>
      <c r="J24" s="10" t="s">
        <v>18</v>
      </c>
      <c r="K24" s="10" t="s">
        <v>241</v>
      </c>
      <c r="L24" s="4" t="s">
        <v>242</v>
      </c>
      <c r="M24" s="4">
        <v>8</v>
      </c>
    </row>
    <row r="25" spans="1:13" hidden="1" x14ac:dyDescent="0.3">
      <c r="A25" s="11" t="s">
        <v>237</v>
      </c>
      <c r="B25" s="7" t="s">
        <v>410</v>
      </c>
      <c r="C25" s="11" t="s">
        <v>243</v>
      </c>
      <c r="D25" s="11" t="s">
        <v>239</v>
      </c>
      <c r="E25" s="4" t="s">
        <v>240</v>
      </c>
      <c r="F25" s="4" t="str">
        <f>IF(SW[[#This Row],[Notes]]="needed in ROM", SW[[#This Row],[Code Size (KB)]],"")</f>
        <v/>
      </c>
      <c r="G25" s="4" t="str">
        <f>IF(SW[[#This Row],[Notes]]&lt;&gt;"needed in ROM",SW[[#This Row],[Code Size (KB)]],"")</f>
        <v>520KB</v>
      </c>
      <c r="H25" s="11">
        <v>8</v>
      </c>
      <c r="I25" s="17"/>
      <c r="J25" s="11" t="s">
        <v>18</v>
      </c>
      <c r="K25" s="11" t="s">
        <v>245</v>
      </c>
      <c r="L25" s="4" t="s">
        <v>246</v>
      </c>
      <c r="M25" s="4">
        <v>1</v>
      </c>
    </row>
    <row r="26" spans="1:13" hidden="1" x14ac:dyDescent="0.3">
      <c r="A26" s="11" t="s">
        <v>237</v>
      </c>
      <c r="B26" s="7" t="s">
        <v>411</v>
      </c>
      <c r="C26" s="11" t="s">
        <v>247</v>
      </c>
      <c r="D26" s="11" t="s">
        <v>239</v>
      </c>
      <c r="E26" s="4" t="s">
        <v>244</v>
      </c>
      <c r="F26" s="4" t="str">
        <f>IF(SW[[#This Row],[Notes]]="needed in ROM", SW[[#This Row],[Code Size (KB)]],"")</f>
        <v/>
      </c>
      <c r="G26" s="4" t="str">
        <f>IF(SW[[#This Row],[Notes]]&lt;&gt;"needed in ROM",SW[[#This Row],[Code Size (KB)]],"")</f>
        <v>128KB</v>
      </c>
      <c r="H26" s="11">
        <v>10</v>
      </c>
      <c r="I26" s="17"/>
      <c r="J26" s="11" t="s">
        <v>18</v>
      </c>
      <c r="K26" s="11" t="s">
        <v>249</v>
      </c>
      <c r="L26" s="4" t="s">
        <v>250</v>
      </c>
      <c r="M26" s="4">
        <v>4</v>
      </c>
    </row>
    <row r="27" spans="1:13" hidden="1" x14ac:dyDescent="0.3">
      <c r="A27" s="7" t="s">
        <v>251</v>
      </c>
      <c r="B27" s="7" t="s">
        <v>413</v>
      </c>
      <c r="C27" s="4" t="s">
        <v>255</v>
      </c>
      <c r="D27" s="4" t="s">
        <v>239</v>
      </c>
      <c r="E27" s="4" t="s">
        <v>252</v>
      </c>
      <c r="F27" s="4" t="str">
        <f>IF(SW[[#This Row],[Notes]]="needed in ROM", SW[[#This Row],[Code Size (KB)]],"")</f>
        <v/>
      </c>
      <c r="G27" s="4" t="str">
        <f>IF(SW[[#This Row],[Notes]]&lt;&gt;"needed in ROM",SW[[#This Row],[Code Size (KB)]],"")</f>
        <v>616KB</v>
      </c>
      <c r="H27" s="4">
        <v>4</v>
      </c>
      <c r="I27" s="16"/>
      <c r="J27" s="4" t="s">
        <v>18</v>
      </c>
      <c r="K27" s="4" t="s">
        <v>254</v>
      </c>
      <c r="L27" s="4" t="s">
        <v>253</v>
      </c>
      <c r="M27" s="4">
        <v>2</v>
      </c>
    </row>
    <row r="28" spans="1:13" hidden="1" x14ac:dyDescent="0.3">
      <c r="A28" s="7" t="s">
        <v>251</v>
      </c>
      <c r="B28" s="7" t="s">
        <v>414</v>
      </c>
      <c r="C28" s="4" t="s">
        <v>256</v>
      </c>
      <c r="D28" s="4" t="s">
        <v>239</v>
      </c>
      <c r="E28" s="4" t="s">
        <v>252</v>
      </c>
      <c r="F28" s="4" t="str">
        <f>IF(SW[[#This Row],[Notes]]="needed in ROM", SW[[#This Row],[Code Size (KB)]],"")</f>
        <v/>
      </c>
      <c r="G28" s="4" t="str">
        <f>IF(SW[[#This Row],[Notes]]&lt;&gt;"needed in ROM",SW[[#This Row],[Code Size (KB)]],"")</f>
        <v>616KB</v>
      </c>
      <c r="H28" s="4">
        <v>4</v>
      </c>
      <c r="I28" s="16"/>
      <c r="J28" s="4" t="s">
        <v>18</v>
      </c>
      <c r="K28" s="4" t="s">
        <v>258</v>
      </c>
      <c r="L28" s="4" t="s">
        <v>253</v>
      </c>
      <c r="M28" s="4">
        <v>2</v>
      </c>
    </row>
    <row r="29" spans="1:13" hidden="1" x14ac:dyDescent="0.3">
      <c r="A29" s="7" t="s">
        <v>251</v>
      </c>
      <c r="B29" s="7" t="s">
        <v>415</v>
      </c>
      <c r="C29" s="4" t="s">
        <v>259</v>
      </c>
      <c r="D29" s="4" t="s">
        <v>239</v>
      </c>
      <c r="E29" s="4" t="s">
        <v>257</v>
      </c>
      <c r="F29" s="4" t="str">
        <f>IF(SW[[#This Row],[Notes]]="needed in ROM", SW[[#This Row],[Code Size (KB)]],"")</f>
        <v/>
      </c>
      <c r="G29" s="4" t="str">
        <f>IF(SW[[#This Row],[Notes]]&lt;&gt;"needed in ROM",SW[[#This Row],[Code Size (KB)]],"")</f>
        <v>948KB</v>
      </c>
      <c r="H29" s="4">
        <v>3</v>
      </c>
      <c r="I29" s="16"/>
      <c r="J29" s="4" t="s">
        <v>18</v>
      </c>
      <c r="K29" s="4" t="s">
        <v>258</v>
      </c>
      <c r="L29" s="4" t="s">
        <v>253</v>
      </c>
      <c r="M29" s="4">
        <v>3</v>
      </c>
    </row>
    <row r="30" spans="1:13" hidden="1" x14ac:dyDescent="0.3">
      <c r="A30" s="7" t="s">
        <v>251</v>
      </c>
      <c r="B30" s="7" t="s">
        <v>416</v>
      </c>
      <c r="C30" s="4" t="s">
        <v>260</v>
      </c>
      <c r="D30" s="4" t="s">
        <v>239</v>
      </c>
      <c r="E30" s="4" t="s">
        <v>257</v>
      </c>
      <c r="F30" s="4" t="str">
        <f>IF(SW[[#This Row],[Notes]]="needed in ROM", SW[[#This Row],[Code Size (KB)]],"")</f>
        <v/>
      </c>
      <c r="G30" s="4" t="str">
        <f>IF(SW[[#This Row],[Notes]]&lt;&gt;"needed in ROM",SW[[#This Row],[Code Size (KB)]],"")</f>
        <v>948KB</v>
      </c>
      <c r="H30" s="4"/>
      <c r="I30" s="16"/>
      <c r="J30" s="4" t="s">
        <v>18</v>
      </c>
      <c r="K30" s="4" t="s">
        <v>261</v>
      </c>
      <c r="L30" s="4" t="s">
        <v>262</v>
      </c>
      <c r="M30" s="4">
        <v>2</v>
      </c>
    </row>
    <row r="31" spans="1:13" hidden="1" x14ac:dyDescent="0.3">
      <c r="A31" s="7" t="s">
        <v>251</v>
      </c>
      <c r="B31" s="7" t="s">
        <v>417</v>
      </c>
      <c r="C31" s="6" t="s">
        <v>263</v>
      </c>
      <c r="D31" s="4" t="s">
        <v>264</v>
      </c>
      <c r="E31" s="4"/>
      <c r="F31" s="4" t="str">
        <f>IF(SW[[#This Row],[Notes]]="needed in ROM", SW[[#This Row],[Code Size (KB)]],"")</f>
        <v/>
      </c>
      <c r="G31" s="4">
        <f>IF(SW[[#This Row],[Notes]]&lt;&gt;"needed in ROM",SW[[#This Row],[Code Size (KB)]],"")</f>
        <v>0</v>
      </c>
      <c r="H31" s="4">
        <v>4</v>
      </c>
      <c r="I31" s="16"/>
      <c r="J31" s="4" t="s">
        <v>18</v>
      </c>
      <c r="K31" s="4" t="s">
        <v>265</v>
      </c>
      <c r="L31" s="4" t="s">
        <v>266</v>
      </c>
      <c r="M31" s="3"/>
    </row>
    <row r="32" spans="1:13" hidden="1" x14ac:dyDescent="0.3">
      <c r="A32" s="7" t="s">
        <v>251</v>
      </c>
      <c r="B32" s="7" t="s">
        <v>418</v>
      </c>
      <c r="C32" s="6" t="s">
        <v>267</v>
      </c>
      <c r="D32" s="4" t="s">
        <v>268</v>
      </c>
      <c r="E32" s="4" t="s">
        <v>248</v>
      </c>
      <c r="F32" s="4" t="str">
        <f>IF(SW[[#This Row],[Notes]]="needed in ROM", SW[[#This Row],[Code Size (KB)]],"")</f>
        <v/>
      </c>
      <c r="G32" s="4" t="str">
        <f>IF(SW[[#This Row],[Notes]]&lt;&gt;"needed in ROM",SW[[#This Row],[Code Size (KB)]],"")</f>
        <v>500KB</v>
      </c>
      <c r="H32" s="4">
        <v>8</v>
      </c>
      <c r="I32" s="16"/>
      <c r="J32" s="4" t="s">
        <v>18</v>
      </c>
      <c r="K32" s="4" t="s">
        <v>265</v>
      </c>
      <c r="L32" s="4" t="s">
        <v>270</v>
      </c>
      <c r="M32" s="3"/>
    </row>
    <row r="33" spans="1:13" x14ac:dyDescent="0.3">
      <c r="A33" s="6" t="s">
        <v>271</v>
      </c>
      <c r="B33" s="7" t="s">
        <v>419</v>
      </c>
      <c r="C33" s="6"/>
      <c r="D33" s="6" t="s">
        <v>272</v>
      </c>
      <c r="E33" s="4" t="s">
        <v>269</v>
      </c>
      <c r="F33" s="4" t="str">
        <f>IF(SW[[#This Row],[Notes]]="needed in ROM", SW[[#This Row],[Code Size (KB)]],"")</f>
        <v/>
      </c>
      <c r="G33" s="4" t="str">
        <f>IF(SW[[#This Row],[Notes]]&lt;&gt;"needed in ROM",SW[[#This Row],[Code Size (KB)]],"")</f>
        <v>2 MB</v>
      </c>
      <c r="H33" s="4"/>
      <c r="I33" s="16"/>
      <c r="J33" s="4"/>
      <c r="K33" s="4"/>
      <c r="L33" s="4"/>
      <c r="M33" s="3"/>
    </row>
    <row r="34" spans="1:13" x14ac:dyDescent="0.3">
      <c r="A34" s="7" t="s">
        <v>273</v>
      </c>
      <c r="B34" s="7" t="s">
        <v>420</v>
      </c>
      <c r="C34" s="6" t="s">
        <v>274</v>
      </c>
      <c r="D34" s="6" t="s">
        <v>239</v>
      </c>
      <c r="E34" s="4"/>
      <c r="F34" s="4" t="str">
        <f>IF(SW[[#This Row],[Notes]]="needed in ROM", SW[[#This Row],[Code Size (KB)]],"")</f>
        <v/>
      </c>
      <c r="G34" s="4">
        <f>IF(SW[[#This Row],[Notes]]&lt;&gt;"needed in ROM",SW[[#This Row],[Code Size (KB)]],"")</f>
        <v>0</v>
      </c>
      <c r="H34" s="4">
        <v>4</v>
      </c>
      <c r="I34" s="16"/>
      <c r="J34" s="4" t="s">
        <v>17</v>
      </c>
      <c r="K34" s="4" t="s">
        <v>276</v>
      </c>
      <c r="L34" s="4" t="s">
        <v>184</v>
      </c>
      <c r="M34" s="3">
        <v>4</v>
      </c>
    </row>
    <row r="35" spans="1:13" x14ac:dyDescent="0.3">
      <c r="A35" s="7" t="s">
        <v>273</v>
      </c>
      <c r="B35" s="7" t="s">
        <v>421</v>
      </c>
      <c r="C35" s="4" t="s">
        <v>277</v>
      </c>
      <c r="D35" s="6" t="s">
        <v>239</v>
      </c>
      <c r="E35" s="4" t="s">
        <v>275</v>
      </c>
      <c r="F35" s="4" t="str">
        <f>IF(SW[[#This Row],[Notes]]="needed in ROM", SW[[#This Row],[Code Size (KB)]],"")</f>
        <v/>
      </c>
      <c r="G35" s="4">
        <v>16</v>
      </c>
      <c r="H35" s="4"/>
      <c r="I35" s="16"/>
      <c r="J35" s="4" t="s">
        <v>17</v>
      </c>
      <c r="K35" s="4" t="s">
        <v>278</v>
      </c>
      <c r="L35" s="4" t="s">
        <v>184</v>
      </c>
      <c r="M35" s="3">
        <v>4</v>
      </c>
    </row>
    <row r="36" spans="1:13" x14ac:dyDescent="0.3">
      <c r="A36" s="7" t="s">
        <v>273</v>
      </c>
      <c r="B36" s="7" t="s">
        <v>422</v>
      </c>
      <c r="C36" s="6" t="s">
        <v>279</v>
      </c>
      <c r="D36" s="6" t="s">
        <v>239</v>
      </c>
      <c r="E36" s="4">
        <v>472</v>
      </c>
      <c r="F36" s="4" t="str">
        <f>IF(SW[[#This Row],[Notes]]="needed in ROM", SW[[#This Row],[Code Size (KB)]],"")</f>
        <v/>
      </c>
      <c r="G36" s="4">
        <f>IF(SW[[#This Row],[Notes]]&lt;&gt;"needed in ROM",SW[[#This Row],[Code Size (KB)]],"")</f>
        <v>472</v>
      </c>
      <c r="H36" s="4">
        <v>4</v>
      </c>
      <c r="I36" s="16"/>
      <c r="J36" s="4" t="s">
        <v>17</v>
      </c>
      <c r="K36" s="4" t="s">
        <v>276</v>
      </c>
      <c r="L36" s="4" t="s">
        <v>184</v>
      </c>
      <c r="M36" s="4">
        <v>4</v>
      </c>
    </row>
    <row r="37" spans="1:13" hidden="1" x14ac:dyDescent="0.3">
      <c r="A37" s="7" t="s">
        <v>273</v>
      </c>
      <c r="B37" s="7" t="s">
        <v>423</v>
      </c>
      <c r="C37" s="4" t="s">
        <v>280</v>
      </c>
      <c r="D37" s="6" t="s">
        <v>239</v>
      </c>
      <c r="E37" s="4" t="s">
        <v>275</v>
      </c>
      <c r="F37" s="4" t="str">
        <f>IF(SW[[#This Row],[Notes]]="needed in ROM", SW[[#This Row],[Code Size (KB)]],"")</f>
        <v/>
      </c>
      <c r="G37" s="4" t="str">
        <f>IF(SW[[#This Row],[Notes]]&lt;&gt;"needed in ROM",SW[[#This Row],[Code Size (KB)]],"")</f>
        <v>16KB</v>
      </c>
      <c r="H37" s="4"/>
      <c r="I37" s="16"/>
      <c r="J37" s="4" t="s">
        <v>18</v>
      </c>
      <c r="K37" s="4" t="s">
        <v>282</v>
      </c>
      <c r="L37" s="4" t="s">
        <v>283</v>
      </c>
      <c r="M37" s="3">
        <v>2</v>
      </c>
    </row>
    <row r="38" spans="1:13" hidden="1" x14ac:dyDescent="0.3">
      <c r="A38" s="7" t="s">
        <v>273</v>
      </c>
      <c r="B38" s="7" t="s">
        <v>424</v>
      </c>
      <c r="C38" s="4" t="s">
        <v>284</v>
      </c>
      <c r="D38" s="6" t="s">
        <v>239</v>
      </c>
      <c r="E38" s="4" t="s">
        <v>281</v>
      </c>
      <c r="F38" s="4" t="str">
        <f>IF(SW[[#This Row],[Notes]]="needed in ROM", SW[[#This Row],[Code Size (KB)]],"")</f>
        <v/>
      </c>
      <c r="G38" s="4" t="str">
        <f>IF(SW[[#This Row],[Notes]]&lt;&gt;"needed in ROM",SW[[#This Row],[Code Size (KB)]],"")</f>
        <v>628KB</v>
      </c>
      <c r="H38" s="4"/>
      <c r="I38" s="16"/>
      <c r="J38" s="4" t="s">
        <v>18</v>
      </c>
      <c r="K38" s="4" t="s">
        <v>286</v>
      </c>
      <c r="L38" s="4" t="s">
        <v>184</v>
      </c>
      <c r="M38" s="4">
        <v>2</v>
      </c>
    </row>
    <row r="39" spans="1:13" hidden="1" x14ac:dyDescent="0.3">
      <c r="A39" s="14" t="s">
        <v>273</v>
      </c>
      <c r="B39" s="7" t="s">
        <v>425</v>
      </c>
      <c r="C39" s="13" t="s">
        <v>287</v>
      </c>
      <c r="D39" s="13" t="s">
        <v>239</v>
      </c>
      <c r="E39" s="4" t="s">
        <v>285</v>
      </c>
      <c r="F39" s="4" t="str">
        <f>IF(SW[[#This Row],[Notes]]="needed in ROM", SW[[#This Row],[Code Size (KB)]],"")</f>
        <v/>
      </c>
      <c r="G39" s="4" t="str">
        <f>IF(SW[[#This Row],[Notes]]&lt;&gt;"needed in ROM",SW[[#This Row],[Code Size (KB)]],"")</f>
        <v>512KB</v>
      </c>
      <c r="H39" s="13">
        <v>2</v>
      </c>
      <c r="I39" s="19"/>
      <c r="J39" s="13" t="s">
        <v>18</v>
      </c>
      <c r="K39" s="13" t="s">
        <v>289</v>
      </c>
      <c r="L39" s="13" t="s">
        <v>184</v>
      </c>
      <c r="M39" s="4">
        <v>2</v>
      </c>
    </row>
    <row r="40" spans="1:13" x14ac:dyDescent="0.3">
      <c r="A40" s="7"/>
      <c r="B40" s="7" t="s">
        <v>426</v>
      </c>
      <c r="C40" s="6" t="s">
        <v>290</v>
      </c>
      <c r="D40" s="4"/>
      <c r="E40" s="4" t="s">
        <v>288</v>
      </c>
      <c r="F40" s="4" t="str">
        <f>IF(SW[[#This Row],[Notes]]="needed in ROM", SW[[#This Row],[Code Size (KB)]],"")</f>
        <v/>
      </c>
      <c r="G40" s="4" t="str">
        <f>IF(SW[[#This Row],[Notes]]&lt;&gt;"needed in ROM",SW[[#This Row],[Code Size (KB)]],"")</f>
        <v>600KB</v>
      </c>
      <c r="H40" s="4"/>
      <c r="I40" s="16"/>
      <c r="J40" s="4"/>
      <c r="K40" s="4"/>
      <c r="L40" s="4"/>
      <c r="M40" s="4"/>
    </row>
    <row r="41" spans="1:13" hidden="1" x14ac:dyDescent="0.3">
      <c r="A41" s="7" t="s">
        <v>273</v>
      </c>
      <c r="B41" s="7" t="s">
        <v>427</v>
      </c>
      <c r="C41" s="6" t="s">
        <v>291</v>
      </c>
      <c r="D41" s="6" t="s">
        <v>239</v>
      </c>
      <c r="E41" s="4"/>
      <c r="F41" s="4" t="str">
        <f>IF(SW[[#This Row],[Notes]]="needed in ROM", SW[[#This Row],[Code Size (KB)]],"")</f>
        <v/>
      </c>
      <c r="G41" s="4">
        <f>IF(SW[[#This Row],[Notes]]&lt;&gt;"needed in ROM",SW[[#This Row],[Code Size (KB)]],"")</f>
        <v>0</v>
      </c>
      <c r="H41" s="4">
        <v>12</v>
      </c>
      <c r="I41" s="16"/>
      <c r="J41" s="4" t="s">
        <v>18</v>
      </c>
      <c r="K41" s="4" t="s">
        <v>293</v>
      </c>
      <c r="L41" s="4" t="s">
        <v>294</v>
      </c>
      <c r="M41" s="4">
        <v>4</v>
      </c>
    </row>
    <row r="42" spans="1:13" hidden="1" x14ac:dyDescent="0.3">
      <c r="A42" s="7" t="s">
        <v>273</v>
      </c>
      <c r="B42" s="7" t="s">
        <v>428</v>
      </c>
      <c r="C42" s="4" t="s">
        <v>295</v>
      </c>
      <c r="D42" s="6" t="s">
        <v>239</v>
      </c>
      <c r="E42" s="4" t="s">
        <v>292</v>
      </c>
      <c r="F42" s="4" t="str">
        <f>IF(SW[[#This Row],[Notes]]="needed in ROM", SW[[#This Row],[Code Size (KB)]],"")</f>
        <v/>
      </c>
      <c r="G42" s="4" t="str">
        <f>IF(SW[[#This Row],[Notes]]&lt;&gt;"needed in ROM",SW[[#This Row],[Code Size (KB)]],"")</f>
        <v>32KB</v>
      </c>
      <c r="H42" s="3"/>
      <c r="I42" s="18"/>
      <c r="J42" s="4" t="s">
        <v>18</v>
      </c>
      <c r="K42" s="4" t="s">
        <v>297</v>
      </c>
      <c r="L42" s="4" t="s">
        <v>294</v>
      </c>
      <c r="M42" s="4">
        <v>6</v>
      </c>
    </row>
    <row r="43" spans="1:13" x14ac:dyDescent="0.3">
      <c r="A43" s="6" t="s">
        <v>298</v>
      </c>
      <c r="B43" s="7" t="s">
        <v>429</v>
      </c>
      <c r="C43" s="6"/>
      <c r="D43" s="3"/>
      <c r="E43" s="4" t="s">
        <v>296</v>
      </c>
      <c r="F43" s="4" t="str">
        <f>IF(SW[[#This Row],[Notes]]="needed in ROM", SW[[#This Row],[Code Size (KB)]],"")</f>
        <v/>
      </c>
      <c r="G43" s="4" t="str">
        <f>IF(SW[[#This Row],[Notes]]&lt;&gt;"needed in ROM",SW[[#This Row],[Code Size (KB)]],"")</f>
        <v>1512KB</v>
      </c>
      <c r="H43" s="3"/>
      <c r="I43" s="18"/>
      <c r="J43" s="3"/>
      <c r="K43" s="3"/>
      <c r="L43" s="3"/>
      <c r="M43" s="3"/>
    </row>
    <row r="44" spans="1:13" hidden="1" x14ac:dyDescent="0.3">
      <c r="A44" s="7" t="s">
        <v>273</v>
      </c>
      <c r="B44" s="7" t="s">
        <v>430</v>
      </c>
      <c r="C44" s="4" t="s">
        <v>299</v>
      </c>
      <c r="D44" s="6" t="s">
        <v>239</v>
      </c>
      <c r="E44" s="4"/>
      <c r="F44" s="4" t="str">
        <f>IF(SW[[#This Row],[Notes]]="needed in ROM", SW[[#This Row],[Code Size (KB)]],"")</f>
        <v/>
      </c>
      <c r="G44" s="4">
        <f>IF(SW[[#This Row],[Notes]]&lt;&gt;"needed in ROM",SW[[#This Row],[Code Size (KB)]],"")</f>
        <v>0</v>
      </c>
      <c r="H44" s="4">
        <v>4</v>
      </c>
      <c r="I44" s="16"/>
      <c r="J44" s="4" t="s">
        <v>18</v>
      </c>
      <c r="K44" s="4" t="s">
        <v>301</v>
      </c>
      <c r="L44" s="4" t="s">
        <v>302</v>
      </c>
      <c r="M44" s="4">
        <v>1</v>
      </c>
    </row>
    <row r="45" spans="1:13" hidden="1" x14ac:dyDescent="0.3">
      <c r="A45" s="7" t="s">
        <v>273</v>
      </c>
      <c r="B45" s="7" t="s">
        <v>431</v>
      </c>
      <c r="C45" s="4" t="s">
        <v>303</v>
      </c>
      <c r="D45" s="6" t="s">
        <v>239</v>
      </c>
      <c r="E45" s="4" t="s">
        <v>300</v>
      </c>
      <c r="F45" s="4" t="str">
        <f>IF(SW[[#This Row],[Notes]]="needed in ROM", SW[[#This Row],[Code Size (KB)]],"")</f>
        <v/>
      </c>
      <c r="G45" s="4" t="str">
        <f>IF(SW[[#This Row],[Notes]]&lt;&gt;"needed in ROM",SW[[#This Row],[Code Size (KB)]],"")</f>
        <v>464KB</v>
      </c>
      <c r="H45" s="4"/>
      <c r="I45" s="16"/>
      <c r="J45" s="4" t="s">
        <v>18</v>
      </c>
      <c r="K45" s="4" t="s">
        <v>301</v>
      </c>
      <c r="L45" s="4" t="s">
        <v>184</v>
      </c>
      <c r="M45" s="4">
        <v>4</v>
      </c>
    </row>
    <row r="46" spans="1:13" hidden="1" x14ac:dyDescent="0.3">
      <c r="A46" s="7" t="s">
        <v>273</v>
      </c>
      <c r="B46" s="7" t="s">
        <v>432</v>
      </c>
      <c r="C46" s="4" t="s">
        <v>304</v>
      </c>
      <c r="D46" s="6" t="s">
        <v>239</v>
      </c>
      <c r="E46" s="4" t="s">
        <v>281</v>
      </c>
      <c r="F46" s="4" t="str">
        <f>IF(SW[[#This Row],[Notes]]="needed in ROM", SW[[#This Row],[Code Size (KB)]],"")</f>
        <v/>
      </c>
      <c r="G46" s="4" t="str">
        <f>IF(SW[[#This Row],[Notes]]&lt;&gt;"needed in ROM",SW[[#This Row],[Code Size (KB)]],"")</f>
        <v>628KB</v>
      </c>
      <c r="H46" s="4" t="s">
        <v>104</v>
      </c>
      <c r="I46" s="16"/>
      <c r="J46" s="4" t="s">
        <v>18</v>
      </c>
      <c r="K46" s="4" t="s">
        <v>301</v>
      </c>
      <c r="L46" s="4" t="s">
        <v>305</v>
      </c>
      <c r="M46" s="4">
        <v>2</v>
      </c>
    </row>
    <row r="47" spans="1:13" hidden="1" x14ac:dyDescent="0.3">
      <c r="A47" s="7" t="s">
        <v>273</v>
      </c>
      <c r="B47" s="7" t="s">
        <v>433</v>
      </c>
      <c r="C47" s="4" t="s">
        <v>306</v>
      </c>
      <c r="D47" s="6" t="s">
        <v>239</v>
      </c>
      <c r="E47" s="4" t="s">
        <v>281</v>
      </c>
      <c r="F47" s="4" t="str">
        <f>IF(SW[[#This Row],[Notes]]="needed in ROM", SW[[#This Row],[Code Size (KB)]],"")</f>
        <v/>
      </c>
      <c r="G47" s="4" t="str">
        <f>IF(SW[[#This Row],[Notes]]&lt;&gt;"needed in ROM",SW[[#This Row],[Code Size (KB)]],"")</f>
        <v>628KB</v>
      </c>
      <c r="H47" s="4"/>
      <c r="I47" s="16"/>
      <c r="J47" s="4" t="s">
        <v>18</v>
      </c>
      <c r="K47" s="4" t="s">
        <v>301</v>
      </c>
      <c r="L47" s="4" t="s">
        <v>184</v>
      </c>
      <c r="M47" s="4">
        <v>4</v>
      </c>
    </row>
    <row r="48" spans="1:13" hidden="1" x14ac:dyDescent="0.3">
      <c r="A48" s="7" t="s">
        <v>273</v>
      </c>
      <c r="B48" s="7" t="s">
        <v>434</v>
      </c>
      <c r="C48" s="4" t="s">
        <v>307</v>
      </c>
      <c r="D48" s="6" t="s">
        <v>239</v>
      </c>
      <c r="E48" s="4" t="s">
        <v>281</v>
      </c>
      <c r="F48" s="4" t="str">
        <f>IF(SW[[#This Row],[Notes]]="needed in ROM", SW[[#This Row],[Code Size (KB)]],"")</f>
        <v/>
      </c>
      <c r="G48" s="4" t="str">
        <f>IF(SW[[#This Row],[Notes]]&lt;&gt;"needed in ROM",SW[[#This Row],[Code Size (KB)]],"")</f>
        <v>628KB</v>
      </c>
      <c r="H48" s="4">
        <v>2</v>
      </c>
      <c r="I48" s="16"/>
      <c r="J48" s="4" t="s">
        <v>18</v>
      </c>
      <c r="K48" s="4" t="s">
        <v>308</v>
      </c>
      <c r="L48" s="4" t="s">
        <v>302</v>
      </c>
      <c r="M48" s="4">
        <v>1</v>
      </c>
    </row>
    <row r="49" spans="1:13" hidden="1" x14ac:dyDescent="0.3">
      <c r="A49" s="7" t="s">
        <v>273</v>
      </c>
      <c r="B49" s="7" t="s">
        <v>435</v>
      </c>
      <c r="C49" s="4" t="s">
        <v>309</v>
      </c>
      <c r="D49" s="6" t="s">
        <v>239</v>
      </c>
      <c r="E49" s="4" t="s">
        <v>281</v>
      </c>
      <c r="F49" s="4" t="str">
        <f>IF(SW[[#This Row],[Notes]]="needed in ROM", SW[[#This Row],[Code Size (KB)]],"")</f>
        <v/>
      </c>
      <c r="G49" s="4" t="str">
        <f>IF(SW[[#This Row],[Notes]]&lt;&gt;"needed in ROM",SW[[#This Row],[Code Size (KB)]],"")</f>
        <v>628KB</v>
      </c>
      <c r="H49" s="4">
        <v>2</v>
      </c>
      <c r="I49" s="16"/>
      <c r="J49" s="4" t="s">
        <v>18</v>
      </c>
      <c r="K49" s="4" t="s">
        <v>311</v>
      </c>
      <c r="L49" s="4" t="s">
        <v>312</v>
      </c>
      <c r="M49" s="4">
        <v>2</v>
      </c>
    </row>
    <row r="50" spans="1:13" x14ac:dyDescent="0.3">
      <c r="A50" s="34"/>
      <c r="B50" s="7" t="s">
        <v>436</v>
      </c>
      <c r="C50" s="4"/>
      <c r="D50" s="6"/>
      <c r="E50" s="4" t="s">
        <v>310</v>
      </c>
      <c r="F50" s="4" t="str">
        <f>IF(SW[[#This Row],[Notes]]="needed in ROM", SW[[#This Row],[Code Size (KB)]],"")</f>
        <v/>
      </c>
      <c r="G50" s="4" t="str">
        <f>IF(SW[[#This Row],[Notes]]&lt;&gt;"needed in ROM",SW[[#This Row],[Code Size (KB)]],"")</f>
        <v>1628KB</v>
      </c>
      <c r="H50" s="4"/>
      <c r="I50" s="16"/>
      <c r="J50" s="4"/>
      <c r="K50" s="4"/>
      <c r="L50" s="4"/>
      <c r="M50" s="4"/>
    </row>
    <row r="51" spans="1:13" x14ac:dyDescent="0.3">
      <c r="A51" s="4" t="s">
        <v>313</v>
      </c>
      <c r="B51" s="4"/>
      <c r="C51" s="4"/>
      <c r="D51" s="4" t="s">
        <v>314</v>
      </c>
      <c r="E51" s="4" t="s">
        <v>315</v>
      </c>
      <c r="F51" s="4"/>
      <c r="G51" s="4"/>
      <c r="H51" s="4" t="s">
        <v>316</v>
      </c>
      <c r="I51" s="18"/>
      <c r="J51" s="3"/>
      <c r="K51" s="3"/>
      <c r="L51" s="3"/>
      <c r="M51" s="3"/>
    </row>
    <row r="52" spans="1:13" x14ac:dyDescent="0.3">
      <c r="A52" s="4" t="s">
        <v>317</v>
      </c>
      <c r="B52" s="4"/>
      <c r="C52" s="4"/>
      <c r="D52" s="4" t="s">
        <v>318</v>
      </c>
      <c r="E52" s="4" t="s">
        <v>319</v>
      </c>
      <c r="F52" s="4"/>
      <c r="G52" s="4"/>
      <c r="H52" s="4" t="s">
        <v>470</v>
      </c>
      <c r="I52" s="18"/>
      <c r="J52" s="3"/>
      <c r="K52" s="3"/>
      <c r="L52" s="3"/>
      <c r="M52" s="3"/>
    </row>
    <row r="53" spans="1:13" x14ac:dyDescent="0.3">
      <c r="A53" s="4" t="s">
        <v>320</v>
      </c>
      <c r="B53" s="4"/>
      <c r="C53" s="4"/>
      <c r="D53" s="4" t="s">
        <v>321</v>
      </c>
      <c r="E53" s="4" t="s">
        <v>322</v>
      </c>
      <c r="F53" s="4"/>
      <c r="G53" s="4"/>
      <c r="H53" s="12" t="s">
        <v>323</v>
      </c>
      <c r="I53" s="18"/>
      <c r="J53" s="3"/>
      <c r="K53" s="3"/>
      <c r="L53" s="3"/>
      <c r="M53" s="3"/>
    </row>
    <row r="54" spans="1:13" x14ac:dyDescent="0.3">
      <c r="A54" s="4" t="s">
        <v>324</v>
      </c>
      <c r="B54" s="4"/>
      <c r="C54" s="7" t="s">
        <v>325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4" t="s">
        <v>326</v>
      </c>
      <c r="B55" s="4"/>
      <c r="C55" s="7" t="s">
        <v>327</v>
      </c>
      <c r="D55" s="4" t="s">
        <v>328</v>
      </c>
      <c r="E55" s="3"/>
      <c r="F55" s="3"/>
      <c r="G55" s="3"/>
      <c r="H55" s="3"/>
      <c r="I55" s="3"/>
      <c r="J55" s="3"/>
      <c r="K55" s="3"/>
      <c r="L55" s="3"/>
      <c r="M55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 Cost</vt:lpstr>
      <vt:lpstr>Design Cost</vt:lpstr>
      <vt:lpstr>Overall</vt:lpstr>
      <vt:lpstr>Staffing</vt:lpstr>
      <vt:lpstr>HW BOM for ITPM</vt:lpstr>
      <vt:lpstr>SW BOM for ITPM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Karl Jackson</cp:lastModifiedBy>
  <cp:revision/>
  <dcterms:created xsi:type="dcterms:W3CDTF">2023-01-05T19:45:36Z</dcterms:created>
  <dcterms:modified xsi:type="dcterms:W3CDTF">2025-06-04T18:37:20Z</dcterms:modified>
  <cp:category/>
  <cp:contentStatus/>
</cp:coreProperties>
</file>