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wmf" ContentType="image/x-w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trlProps/ctrlProp1.xml" ContentType="application/vnd.ms-excel.controlproperties+xml"/>
  <Override PartName="/xl/ctrlProps/ctrlProp10.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hidePivotFieldList="1"/>
  <workbookProtection lockStructure="1"/>
  <bookViews>
    <workbookView windowWidth="25600" windowHeight="12080" tabRatio="610" activeTab="12"/>
  </bookViews>
  <sheets>
    <sheet name="背景" sheetId="17" r:id="rId1"/>
    <sheet name="主要" sheetId="2" r:id="rId2"/>
    <sheet name="背包" sheetId="3" r:id="rId3"/>
    <sheet name="法术书" sheetId="8" r:id="rId4"/>
    <sheet name="综合数据" sheetId="36" state="hidden" r:id="rId5"/>
    <sheet name="种族数据" sheetId="23" state="hidden" r:id="rId6"/>
    <sheet name="职业数据" sheetId="29" state="hidden" r:id="rId7"/>
    <sheet name="装备数据" sheetId="31" state="hidden" r:id="rId8"/>
    <sheet name="背景数据" sheetId="30" state="hidden" r:id="rId9"/>
    <sheet name="专长数据" sheetId="32" state="hidden" r:id="rId10"/>
    <sheet name="法术数据" sheetId="34" state="hidden" r:id="rId11"/>
    <sheet name="赠礼数据" sheetId="39" state="hidden" r:id="rId12"/>
    <sheet name="法术查询" sheetId="43" r:id="rId13"/>
    <sheet name="计算器" sheetId="42" r:id="rId14"/>
    <sheet name=" " sheetId="40" r:id="rId15"/>
    <sheet name="额外法术" sheetId="4" state="hidden" r:id="rId16"/>
    <sheet name="盟友" sheetId="5" state="hidden" r:id="rId17"/>
    <sheet name="据点" sheetId="21" state="hidden" r:id="rId18"/>
  </sheets>
  <definedNames>
    <definedName name="_xlnm._FilterDatabase" localSheetId="10" hidden="1">法术数据!$A$2:$AV$524</definedName>
    <definedName name="_xlnm._FilterDatabase" localSheetId="5" hidden="1">种族数据!$AI$2:$BI$157</definedName>
    <definedName name="_xlnm._FilterDatabase" localSheetId="7" hidden="1">装备数据!#REF!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周拜</author>
  </authors>
  <commentList>
    <comment ref="R20" authorId="0">
      <text>
        <r>
          <rPr>
            <b/>
            <sz val="9"/>
            <rFont val="宋体"/>
            <charset val="134"/>
          </rPr>
          <t>可选</t>
        </r>
      </text>
    </comment>
    <comment ref="R24" authorId="0">
      <text>
        <r>
          <rPr>
            <b/>
            <sz val="9"/>
            <rFont val="宋体"/>
            <charset val="134"/>
          </rPr>
          <t>可选</t>
        </r>
      </text>
    </comment>
  </commentList>
</comments>
</file>

<file path=xl/comments2.xml><?xml version="1.0" encoding="utf-8"?>
<comments xmlns="http://schemas.openxmlformats.org/spreadsheetml/2006/main">
  <authors>
    <author>LENOVO</author>
    <author>Null</author>
    <author>Walmart-2756</author>
    <author>Administrator</author>
    <author>周拜</author>
  </authors>
  <commentList>
    <comment ref="B7" authorId="0">
      <text>
        <r>
          <rPr>
            <sz val="9"/>
            <rFont val="微软雅黑"/>
            <charset val="134"/>
          </rPr>
          <t>亚种
变体
分支
族系</t>
        </r>
      </text>
    </comment>
    <comment ref="C14" authorId="0">
      <text>
        <r>
          <rPr>
            <sz val="9"/>
            <rFont val="微软雅黑"/>
            <charset val="134"/>
          </rPr>
          <t>力量代表肌肉力量、运动训练及所能发挥的肉体潜能。
力量检定可以对应举重、推、拉、暴力破坏、推挤或其他使用蛮力的情况。
当你执行以下行动时，可能会要求你进行力量检定：
强行突破卡死、上锁或栓住、堵塞的门
扯开束缚物
挤过太狭窄的通道
被马车拖行时抓着马车不放
推倒一座雕像
止住滚动中的大圆石</t>
        </r>
      </text>
    </comment>
    <comment ref="C15" authorId="0">
      <text>
        <r>
          <rPr>
            <sz val="9"/>
            <rFont val="微软雅黑"/>
            <charset val="134"/>
          </rPr>
          <t>敏捷代表机敏度、反射速度、平衡力。
敏捷检定可以对应进行灵巧、迅速、安静的移动，或在不稳定的地方保持平衡。
当你执行以下行动时，可能会要求你进行敏捷检定：
在落坡时控制住重载的马车
控制战车急转弯或避开障碍
撬锁
解除陷阱
牢牢地绑住战俘
从束缚中滑脱
演奏弦乐
制作细致的小东西</t>
        </r>
      </text>
    </comment>
    <comment ref="C16" authorId="0">
      <text>
        <r>
          <rPr>
            <sz val="9"/>
            <rFont val="微软雅黑"/>
            <charset val="134"/>
          </rPr>
          <t>体质代表健康、耐力、生命力。
体质检定可以对应超越突破极限的努力。
当你进行以下行动时，可能会要求你进行体质检定：
闭气
持续数小时不间断的行进或作苦力活
通宵活动
不吃不喝
一口喝掉一大杯麦酒</t>
        </r>
      </text>
    </comment>
    <comment ref="C17" authorId="0">
      <text>
        <r>
          <rPr>
            <sz val="9"/>
            <rFont val="微软雅黑"/>
            <charset val="134"/>
          </rPr>
          <t>智力代表思维能力、记忆能力、逻辑能力。
智力检定可以对应需要使用推理、教育、记忆的状态。
当你进行以下行动时，可能会要求你进行智力检定：
不使用言语与他人沟通
给一件贵重品估价
搜集材料以伪装成一名城市守卫通过某处
伪造文书
忆起关于一门手艺或行业的知识
在技术性游戏中获胜</t>
        </r>
      </text>
    </comment>
    <comment ref="C18" authorId="0">
      <text>
        <r>
          <rPr>
            <sz val="9"/>
            <rFont val="微软雅黑"/>
            <charset val="134"/>
          </rPr>
          <t>感知代表你与周围环境的协和度，反映你的观察力和洞察力。
感知检定可以对应理解肢体语言、同理心、感受环境、照顾伤患等活动。
当你进行以下行动时，可能会要你进行感知检定：
用直觉决定下一步应该怎样做
辨认看上去已经死了或者还活着的生物是否不死生物</t>
        </r>
      </text>
    </comment>
    <comment ref="C19" authorId="0">
      <text>
        <r>
          <rPr>
            <sz val="9"/>
            <rFont val="微软雅黑"/>
            <charset val="134"/>
          </rPr>
          <t>魅力你跟他人有效地交流的能力。它代表了信心、口才，也能代表迷人或有凝聚力的个性。
魅力检定可以对应使人改变心意、娱人、留下深刻印像、说谎、应酬等活动。
当你进行以下行动时，可能会要你进行魅力检定：
找出最消息灵通的人
融入群众，听取当下的热门话题</t>
        </r>
      </text>
    </comment>
    <comment ref="J26" authorId="1">
      <text>
        <r>
          <rPr>
            <sz val="9"/>
            <rFont val="微软雅黑"/>
            <charset val="134"/>
          </rPr>
          <t>生命骰的总数等于角色的等级
每一粒生命骰的结果加上角色的体质调整值，即为该粒生命骰恢复的生命值（总数至少为0）
每掷完一粒生命骰，都可以选择是否花费更多生命骰来恢复生命
一个角色已花费的生命骰，可以通过完成一次长休来恢复</t>
        </r>
      </text>
    </comment>
    <comment ref="J29" authorId="1">
      <text>
        <r>
          <rPr>
            <sz val="9"/>
            <rFont val="微软雅黑"/>
            <charset val="134"/>
          </rPr>
          <t>受该类型伤害时数值减半
抗性先作用于易伤，而两者皆在伤害加上所有适用的调整值后再作应用</t>
        </r>
      </text>
    </comment>
    <comment ref="AB32" authorId="2">
      <text>
        <r>
          <rPr>
            <sz val="9"/>
            <rFont val="微软雅黑"/>
            <charset val="134"/>
          </rPr>
          <t>有时候，你所进行的属性检定，攻击检定或豁免检定会具有优势或劣势这种特殊调整
此时，你在进行相应的掷骰后要再掷一次d20，具有优势时采用骰值较高者，劣势则采用值低者
当有多个情况使你同时具有复数的优势或劣势时，你都只能额外掷一次d20
如果某次掷骰同时具有优势和劣势，则两边效果互相抵消，即你只掷一次d20，即使两边的数量不对等也一样，此时，你视为没有优势也没有劣势
当你具有优势或劣势，且可以重掷或取代d20值时（比如半身人“幸运”特性的作用），你可以选择重掷或取代两粒骰其中一个
通常你会因特殊能力、动作、法术而具有优势或劣势。另外，激励（见第4章）也可以使角色在进行关于个人特点、理想或牵绊的检定时具有优势。而DM也可以对你的形势优劣作出判断，然后给予你相应的优势或劣势</t>
        </r>
      </text>
    </comment>
    <comment ref="J34" authorId="3">
      <text>
        <r>
          <rPr>
            <sz val="9"/>
            <rFont val="微软雅黑"/>
            <charset val="134"/>
          </rPr>
          <t>【特殊能力】
可用来记录职业能力
如狂暴、气、引导神力等...</t>
        </r>
      </text>
    </comment>
    <comment ref="S34" authorId="3">
      <text>
        <r>
          <rPr>
            <sz val="9"/>
            <rFont val="微软雅黑"/>
            <charset val="134"/>
          </rPr>
          <t>【特殊能力】
可用来记录职业能力
如狂暴、气、引导神力等...</t>
        </r>
      </text>
    </comment>
    <comment ref="AB34" authorId="2">
      <text>
        <r>
          <rPr>
            <sz val="9"/>
            <rFont val="微软雅黑"/>
            <charset val="134"/>
          </rPr>
          <t>有时候，你所进行的属性检定，攻击检定或豁免检定会具有优势或劣势这种特殊调整
此时，你在进行相应的掷骰后要再掷一次d20，具有优势时采用骰值较高者，劣势则采用值低者
当有多个情况使你同时具有复数的优势或劣势时，你都只能额外掷一次d20
如果某次掷骰同时具有优势和劣势，则两边效果互相抵消，即你只掷一次d20，即使两边的数量不对等也一样，此时，你视为没有优势也没有劣势
当你具有优势或劣势，且可以重掷或取代d20值时，你可以选择重掷或取代两粒骰其中一个
通常你会因特殊能力、动作、法术而具有优势或劣势。另外，激励（见第4章）也可以使角色在进行关于个人特点、理想或牵绊的检定时具有优势。而DM也可以对你的形势优劣作出判断，然后给予你相应的优势或劣势</t>
        </r>
      </text>
    </comment>
    <comment ref="C39" authorId="0">
      <text>
        <r>
          <rPr>
            <sz val="9"/>
            <rFont val="微软雅黑"/>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41" authorId="0">
      <text>
        <r>
          <rPr>
            <sz val="9"/>
            <rFont val="微软雅黑"/>
            <charset val="134"/>
          </rPr>
          <t>涵盖了在冰块上奔跑，在绳索上平衡，在摇曳甲板上站稳等需要保持平衡的情况。
也可能用来判定你能否完成体操特技，如前翻、侧翻、空翻、后翻等。</t>
        </r>
      </text>
    </comment>
    <comment ref="C42" authorId="0">
      <text>
        <r>
          <rPr>
            <sz val="9"/>
            <rFont val="微软雅黑"/>
            <charset val="134"/>
          </rPr>
          <t>涵盖了你尝试施行障眼法或巧手时（如把一些东西放在他人身上，或者将一件东西藏在自已身上）的情况。
也可能用来判定你能否从其他人的钱包或口袋中摸鱼。</t>
        </r>
      </text>
    </comment>
    <comment ref="C43" authorId="0">
      <text>
        <r>
          <rPr>
            <sz val="9"/>
            <rFont val="微软雅黑"/>
            <charset val="134"/>
          </rPr>
          <t>涵盖了你尝试躲起避过敌人，躲过守卫，偷偷溜走，无声息地绕到某人背后的情况。</t>
        </r>
      </text>
    </comment>
    <comment ref="I43" authorId="0">
      <text>
        <r>
          <rPr>
            <sz val="9"/>
            <rFont val="微软雅黑"/>
            <charset val="134"/>
          </rPr>
          <t xml:space="preserve">躲藏
DM可以决定情况是否允许进行躲藏。
当你尝试躲藏时，可以进行一个敏捷（隐匿）检定。此后，直到你被发现或主动停止躲藏为止，该检定的总值将作为一个固定的对抗值存在。
而任何主动以感知（察觉）检定搜索你的生物，都将用其检定值与你该固定值作对抗，以判定是否发现你的存在。
你不能针对一个可以清楚看见你的生物进行躲藏，而你一旦发出声响（如大声发出警告，或踢破一个罐子）也会立即暴露你的位置。
隐形中的生物可以随时尝试躲藏。
尽管其踪迹依然可能会被注意到，但只要保持安静就不会轻易暴露自己的位置。
大多数生物在战斗中会对周围的危险保持警觉，因此如果你在躲藏中接近某生物，通常会被立即发现。
尽管如此，某种情况下DM也可能会允许你针对被分心的生物保持隐藏，并在被发现前让你进行一个具有优势的攻击检定。
被动察觉
你在躲藏时，某些生物就算不主动搜索依然可以注意到你。
DM可以用你的敏捷（隐匿）检定与其他生物的被动感知（察觉）值作对抗，同时加上其他加值或减值。生物具有优势时，其分值加5，劣势则减5。
</t>
        </r>
      </text>
    </comment>
    <comment ref="C45" authorId="0">
      <text>
        <r>
          <rPr>
            <sz val="9"/>
            <rFont val="微软雅黑"/>
            <charset val="134"/>
          </rPr>
          <t>涵盖了你忆起关于法术、魔法物品、奥秘符文、魔法学派、位面、位面住民等相关知识的情况。</t>
        </r>
      </text>
    </comment>
    <comment ref="C46" authorId="0">
      <text>
        <r>
          <rPr>
            <sz val="9"/>
            <rFont val="微软雅黑"/>
            <charset val="134"/>
          </rPr>
          <t>涵盖了你忆起关于历史事件、传奇人物、古王国、昔日纠纷、近代战争、失落文明等相关知识的情况。</t>
        </r>
      </text>
    </comment>
    <comment ref="C47" authorId="0">
      <text>
        <r>
          <rPr>
            <sz val="9"/>
            <rFont val="微软雅黑"/>
            <charset val="134"/>
          </rPr>
          <t>涵盖了你到处嗅探线索并以此进行推理的情况。
也可能用来判定你能否推断隐藏物件的位置，或从伤口的外观判断它由什么武器造成，或找出一条隧道的结构性弱点，或在一堆古书卷中寻找一段隐藏的知识。</t>
        </r>
      </text>
    </comment>
    <comment ref="C48" authorId="0">
      <text>
        <r>
          <rPr>
            <sz val="9"/>
            <rFont val="微软雅黑"/>
            <charset val="134"/>
          </rPr>
          <t>涵盖了你忆起关于地势、动植物、气候、自然周期相关知识的情况。</t>
        </r>
      </text>
    </comment>
    <comment ref="AX48" authorId="4">
      <text>
        <r>
          <rPr>
            <b/>
            <sz val="9"/>
            <rFont val="宋体"/>
            <charset val="134"/>
          </rPr>
          <t>目盲的生物不能视物，其所有需要视觉的属性检定直接失败
对目盲的生物发动攻击检定时具有优势。而目盲生物发动攻击检定时具有劣势</t>
        </r>
      </text>
    </comment>
    <comment ref="BB48" authorId="4">
      <text>
        <r>
          <rPr>
            <b/>
            <sz val="9"/>
            <rFont val="宋体"/>
            <charset val="134"/>
          </rPr>
          <t>被魅惑生物不能攻击魅惑者，其造成伤害的能力或魔法效应也不能以魅惑者为目标
魅惑者对被魅惑生物进行任何与社交相关的属性检定时具有优势</t>
        </r>
      </text>
    </comment>
    <comment ref="BF48" authorId="4">
      <text>
        <r>
          <rPr>
            <b/>
            <sz val="9"/>
            <rFont val="宋体"/>
            <charset val="134"/>
          </rPr>
          <t>耳聋的生物不能听音，其所有需要听觉的属性检定直接失败</t>
        </r>
      </text>
    </comment>
    <comment ref="BJ48" authorId="4">
      <text>
        <r>
          <rPr>
            <b/>
            <sz val="9"/>
            <rFont val="宋体"/>
            <charset val="134"/>
          </rPr>
          <t>造成恐慌的源头仍在被恐慌生物视线范围内时，其所有属性检定和攻击检定具有劣势
被恐慌生物不能自主向造成恐慌的源头移动</t>
        </r>
      </text>
    </comment>
    <comment ref="BN48" authorId="4">
      <text>
        <r>
          <rPr>
            <b/>
            <sz val="9"/>
            <rFont val="宋体"/>
            <charset val="134"/>
          </rPr>
          <t>被擒抱生物的速度变为0，且无法受益于任何速度加值
如果擒抱者陷入失能状态，则擒抱状态结束
如果某种效应将被擒抱生物移动到擒抱者或擒抱效果的接触范围之外，则其擒抱状态结束。例如，当生物被法术雷鸣波推开时</t>
        </r>
      </text>
    </comment>
    <comment ref="C49" authorId="0">
      <text>
        <r>
          <rPr>
            <sz val="9"/>
            <rFont val="微软雅黑"/>
            <charset val="134"/>
          </rPr>
          <t>涵盖了你忆起神祇、仪式和祷告、宗教阶级、圣徽、秘密组织风俗等相关知识的情况。</t>
        </r>
      </text>
    </comment>
    <comment ref="AX49" authorId="4">
      <text>
        <r>
          <rPr>
            <b/>
            <sz val="9"/>
            <rFont val="宋体"/>
            <charset val="134"/>
          </rPr>
          <t>失能的生物不能执行任何动作或反应</t>
        </r>
      </text>
    </comment>
    <comment ref="BB49" authorId="4">
      <text>
        <r>
          <rPr>
            <b/>
            <sz val="9"/>
            <rFont val="宋体"/>
            <charset val="134"/>
          </rPr>
          <t>隐形的生物只能被魔法或特殊感官观察到。在判断隐匿时，该生物视为处于重度遮蔽。不过，隐形的生物身处位置依然可以通过其发出的声音或留下的踪迹来辨认
对隐形的生物发动攻击检定时具有劣势。而隐形的生物发动攻击检定时具有优势</t>
        </r>
      </text>
    </comment>
    <comment ref="BF49" authorId="4">
      <text>
        <r>
          <rPr>
            <b/>
            <sz val="9"/>
            <rFont val="宋体"/>
            <charset val="134"/>
          </rPr>
          <t>麻痹的生物陷入失能状态，并且无法移动或说话
麻痹的生物进行力量和敏捷豁免时直接失败
对麻痹的生物发动攻击检定时具有优势
攻击者身处麻痹的生物身边5尺范围内时，其任何命中该生物的攻击都将直接造成重击</t>
        </r>
      </text>
    </comment>
    <comment ref="BJ49" authorId="4">
      <text>
        <r>
          <rPr>
            <b/>
            <sz val="9"/>
            <rFont val="宋体"/>
            <charset val="134"/>
          </rPr>
          <t>石化的生物遭受变形，其与随身着装或携带的非魔法物品一同被转化为无生命的实心雕像（通常是石雕）。其重量变为原本的十倍，并且停止老化
石化的生物陷入失能状态，并且无法移动，无法说话，也无法感知周围的事物
对石化的生物发动攻击检定时具有优势
石化的生物进行力量和敏捷豁免时直接失败
石化的生物具有所有伤害类型的伤害抗性
石化的生物免疫毒素和疾病，但已经生效的毒素或疾病只是被暂缓，而非移除</t>
        </r>
      </text>
    </comment>
    <comment ref="BN49" authorId="4">
      <text>
        <r>
          <rPr>
            <b/>
            <sz val="9"/>
            <rFont val="宋体"/>
            <charset val="134"/>
          </rPr>
          <t>中毒的生物发动攻击检定时具有劣势
中毒的生物进行属性检定时具有劣势</t>
        </r>
      </text>
    </comment>
    <comment ref="AX50" authorId="4">
      <text>
        <r>
          <rPr>
            <b/>
            <sz val="9"/>
            <rFont val="宋体"/>
            <charset val="134"/>
          </rPr>
          <t>倒地的生物只能以爬行方式移动，直至其成功起立以结束倒地状态为止
倒地的生物发动攻击检定时具有劣势
倒地的生物周边5尺范围内有攻击者对其发动攻击时，本次攻击所进行的攻击检定具有优势。而该范围外的攻击者对该倒地生物发动的攻击检定则具有劣势</t>
        </r>
      </text>
    </comment>
    <comment ref="BB50" authorId="4">
      <text>
        <r>
          <rPr>
            <b/>
            <sz val="9"/>
            <rFont val="宋体"/>
            <charset val="134"/>
          </rPr>
          <t>被束缚生物的速度变为0，并且无法受益于任何速度加值
对被束缚生物发动攻击检定时具有优势，被束缚生物发动攻击检定时具有劣势
被束缚生物进行的敏捷豁免具有劣势</t>
        </r>
      </text>
    </comment>
    <comment ref="BF50" authorId="4">
      <text>
        <r>
          <rPr>
            <b/>
            <sz val="9"/>
            <rFont val="宋体"/>
            <charset val="134"/>
          </rPr>
          <t>被震慑生物陷入失能状态，并且无法移动，以及无法清晰连贯地说话
被震慑生物进行力量和敏捷豁免时直接失败
对被震慑生物发动攻击检定时具有优势</t>
        </r>
      </text>
    </comment>
    <comment ref="BJ50" authorId="4">
      <text>
        <r>
          <rPr>
            <b/>
            <sz val="9"/>
            <rFont val="宋体"/>
            <charset val="134"/>
          </rPr>
          <t>昏迷的生物陷入失能状态，并且无法移动，无法说话，也无法感知周围的事物
昏迷的生物会放开手中持握物，并失足倒地
昏迷的生物进行力量和敏捷豁免时直接失败
对昏迷的生物发动攻击检定时具有优势
攻击者身处昏迷的生物身边5尺范围内时，其任何命中该生物的攻击都将直接造成重击</t>
        </r>
      </text>
    </comment>
    <comment ref="C51" authorId="0">
      <text>
        <r>
          <rPr>
            <sz val="9"/>
            <rFont val="微软雅黑"/>
            <charset val="134"/>
          </rPr>
          <t>涵盖了你驯服一只牲畜，安抚坐骑使其免受惊吓，或者推断出动物的意向的情况。
也可能用来判定你能否在骑乘时作出一些危险动作。</t>
        </r>
      </text>
    </comment>
    <comment ref="C52" authorId="0">
      <text>
        <r>
          <rPr>
            <sz val="9"/>
            <rFont val="微软雅黑"/>
            <charset val="134"/>
          </rPr>
          <t>涵盖了你辨别另一人的真实意图的情况。
你需要理解对方的肢体语言、言谈举止、态度转变等，再察觉其中的含义</t>
        </r>
      </text>
    </comment>
    <comment ref="AW52" authorId="4">
      <text>
        <r>
          <rPr>
            <b/>
            <sz val="9"/>
            <rFont val="宋体"/>
            <charset val="134"/>
          </rPr>
          <t xml:space="preserve">某些特殊能力和环境危害（例如遭受饥饿，或是长时间暴露在极热或极冷的温度下），会导致名为力竭的特殊状态。力竭状态分为六个递增的等级。当特定效应造成力竭时，根据其具体描述的不同可能令生物陷入一级或更高等级的力竭中
已力竭的生物如果受另一效应影响而再次遭受力竭，则将其当前力竭等级与该效应造成的力竭等级相叠加
再度遭受高等级力竭的生物承受其当前力竭等级及所有更低级力竭的效应
移除力竭的效应按其描述降低力竭等级。力竭等级小于1时，所有力竭产生的效果结束
生物在获得足够的饮食，并完成一次长休后，其力竭等级即可降低1级。生物从死亡状态复活时，其力竭等级也可以降低1级
</t>
        </r>
      </text>
    </comment>
    <comment ref="AZ52" authorId="4">
      <text>
        <r>
          <rPr>
            <b/>
            <sz val="9"/>
            <rFont val="宋体"/>
            <charset val="134"/>
          </rPr>
          <t>属性检定具有劣势</t>
        </r>
      </text>
    </comment>
    <comment ref="BC52" authorId="4">
      <text>
        <r>
          <rPr>
            <b/>
            <sz val="9"/>
            <rFont val="宋体"/>
            <charset val="134"/>
          </rPr>
          <t>属性检定具有劣势
速度减半</t>
        </r>
      </text>
    </comment>
    <comment ref="BF52" authorId="4">
      <text>
        <r>
          <rPr>
            <b/>
            <sz val="9"/>
            <rFont val="宋体"/>
            <charset val="134"/>
          </rPr>
          <t>属性检定具有劣势
速度减半
攻击检定和豁免检定具有劣势</t>
        </r>
      </text>
    </comment>
    <comment ref="BI52" authorId="4">
      <text>
        <r>
          <rPr>
            <b/>
            <sz val="9"/>
            <rFont val="宋体"/>
            <charset val="134"/>
          </rPr>
          <t>属性检定具有劣势
速度减半
攻击检定和豁免检定具有劣势
生命值上限减半</t>
        </r>
      </text>
    </comment>
    <comment ref="BL52" authorId="4">
      <text>
        <r>
          <rPr>
            <b/>
            <sz val="9"/>
            <rFont val="宋体"/>
            <charset val="134"/>
          </rPr>
          <t>属性检定具有劣势
速度减半
攻击检定和豁免检定具有劣势
生命值上限减半
速度降为0</t>
        </r>
      </text>
    </comment>
    <comment ref="BO52" authorId="4">
      <text>
        <r>
          <rPr>
            <b/>
            <sz val="9"/>
            <rFont val="宋体"/>
            <charset val="134"/>
          </rPr>
          <t>属性检定具有劣势
速度减半
攻击检定和豁免检定具有劣势
生命值上限减半
速度降为0
死亡</t>
        </r>
      </text>
    </comment>
    <comment ref="C53" authorId="0">
      <text>
        <r>
          <rPr>
            <sz val="9"/>
            <rFont val="微软雅黑"/>
            <charset val="134"/>
          </rPr>
          <t>涵盖了你稳定濒死战友的伤势或者诊断病症的情况。</t>
        </r>
      </text>
    </comment>
    <comment ref="C54" authorId="0">
      <text>
        <r>
          <rPr>
            <sz val="9"/>
            <rFont val="微软雅黑"/>
            <charset val="134"/>
          </rPr>
          <t>涵盖了你看到，听到或以其他方式察觉到某些东西的存在的情况。
它代表你对周围环境的警觉性，以及你感官的敏锐度。
例如，偷听门后的对话，或者在窗外窃听，又或者听到在林中静静移动的生物。你也可以尝试看清被遮蔽或容易看走眼的东西，如在前方埋伏的兽人，躲在暗巷的痞子，或是从密门的门缝间漏出的烛光。</t>
        </r>
      </text>
    </comment>
    <comment ref="I54" authorId="4">
      <text>
        <r>
          <rPr>
            <sz val="9"/>
            <rFont val="宋体"/>
            <charset val="134"/>
          </rPr>
          <t>寻找隐藏物件
当你的角色搜索密门或者陷阱等隐藏物件时，一般会要求你进行一次感知（察觉）检定。
该检定用于寻找一些平时被忽视的蛛丝马迹，以从中获得更多的细节信息。</t>
        </r>
      </text>
    </comment>
    <comment ref="C55" authorId="0">
      <text>
        <r>
          <rPr>
            <sz val="9"/>
            <rFont val="微软雅黑"/>
            <charset val="134"/>
          </rPr>
          <t>涵盖了你追踪，狩猎，引导队伍穿过冰原，辨认附近枭熊踪迹，预测天气，回避流沙或其他自然危害物的情况。</t>
        </r>
      </text>
    </comment>
    <comment ref="AE56" authorId="1">
      <text>
        <r>
          <rPr>
            <sz val="9"/>
            <rFont val="微软雅黑"/>
            <charset val="134"/>
          </rPr>
          <t>发端于衰亡的帝国和失落的王国
一枚白金币价值十枚金币</t>
        </r>
      </text>
    </comment>
    <comment ref="C57" authorId="0">
      <text>
        <r>
          <rPr>
            <sz val="9"/>
            <rFont val="微软雅黑"/>
            <charset val="134"/>
          </rPr>
          <t>涵盖了你可信地以言语或动作隐暪真相的情况。
由模棱两可地误导人到弥天大谎都包括在内。常见情况包括暪过守卫、骗过商人、从赌局赚钱、以易容暪天过海、安抚他人的怀疑、带着朴克脸撒大谎等。</t>
        </r>
      </text>
    </comment>
    <comment ref="AE57" authorId="1">
      <text>
        <r>
          <rPr>
            <sz val="9"/>
            <rFont val="微软雅黑"/>
            <charset val="134"/>
          </rPr>
          <t>发端于衰亡的帝国和失落的王国
一枚金银币价值五枚银币</t>
        </r>
      </text>
    </comment>
    <comment ref="AW57" authorId="0">
      <text>
        <r>
          <rPr>
            <sz val="9"/>
            <rFont val="微软雅黑"/>
            <charset val="134"/>
          </rPr>
          <t>荣誉检定可以应用在社交场合，和魅力的作用方式类似。一个角色对信条的理解是在社交互动中最容易扮演出来的具体要素。
当你处于如下情境中，可能会要求你进行荣誉检定：
不知自己该如何做出符合荣誉信条的行为
投降但尝试挽回颜面
试图判定其他角色的荣誉值
试图在微妙的社交情势下保持恰当的礼节
用自身名誉或不名誉的地位影响他人
当试图确定是否会在无意间做出不名誉的举动时，你需要进行荣誉豁免：
避免一次意外发生的不名誉行为或礼节失当
在敌人的挑衅与辱骂中抑制冲动行为
当敌人试图诱使你违反荣誉信条时有所警觉</t>
        </r>
      </text>
    </comment>
    <comment ref="BK57" authorId="4">
      <text>
        <r>
          <rPr>
            <b/>
            <sz val="9"/>
            <rFont val="宋体"/>
            <charset val="134"/>
          </rPr>
          <t>冒险者们面对自己无法克服的威胁时，可以进行一次感知豁免
豁免失败的角色将受恐慌1分钟。该角色可以在其自己的每回合结束时重复一次该豁免，豁免成功则终止其自己身上的相应效应</t>
        </r>
      </text>
    </comment>
    <comment ref="BO57" authorId="4">
      <text>
        <r>
          <rPr>
            <b/>
            <sz val="9"/>
            <rFont val="宋体"/>
            <charset val="134"/>
          </rPr>
          <t>冒险者们看到那些与现存合理的普世常识相违背的事物时，可以进行一次魅力检定来抵抗惊恐
豁免失败时，该角色获得一项短暂性或长期性疯狂</t>
        </r>
      </text>
    </comment>
    <comment ref="C58" authorId="0">
      <text>
        <r>
          <rPr>
            <sz val="9"/>
            <rFont val="微软雅黑"/>
            <charset val="134"/>
          </rPr>
          <t>涵盖了你用威胁、敌对行为、暴力等使他人改变心意的情况。
例子包括迫供、吓退痞子、用破瓶的利口“说服”高官三思等。</t>
        </r>
      </text>
    </comment>
    <comment ref="AE58" authorId="1">
      <text>
        <r>
          <rPr>
            <sz val="9"/>
            <rFont val="微软雅黑"/>
            <charset val="134"/>
          </rPr>
          <t>金币是度量财富的标准单位</t>
        </r>
      </text>
    </comment>
    <comment ref="AW58" authorId="0">
      <text>
        <r>
          <rPr>
            <sz val="9"/>
            <rFont val="微软雅黑"/>
            <charset val="134"/>
          </rPr>
          <t>当你试图回忆的知识与令人疯狂的怪异存在相关，试图理解的文字为精神失常的癫狂者所书，试图学习的秘法来源于禁忌的古代卷册时，可能会要求要求你进行理智检定。
当你进行以下某种行为时也可能会要求你进行理智检定：
试图破译的文字以极为怪异的语言书写而成，甚至有摧毁心智的可能性
克服疯狂效应的持续影响
理解一份全然超乎你所知魔法常理，极其古怪莫名的魔法残片
当你有可能屈服于疯狂时，或许会要求你进行理智豁免，可能的情况包括以下几种：
初次看见某个来自遥远国度或其他异度空间的生物
与异度生物直接进行心灵接触
被影响心智稳定的法术指定为目标
通过一个由怪异物理规则形成的半位面
抵抗由造成心灵伤害的法术或攻击产生的效应</t>
        </r>
      </text>
    </comment>
    <comment ref="BK58" authorId="4">
      <text>
        <r>
          <rPr>
            <b/>
            <sz val="9"/>
            <rFont val="宋体"/>
            <charset val="134"/>
          </rPr>
          <t>生物可以用武器攻击来打下目标手中的武器或其他物品。攻击者进行一次攻击检定，其数值对抗目标的力量（运动）检定或敏捷（体操）检定。如果攻击者胜出对抗，则该攻击不造成伤害或其他负面效应，但防御方将掉落该物品
如果目标用两只或更多手持握该物品，则攻击者的本次攻击具有劣势。如果目标体型比攻击者更大则目标的检定将具有优势，如果体型更小则具有劣势</t>
        </r>
      </text>
    </comment>
    <comment ref="C59" authorId="0">
      <text>
        <r>
          <rPr>
            <sz val="9"/>
            <rFont val="微软雅黑"/>
            <charset val="134"/>
          </rPr>
          <t>涵盖了你用音乐，舞蹈，扮演，卖艺，说书，或其他方式娱乐观众的情况。</t>
        </r>
      </text>
    </comment>
    <comment ref="AE59" authorId="1">
      <text>
        <r>
          <rPr>
            <sz val="9"/>
            <rFont val="微软雅黑"/>
            <charset val="134"/>
          </rPr>
          <t>普通人间最流行的硬币
一枚金币值十枚银币</t>
        </r>
      </text>
    </comment>
    <comment ref="C60" authorId="0">
      <text>
        <r>
          <rPr>
            <sz val="9"/>
            <rFont val="微软雅黑"/>
            <charset val="134"/>
          </rPr>
          <t>涵盖了你圆滑、优雅、善意地游说某人或某些人时的情况。
通常你会用游说去表示信任，促进友谊，诚恳地请求，或展示恰当的礼仪。例子包括说服官务大臣让你跟国王会面，商谈多族间的和平契约，或激励一帮村民。</t>
        </r>
      </text>
    </comment>
    <comment ref="AE60" authorId="1">
      <text>
        <r>
          <rPr>
            <sz val="9"/>
            <rFont val="微软雅黑"/>
            <charset val="134"/>
          </rPr>
          <t>在乞丐和苦力中十分常见
一枚银币值十枚铜币</t>
        </r>
      </text>
    </comment>
    <comment ref="B62" authorId="1">
      <text>
        <r>
          <rPr>
            <sz val="9"/>
            <rFont val="微软雅黑"/>
            <charset val="134"/>
          </rPr>
          <t>请注意：
此处仅用作货币价值换算，并非随身钱币填写处。</t>
        </r>
      </text>
    </comment>
    <comment ref="I64" authorId="4">
      <text>
        <r>
          <rPr>
            <sz val="9"/>
            <rFont val="微软雅黑"/>
            <charset val="134"/>
          </rPr>
          <t>此功能需要将已知法术录入任意一法术书中</t>
        </r>
      </text>
    </comment>
    <comment ref="AW114" authorId="4">
      <text>
        <r>
          <rPr>
            <b/>
            <sz val="9"/>
            <rFont val="宋体"/>
            <charset val="134"/>
          </rPr>
          <t>玩家手册</t>
        </r>
      </text>
    </comment>
    <comment ref="AZ114" authorId="4">
      <text>
        <r>
          <rPr>
            <b/>
            <sz val="9"/>
            <rFont val="宋体"/>
            <charset val="134"/>
          </rPr>
          <t>城主指南</t>
        </r>
      </text>
    </comment>
    <comment ref="BC114" authorId="4">
      <text>
        <r>
          <rPr>
            <b/>
            <sz val="9"/>
            <rFont val="宋体"/>
            <charset val="134"/>
          </rPr>
          <t>怪物图鉴</t>
        </r>
      </text>
    </comment>
    <comment ref="BF114" authorId="4">
      <text>
        <r>
          <rPr>
            <b/>
            <sz val="9"/>
            <rFont val="宋体"/>
            <charset val="134"/>
          </rPr>
          <t>剑湾冒险者指南</t>
        </r>
      </text>
    </comment>
    <comment ref="BI114" authorId="4">
      <text>
        <r>
          <rPr>
            <b/>
            <sz val="9"/>
            <rFont val="宋体"/>
            <charset val="134"/>
          </rPr>
          <t>瓦罗怪物指南</t>
        </r>
      </text>
    </comment>
    <comment ref="BL114" authorId="4">
      <text>
        <r>
          <rPr>
            <b/>
            <sz val="9"/>
            <rFont val="宋体"/>
            <charset val="134"/>
          </rPr>
          <t>珊娜萨的万事指南</t>
        </r>
      </text>
    </comment>
    <comment ref="BO114" authorId="4">
      <text>
        <r>
          <rPr>
            <b/>
            <sz val="9"/>
            <rFont val="宋体"/>
            <charset val="134"/>
          </rPr>
          <t>魔邓肯的众敌卷册</t>
        </r>
      </text>
    </comment>
    <comment ref="AW115" authorId="4">
      <text>
        <r>
          <rPr>
            <b/>
            <sz val="9"/>
            <rFont val="宋体"/>
            <charset val="134"/>
          </rPr>
          <t>拉尼卡公会长指南</t>
        </r>
      </text>
    </comment>
    <comment ref="AZ115" authorId="4">
      <text>
        <r>
          <rPr>
            <b/>
            <sz val="9"/>
            <rFont val="宋体"/>
            <charset val="134"/>
          </rPr>
          <t>艾伯伦：从终末战争中崛起</t>
        </r>
      </text>
    </comment>
    <comment ref="BC115" authorId="4">
      <text>
        <r>
          <rPr>
            <b/>
            <sz val="9"/>
            <rFont val="宋体"/>
            <charset val="134"/>
          </rPr>
          <t>荒洲探险家指南</t>
        </r>
      </text>
    </comment>
    <comment ref="BF115" authorId="4">
      <text>
        <r>
          <rPr>
            <b/>
            <sz val="9"/>
            <rFont val="宋体"/>
            <charset val="134"/>
          </rPr>
          <t>艾奎兹玄有限责任公司</t>
        </r>
      </text>
    </comment>
    <comment ref="BI115" authorId="4">
      <text>
        <r>
          <rPr>
            <b/>
            <sz val="9"/>
            <rFont val="宋体"/>
            <charset val="134"/>
          </rPr>
          <t>塞洛斯之神话奥德赛</t>
        </r>
      </text>
    </comment>
    <comment ref="BL115" authorId="4">
      <text>
        <r>
          <rPr>
            <b/>
            <sz val="9"/>
            <rFont val="宋体"/>
            <charset val="134"/>
          </rPr>
          <t>塔莎的万象坩埚</t>
        </r>
      </text>
    </comment>
    <comment ref="BO115" authorId="4">
      <text>
        <r>
          <rPr>
            <b/>
            <sz val="9"/>
            <rFont val="宋体"/>
            <charset val="134"/>
          </rPr>
          <t>范·里希腾的鸦阁指南</t>
        </r>
      </text>
    </comment>
    <comment ref="AW116" authorId="4">
      <text>
        <r>
          <rPr>
            <b/>
            <sz val="9"/>
            <rFont val="宋体"/>
            <charset val="134"/>
          </rPr>
          <t>费资本的巨龙宝库</t>
        </r>
      </text>
    </comment>
    <comment ref="AZ116" authorId="4">
      <text>
        <r>
          <rPr>
            <b/>
            <sz val="9"/>
            <rFont val="宋体"/>
            <charset val="134"/>
          </rPr>
          <t>斯翠海文：混沌研习</t>
        </r>
      </text>
    </comment>
    <comment ref="BC116" authorId="4">
      <text>
        <r>
          <rPr>
            <b/>
            <sz val="9"/>
            <rFont val="宋体"/>
            <charset val="134"/>
          </rPr>
          <t>魔邓肯出品：多元宇宙的怪物</t>
        </r>
      </text>
    </comment>
    <comment ref="BF116" authorId="4">
      <text>
        <r>
          <rPr>
            <b/>
            <sz val="9"/>
            <rFont val="宋体"/>
            <charset val="134"/>
          </rPr>
          <t>魔法船：冒险，于太空之中</t>
        </r>
      </text>
    </comment>
    <comment ref="BI116" authorId="4">
      <text>
        <r>
          <rPr>
            <b/>
            <sz val="9"/>
            <rFont val="宋体"/>
            <charset val="134"/>
          </rPr>
          <t>毕格比巨献：巨人之荣耀</t>
        </r>
      </text>
    </comment>
    <comment ref="BL116" authorId="4">
      <text>
        <r>
          <rPr>
            <b/>
            <sz val="9"/>
            <rFont val="宋体"/>
            <charset val="134"/>
          </rPr>
          <t>异域风景：多元宇宙之冒险</t>
        </r>
      </text>
    </comment>
    <comment ref="BO116" authorId="4">
      <text>
        <r>
          <rPr>
            <b/>
            <sz val="9"/>
            <rFont val="宋体"/>
            <charset val="134"/>
          </rPr>
          <t>万象无常书</t>
        </r>
      </text>
    </comment>
  </commentList>
</comments>
</file>

<file path=xl/comments3.xml><?xml version="1.0" encoding="utf-8"?>
<comments xmlns="http://schemas.openxmlformats.org/spreadsheetml/2006/main">
  <authors>
    <author>周拜</author>
  </authors>
  <commentList>
    <comment ref="G6" authorId="0">
      <text>
        <r>
          <rPr>
            <b/>
            <sz val="9"/>
            <rFont val="宋体"/>
            <charset val="134"/>
          </rPr>
          <t>战士子职</t>
        </r>
      </text>
    </comment>
    <comment ref="G9" authorId="0">
      <text>
        <r>
          <rPr>
            <b/>
            <sz val="9"/>
            <rFont val="宋体"/>
            <charset val="134"/>
          </rPr>
          <t>游荡者子职</t>
        </r>
      </text>
    </comment>
  </commentList>
</comments>
</file>

<file path=xl/comments4.xml><?xml version="1.0" encoding="utf-8"?>
<comments xmlns="http://schemas.openxmlformats.org/spreadsheetml/2006/main">
  <authors>
    <author>Null</author>
  </authors>
  <commentList>
    <comment ref="Y11" authorId="0">
      <text>
        <r>
          <rPr>
            <sz val="9"/>
            <rFont val="微软雅黑"/>
            <charset val="134"/>
          </rPr>
          <t>发端于衰亡的帝国和失落的王国
一枚白金币价值十枚金币</t>
        </r>
      </text>
    </comment>
    <comment ref="AH11" authorId="0">
      <text>
        <r>
          <rPr>
            <sz val="9"/>
            <rFont val="微软雅黑"/>
            <charset val="134"/>
          </rPr>
          <t>发端于衰亡的帝国和失落的王国
一枚白金币价值十枚金币</t>
        </r>
      </text>
    </comment>
    <comment ref="BT11" authorId="0">
      <text>
        <r>
          <rPr>
            <sz val="9"/>
            <rFont val="微软雅黑"/>
            <charset val="134"/>
          </rPr>
          <t>发端于衰亡的帝国和失落的王国
一枚白金币价值十枚金币</t>
        </r>
      </text>
    </comment>
    <comment ref="CC11" authorId="0">
      <text>
        <r>
          <rPr>
            <sz val="9"/>
            <rFont val="微软雅黑"/>
            <charset val="134"/>
          </rPr>
          <t>发端于衰亡的帝国和失落的王国
一枚白金币价值十枚金币</t>
        </r>
      </text>
    </comment>
    <comment ref="DO11" authorId="0">
      <text>
        <r>
          <rPr>
            <sz val="9"/>
            <rFont val="微软雅黑"/>
            <charset val="134"/>
          </rPr>
          <t>发端于衰亡的帝国和失落的王国
一枚白金币价值十枚金币</t>
        </r>
      </text>
    </comment>
    <comment ref="DX11" authorId="0">
      <text>
        <r>
          <rPr>
            <sz val="9"/>
            <rFont val="微软雅黑"/>
            <charset val="134"/>
          </rPr>
          <t>发端于衰亡的帝国和失落的王国
一枚白金币价值十枚金币</t>
        </r>
      </text>
    </comment>
    <comment ref="FJ11" authorId="0">
      <text>
        <r>
          <rPr>
            <sz val="9"/>
            <rFont val="微软雅黑"/>
            <charset val="134"/>
          </rPr>
          <t>发端于衰亡的帝国和失落的王国
一枚白金币价值十枚金币</t>
        </r>
      </text>
    </comment>
    <comment ref="FS11" authorId="0">
      <text>
        <r>
          <rPr>
            <sz val="9"/>
            <rFont val="微软雅黑"/>
            <charset val="134"/>
          </rPr>
          <t>发端于衰亡的帝国和失落的王国
一枚白金币价值十枚金币</t>
        </r>
      </text>
    </comment>
    <comment ref="HE11" authorId="0">
      <text>
        <r>
          <rPr>
            <sz val="9"/>
            <rFont val="微软雅黑"/>
            <charset val="134"/>
          </rPr>
          <t>发端于衰亡的帝国和失落的王国
一枚白金币价值十枚金币</t>
        </r>
      </text>
    </comment>
    <comment ref="HN11" authorId="0">
      <text>
        <r>
          <rPr>
            <sz val="9"/>
            <rFont val="微软雅黑"/>
            <charset val="134"/>
          </rPr>
          <t>发端于衰亡的帝国和失落的王国
一枚白金币价值十枚金币</t>
        </r>
      </text>
    </comment>
    <comment ref="Y12" authorId="0">
      <text>
        <r>
          <rPr>
            <sz val="9"/>
            <rFont val="微软雅黑"/>
            <charset val="134"/>
          </rPr>
          <t>发端于衰亡的帝国和失落的王国
一枚金银币价值五枚银币</t>
        </r>
      </text>
    </comment>
    <comment ref="AH12" authorId="0">
      <text>
        <r>
          <rPr>
            <sz val="9"/>
            <rFont val="微软雅黑"/>
            <charset val="134"/>
          </rPr>
          <t>发端于衰亡的帝国和失落的王国
一枚金银币价值五枚银币</t>
        </r>
      </text>
    </comment>
    <comment ref="BT12" authorId="0">
      <text>
        <r>
          <rPr>
            <sz val="9"/>
            <rFont val="微软雅黑"/>
            <charset val="134"/>
          </rPr>
          <t>发端于衰亡的帝国和失落的王国
一枚金银币价值五枚银币</t>
        </r>
      </text>
    </comment>
    <comment ref="CC12" authorId="0">
      <text>
        <r>
          <rPr>
            <sz val="9"/>
            <rFont val="微软雅黑"/>
            <charset val="134"/>
          </rPr>
          <t>发端于衰亡的帝国和失落的王国
一枚金银币价值五枚银币</t>
        </r>
      </text>
    </comment>
    <comment ref="DO12" authorId="0">
      <text>
        <r>
          <rPr>
            <sz val="9"/>
            <rFont val="微软雅黑"/>
            <charset val="134"/>
          </rPr>
          <t>发端于衰亡的帝国和失落的王国
一枚金银币价值五枚银币</t>
        </r>
      </text>
    </comment>
    <comment ref="DX12" authorId="0">
      <text>
        <r>
          <rPr>
            <sz val="9"/>
            <rFont val="微软雅黑"/>
            <charset val="134"/>
          </rPr>
          <t>发端于衰亡的帝国和失落的王国
一枚金银币价值五枚银币</t>
        </r>
      </text>
    </comment>
    <comment ref="FJ12" authorId="0">
      <text>
        <r>
          <rPr>
            <sz val="9"/>
            <rFont val="微软雅黑"/>
            <charset val="134"/>
          </rPr>
          <t>发端于衰亡的帝国和失落的王国
一枚金银币价值五枚银币</t>
        </r>
      </text>
    </comment>
    <comment ref="FS12" authorId="0">
      <text>
        <r>
          <rPr>
            <sz val="9"/>
            <rFont val="微软雅黑"/>
            <charset val="134"/>
          </rPr>
          <t>发端于衰亡的帝国和失落的王国
一枚金银币价值五枚银币</t>
        </r>
      </text>
    </comment>
    <comment ref="HE12" authorId="0">
      <text>
        <r>
          <rPr>
            <sz val="9"/>
            <rFont val="微软雅黑"/>
            <charset val="134"/>
          </rPr>
          <t>发端于衰亡的帝国和失落的王国
一枚金银币价值五枚银币</t>
        </r>
      </text>
    </comment>
    <comment ref="HN12" authorId="0">
      <text>
        <r>
          <rPr>
            <sz val="9"/>
            <rFont val="微软雅黑"/>
            <charset val="134"/>
          </rPr>
          <t>发端于衰亡的帝国和失落的王国
一枚金银币价值五枚银币</t>
        </r>
      </text>
    </comment>
    <comment ref="Y13" authorId="0">
      <text>
        <r>
          <rPr>
            <sz val="9"/>
            <rFont val="微软雅黑"/>
            <charset val="134"/>
          </rPr>
          <t>金币是度量财富的标准单位</t>
        </r>
      </text>
    </comment>
    <comment ref="AH13" authorId="0">
      <text>
        <r>
          <rPr>
            <sz val="9"/>
            <rFont val="微软雅黑"/>
            <charset val="134"/>
          </rPr>
          <t>金币是度量财富的标准单位</t>
        </r>
      </text>
    </comment>
    <comment ref="BT13" authorId="0">
      <text>
        <r>
          <rPr>
            <sz val="9"/>
            <rFont val="微软雅黑"/>
            <charset val="134"/>
          </rPr>
          <t>金币是度量财富的标准单位</t>
        </r>
      </text>
    </comment>
    <comment ref="CC13" authorId="0">
      <text>
        <r>
          <rPr>
            <sz val="9"/>
            <rFont val="微软雅黑"/>
            <charset val="134"/>
          </rPr>
          <t>金币是度量财富的标准单位</t>
        </r>
      </text>
    </comment>
    <comment ref="DO13" authorId="0">
      <text>
        <r>
          <rPr>
            <sz val="9"/>
            <rFont val="微软雅黑"/>
            <charset val="134"/>
          </rPr>
          <t>金币是度量财富的标准单位</t>
        </r>
      </text>
    </comment>
    <comment ref="DX13" authorId="0">
      <text>
        <r>
          <rPr>
            <sz val="9"/>
            <rFont val="微软雅黑"/>
            <charset val="134"/>
          </rPr>
          <t>金币是度量财富的标准单位</t>
        </r>
      </text>
    </comment>
    <comment ref="FJ13" authorId="0">
      <text>
        <r>
          <rPr>
            <sz val="9"/>
            <rFont val="微软雅黑"/>
            <charset val="134"/>
          </rPr>
          <t>金币是度量财富的标准单位</t>
        </r>
      </text>
    </comment>
    <comment ref="FS13" authorId="0">
      <text>
        <r>
          <rPr>
            <sz val="9"/>
            <rFont val="微软雅黑"/>
            <charset val="134"/>
          </rPr>
          <t>金币是度量财富的标准单位</t>
        </r>
      </text>
    </comment>
    <comment ref="HE13" authorId="0">
      <text>
        <r>
          <rPr>
            <sz val="9"/>
            <rFont val="微软雅黑"/>
            <charset val="134"/>
          </rPr>
          <t>金币是度量财富的标准单位</t>
        </r>
      </text>
    </comment>
    <comment ref="HN13" authorId="0">
      <text>
        <r>
          <rPr>
            <sz val="9"/>
            <rFont val="微软雅黑"/>
            <charset val="134"/>
          </rPr>
          <t>金币是度量财富的标准单位</t>
        </r>
      </text>
    </comment>
    <comment ref="Y14" authorId="0">
      <text>
        <r>
          <rPr>
            <sz val="9"/>
            <rFont val="微软雅黑"/>
            <charset val="134"/>
          </rPr>
          <t>普通人间最流行的硬币
一枚金币值十枚银币</t>
        </r>
      </text>
    </comment>
    <comment ref="AH14" authorId="0">
      <text>
        <r>
          <rPr>
            <sz val="9"/>
            <rFont val="微软雅黑"/>
            <charset val="134"/>
          </rPr>
          <t>普通人间最流行的硬币
一枚金币值十枚银币</t>
        </r>
      </text>
    </comment>
    <comment ref="BT14" authorId="0">
      <text>
        <r>
          <rPr>
            <sz val="9"/>
            <rFont val="微软雅黑"/>
            <charset val="134"/>
          </rPr>
          <t>普通人间最流行的硬币
一枚金币值十枚银币</t>
        </r>
      </text>
    </comment>
    <comment ref="CC14" authorId="0">
      <text>
        <r>
          <rPr>
            <sz val="9"/>
            <rFont val="微软雅黑"/>
            <charset val="134"/>
          </rPr>
          <t>普通人间最流行的硬币
一枚金币值十枚银币</t>
        </r>
      </text>
    </comment>
    <comment ref="DO14" authorId="0">
      <text>
        <r>
          <rPr>
            <sz val="9"/>
            <rFont val="微软雅黑"/>
            <charset val="134"/>
          </rPr>
          <t>普通人间最流行的硬币
一枚金币值十枚银币</t>
        </r>
      </text>
    </comment>
    <comment ref="DX14" authorId="0">
      <text>
        <r>
          <rPr>
            <sz val="9"/>
            <rFont val="微软雅黑"/>
            <charset val="134"/>
          </rPr>
          <t>普通人间最流行的硬币
一枚金币值十枚银币</t>
        </r>
      </text>
    </comment>
    <comment ref="FJ14" authorId="0">
      <text>
        <r>
          <rPr>
            <sz val="9"/>
            <rFont val="微软雅黑"/>
            <charset val="134"/>
          </rPr>
          <t>普通人间最流行的硬币
一枚金币值十枚银币</t>
        </r>
      </text>
    </comment>
    <comment ref="FS14" authorId="0">
      <text>
        <r>
          <rPr>
            <sz val="9"/>
            <rFont val="微软雅黑"/>
            <charset val="134"/>
          </rPr>
          <t>普通人间最流行的硬币
一枚金币值十枚银币</t>
        </r>
      </text>
    </comment>
    <comment ref="HE14" authorId="0">
      <text>
        <r>
          <rPr>
            <sz val="9"/>
            <rFont val="微软雅黑"/>
            <charset val="134"/>
          </rPr>
          <t>普通人间最流行的硬币
一枚金币值十枚银币</t>
        </r>
      </text>
    </comment>
    <comment ref="HN14" authorId="0">
      <text>
        <r>
          <rPr>
            <sz val="9"/>
            <rFont val="微软雅黑"/>
            <charset val="134"/>
          </rPr>
          <t>普通人间最流行的硬币
一枚金币值十枚银币</t>
        </r>
      </text>
    </comment>
    <comment ref="Y15" authorId="0">
      <text>
        <r>
          <rPr>
            <sz val="9"/>
            <rFont val="微软雅黑"/>
            <charset val="134"/>
          </rPr>
          <t>在乞丐和苦力中十分常见
一枚银币值十枚铜币</t>
        </r>
      </text>
    </comment>
    <comment ref="AH15" authorId="0">
      <text>
        <r>
          <rPr>
            <sz val="9"/>
            <rFont val="微软雅黑"/>
            <charset val="134"/>
          </rPr>
          <t>在乞丐和苦力中十分常见
一枚银币值十枚铜币</t>
        </r>
      </text>
    </comment>
    <comment ref="BT15" authorId="0">
      <text>
        <r>
          <rPr>
            <sz val="9"/>
            <rFont val="微软雅黑"/>
            <charset val="134"/>
          </rPr>
          <t>在乞丐和苦力中十分常见
一枚银币值十枚铜币</t>
        </r>
      </text>
    </comment>
    <comment ref="CC15" authorId="0">
      <text>
        <r>
          <rPr>
            <sz val="9"/>
            <rFont val="微软雅黑"/>
            <charset val="134"/>
          </rPr>
          <t>在乞丐和苦力中十分常见
一枚银币值十枚铜币</t>
        </r>
      </text>
    </comment>
    <comment ref="DO15" authorId="0">
      <text>
        <r>
          <rPr>
            <sz val="9"/>
            <rFont val="微软雅黑"/>
            <charset val="134"/>
          </rPr>
          <t>在乞丐和苦力中十分常见
一枚银币值十枚铜币</t>
        </r>
      </text>
    </comment>
    <comment ref="DX15" authorId="0">
      <text>
        <r>
          <rPr>
            <sz val="9"/>
            <rFont val="微软雅黑"/>
            <charset val="134"/>
          </rPr>
          <t>在乞丐和苦力中十分常见
一枚银币值十枚铜币</t>
        </r>
      </text>
    </comment>
    <comment ref="FJ15" authorId="0">
      <text>
        <r>
          <rPr>
            <sz val="9"/>
            <rFont val="微软雅黑"/>
            <charset val="134"/>
          </rPr>
          <t>在乞丐和苦力中十分常见
一枚银币值十枚铜币</t>
        </r>
      </text>
    </comment>
    <comment ref="FS15" authorId="0">
      <text>
        <r>
          <rPr>
            <sz val="9"/>
            <rFont val="微软雅黑"/>
            <charset val="134"/>
          </rPr>
          <t>在乞丐和苦力中十分常见
一枚银币值十枚铜币</t>
        </r>
      </text>
    </comment>
    <comment ref="HE15" authorId="0">
      <text>
        <r>
          <rPr>
            <sz val="9"/>
            <rFont val="微软雅黑"/>
            <charset val="134"/>
          </rPr>
          <t>在乞丐和苦力中十分常见
一枚银币值十枚铜币</t>
        </r>
      </text>
    </comment>
    <comment ref="HN15" authorId="0">
      <text>
        <r>
          <rPr>
            <sz val="9"/>
            <rFont val="微软雅黑"/>
            <charset val="134"/>
          </rPr>
          <t>在乞丐和苦力中十分常见
一枚银币值十枚铜币</t>
        </r>
      </text>
    </comment>
  </commentList>
</comments>
</file>

<file path=xl/sharedStrings.xml><?xml version="1.0" encoding="utf-8"?>
<sst xmlns="http://schemas.openxmlformats.org/spreadsheetml/2006/main" count="13682" uniqueCount="9273">
  <si>
    <t>人物背景 Background</t>
  </si>
  <si>
    <t>角色</t>
  </si>
  <si>
    <t>个性</t>
  </si>
  <si>
    <t>玩家</t>
  </si>
  <si>
    <t>背景</t>
  </si>
  <si>
    <t>理想</t>
  </si>
  <si>
    <t>故乡</t>
  </si>
  <si>
    <t>羁绊</t>
  </si>
  <si>
    <t>信仰</t>
  </si>
  <si>
    <t>缺点</t>
  </si>
  <si>
    <t>星像</t>
  </si>
  <si>
    <t>背景原因</t>
  </si>
  <si>
    <t>发色</t>
  </si>
  <si>
    <t>瞳色</t>
  </si>
  <si>
    <t>职业原因</t>
  </si>
  <si>
    <t>肤色</t>
  </si>
  <si>
    <t>其他</t>
  </si>
  <si>
    <t>人物
衣装
外貌
描述</t>
  </si>
  <si>
    <t>出生预兆</t>
  </si>
  <si>
    <t>龙类纽带</t>
  </si>
  <si>
    <t>背景故事</t>
  </si>
  <si>
    <t>人物形象</t>
  </si>
  <si>
    <t>语言</t>
  </si>
  <si>
    <t>DND 5E 人物卡 &lt;New Edition v1.0.2-BGG&gt;</t>
  </si>
  <si>
    <t>推荐在电脑上使用Excel2019及以后版本打开本卡</t>
  </si>
  <si>
    <t>小工具</t>
  </si>
  <si>
    <t>卡尔玛</t>
  </si>
  <si>
    <t>经验</t>
  </si>
  <si>
    <t>1级</t>
  </si>
  <si>
    <t>2级</t>
  </si>
  <si>
    <t>3级</t>
  </si>
  <si>
    <t>4级</t>
  </si>
  <si>
    <t>5级</t>
  </si>
  <si>
    <t>6级</t>
  </si>
  <si>
    <t>7级</t>
  </si>
  <si>
    <t>8级</t>
  </si>
  <si>
    <t>9级</t>
  </si>
  <si>
    <t>10级</t>
  </si>
  <si>
    <t>主职</t>
  </si>
  <si>
    <t>奇械师</t>
  </si>
  <si>
    <t>生命值小工具</t>
  </si>
  <si>
    <t>种族</t>
  </si>
  <si>
    <t>幻身灵</t>
  </si>
  <si>
    <t>性别</t>
  </si>
  <si>
    <t>女</t>
  </si>
  <si>
    <t>兼职</t>
  </si>
  <si>
    <t>11级</t>
  </si>
  <si>
    <t>12级</t>
  </si>
  <si>
    <t>13级</t>
  </si>
  <si>
    <t>14级</t>
  </si>
  <si>
    <t>15级</t>
  </si>
  <si>
    <t>16级</t>
  </si>
  <si>
    <t>17级</t>
  </si>
  <si>
    <t>18级</t>
  </si>
  <si>
    <t>19级</t>
  </si>
  <si>
    <t>20级</t>
  </si>
  <si>
    <t>亚种</t>
  </si>
  <si>
    <t>年龄</t>
  </si>
  <si>
    <t>身高</t>
  </si>
  <si>
    <t>阵营</t>
  </si>
  <si>
    <t>熟练</t>
  </si>
  <si>
    <t>调整值</t>
  </si>
  <si>
    <t>角色等级</t>
  </si>
  <si>
    <t>生命总值</t>
  </si>
  <si>
    <t>仅需填入每级生命骰结果
自动结算各项调整值</t>
  </si>
  <si>
    <t>体重</t>
  </si>
  <si>
    <t>赠礼</t>
  </si>
  <si>
    <t>&lt;</t>
  </si>
  <si>
    <t>属性</t>
  </si>
  <si>
    <t>属性分布</t>
  </si>
  <si>
    <t>总值</t>
  </si>
  <si>
    <t>初始值</t>
  </si>
  <si>
    <t>成长</t>
  </si>
  <si>
    <t>修正</t>
  </si>
  <si>
    <t>豁免</t>
  </si>
  <si>
    <t>临时</t>
  </si>
  <si>
    <t>力量</t>
  </si>
  <si>
    <t>&gt;</t>
  </si>
  <si>
    <t>敏捷</t>
  </si>
  <si>
    <t>体质</t>
  </si>
  <si>
    <t>智力</t>
  </si>
  <si>
    <t>感知</t>
  </si>
  <si>
    <t>魅力</t>
  </si>
  <si>
    <t>战斗</t>
  </si>
  <si>
    <t>Now</t>
  </si>
  <si>
    <t>Max</t>
  </si>
  <si>
    <t>先攻</t>
  </si>
  <si>
    <t>HP</t>
  </si>
  <si>
    <t>/</t>
  </si>
  <si>
    <t>临时
HP</t>
  </si>
  <si>
    <t>AC</t>
  </si>
  <si>
    <t>HD</t>
  </si>
  <si>
    <t>+</t>
  </si>
  <si>
    <t>持盾</t>
  </si>
  <si>
    <t>死亡豁免成功</t>
  </si>
  <si>
    <t>失败</t>
  </si>
  <si>
    <t>画像</t>
  </si>
  <si>
    <t>DC</t>
  </si>
  <si>
    <t>抗性</t>
  </si>
  <si>
    <t>免疫</t>
  </si>
  <si>
    <t>技能分布</t>
  </si>
  <si>
    <t>DC属性</t>
  </si>
  <si>
    <t>体型</t>
  </si>
  <si>
    <t>速度</t>
  </si>
  <si>
    <t>优势</t>
  </si>
  <si>
    <t>被动察觉</t>
  </si>
  <si>
    <t>特殊能力</t>
  </si>
  <si>
    <t>劣势</t>
  </si>
  <si>
    <t>技能</t>
  </si>
  <si>
    <t>装备</t>
  </si>
  <si>
    <t>快捷战斗</t>
  </si>
  <si>
    <t>力量系</t>
  </si>
  <si>
    <t>护甲</t>
  </si>
  <si>
    <t>同调</t>
  </si>
  <si>
    <t>名称</t>
  </si>
  <si>
    <t>特性</t>
  </si>
  <si>
    <t>重量</t>
  </si>
  <si>
    <t>基础AC</t>
  </si>
  <si>
    <t>最大敏捷</t>
  </si>
  <si>
    <t>护盾</t>
  </si>
  <si>
    <t>运动</t>
  </si>
  <si>
    <t>无甲</t>
  </si>
  <si>
    <t>沉重</t>
  </si>
  <si>
    <t/>
  </si>
  <si>
    <t>敏捷系</t>
  </si>
  <si>
    <t>武器</t>
  </si>
  <si>
    <t>命中骰</t>
  </si>
  <si>
    <t>加值</t>
  </si>
  <si>
    <t>基础伤害</t>
  </si>
  <si>
    <t>类型</t>
  </si>
  <si>
    <t>弹药</t>
  </si>
  <si>
    <t>计重</t>
  </si>
  <si>
    <t>体操</t>
  </si>
  <si>
    <t>徒手打击</t>
  </si>
  <si>
    <t>钝击</t>
  </si>
  <si>
    <t>箭</t>
  </si>
  <si>
    <t>巧手</t>
  </si>
  <si>
    <t>吹</t>
  </si>
  <si>
    <t>隐匿</t>
  </si>
  <si>
    <t>矢</t>
  </si>
  <si>
    <t>智力系</t>
  </si>
  <si>
    <t>投</t>
  </si>
  <si>
    <t>奥秘</t>
  </si>
  <si>
    <t>弹</t>
  </si>
  <si>
    <t>历史</t>
  </si>
  <si>
    <t>异常状态及选开属性</t>
  </si>
  <si>
    <t>调查</t>
  </si>
  <si>
    <t>身体</t>
  </si>
  <si>
    <t>普通服装</t>
  </si>
  <si>
    <t>法术</t>
  </si>
  <si>
    <t>异常</t>
  </si>
  <si>
    <t>自然</t>
  </si>
  <si>
    <t>施法关键属性</t>
  </si>
  <si>
    <t>法术DC</t>
  </si>
  <si>
    <t>目盲</t>
  </si>
  <si>
    <t>魅惑</t>
  </si>
  <si>
    <t>耳聋</t>
  </si>
  <si>
    <t>恐慌</t>
  </si>
  <si>
    <t>擒抱</t>
  </si>
  <si>
    <t>宗教</t>
  </si>
  <si>
    <t>失能</t>
  </si>
  <si>
    <t>隐形</t>
  </si>
  <si>
    <t>麻痹</t>
  </si>
  <si>
    <t>石化</t>
  </si>
  <si>
    <t>中毒</t>
  </si>
  <si>
    <t>感知系</t>
  </si>
  <si>
    <t>倒地</t>
  </si>
  <si>
    <t>束缚</t>
  </si>
  <si>
    <t>震慑</t>
  </si>
  <si>
    <t>昏迷</t>
  </si>
  <si>
    <t>驯兽</t>
  </si>
  <si>
    <t>准备法术</t>
  </si>
  <si>
    <t>职业</t>
  </si>
  <si>
    <t>数量</t>
  </si>
  <si>
    <t>法术位</t>
  </si>
  <si>
    <t>状态</t>
  </si>
  <si>
    <t>描述</t>
  </si>
  <si>
    <t>洞悉</t>
  </si>
  <si>
    <t>力竭</t>
  </si>
  <si>
    <t>医药</t>
  </si>
  <si>
    <t>毒药</t>
  </si>
  <si>
    <t>察觉</t>
  </si>
  <si>
    <t>疯狂</t>
  </si>
  <si>
    <t>求生</t>
  </si>
  <si>
    <t>随身钱币</t>
  </si>
  <si>
    <t>伤患</t>
  </si>
  <si>
    <t>魅力系</t>
  </si>
  <si>
    <t>负重规则</t>
  </si>
  <si>
    <t>——负重&amp;财产——</t>
  </si>
  <si>
    <t>PP</t>
  </si>
  <si>
    <t>选开异常</t>
  </si>
  <si>
    <t>欺瞒</t>
  </si>
  <si>
    <t>背包1</t>
  </si>
  <si>
    <t>背包2</t>
  </si>
  <si>
    <t>总负重</t>
  </si>
  <si>
    <t>钱包</t>
  </si>
  <si>
    <t>EP</t>
  </si>
  <si>
    <t>荣誉</t>
  </si>
  <si>
    <t>心慌</t>
  </si>
  <si>
    <t>惊恐</t>
  </si>
  <si>
    <t>威吓</t>
  </si>
  <si>
    <t>GP</t>
  </si>
  <si>
    <t>理智</t>
  </si>
  <si>
    <t>缴械</t>
  </si>
  <si>
    <t>表演</t>
  </si>
  <si>
    <t>最大轻载</t>
  </si>
  <si>
    <t>最大重载</t>
  </si>
  <si>
    <t>次元袋</t>
  </si>
  <si>
    <t>SP</t>
  </si>
  <si>
    <t>游说</t>
  </si>
  <si>
    <t>CP</t>
  </si>
  <si>
    <t>魔宠或宠物</t>
  </si>
  <si>
    <t>——————货币换算——————</t>
  </si>
  <si>
    <t>铜币CP</t>
  </si>
  <si>
    <t>银币SP</t>
  </si>
  <si>
    <t>银金币EP</t>
  </si>
  <si>
    <t>金币GP</t>
  </si>
  <si>
    <t>铂金币PP</t>
  </si>
  <si>
    <t>名字</t>
  </si>
  <si>
    <t>类别</t>
  </si>
  <si>
    <t>已准备的法术</t>
  </si>
  <si>
    <t>专注</t>
  </si>
  <si>
    <t>已准备法术的效果</t>
  </si>
  <si>
    <t>Lv</t>
  </si>
  <si>
    <t>法术名称</t>
  </si>
  <si>
    <t>法术名</t>
  </si>
  <si>
    <t>等级</t>
  </si>
  <si>
    <t>系别</t>
  </si>
  <si>
    <t>施法距离</t>
  </si>
  <si>
    <t>施法时间</t>
  </si>
  <si>
    <t>持续时间</t>
  </si>
  <si>
    <t>法术成分</t>
  </si>
  <si>
    <t>法术效果说明</t>
  </si>
  <si>
    <t>感官</t>
  </si>
  <si>
    <t>动作</t>
  </si>
  <si>
    <t>职业能力</t>
  </si>
  <si>
    <t>种族特性</t>
  </si>
  <si>
    <t>次数</t>
  </si>
  <si>
    <t>生命骰</t>
  </si>
  <si>
    <t>属性值加成</t>
  </si>
  <si>
    <t>护甲熟练项</t>
  </si>
  <si>
    <t>武器熟练项</t>
  </si>
  <si>
    <t>工具熟练项</t>
  </si>
  <si>
    <t>豁免熟练项</t>
  </si>
  <si>
    <t>技能熟练项</t>
  </si>
  <si>
    <t>属性值提升</t>
  </si>
  <si>
    <t>背景特性</t>
  </si>
  <si>
    <t>专长</t>
  </si>
  <si>
    <t>版本选择</t>
  </si>
  <si>
    <t>PHB</t>
  </si>
  <si>
    <t>DMG</t>
  </si>
  <si>
    <t>MM</t>
  </si>
  <si>
    <t>SCAG</t>
  </si>
  <si>
    <t>VGM</t>
  </si>
  <si>
    <t>XGE</t>
  </si>
  <si>
    <t>MTF</t>
  </si>
  <si>
    <t>GGR</t>
  </si>
  <si>
    <t>ERLW</t>
  </si>
  <si>
    <t>EGW</t>
  </si>
  <si>
    <t>AI</t>
  </si>
  <si>
    <t>MOT</t>
  </si>
  <si>
    <t>TCE</t>
  </si>
  <si>
    <t>VGR</t>
  </si>
  <si>
    <t>FTD</t>
  </si>
  <si>
    <t>SCC</t>
  </si>
  <si>
    <t>MMoM</t>
  </si>
  <si>
    <t>SAS</t>
  </si>
  <si>
    <t>BGG</t>
  </si>
  <si>
    <t>PAM</t>
  </si>
  <si>
    <t>BMT</t>
  </si>
  <si>
    <t>你的角色可能</t>
  </si>
  <si>
    <t>显示</t>
  </si>
  <si>
    <t>其他特性</t>
  </si>
  <si>
    <t>笔记</t>
  </si>
  <si>
    <t>背包 Inventory</t>
  </si>
  <si>
    <t>背包</t>
  </si>
  <si>
    <t>小包</t>
  </si>
  <si>
    <t>杂物袋1</t>
  </si>
  <si>
    <t>杂物袋2</t>
  </si>
  <si>
    <t>×</t>
  </si>
  <si>
    <t>无效</t>
  </si>
  <si>
    <t>霍华德的便利袋</t>
  </si>
  <si>
    <t>书页标签</t>
  </si>
  <si>
    <t>法术书</t>
  </si>
  <si>
    <t>法术书1</t>
  </si>
  <si>
    <t>页码</t>
  </si>
  <si>
    <t>优先读取</t>
  </si>
  <si>
    <t>法术书2</t>
  </si>
  <si>
    <t>法术书3</t>
  </si>
  <si>
    <t>版本控制</t>
  </si>
  <si>
    <t>生命值计算</t>
  </si>
  <si>
    <t>经验条</t>
  </si>
  <si>
    <t>种类</t>
  </si>
  <si>
    <t>购点计算</t>
  </si>
  <si>
    <t>你还有呼吸的力气</t>
  </si>
  <si>
    <t>一动不动</t>
  </si>
  <si>
    <t>应该还算活着</t>
  </si>
  <si>
    <t>蚂蚁的智力都不可能是1</t>
  </si>
  <si>
    <t>你是怎么活到现在的</t>
  </si>
  <si>
    <t>用脸就能恐惧敌人</t>
  </si>
  <si>
    <t>异怪</t>
  </si>
  <si>
    <t>连一枚金币都拿不起来</t>
  </si>
  <si>
    <t>残疾人士</t>
  </si>
  <si>
    <t>固有Buff：病弱</t>
  </si>
  <si>
    <t>连说话都困难</t>
  </si>
  <si>
    <t>迷惘的人啊</t>
  </si>
  <si>
    <t>你出生的时候居然没被掐死</t>
  </si>
  <si>
    <t>野兽</t>
  </si>
  <si>
    <t>鸡的力量都比你强</t>
  </si>
  <si>
    <t>无法行动自如</t>
  </si>
  <si>
    <t>突然挂掉都不是奇怪的事情</t>
  </si>
  <si>
    <t>目不识丁</t>
  </si>
  <si>
    <t>上错过厕所</t>
  </si>
  <si>
    <t>路边的狗可能会冲过来咬你</t>
  </si>
  <si>
    <t>天界生物</t>
  </si>
  <si>
    <t>手无抓鸡之力</t>
  </si>
  <si>
    <t>腿脚不灵活</t>
  </si>
  <si>
    <t>您的每一天都是上天的恩赐</t>
  </si>
  <si>
    <t>你能看得懂这行字？</t>
  </si>
  <si>
    <t>经常迷路</t>
  </si>
  <si>
    <t>容易被排斥</t>
  </si>
  <si>
    <t>构装生物</t>
  </si>
  <si>
    <t>恭喜你超越了鸡的力量</t>
  </si>
  <si>
    <t>平地摔是你的家常便饭</t>
  </si>
  <si>
    <t>常年病痛缠身</t>
  </si>
  <si>
    <t>阿库娅与你同在</t>
  </si>
  <si>
    <t>在楼房里面找不到房间</t>
  </si>
  <si>
    <t>可能会被人刁难</t>
  </si>
  <si>
    <t>龙类</t>
  </si>
  <si>
    <t>拿多点东西都气喘吁吁</t>
  </si>
  <si>
    <t>经常莫名其妙的撞上什么</t>
  </si>
  <si>
    <t>经常需要躺下休息</t>
  </si>
  <si>
    <t>学不下什么东西</t>
  </si>
  <si>
    <t>东西放在眼前就是找不到</t>
  </si>
  <si>
    <t>可能会受到种种审视</t>
  </si>
  <si>
    <t>元素生物</t>
  </si>
  <si>
    <t>穿脱衣服都有些吃力</t>
  </si>
  <si>
    <t>走在平地上都会摔倒</t>
  </si>
  <si>
    <t>可能有贫血什么的</t>
  </si>
  <si>
    <t>没有受过太多的教育</t>
  </si>
  <si>
    <t>偶尔会犯迷糊</t>
  </si>
  <si>
    <t>所有的人都觉得可以轻而易举地说服你</t>
  </si>
  <si>
    <t>精类</t>
  </si>
  <si>
    <t>你揍人就像在给对方按摩</t>
  </si>
  <si>
    <t>不上不下真尴尬</t>
  </si>
  <si>
    <t>健康状况堪忧</t>
  </si>
  <si>
    <t>你可能会怀疑你是不是健忘</t>
  </si>
  <si>
    <t>关键时刻掉链子</t>
  </si>
  <si>
    <t>你的说服力还是可以的</t>
  </si>
  <si>
    <t>邪魔</t>
  </si>
  <si>
    <t>比正常人稍微差一点</t>
  </si>
  <si>
    <t>思维比别人慢一拍</t>
  </si>
  <si>
    <t>巨人</t>
  </si>
  <si>
    <t>有正常人的力量</t>
  </si>
  <si>
    <t>普通人的水准</t>
  </si>
  <si>
    <t>正常人的体质</t>
  </si>
  <si>
    <t>正常人的智力</t>
  </si>
  <si>
    <t>你醒啦，你很正常</t>
  </si>
  <si>
    <t>讨价还价的能力不错</t>
  </si>
  <si>
    <t>类人生物</t>
  </si>
  <si>
    <t>在这个档次，做到欺软怕硬是没有问题的</t>
  </si>
  <si>
    <t>可以徒手抓住苍蝇</t>
  </si>
  <si>
    <t>疾病对于您来说，应该是偶发事故</t>
  </si>
  <si>
    <t>可以耍耍小聪明</t>
  </si>
  <si>
    <t>找东西的时候方便一些</t>
  </si>
  <si>
    <t>可以很容易地虎躯一震</t>
  </si>
  <si>
    <t>怪兽</t>
  </si>
  <si>
    <t>经常锻炼的人能够达到的水平，可以很轻松地连续做上50个俯卧撑</t>
  </si>
  <si>
    <t>可以用筷子夹住苍蝇</t>
  </si>
  <si>
    <t>基本上没有吃过什么药，不是说不得病，但基本上抗一抗就过去了</t>
  </si>
  <si>
    <t>人才啊</t>
  </si>
  <si>
    <t>可以注意到别人注意不到的细节</t>
  </si>
  <si>
    <t>勉勉强强可以放出一丝王霸之气</t>
  </si>
  <si>
    <t>泥怪</t>
  </si>
  <si>
    <t>一拳一个小朋友</t>
  </si>
  <si>
    <t>很不错的反应能力，可以在旋转的硬币落下的一瞬间看出是哪面落地</t>
  </si>
  <si>
    <t>一般的磕磕碰碰都不放在眼里</t>
  </si>
  <si>
    <t>可以很轻松地取得别人要刻苦努力才能得到的成绩</t>
  </si>
  <si>
    <t>可以推断出一些别人不知道的东西</t>
  </si>
  <si>
    <t>人们更容易接受你的意见</t>
  </si>
  <si>
    <t>植物</t>
  </si>
  <si>
    <t>不死生物</t>
  </si>
  <si>
    <t>超乎常人的力度</t>
  </si>
  <si>
    <t>左右横跳</t>
  </si>
  <si>
    <t>你从来就不知道什么叫生病</t>
  </si>
  <si>
    <t>就是个天才</t>
  </si>
  <si>
    <t>身边的一切风吹草动都逃不出您的敏锐的目光</t>
  </si>
  <si>
    <t>您不经意间的一举一动都有可能吸引着其他人</t>
  </si>
  <si>
    <t>达到人类极限力量</t>
  </si>
  <si>
    <t>超越人类的敏捷</t>
  </si>
  <si>
    <t>生命力旺盛，被人打趴数次还可以站起来继续的那种</t>
  </si>
  <si>
    <t>睿智的目光</t>
  </si>
  <si>
    <t>这个世界上的一切联系都可以被您所感知</t>
  </si>
  <si>
    <t>请注意你的其他属性，因为你很容易被犯罪</t>
  </si>
  <si>
    <t>超越人类极限的力量</t>
  </si>
  <si>
    <t>你跑步的样子像香港记者</t>
  </si>
  <si>
    <t>天生的肉盾</t>
  </si>
  <si>
    <t>超凡的智慧</t>
  </si>
  <si>
    <t>你开始注意到一些本来不该是人类所注意的东西了</t>
  </si>
  <si>
    <t>红颜祸水指的就是你</t>
  </si>
  <si>
    <t>货币换算</t>
  </si>
  <si>
    <t>弹药计重</t>
  </si>
  <si>
    <t>熊的力量！</t>
  </si>
  <si>
    <t>无与伦比的运动神经</t>
  </si>
  <si>
    <t>或许有复数血条</t>
  </si>
  <si>
    <t>你可以改变世界</t>
  </si>
  <si>
    <t>所有的谎言在你面前无所遁形</t>
  </si>
  <si>
    <t>沉鱼落雁，闭月羞花</t>
  </si>
  <si>
    <t>货币计重</t>
  </si>
  <si>
    <t>怪物之力</t>
  </si>
  <si>
    <t>跑得比香港记者还快</t>
  </si>
  <si>
    <t>大概只有天灾才杀死这种人</t>
  </si>
  <si>
    <t>或许是参透法则之人</t>
  </si>
  <si>
    <t>路过坟墓你就能看见鬼魂，经过战场你就能听见哀号</t>
  </si>
  <si>
    <t>您的敌人也可能会倾向于你</t>
  </si>
  <si>
    <t>MOD</t>
  </si>
  <si>
    <t>吃饭的时候经常不小心捏碎十几个盘子</t>
  </si>
  <si>
    <t>只要你想要，世界上没什么你弄不到东西</t>
  </si>
  <si>
    <t>被杀不一定会死</t>
  </si>
  <si>
    <t>用睿智这个词来形容你都已经是一种侮辱了</t>
  </si>
  <si>
    <t>敌人的隐形和变形对你来说毫无意义</t>
  </si>
  <si>
    <t>你很少动刀动枪，因为只要有你的存在就能化解绝大多数的纷争</t>
  </si>
  <si>
    <t>经常不小心将别人摸成骨折，当地的骨科医生都很喜欢你</t>
  </si>
  <si>
    <t>几乎没有东西有足够的速度能伤害到你</t>
  </si>
  <si>
    <t>最受欢迎的肉盾</t>
  </si>
  <si>
    <t>你一眼就能看清事物的本质，再没有任何事物能够引起你的好奇</t>
  </si>
  <si>
    <t>任何生物在你眼中他的一生命运都历历在目，任何非生物的历史你也一目了然</t>
  </si>
  <si>
    <t>只有意志最坚定的人才能直视你</t>
  </si>
  <si>
    <t>你付账的时候从口袋里掏出来的，往往不是金币而是被巨大的力量捏成一坨的金块</t>
  </si>
  <si>
    <t>战斗的时候，敌人最头痛的就是你，因为他根本砍不到你</t>
  </si>
  <si>
    <t>强壮的体质使你在冒险团队中所向无敌</t>
  </si>
  <si>
    <t>世间的一切在你眼中都索然无味</t>
  </si>
  <si>
    <t>世界上所有的神祗都在要求你做他们的使徒</t>
  </si>
  <si>
    <t>你的一个眼神、一个动作，都可能轻易的左右其他人的思想，决定国家的存亡</t>
  </si>
  <si>
    <t>因为你的存在，你所居住的小镇已经很多年没有买过起重机了</t>
  </si>
  <si>
    <t>你从别人身边走过，别人会以为只是一阵风吹过</t>
  </si>
  <si>
    <t>传奇肉盾</t>
  </si>
  <si>
    <t>完全可以去客串半神巫妖</t>
  </si>
  <si>
    <t>你能够直接倾听神祗的话语与神交流，你就是真正的神使</t>
  </si>
  <si>
    <t>天上的众神为了争夺你打的不可开交，深渊中的恶魔因为你的存在而不愿破坏世界</t>
  </si>
  <si>
    <t>种族备选</t>
  </si>
  <si>
    <t>亚种选项</t>
  </si>
  <si>
    <t>待选特性</t>
  </si>
  <si>
    <t>已选特性</t>
  </si>
  <si>
    <t>行</t>
  </si>
  <si>
    <t>最小列</t>
  </si>
  <si>
    <t>最大列</t>
  </si>
  <si>
    <t>通用特性</t>
  </si>
  <si>
    <t>阿斯莫向导特质</t>
  </si>
  <si>
    <t>阿斯莫天界特性</t>
  </si>
  <si>
    <t>蜥蜴人怪癖</t>
  </si>
  <si>
    <t>斑猫人追求</t>
  </si>
  <si>
    <t>斑猫人怪癖</t>
  </si>
  <si>
    <t>梭螺鱼人怪癖</t>
  </si>
  <si>
    <t>精灵饰品</t>
  </si>
  <si>
    <t>精灵冒险动机</t>
  </si>
  <si>
    <t>卓尔冒险动机</t>
  </si>
  <si>
    <t>卓尔家族专业</t>
  </si>
  <si>
    <t>雅灵联系季节</t>
  </si>
  <si>
    <t>秋季人格特点</t>
  </si>
  <si>
    <t>秋季缺陷</t>
  </si>
  <si>
    <t>冬季人格特点</t>
  </si>
  <si>
    <t>冬季缺陷</t>
  </si>
  <si>
    <t>春季人格特点</t>
  </si>
  <si>
    <t>春季缺陷</t>
  </si>
  <si>
    <t>夏季人格特点</t>
  </si>
  <si>
    <t>夏季缺陷</t>
  </si>
  <si>
    <t>离梦人癖好</t>
  </si>
  <si>
    <t>兽人外出理由</t>
  </si>
  <si>
    <t>机关人怪癖</t>
  </si>
  <si>
    <t>矮人离开原因</t>
  </si>
  <si>
    <t>侏儒的计画</t>
  </si>
  <si>
    <t>半精灵起源</t>
  </si>
  <si>
    <t>半身人怪癖</t>
  </si>
  <si>
    <t>人类起源</t>
  </si>
  <si>
    <t>半血裔饥渴</t>
  </si>
  <si>
    <t>半血裔起源</t>
  </si>
  <si>
    <t>巫咒之子起源</t>
  </si>
  <si>
    <t>重生者遗失的记忆</t>
  </si>
  <si>
    <t>仙灵精类特征</t>
  </si>
  <si>
    <t>化兽者兽化人先祖</t>
  </si>
  <si>
    <t>自动侏儒历史</t>
  </si>
  <si>
    <t>矮人</t>
  </si>
  <si>
    <t>丘陵矮人</t>
  </si>
  <si>
    <t>山地矮人</t>
  </si>
  <si>
    <t>微型</t>
  </si>
  <si>
    <t>体质+2，感知+1</t>
  </si>
  <si>
    <t>中型</t>
  </si>
  <si>
    <t>基础步行速度为25尺，你的速度不会因穿着重甲而减慢</t>
  </si>
  <si>
    <t>和矮人语</t>
  </si>
  <si>
    <t>书生气的，教条主义的</t>
  </si>
  <si>
    <t>锈蚀金属色、白色或木炭色的雀斑</t>
  </si>
  <si>
    <t>你讨厌浪费，而且没有理由不清理吃光死掉的敌人。手指美味又方便！</t>
  </si>
  <si>
    <t>一位神祇或者位面存在</t>
  </si>
  <si>
    <t>你想念你的热带家乡，对寒冷的天气抱怨不休，哪怕是在夏天。</t>
  </si>
  <si>
    <t>你所说的话即是需要服从的命令。</t>
  </si>
  <si>
    <t>一个小笔记本，任何写在上面的东西都会在一小时内消失。</t>
  </si>
  <si>
    <t>你相信让精灵与科瑞隆重新团聚的秘密在世界上的某处而不在精灵社区之中，而你下定决心要找到这个秘密。</t>
  </si>
  <si>
    <t>你打听到了你的家族中一位成员试图毒杀你，因而你从幽暗地域逃脱以保命。你在闯出足以让你身边有着一群忠诚的佣兵护卫前不会回去。</t>
  </si>
  <si>
    <t>精金武器</t>
  </si>
  <si>
    <t>秋是和平与善意的季节，众生分享着夏季的丰收。</t>
  </si>
  <si>
    <t>如果有人需要你的帮助，你会毫无保留地伸出援手。</t>
  </si>
  <si>
    <t>你不暇思索地相信别人。</t>
  </si>
  <si>
    <t>最坏的情况总是最可能发生的。</t>
  </si>
  <si>
    <t>万物终有一死。为何还要麻烦地建造那些长存的事物呢？</t>
  </si>
  <si>
    <t>每一天都是你生命中最美好的一天。</t>
  </si>
  <si>
    <t>你常常酗酒。</t>
  </si>
  <si>
    <t>你相信单刀直入是解决问题的最佳方式。</t>
  </si>
  <si>
    <t>你很顽固。“改变”这种事让别人去做吧。</t>
  </si>
  <si>
    <t>你试图了解敌人的动机和感受</t>
  </si>
  <si>
    <t>你和护门者有联系，而你正要执行在阴影湿地外对抗一个与恶魔有关的威胁的委托。</t>
  </si>
  <si>
    <t>你大声分析遇见的每个人可能会带来的潜在威胁。</t>
  </si>
  <si>
    <t>与敌对氏族之间的宿怨已经失控，最好是在事情平静下来的时候离开几十年。</t>
  </si>
  <si>
    <t>你的家人正在研究一种新的元素绑定形式，但是他们需要很多凯博尔龙晶。</t>
  </si>
  <si>
    <t>你是一个主要城市的科拉瓦社区的关键人物，主持团结餐会，并与城市中每一个半精灵保持联系。</t>
  </si>
  <si>
    <t>你常常惊讶於五国人民认为理所当然的事情。</t>
  </si>
  <si>
    <t>来自安黛尔的贫穷法师，努力证明你和其他安黛尔法师一样聪明</t>
  </si>
  <si>
    <t>饥渴</t>
  </si>
  <si>
    <t>你是吸血鬼暴君祖先的转世。</t>
  </si>
  <si>
    <t>想要有个孩子，你的父母和鬼婆进行了交易，而你就是那场交易的产物。</t>
  </si>
  <si>
    <t>你回想起身体承受的巨大痛苦，你身上与之相关的伤痕或印记是什么样的？</t>
  </si>
  <si>
    <t>你的翅膀如同鸟类的翅膀。</t>
  </si>
  <si>
    <t>熊人</t>
  </si>
  <si>
    <t>你的创造者给了你自主权，然后催促你去追寻你的梦想。</t>
  </si>
  <si>
    <t>精灵</t>
  </si>
  <si>
    <t>高等精灵</t>
  </si>
  <si>
    <t>木精灵</t>
  </si>
  <si>
    <t>黑暗精灵</t>
  </si>
  <si>
    <t>小型</t>
  </si>
  <si>
    <t>体质+2，力量+2</t>
  </si>
  <si>
    <t>富有同情心的，给人以希望的</t>
  </si>
  <si>
    <t>金属般的、发光的或黑暗的眼睛</t>
  </si>
  <si>
    <t>你把大部分身体泡在水里的时候睡得最香。</t>
  </si>
  <si>
    <t>一只怪物</t>
  </si>
  <si>
    <t>除非绝对必要，你从不穿同样的衣服两次。</t>
  </si>
  <si>
    <t>你动不动就夸耀你的文明的伟大。</t>
  </si>
  <si>
    <t>一个用象牙与黄金制成的水晶透镜，透过它，任何东西看起来都会变得色彩缤纷</t>
  </si>
  <si>
    <t>你的同胞血亲被一个疯狂的怪物杀死了，你在击败它、杀死它前绝不停息。</t>
  </si>
  <si>
    <t>你因为试图毒杀你有权有势的竞争对手而被奴役作为惩罚，但你逃脱了奴役并逃至地表。若你回归，你将被再次奴役。</t>
  </si>
  <si>
    <t>暗杀</t>
  </si>
  <si>
    <t>冬是冥想与悲伤的季节，生机勃勃的世界蛰伏了。</t>
  </si>
  <si>
    <t>你会分享你的所有，而不考虑你自己的需求。</t>
  </si>
  <si>
    <t>你倾尽所有给予别人，却连必要的补给都不留给自己。</t>
  </si>
  <si>
    <t>你会把你的所有都保存起来。今天挨饿明天饱餐总比反过来的情况好。</t>
  </si>
  <si>
    <t>你不看重任何事，所以你允许让人引导你的行动。</t>
  </si>
  <si>
    <t>你做任何事都饱含热情，即使是最乏味的家务事。</t>
  </si>
  <si>
    <t>苦工是苦力的活。安逸是你的生活。</t>
  </si>
  <si>
    <t>压倒性的力量可以解决任何事。问题越困难，就该用更大的力量。</t>
  </si>
  <si>
    <t>最好的选择是一个人出手迅速、出人意料并且势不可挡。</t>
  </si>
  <si>
    <t>你喜欢通过心灵感应而不是大声说话来交流</t>
  </si>
  <si>
    <t>萨拉释克家族从沼泽中中招募你，在终末之战中充当雇佣军。</t>
  </si>
  <si>
    <t>你经常误解情绪表现。</t>
  </si>
  <si>
    <t>你来自一个大家庭，没有位置让你展露光芒，所以你希望让自己在更广阔的世界出名。</t>
  </si>
  <si>
    <t>你有一个匿名联系人通过短讯术给你发送任务。如果你按照要求去做，你会得到丰厚的回报。</t>
  </si>
  <si>
    <t>你在一个由人类主宰的小镇上长大。你不认识任何其他半精灵，你尽了最大努力去融入他们。</t>
  </si>
  <si>
    <t>你模仿一种恐龙的行为。</t>
  </si>
  <si>
    <t>一个来自布鲁兰的街头盗贼，只想永远逃离萨恩的喧嚣</t>
  </si>
  <si>
    <t>血液</t>
  </si>
  <si>
    <t>你与一位具有掠夺性的神祇，邪魔，精类或灵魂缔结了契约，共享它们的饥渴。</t>
  </si>
  <si>
    <t>精类绑架者把你和你父母的孩子进行了替换。</t>
  </si>
  <si>
    <t>回忆使你热泪盈眶。是苦涩的回忆还是甜美的回忆？现在回想起来你的感受是否还如当初一样？</t>
  </si>
  <si>
    <t>你的皮肤闪闪发光，五彩缤纷。</t>
  </si>
  <si>
    <t>野猪人</t>
  </si>
  <si>
    <t>你的创造者死了，让你不得不自谋出路。</t>
  </si>
  <si>
    <t>半身人</t>
  </si>
  <si>
    <t>轻足半身人</t>
  </si>
  <si>
    <t>敦实半身人</t>
  </si>
  <si>
    <t>灰矮人</t>
  </si>
  <si>
    <t>自选两项属性分别+2/+1或自选三项属性+1</t>
  </si>
  <si>
    <t>基础步行速度为30尺</t>
  </si>
  <si>
    <t>，以及任意一门自选语言</t>
  </si>
  <si>
    <t>实际主义的，使人轻松的</t>
  </si>
  <si>
    <t>多种颜色层叠的头发</t>
  </si>
  <si>
    <t>金钱对你来说毫无意义。</t>
  </si>
  <si>
    <t>一个失落的文明</t>
  </si>
  <si>
    <t>你有轻微的恐水症，讨厌被水弄湿。</t>
  </si>
  <si>
    <t>你习得了过时版本的通用语，并将“汝”用在你的话中。</t>
  </si>
  <si>
    <t>一个核桃大小的金色金字塔，其上刻有精灵符文</t>
  </si>
  <si>
    <t>一只渡鸦带来了你的一位需要援助的老友的密信，但密信中关于你这位老友的位置信息相当模糊。你正尝试花上数年时间来追踪、拯救你的老友。</t>
  </si>
  <si>
    <t>你是一位罗丝高阶女祭司的情人，你以此作为你地位的保证。当她厌倦了你时，失去地位对你而言是个耻辱，所以你离开了。</t>
  </si>
  <si>
    <t>基于魔法控制的巨蜘蛛养殖</t>
  </si>
  <si>
    <t>春是快乐与庆祝的季节，欢喜随冬之悲伤的离去而来。</t>
  </si>
  <si>
    <t>这里没有饱腹的简餐，只有奢华的盛宴。</t>
  </si>
  <si>
    <t>每个人都是你的朋友或者潜在的朋友。</t>
  </si>
  <si>
    <t>生活充满了危险，但你已做好准备。</t>
  </si>
  <si>
    <t>你的需求是第一位。在寒冬，每个人都必须照顾好自己。</t>
  </si>
  <si>
    <t>你热爱音乐与歌唱。如果没人能为你写歌，你会为自己谱曲。</t>
  </si>
  <si>
    <t>美人能将你轻易俘虏，但你的热情来得快去得也快。</t>
  </si>
  <si>
    <t>你站得强健而挺拔，以便让他人能依靠你。</t>
  </si>
  <si>
    <t>比起动口，你会先动手。</t>
  </si>
  <si>
    <t>你有一种保护无辜者的强烈冲动</t>
  </si>
  <si>
    <t>你是一个孤狼猎手，但你已经决定寻找进一步的机会或是湿地外世界的真正挑战。</t>
  </si>
  <si>
    <t>你极力保护自己的朋友。</t>
  </si>
  <si>
    <t>你的氏族已经为你的婚姻和未来做了安排，你已经决定在安定下来之前进行一些冒险活动。</t>
  </si>
  <si>
    <t>你继承了夸巴拉的一块地。如果你在一年内不访问，你将失去所有权。</t>
  </si>
  <si>
    <t>你住在埃鲁登原野的一个小科拉瓦社区，你试图成为东部人类农民和西部德鲁伊教和野人之间的桥梁。</t>
  </si>
  <si>
    <t>你非常好奇，总是在寻找新的经历。</t>
  </si>
  <si>
    <t>一名流离失所的赛尔战士，哀伤咏叹期间在赛尔外参与了战争，现在被困在了没有家的地方</t>
  </si>
  <si>
    <t>生肉</t>
  </si>
  <si>
    <t>你从一位吸血鬼的攻击中幸存了下来，但是也被永远的改变了。</t>
  </si>
  <si>
    <t>一个鬼婆集会失去了一名成员。你被创造出来填补缺失的空位。</t>
  </si>
  <si>
    <t>你回想起孩童时期的事情。那时候的什么事件或人物至今仍在影响着你？</t>
  </si>
  <si>
    <t>你有着特别大的耳朵。</t>
  </si>
  <si>
    <t>鼠人</t>
  </si>
  <si>
    <t>一个故障导致你忘了你原来的程序设定。你不记得谁创造了你，也不记得自己是从哪里来的。</t>
  </si>
  <si>
    <t>人类</t>
  </si>
  <si>
    <t>人类变体</t>
  </si>
  <si>
    <t>大型</t>
  </si>
  <si>
    <t>序号</t>
  </si>
  <si>
    <t>增值</t>
  </si>
  <si>
    <t>警戒龙纹</t>
  </si>
  <si>
    <t>体质+2，智力+1</t>
  </si>
  <si>
    <t>狂热的，报复心猛烈的</t>
  </si>
  <si>
    <t>你的影子有不寻常的色调</t>
  </si>
  <si>
    <t>你认为世界上只有两种人：蜥蜴人和食用肉。</t>
  </si>
  <si>
    <t>一名法师的秘密</t>
  </si>
  <si>
    <t>你的尾巴总是背叛你内心的想法。</t>
  </si>
  <si>
    <t>你认为人们都在告诉你当地风俗习惯和期望的真相。</t>
  </si>
  <si>
    <t>一个蝴蝶形的，用搪瓷制成的斗篷针；当你取下它时，它会变成一只真正的蝴蝶，在你准备把它戴回去前又会再变成针。</t>
  </si>
  <si>
    <t>一个美丽的精灵赢得了，又打碎了你的心。如果你通过冒险挣得了足够的金钱与荣誉，你或许可以让你的爱人回心转意。</t>
  </si>
  <si>
    <t>你在一场出于公开侮辱你的决斗中杀死了更有权势的家族的卓尔。死者的家族发誓要摧毁你的家族，除非你人头落地。你的血亲们强迫你离开他们。你想着他们为什么会变成这样。</t>
  </si>
  <si>
    <t>致幻物质</t>
  </si>
  <si>
    <t>夏是大胆与进犯的季节，为无拘无束的精力所填满。</t>
  </si>
  <si>
    <t>你将上好的食物存储起来。因为你不喜欢连这点舒适的用品都失去。</t>
  </si>
  <si>
    <t>你在物质享受上穷奢极欲。</t>
  </si>
  <si>
    <t>花了一便士就是永远弄丢了一便士。</t>
  </si>
  <si>
    <t>你只会指出他人计划中的瑕疵。</t>
  </si>
  <si>
    <t>你总是心浮气躁、坐立不安。</t>
  </si>
  <si>
    <t>任何值得做的事情都值得不断地重复之。</t>
  </si>
  <si>
    <t>你往往会先加以恐吓，因为你觉得通过展示力量来避免战斗总好过伤害别人。</t>
  </si>
  <si>
    <t>你的怒火载着你披荆斩棘。</t>
  </si>
  <si>
    <t>你会把梦中的逻辑应用到日常生活中</t>
  </si>
  <si>
    <t>你的村庄被来自卓姆的怪物摧毁了，因而你开始在世界中找寻一个新的落脚点。</t>
  </si>
  <si>
    <t>你试图将战时纪律运用到每一种情况中。</t>
  </si>
  <si>
    <t>你在与一个私人对手进行仇杀，试图在战斗或商业中击败他们。</t>
  </si>
  <si>
    <t>由於不寻常的三团议会法律的扭曲，你与许多其他的孩子共享相同的名字，你在法律上被认为是同一个人。</t>
  </si>
  <si>
    <t>你们的小科拉瓦社区只有在萨恩的贫民窟里才得以生存，你们互相给予了亲密的、像家人一样的支持。</t>
  </si>
  <si>
    <t>你喜欢自吹自擂，你总是夸大自己的奇遇。</t>
  </si>
  <si>
    <t>一个来自恶魔荒原的野蛮人从残酷的生活中忏悔，并希望为过去的罪恶赎罪</t>
  </si>
  <si>
    <t>脑脊液</t>
  </si>
  <si>
    <t>一条寄生虫寄生在你体内，你听任于它的饥渴。</t>
  </si>
  <si>
    <t>孩童时期你遭受了诅咒。与森林中的精魂们打交道导致你被转变为巫咒之子，并且这种诅咒无法被解除。</t>
  </si>
  <si>
    <t>回忆中传来过去一位亲近你的人的声音。他们是怎么指导你的？</t>
  </si>
  <si>
    <t>一层闪闪发光的雾一直环绕着你。</t>
  </si>
  <si>
    <t>虎人</t>
  </si>
  <si>
    <t>你不喜欢你的创造者对待你的方式，所以你从家里逃了出来。</t>
  </si>
  <si>
    <t>龙裔</t>
  </si>
  <si>
    <t>巨型</t>
  </si>
  <si>
    <t>敏捷+2，智力+1</t>
  </si>
  <si>
    <t>和精灵语</t>
  </si>
  <si>
    <t>严厉的，主观判断的</t>
  </si>
  <si>
    <t>你的头部环绕着鬼魂般的光环</t>
  </si>
  <si>
    <t>你学会了笑。你用这个天赋来回应所有的情绪状况，以更好地适应你的同伴。</t>
  </si>
  <si>
    <t>一件平凡的东西</t>
  </si>
  <si>
    <t>当你高兴时会发出响亮的咕噜声。</t>
  </si>
  <si>
    <t>陆上世界是个奇妙的地方，你把它的所有细节都记在了一本日记里。</t>
  </si>
  <si>
    <t>一个金色的罗盘，它会指向10里内最近的通往妖精荒原的传送点</t>
  </si>
  <si>
    <t>你的父亲认为你太弱小了，没有办法作为一个冒险者生存下来，但是他错了，而你会证明这一点。</t>
  </si>
  <si>
    <t>你的一位密友被怀疑为伊莉丝翠的信徒。她圈子里的所有人都被怀疑。逃跑便是默认了指控，尽管你对此一无所知，但若你留在此处，你会被献祭给罗丝。</t>
  </si>
  <si>
    <t>高品质奴隶与活祭</t>
  </si>
  <si>
    <t>你在与梦族商量事情时会不自觉地大声说出</t>
  </si>
  <si>
    <t>作为黄泉巨龙会的信徒，你相信，杀死强大的敌人是唯一的通往深藏在地底空心世界中的天堂的道路。为了寻找有价值的敌人，你冒险越过了湿地。</t>
  </si>
  <si>
    <t>你不知道怎么控制自己的情绪，容易产生急剧的情绪爆发。</t>
  </si>
  <si>
    <t>你在寻找一个传说中的矮人神器，几个世纪前被一个坎纳斯贵族偷走了。</t>
  </si>
  <si>
    <t>你已经获得了一个包含大量奇怪代码文本的法术碎片。</t>
  </si>
  <si>
    <t>你是瑟雷恩社区的一员，他们对银焰教会的热爱使你将团结餐会扩展到非科拉瓦。</t>
  </si>
  <si>
    <t>你戴着一个面具，你相信它保存着你以前恐龙坐骑的灵魂。你喜欢和它说话。</t>
  </si>
  <si>
    <t>一个来自埃鲁登原野的善良德鲁伊他想了解科瓦雷地区的植物和动物</t>
  </si>
  <si>
    <t>心灵能量</t>
  </si>
  <si>
    <t>一场惨剧中止了你转变为不朽者的进程。</t>
  </si>
  <si>
    <t>你原本是一位精类生物，一场事故改变了你，并迫使你离开了家乡。</t>
  </si>
  <si>
    <t>你回想起一件你过去曾享受，但现在却无法忍受的事物。它是什么？为什么你现在不喜欢了？</t>
  </si>
  <si>
    <t>你的额头上有一根灵体角，就像小型的独角兽角。</t>
  </si>
  <si>
    <t>狼人（类似狼）</t>
  </si>
  <si>
    <t>你被创造出来完成一个特别的任务。</t>
  </si>
  <si>
    <t>侏儒</t>
  </si>
  <si>
    <t>森林侏儒</t>
  </si>
  <si>
    <t>岩侏儒</t>
  </si>
  <si>
    <t>超巨型</t>
  </si>
  <si>
    <t>敏捷+2，感知+1</t>
  </si>
  <si>
    <t>仁慈的，父母般的</t>
  </si>
  <si>
    <t>你的皮肤上闪烁着彩虹</t>
  </si>
  <si>
    <t>你还是不懂隐喻是怎么起作用的。不过这并不妨碍你在每一个机会上使用它们。</t>
  </si>
  <si>
    <t>一件魔法物品</t>
  </si>
  <si>
    <t>你让一个小毛线球缠在手上并不断地摆弄着。</t>
  </si>
  <si>
    <t>你误以为陆上住民都知道你的种族的历史并且印象深刻。</t>
  </si>
  <si>
    <t>一个银色的小陀螺，一旦它开始转动，那么在被人为打断前就会一直转下去</t>
  </si>
  <si>
    <t>只有那些成就伟业者才会在他们死后被长久铭记。诗人们将会为你的丰功伟绩而喝彩。</t>
  </si>
  <si>
    <t>你是一组被埋伏了的地表突击队的队员之一，然后你被抓住了。在被监禁的几年里，你知道了罗丝的祭司告诉你的关于地表世界的一切都是谎言，现在你要自己体验这里的真相。</t>
  </si>
  <si>
    <t>从对地表突袭中获得的物品</t>
  </si>
  <si>
    <t>你压抑自己的情绪，依靠逻辑办事</t>
  </si>
  <si>
    <t>你的家族与萨拉释克家族合作，你被招募为赏金猎人或调查员，即使你并非家族成员。</t>
  </si>
  <si>
    <t>你无法理解衣服除了实用性质以外的意义，并认为一个生物的穿着代表着他的功能。</t>
  </si>
  <si>
    <t>你想聚集可以帮助你探索古老废墟下祖先家园的勇士们。</t>
  </si>
  <si>
    <t>你知道一个被通缉的战犯的位置，你一直在决定是把他们交出来，还是用你的沉默来换取什麽。</t>
  </si>
  <si>
    <t>你的科拉瓦社区是一艘拉扎尔船的船员。</t>
  </si>
  <si>
    <t>你不了解“事实”的概念。对你来说，每件事都是一个故事，而真相就在你如何讲述它。</t>
  </si>
  <si>
    <t>一个来自坎纳斯的牧师，他渴望学习死灵术--当然是为了最崇高的目标</t>
  </si>
  <si>
    <t>梦</t>
  </si>
  <si>
    <t>你是一位被削弱的异界存在，满足你的饥饿感能加快你的恢复。</t>
  </si>
  <si>
    <t>一个被侮慢的德鲁伊转变了你，并将你与一棵神圣的树绑定，只要这棵树还结果，你就只能以这样的姿态活下去。</t>
  </si>
  <si>
    <t>回忆起生动的气味和感觉。你要做些什么事情来重现这一经历呢？</t>
  </si>
  <si>
    <t>你有着昆虫的腿。</t>
  </si>
  <si>
    <t>狼人（类似犬）</t>
  </si>
  <si>
    <t>你觉得自己被自己的设计意图所束缚，所以你抛弃了你的创造者，决心去寻找更伟大的目标。</t>
  </si>
  <si>
    <t>半精灵</t>
  </si>
  <si>
    <t>敏捷+2，魅力+1</t>
  </si>
  <si>
    <t>你欣赏软弱的类人生物意识到需要用链甲和剑才配得上你与生俱来的礼物。</t>
  </si>
  <si>
    <t>一处场所</t>
  </si>
  <si>
    <t>你总是在负债，因为你把你的黄金都花在豪华的聚会上和送给朋友了。</t>
  </si>
  <si>
    <t>一只用搪瓷，金丝与奇石制成的鸣鸟，当你用精灵语说出这只鸣鸟的名字时，它会开始歌唱。</t>
  </si>
  <si>
    <t>你私底下爱上了队伍中的一位成员，你不能忍受哪怕只是想到那个人会受伤。</t>
  </si>
  <si>
    <t>你在一生中都对你同胞的残忍行径感到陌生与害怕。你得到的第一个机会是自愿参加一次对地表的突袭，然后你抛弃了队伍并留在了后面。现在你不管到哪里去都被憎恨着、厌恶着，但至少你找到了一小组信任并支持彼此的冒险同伴。</t>
  </si>
  <si>
    <t>低价类人奴隶</t>
  </si>
  <si>
    <t>你周围的情绪会强烈地影响到你</t>
  </si>
  <si>
    <t>你们家族的首领对另一个家族犯了大错，这个家族现在发誓要消灭你们家族的每一个成员。还有什么比现在更好的看外面世界的时机呢？</t>
  </si>
  <si>
    <t>你对自己的外表很在意，总是在擦亮自己的装甲和向他人吹嘘。</t>
  </si>
  <si>
    <t>你拒绝了你的氏族对异变魔魔法的态度，招致了强大矮人的敌意。</t>
  </si>
  <si>
    <t>你一直在卖假的藏宝图，但现在你可能找到了一张真的。</t>
  </si>
  <si>
    <t>你是位於坎纳斯的一个小科拉瓦社区的一员，这个社区对死亡和你艾伦诺祖先的做法很着迷，把你的团结餐会变成了对死亡的残酷庆祝。</t>
  </si>
  <si>
    <t>你会为那些为小型人们设计的建筑和工具而烦恼。</t>
  </si>
  <si>
    <t>一个来自拉扎尔邦联的海盗吟游诗人，他热爱海中的棚屋，但也想让歌曲中伟大英雄的事蹟永垂不朽</t>
  </si>
  <si>
    <t>生命精华</t>
  </si>
  <si>
    <t>你双亲中的一位是吸血鬼。</t>
  </si>
  <si>
    <t>你闻起来像是刚出炉的布朗尼。</t>
  </si>
  <si>
    <t>半兽人</t>
  </si>
  <si>
    <t>雅灵</t>
  </si>
  <si>
    <t>你喜欢在你的食物还在蠕动的时候吃了它。</t>
  </si>
  <si>
    <t>一个传说或者故事</t>
  </si>
  <si>
    <t>当谈论你追求的东西时，你说话飞快，从不停顿，让别人没法明白你。</t>
  </si>
  <si>
    <t>一只用搪瓷制作的花朵，当它被放进一个人的头发里时，它会变成活的花并用一支真的花藤系住穿戴者的头发。摘下这支藤蔓上的花会让它再次变成非活物。</t>
  </si>
  <si>
    <t>当你出生之时，你的祖母预言你会统治一个人类王国。你正在追寻这个命运。</t>
  </si>
  <si>
    <t>在灰矮人为奴隶与财宝袭击队伍时，你是那支往其它卓尔城市传递外交信息的使节团的一员。只有你和另一个守卫逃脱了。如果你回家，你会被毒死或因失败遭到更可怕的处罚，成为一名佣兵是你最好的选择。</t>
  </si>
  <si>
    <t>幽暗地域的地图</t>
  </si>
  <si>
    <t>只要有可能，你更倾向于通过非暴力手段解决问题</t>
  </si>
  <si>
    <t>作为一名调查员，你的工作让你踏上了一条远离湿地的神秘之路。</t>
  </si>
  <si>
    <t>战争是对你来说唯一有意义的事，所以你一直都在追求战斗。</t>
  </si>
  <si>
    <t>你想知道其他科瓦雷人--尤其是哥布林和兽人--是如何与异变魔作战的。</t>
  </si>
  <si>
    <t>你获得了一个龙晶矿坑的控股权，这个矿坑很久以前就被废弃了。但是为什麽呢?狗头人吗?异怪?真相只有一个!</t>
  </si>
  <si>
    <t>你是一个微型科拉瓦社区的一部分，生活在一个意想不到的地方，比如卓姆、达贡，甚至是恶魔荒原。你的人民努力寻找与当地人的共同点。</t>
  </si>
  <si>
    <t>你要为你百姓所受的恶报仇。</t>
  </si>
  <si>
    <t>一个被训练在夸巴拉丛林狩猎的游侠，对龙怀恨在心。</t>
  </si>
  <si>
    <t>一场极端的实验改变了你的身体，让你以他人的生命体液维生。</t>
  </si>
  <si>
    <t>一种明显的、无害的寒意环绕着你。</t>
  </si>
  <si>
    <t>提夫林</t>
  </si>
  <si>
    <t>海精灵</t>
  </si>
  <si>
    <t>你按耐不住地想要独吞你感兴趣的东西。</t>
  </si>
  <si>
    <t>你被勇士的精神体所影响，会为了任何高尚的事业而奋斗</t>
  </si>
  <si>
    <t>你的家庭正面临经济崩溃，他们给你买了保险。只有在你非自然死亡时才能理赔，他们鼓励你去寻找更危险的冒险。</t>
  </si>
  <si>
    <t>你与林兰德家族或梅丹尼家族有联系，但你更感兴趣的是家族在支持科拉瓦社区方面所扮演的角色，而不是其公会的工作。</t>
  </si>
  <si>
    <t>你永远不会忘记一个侮辱或伤害。</t>
  </si>
  <si>
    <t>一个来自阴影湿地的契术师走了过来，在神智清醒的边缘摇摇欲坠，同时凝视着异变魔</t>
  </si>
  <si>
    <t>影灵</t>
  </si>
  <si>
    <t>你说话的时候会将你发现过的传说与故事当梗用到你的话里。</t>
  </si>
  <si>
    <t>运输用爬行动物</t>
  </si>
  <si>
    <t>你被梦境之暗的阴谋纠缠</t>
  </si>
  <si>
    <t>你在兜售一个延长寿命的计划，让客户被梅杜莎石化，然後再恢复。</t>
  </si>
  <si>
    <t>你在维伦那旅行，希望有一天能证明你配得上一个守护灵祖先。</t>
  </si>
  <si>
    <t>你把一切都归因於灵魂的工作。</t>
  </si>
  <si>
    <t>一个瑟雷恩的银焰教会圣骑士，他在寻找一些东西来证明支撑信仰的真理。</t>
  </si>
  <si>
    <t>阴影龙纹</t>
  </si>
  <si>
    <t>苍白精灵</t>
  </si>
  <si>
    <t>基础步行速度为25尺</t>
  </si>
  <si>
    <t>和半身人语</t>
  </si>
  <si>
    <t>敏捷+2，体质+1</t>
  </si>
  <si>
    <t>重复特性</t>
  </si>
  <si>
    <t>动物强化</t>
  </si>
  <si>
    <t>鬼智半身人</t>
  </si>
  <si>
    <t>亚种错误</t>
  </si>
  <si>
    <t>未选亚种</t>
  </si>
  <si>
    <t>互斥特性</t>
  </si>
  <si>
    <t>医疗龙纹</t>
  </si>
  <si>
    <t>熊地精</t>
  </si>
  <si>
    <t>大地精</t>
  </si>
  <si>
    <t>半木精灵</t>
  </si>
  <si>
    <t>初级</t>
  </si>
  <si>
    <t>招待龙纹</t>
  </si>
  <si>
    <t>半日月精灵</t>
  </si>
  <si>
    <t>莲源半身人</t>
  </si>
  <si>
    <t>半卓尔精灵</t>
  </si>
  <si>
    <t>高级</t>
  </si>
  <si>
    <t>全部属性+1</t>
  </si>
  <si>
    <t>半水生精灵</t>
  </si>
  <si>
    <t>自选两项不同属性各+1</t>
  </si>
  <si>
    <t>吉斯洋基人</t>
  </si>
  <si>
    <t>吉斯泽莱人</t>
  </si>
  <si>
    <t>提夫林变体</t>
  </si>
  <si>
    <t>探索龙纹</t>
  </si>
  <si>
    <t>感知+2，体质+1</t>
  </si>
  <si>
    <t>阿斯莫</t>
  </si>
  <si>
    <t>畜牧龙纹</t>
  </si>
  <si>
    <t>感知+2，自选一项其他属性+1</t>
  </si>
  <si>
    <t>狗头人</t>
  </si>
  <si>
    <t>创造龙纹</t>
  </si>
  <si>
    <t>智力+2，自选一项其他属性+1</t>
  </si>
  <si>
    <t>化兽者</t>
  </si>
  <si>
    <t>通行龙纹</t>
  </si>
  <si>
    <t>敏捷+2，自选一项其他属性+1</t>
  </si>
  <si>
    <t>守护龙纹</t>
  </si>
  <si>
    <t>加渥尼</t>
  </si>
  <si>
    <t>凯锡革</t>
  </si>
  <si>
    <t>敏捷+1，感知+1</t>
  </si>
  <si>
    <t>涅非利亚</t>
  </si>
  <si>
    <t>智力+1，魅力+1</t>
  </si>
  <si>
    <t>史顿襄</t>
  </si>
  <si>
    <t>力量+1，体质+1</t>
  </si>
  <si>
    <t>力量+2，魅力+1</t>
  </si>
  <si>
    <t>和龙语</t>
  </si>
  <si>
    <t>龙国血统</t>
  </si>
  <si>
    <t>智力+2，魅力+1</t>
  </si>
  <si>
    <t>气元素裔</t>
  </si>
  <si>
    <t>土元素裔</t>
  </si>
  <si>
    <t>火元素裔</t>
  </si>
  <si>
    <t>水元素裔</t>
  </si>
  <si>
    <t>瑞雯奈特</t>
  </si>
  <si>
    <t>力量+2，体质+1</t>
  </si>
  <si>
    <t>色彩龙血统</t>
  </si>
  <si>
    <t>宝石龙血统</t>
  </si>
  <si>
    <t>金属龙血统</t>
  </si>
  <si>
    <t>智力+2，敏捷+1</t>
  </si>
  <si>
    <t>和侏儒语</t>
  </si>
  <si>
    <t>智力+2，体质+1</t>
  </si>
  <si>
    <t>地底侏儒</t>
  </si>
  <si>
    <t>抄录龙纹</t>
  </si>
  <si>
    <t>魅力+2，自选两项其他属性各+1</t>
  </si>
  <si>
    <t>和精灵语，以及任意一门自选语言</t>
  </si>
  <si>
    <t>半月精灵</t>
  </si>
  <si>
    <t>半日精灵</t>
  </si>
  <si>
    <t>侦测龙纹</t>
  </si>
  <si>
    <t>暴风龙纹</t>
  </si>
  <si>
    <t>魅力+2，敏捷+1</t>
  </si>
  <si>
    <t>绿色人鱼</t>
  </si>
  <si>
    <t>蓝色人鱼</t>
  </si>
  <si>
    <t>和兽人语</t>
  </si>
  <si>
    <t>依夏兰</t>
  </si>
  <si>
    <t>赞迪卡</t>
  </si>
  <si>
    <t>阿芒凯牛头怪</t>
  </si>
  <si>
    <t>和牛头人语</t>
  </si>
  <si>
    <t>智力+1，魅力+2</t>
  </si>
  <si>
    <t>和炼狱语</t>
  </si>
  <si>
    <t>智力+1，敏捷+2</t>
  </si>
  <si>
    <t>黑暗视觉</t>
  </si>
  <si>
    <t>矮人体魄</t>
  </si>
  <si>
    <t>矮人战斗训练</t>
  </si>
  <si>
    <t>石中精妙</t>
  </si>
  <si>
    <t>矮人刚毅</t>
  </si>
  <si>
    <t>矮人护甲训练</t>
  </si>
  <si>
    <t>增强黑暗视觉</t>
  </si>
  <si>
    <t>灵能坚韧</t>
  </si>
  <si>
    <t>灰矮人魔法</t>
  </si>
  <si>
    <t>龙纹法术</t>
  </si>
  <si>
    <t>守卫直觉</t>
  </si>
  <si>
    <t>保护与封锁</t>
  </si>
  <si>
    <t>巴尔泽布</t>
  </si>
  <si>
    <t>魅力+2，智力+1</t>
  </si>
  <si>
    <t>在微光光照下，你身边60尺内可以视为等同于明亮光照。而在黑暗中，该范围内可视为等同于微光光照。你无法在黑暗中分辨颜色，只能看到有灰度的黑白画面</t>
  </si>
  <si>
    <t>你进行对抗中毒的豁免时具有优势，你对毒素伤害具有抗性</t>
  </si>
  <si>
    <t>你具有战斧，手斧，轻锤和战锤的武器熟练项</t>
  </si>
  <si>
    <t>你从以下工具中选择一项获得熟练项：铁匠工具、酿酒工具或泥瓦匠工具</t>
  </si>
  <si>
    <t>每当你对一件石制品的起源做历史检定时，你视为具有历史技能的熟练项，并可以在检定中加上双倍的熟练加值</t>
  </si>
  <si>
    <t>你的生命值最大值加1，且此后每次升级时再加1</t>
  </si>
  <si>
    <t>你具有轻甲和中甲的护甲熟练项</t>
  </si>
  <si>
    <t>你的黑暗视觉感官范围提升至120尺</t>
  </si>
  <si>
    <t>你进行对抗魅惑和震慑的豁免时具有优势</t>
  </si>
  <si>
    <t>第3级起，你可以用此特质对自己施展一次变巨/缩小术
第5级起，你可以用此特质施展一次变巨/缩小术或隐形术
你必须完成一次长休后才能再次启用该能力。你也可以通过法术位正常施展该特性中的法术，该法术的施法关键属性为智力、感知或魅力并在最初选择种族时决定
当你使用该特质施展这些法术时，无需法术成分</t>
  </si>
  <si>
    <t>如果你拥有施法或契约魔法职业能力，将以下龙纹法术加入施法职业法术列表中：
1环：警报术，艾嘉西斯之铠
2环：秘法锁，敲击术
3环：守卫刻文，防护法阵
4环：李欧蒙秘藏箱，摩登肯忠犬
5环：防活物护罩</t>
  </si>
  <si>
    <t>当你进行调查检定或使用盗贼工具进行属性检定时，你能掷一个d4，并把结果加到属性检定的结果上</t>
  </si>
  <si>
    <t>你能够施展警报术和法师护甲法术，从3级起，你还能施展秘法锁。一旦你使用此特性施展了前述法术，你将无法再次使用此特性，直到完成一次长休。智力是你在施展这些法术时的关键属性，你无需为这些法术提供材料成分</t>
  </si>
  <si>
    <t>迪斯帕特</t>
  </si>
  <si>
    <t>敏锐感官</t>
  </si>
  <si>
    <t>精类血统</t>
  </si>
  <si>
    <t>出神</t>
  </si>
  <si>
    <t>精灵武器训练</t>
  </si>
  <si>
    <t>戏法</t>
  </si>
  <si>
    <t>额外语言</t>
  </si>
  <si>
    <t>轻捷步伐</t>
  </si>
  <si>
    <t>野性面具</t>
  </si>
  <si>
    <t>日照敏感</t>
  </si>
  <si>
    <t>卓尔魔法</t>
  </si>
  <si>
    <t>卓尔武器训练</t>
  </si>
  <si>
    <t>精类步</t>
  </si>
  <si>
    <t>游泳</t>
  </si>
  <si>
    <t>海之子</t>
  </si>
  <si>
    <t>海之友</t>
  </si>
  <si>
    <t>黯蚀抗性</t>
  </si>
  <si>
    <t>鸦后的祝福</t>
  </si>
  <si>
    <t>狡诈直觉</t>
  </si>
  <si>
    <t>阴影塑形</t>
  </si>
  <si>
    <t>增强敏锐感官</t>
  </si>
  <si>
    <t>月织者的祝福</t>
  </si>
  <si>
    <t>菲尔娜</t>
  </si>
  <si>
    <t>魅力+2，感知+1</t>
  </si>
  <si>
    <t>你拥有察觉的技能熟练项</t>
  </si>
  <si>
    <t>你进行对抗魅惑的豁免时具有优势，并且不会因魔法效应而陷入睡眠</t>
  </si>
  <si>
    <t>你具有长剑、短剑、短弓和长弓的武器熟练项</t>
  </si>
  <si>
    <t>你掌握一个法师法术列表中自选戏法</t>
  </si>
  <si>
    <t>你能额外说、读、写一门额外的自选语言</t>
  </si>
  <si>
    <t>基础步行速度提升至35尺</t>
  </si>
  <si>
    <t>你从树丛，大雨，落雪，雾气或其他自然现象中获得轻度遮蔽时，就可以尝试执行躲藏</t>
  </si>
  <si>
    <t>你进行攻击检定和依赖视觉的察觉检定时，如果你本人、你的攻击目标或你尝试察觉的东西位于阳光直射下，则你所进行的相应检定具有劣势</t>
  </si>
  <si>
    <t>你习得戏法舞光术。达到3级后，你可以每日使用一次法术妖火。达到5级后，你可以每日使用一次法术黑暗术。这些每日施展一次的法术其施法关键属性是魅力。你必须完成一次长休才能再次以该特质施展这些法术</t>
  </si>
  <si>
    <t>你具有刺剑、短剑和手弩的武器熟练项</t>
  </si>
  <si>
    <t>以一个附赠动作，你能使用魔法传送到30尺内你可见的一处未被占据的空间。你可以使用该特质的次数等于你的熟练加值，当你完成一次长休后，你重新获得所有消耗的次数
从3级开始，你的精类步得到了基于你季节的额外效果。如果该效果需要进行一次豁免，则难度等级为8+你的熟练加值+你的智力、感知或魅力调整值并在最初选择种族时决定：
秋。你使用精类步后，可以立刻选择10尺内你可见的至多两个生物，其必须通过一次感知豁免，否则被你魅惑1分钟，直到你或你的伙伴对其造成任何伤害
冬。你使用精类步时，你指定的一只传送前于你5尺内的生物必须通过一次感知豁免，否则将在你下回合结束之前对你恐慌
春。你使用精类步时，可以触摸5尺内一只自愿的生物，他将取代你进行传送，出现于30尺内你选择的对你可见的一处未被占据的空间
夏。你使用精类步后，5尺内你选择的每一只你可见的生物将受到等同于你熟练加值的火焰伤害（至少1点）</t>
  </si>
  <si>
    <t>你拥有等于步行速度的游泳速度</t>
  </si>
  <si>
    <t>你对冷冻伤害具有抗性，并且你可以在空气和水中呼吸</t>
  </si>
  <si>
    <t>你可以向任何拥有游泳速度的野兽传达简单的想法。它们可以理解你的话的意思，虽然你没有特殊的能力来明白它们的回应</t>
  </si>
  <si>
    <t>你对黯蚀伤害具有抗性</t>
  </si>
  <si>
    <t>以一个附赠动作，你能使用魔法传送到30尺内你可见的一处未被占据的空间。你可以使用该特质的次数等于你的熟练加值，当你完成一次长休后，你重新获得所有消耗的次数
从3级开始，你将在你以此能力传送之后得到对于所有伤害的抗性。该抗性将持续到你的下回合开始。在此期间，你的身体呈现出如幽魂般的半透明</t>
  </si>
  <si>
    <t>如果你拥有施法或契约魔法职业能力，将以下龙纹法术加入施法职业法术列表中：
1环：易容术，无声幻影
2环：黑暗术，行动无踪
3环：鹰眼术，高等幻影
4环：高等隐形术，幻景
5环：假象术</t>
  </si>
  <si>
    <t>当你进行表演或隐匿检定时，你能掷一个d4，并把结果加到属性检定的结果上</t>
  </si>
  <si>
    <t>你习得戏法次级幻影。从第3级起，你能够通过此特性施展隐形术。一旦你使用此特性施展了前述法术，你将无法再次使用此特性，直到完成一次长休。魅力是你在施展这些法术时的关键属性</t>
  </si>
  <si>
    <t>你在调查和洞悉检定上具有优势</t>
  </si>
  <si>
    <t>你习得戏法光亮术。第3级起，你能通过本特质释放一次睡眠术，当你完成一次长休后可重获释放次数。第5级起，你能释放一次隐形术（只能对自身释放），当你完成一次长休后可重获释放次数。通过本特质释放的这些法术不需要材料成分。感知是你释放这些法术的施法属性</t>
  </si>
  <si>
    <t>格莱西雅</t>
  </si>
  <si>
    <t>幸运</t>
  </si>
  <si>
    <t>勇气</t>
  </si>
  <si>
    <t>半身人灵巧</t>
  </si>
  <si>
    <t>天生善匿</t>
  </si>
  <si>
    <t>敦实体魄</t>
  </si>
  <si>
    <t>鬼灵言语</t>
  </si>
  <si>
    <t>医疗直觉</t>
  </si>
  <si>
    <t>医疗之触</t>
  </si>
  <si>
    <t>永远热情好客</t>
  </si>
  <si>
    <t>旅店老板的魔法</t>
  </si>
  <si>
    <t>树林之子</t>
  </si>
  <si>
    <t>木行</t>
  </si>
  <si>
    <t>莱维斯图斯</t>
  </si>
  <si>
    <t>魅力+2，体质+1</t>
  </si>
  <si>
    <t>当攻击检定、属性检定以及豁免检定掷出1时，你可以再重掷一次，但必须使用重掷的结果</t>
  </si>
  <si>
    <t>你进行对抗恐慌的豁免时具有优势</t>
  </si>
  <si>
    <t>你可以穿越任何体形比你大的生物所在空间</t>
  </si>
  <si>
    <t>当你从体型比自己大的生物获得遮蔽时，可以尝试执行躲藏动作</t>
  </si>
  <si>
    <t>你可以向你30尺内的任何生物如同心灵感应般进行沟通。生物必须与你共同知晓一种语言才能理解你的发言。你通过这个方式每次只能和一名生物进行心灵沟通</t>
  </si>
  <si>
    <t>如果你拥有施法或契约魔法职业能力，将以下龙纹法术加入施法职业法术列表中：
1环：疗伤术，治愈真言
2环：次级复原术，治疗祷言
3环：活力灵光，群体治愈真言
4环：净化灵光，生命灵光
5环：高等复原术</t>
  </si>
  <si>
    <t>当你进行医药检定时，你能掷一个d4，并把结果加到属性检定的结果上</t>
  </si>
  <si>
    <t>你能够通过此特性施展疗伤术，从第3级起，你还能施展次级复原术。一旦你使用此特性施展了前述法术，你将无法再次使用此特性，直到完成一次长休。感知是你在施展这些法术时的关键属性</t>
  </si>
  <si>
    <t>如果你拥有施法或契约魔法职业能力，将以下龙纹法术加入施法职业法术列表中：
1环：神莓术，睡眠术
2环：援助术，安定心神
3环：造粮术，李欧蒙小屋
4环：净化灵光，摩登肯私人密室
5环：圣居</t>
  </si>
  <si>
    <t>当你进行游说检定或者使用酿酒工具或厨师工具进行属性检定时，你能掷一个d4，并把结果加到属性检定的结果上</t>
  </si>
  <si>
    <t>你习得戏法魔法伎俩。同时，你能够通过此特性施展净化食粮和隐形仆役。一旦你使用此特性施展了前述法术，你将无法再次使用此特性，直到完成一次长休。魅力是你在施展这些法术时的关键属性</t>
  </si>
  <si>
    <t>你习得戏法德鲁伊伎俩。当你抵达3级时，你能通过本特质释放一次纠缠术，当你完成一次长休后可重获释放次数。当你抵达5级时，你能释放一次荆棘丛生，当你完成一次长休后可重获释放次数。通过本特质释放的这些法术不需要材料成分。感知是你释放这些法术的施法属性</t>
  </si>
  <si>
    <t>对你进行追踪的属性检定具有劣势，并且你在通过由非魔法的植物和灌木丛形成的困难地形时，不需要花费额外移动力</t>
  </si>
  <si>
    <t>马曼</t>
  </si>
  <si>
    <t>猎人直觉</t>
  </si>
  <si>
    <t>寻者魔法</t>
  </si>
  <si>
    <t>野性直觉</t>
  </si>
  <si>
    <t>调教能手</t>
  </si>
  <si>
    <t>原始链接</t>
  </si>
  <si>
    <t>它们不过是大了点</t>
  </si>
  <si>
    <t>工匠直觉</t>
  </si>
  <si>
    <t>匠师天赋</t>
  </si>
  <si>
    <t>魔力制造</t>
  </si>
  <si>
    <t>快递员之速</t>
  </si>
  <si>
    <t>运动直觉</t>
  </si>
  <si>
    <t>魔法通道</t>
  </si>
  <si>
    <t>哨兵直觉</t>
  </si>
  <si>
    <t>哨兵之盾</t>
  </si>
  <si>
    <t>警觉的护卫</t>
  </si>
  <si>
    <t>森之住民</t>
  </si>
  <si>
    <t>健步如飞</t>
  </si>
  <si>
    <t>脚踏实地</t>
  </si>
  <si>
    <t>跳跃攻击</t>
  </si>
  <si>
    <t>知识呼吸</t>
  </si>
  <si>
    <t>威风堂堂</t>
  </si>
  <si>
    <t>墨菲斯托菲利斯</t>
  </si>
  <si>
    <t>你获得一项自选的技能作为熟练项</t>
  </si>
  <si>
    <t>你获得一项自选的专长</t>
  </si>
  <si>
    <t>如果你拥有施法或契约魔法职业能力，将以下龙纹法术加入施法职业法术列表中：
1环：妖火，大步奔行
2环：动植物定位术，物件定位术
3环：鹰眼术，植物交谈
4环：预言术，生物定位术
5环：问道自然</t>
  </si>
  <si>
    <t>当你进行察觉或求生检定时，你能掷一个d4，并把结果加到属性检定的结果上</t>
  </si>
  <si>
    <t>你能通过此特性施展猎人印记法术。从第3级起，你还能施展物件定位术。一旦你使用此特性施展了前述法术，你将无法再次使用此特性，直到完成一次长休。感知是你在施展这些法术时的关键属性</t>
  </si>
  <si>
    <t>如果你拥有施法或契约魔法职业能力，将以下龙纹法术加入施法职业法术列表中：
1环：化兽为友，动物交谈
2环：野兽知觉，安定心神
3环：希望信标，召唤动物
4环：生命灵光，支配野兽
5环：启蒙术</t>
  </si>
  <si>
    <t>当你进行驯兽或自然检定时，你能掷一个d4，并把结果加到属性检定的结果上</t>
  </si>
  <si>
    <t>你能够对30英尺（取代通常的5英尺）内的友方动物伙伴或坐骑使用协助动作</t>
  </si>
  <si>
    <t>你能够通过此特性施展化兽为友和动物交谈，且无需材料成分。一旦你使用此特性施展了前述法术，你将无法再次使用此特性，直到完成一次长休。感知是你在施展这些法术时的关键属性</t>
  </si>
  <si>
    <t>你施展化兽为友或动物交谈时可以指定野兽或怪兽为目标，该法术同时也能对智力3或以下的怪物生效</t>
  </si>
  <si>
    <t>如果你拥有施法或契约魔法职业能力，将以下龙纹法术加入施法职业法术列表中：
1环：鉴定术，谭森浮碟术
2环：不灭明焰，魔化武器
3环：召唤箭雨，元素武器
4环：鬼斧神工，塑石术
5环：造物术</t>
  </si>
  <si>
    <t>当你用工匠工具进行属性检定时，你能掷一个d4，并把结果加到属性检定的结果上</t>
  </si>
  <si>
    <t>你选择一种工匠工具，获得其熟练项</t>
  </si>
  <si>
    <t>你习得戏法修复术。同时，你能够通过此特性施展魔化武器，当你这么做时，该法术持续1小时，无需专注。一旦你使用此特性施展了前述法术，你将无法再次使用此特性，直到完成一次长休。智力是你在施展这些法术时的关键属性</t>
  </si>
  <si>
    <t>如果你拥有施法或契约魔法职业能力，将以下龙纹法术加入施法职业法术列表中：
1环：脚底抹油，跳跃术
2环：迷踪步，行动无踪
3环：闪现术，魅影驹
4环：任意门，行动自如
5环：传送法阵</t>
  </si>
  <si>
    <t>当你进行运动检定或者为了操作或维护陆运载具而进行属性检定时，你能掷一个d4，并把结果加到属性检定的结果上</t>
  </si>
  <si>
    <t>你能够通过此特性施展迷踪步。一旦你使用此特性施展了前述法术，你将无法再次使用此特性，直到完成一次长休。敏捷是你在施展这些法术时的关键属性</t>
  </si>
  <si>
    <t>如果你拥有施法或契约魔法职业能力，将以下龙纹法术加入施法职业法术列表中：
1环：强令对决，虔诚护盾
2环：守护之链，诚实之域
3环：法术反制，防护能量伤害
4环：防死结界，信仰守卫
5环：毕格比之手</t>
  </si>
  <si>
    <t>当你进行洞悉或察觉检定时，你能掷一个d4，并把结果加到属性检定的结果上</t>
  </si>
  <si>
    <t>你能够通过此特性施展护盾术，在完成一次长休后，你能再次施展此法术。感知是你在施展这些法术时的关键属性</t>
  </si>
  <si>
    <t>当距离你5尺内的可见生物被攻击命中时，你能以一个反应动作与该生物交换位置，同时你代替该生物被击中。这么做后，你将无法再次使用此特性，直到完成一次长休</t>
  </si>
  <si>
    <t>你拥有求生的技能熟练项</t>
  </si>
  <si>
    <t>基础步行速度提升至40尺</t>
  </si>
  <si>
    <t>当你进行疾冲动作的时候，困难地形不会使用你本回合的额外移动力</t>
  </si>
  <si>
    <t>如果你本回合对一个生物发动了近战攻击，不论你是否命中，在本回合剩下的行动中你不会引发借机攻击</t>
  </si>
  <si>
    <t>你获得任意四种技能或者四种工具的熟练</t>
  </si>
  <si>
    <t>你拥有威吓的技能熟练项</t>
  </si>
  <si>
    <t>扎瑞尔</t>
  </si>
  <si>
    <t>魅力+2，力量+1</t>
  </si>
  <si>
    <t>龙族血统</t>
  </si>
  <si>
    <t>吐息武器</t>
  </si>
  <si>
    <t>伤害抗性</t>
  </si>
  <si>
    <t>盛气凌人</t>
  </si>
  <si>
    <t>复仇突击</t>
  </si>
  <si>
    <t>龙族抗性</t>
  </si>
  <si>
    <t>繁彩防护</t>
  </si>
  <si>
    <t>灵能心智</t>
  </si>
  <si>
    <t>宝石之翼</t>
  </si>
  <si>
    <t>金属龙吐息</t>
  </si>
  <si>
    <t>衰弱吐息</t>
  </si>
  <si>
    <t>排斥吐息</t>
  </si>
  <si>
    <t>中型或小型。在你选择种族时选择体型</t>
  </si>
  <si>
    <t>你拥有巨龙的血统。并基于所选龙种，决定你吐息的形式及其他优势特征</t>
  </si>
  <si>
    <t>你可以使用动作呼出破坏性的能量。你的龙族血统决定了吐息的范围、形状以及其伤害类型
使用吐息时，你吐息范围内的每个生物都必须进行一次豁免，其豁免类型取决于你的龙族血统。该豁免的DC等于8+你的体质调整值+你的熟练加值。豁免失败者将受到2d6点伤害。豁免成功则伤害减半。其伤害值在6级时增加到3d6，11级增加到4d6，16级增加到5d6
使用吐息后，你必须完成一次短休或长休后才能再次使用
黑龙血统：你的吐息的范围为30尺长5尺宽、形状为线状，伤害类型为强酸，豁免类型为敏捷
蓝龙血统：你的吐息的范围为30尺长5尺宽、形状为线状，伤害类型为闪电，豁免类型为敏捷
黄铜龙血统：你的吐息的范围为30尺长5尺宽、形状为线状，伤害类型为火焰，豁免类型为敏捷
青铜龙血统：你的吐息的范围为30尺长5尺宽、形状为线状，伤害类型为闪电，豁免类型为敏捷
赤铜龙血统：你的吐息的范围为30尺长5尺宽、形状为线状，伤害类型为强酸，豁免类型为敏捷
金龙血统：你的吐息的范围为15尺、形状为锥状，伤害类型为火焰，豁免类型为敏捷
绿龙血统：你的吐息的范围为15尺、形状为锥状，伤害类型为毒素，豁免类型为体质
红龙血统：你的吐息的范围为15尺、形状为锥状，伤害类型为火焰，豁免类型为敏捷
银龙血统：你的吐息的范围为15尺、形状为锥状，伤害类型为冷冻，豁免类型为体质
白龙血统：你的吐息的范围为15尺、形状为锥状，伤害类型为冷冻，豁免类型为体质</t>
  </si>
  <si>
    <t>你的龙族血统为你带来对某类伤害类型的伤害抗性
黑龙/赤铜龙血统：强酸
蓝龙/青铜龙血统：闪电
黄铜龙/金龙/红龙血统：火焰
绿龙血统：毒素
银龙/白龙血统：冷冻</t>
  </si>
  <si>
    <t>当你进行一次威吓或游说检定时，你可以获得优势。一旦使用了本特质，直到完成一次短休或长休后你才能再次使用</t>
  </si>
  <si>
    <t>当一个生物对你造出伤害时，如果它在你所持用的武器的射程之内，你能用你的反应动作使用该武器对那个生物进行一次攻击。一旦使用了本特质，直到完成一次短休或长休后你才能再次使用</t>
  </si>
  <si>
    <t>你可以使用动作呼出一道30尺长、5尺宽矩形的魔法能量。你的龙族血统决定了吐息的伤害类型
使用吐息时，你吐息范围内的每个生物都必须进行一次敏捷豁免，该豁免的DC等于8+你的体质调整值+你的熟练加值。豁免失败者将受到1D10点伤害。豁免成功则伤害减半。其伤害值在5级时增加到2D10，11级增加到3D10，17级增加到4D10
你可以使用该特性的次数等同于你的熟练加值，你在完成一次长休后重获所有已使用的次数
黑龙血统：强酸
蓝龙血统：闪电
绿龙血统：毒素
红龙血统：火焰
白龙血统：冷冻</t>
  </si>
  <si>
    <t>你的龙族血统为你带来对某类伤害类型的伤害抗性
黑龙血统：强酸
蓝龙血统：闪电
红龙血统：火焰
绿龙血统：毒素
白龙血统：冷冻</t>
  </si>
  <si>
    <t>第5级起，以一个动作你可以引导自己的龙族能量，1分钟内，你对某类伤害类型免疫。在你使用此特性后，你在完成一次长休之前不能再次使用
黑龙血统：强酸
蓝龙血统：闪电
红龙血统：火焰
绿龙血统：毒素
白龙血统：冷冻</t>
  </si>
  <si>
    <t>你可以使用动作呼出一道15尺锥状的魔法能量。你的龙族血统决定了吐息的伤害类型
使用吐息时，你吐息范围内的每个生物都必须进行一次敏捷豁免，该豁免的DC等于8+你的体质调整值+你的熟练加值。豁免失败者将受到1D10点伤害。豁免成功则伤害减半。其伤害值在5级时增加到2D10，11级增加到3D10，17级增加到4D10
你可以使用该特性的次数等同于你的熟练加值，你在完成一次长休后重获所有已使用的次数
紫水晶龙血统：力场
水晶龙血统：光耀
翡翠龙血统：心灵
蓝宝石龙血统：雷鸣
黄玉龙血统：暗蚀</t>
  </si>
  <si>
    <t>你的龙族血统为你带来对某类伤害类型的伤害抗性
紫水晶龙血统：力场
水晶龙血统：光耀
翡翠龙血统：心灵
蓝宝石龙血统：雷鸣
黄玉龙血统：暗蚀</t>
  </si>
  <si>
    <t>你可以与身边30尺内任意你能看见的生物通过心灵感应方式进行交流。你无须懂得该生物的语言也能使其理解你通过心灵感应所传达的话语，但它必须至少会一种语言来理解你传达的信息</t>
  </si>
  <si>
    <t>第5级起，你可以用附赠动作在身上显形一对幽光翅膀，持续1分钟。你在持续时间内获得等同你步行速度的飞行速度，并且可以悬浮。使用此特性后，你在完成一次长休前不能再次使用</t>
  </si>
  <si>
    <t>你可以使用动作呼出一道15尺锥状的魔法能量。你的龙族血统决定了吐息的伤害类型
使用吐息时，你吐息范围内的每个生物都必须进行一次敏捷豁免，该豁免的DC等于8+你的体质调整值+你的熟练加值。豁免失败者将受到1D10点伤害。豁免成功则伤害减半。其伤害值在5级时增加到2D10，11级增加到3D10，17级增加到4D10
你可以使用该特性的次数等同于你的熟练加值，你在完成一次长休后重获所有已使用的次数
黄铜龙血统：火焰
青铜龙血统：闪电
赤铜龙血统：强酸
金龙血统：火焰
银龙血统：冷冻</t>
  </si>
  <si>
    <t>你的龙族血统为你带来对某类伤害类型的伤害抗性
黄铜龙血统：火焰
青铜龙血统：闪电
赤铜龙血统：强酸
金龙血统：火焰
银龙血统：冷冻</t>
  </si>
  <si>
    <t>第5级起，你可以使用衰弱吐息或排斥吐息，一旦使用了其中一种，直到完成一次长休后你才能再次使用</t>
  </si>
  <si>
    <t>第5级起，你可以使用动作呼出一道15尺锥状的魔法气体。使用吐息时，你吐息范围内的每个生物都必须进行一次体制豁免，该豁免的DC等于8+你的体质调整值+你的熟练加值。豁免失败者将陷入失能，直到你的下个回合开始</t>
  </si>
  <si>
    <t>第5级起，你可以使用动作呼出一道15尺锥状的魔法气体。使用吐息时，你吐息范围内的每个生物都必须进行一次力量豁免，该豁免的DC等于8+你的体质调整值+你的熟练加值。豁免失败者将被推离20尺并倒地</t>
  </si>
  <si>
    <t>费尔伯格人</t>
  </si>
  <si>
    <t>侏儒狡黠</t>
  </si>
  <si>
    <t>自然幻术师</t>
  </si>
  <si>
    <t>小型野兽交谈</t>
  </si>
  <si>
    <t>工匠学识</t>
  </si>
  <si>
    <t>修补匠</t>
  </si>
  <si>
    <t>发条玩具</t>
  </si>
  <si>
    <t>打火机</t>
  </si>
  <si>
    <t>音乐盒</t>
  </si>
  <si>
    <t>斯涅布力伪装</t>
  </si>
  <si>
    <t>斯涅布力赠礼</t>
  </si>
  <si>
    <t>天才抄写员</t>
  </si>
  <si>
    <t>抄写员的领悟</t>
  </si>
  <si>
    <t>歌利亚</t>
  </si>
  <si>
    <t>你进行对抗魔法的智力、感知和魅力的豁免时具有优势</t>
  </si>
  <si>
    <t>你习得戏法次级幻影。其施法关键属性为智力</t>
  </si>
  <si>
    <t>你可以通过声音和手势与小型或更小的野兽进行简单沟通</t>
  </si>
  <si>
    <t>当你进行关于魔法物品、炼金物品或是工艺元件的历史检定时，你可以在检定中加上双倍的熟练加值</t>
  </si>
  <si>
    <t>你拥有工匠工具（修理工具）的熟练项。使用这些工具时，你可以花费1小时时间和10gp材料制作一个超小型的发条机械装置（AC5，HP1）。该装置在24小时后将自动停止运作（除非你再花费1小时来修理它让它保持运作），你也可以使用你的动作主动使其停止运作。它停止运作后，你将收回用来制造它的材料。你最多可以同时激活三个这样的装置</t>
  </si>
  <si>
    <t>该玩具是个机械的动物、怪物或人，例如青蛙、老鼠、鸟、龙或者士兵。当被放在地上时，该玩具能在你的回合里随机向一个方向移动5尺。此外该玩具还会模范所模拟生物发出声响</t>
  </si>
  <si>
    <t>该装置可以产生微小的火焰。你可以用它来点蜡烛，火把或营火。使用该装置需要花费动作</t>
  </si>
  <si>
    <t>音乐盒打开时，将以适中的音量奏响固定的一首的歌曲。音乐播放完毕，或音乐盒被关闭时，音乐盒将停止发声</t>
  </si>
  <si>
    <t>当你进行隐匿检定时，你可以使该次检定具有优势。你可以使用此特质的次数等于你的熟练加值，当你完成一次长休后，你重新获得所有消耗的次数</t>
  </si>
  <si>
    <t>第3级起，你可以用此特质施展一次易容术
第5级起，你可以用此特质施展一次易容术或回避侦测
你必须完成一次长休后才能再次启用该能力。你也可以通过法术位正常施展该特性中的法术，该法术的施法关键属性为智力、感知或魅力并在最初选择种族时决定
当你使用该特质施展这些法术时，无需法术成分</t>
  </si>
  <si>
    <t>如果你拥有施法或契约魔法职业能力，将以下龙纹法术加入施法职业法术列表中：
1环：通晓语言，迷幻手稿
2环：动物信使，沉默术
3环：短讯术，巧言术
4环：秘法眼，困惑术
5环：托梦术</t>
  </si>
  <si>
    <t>你当你进行历史检定或使用书法工具进行属性检定时，你能掷一个d4，并把结果加到属性检定的结果上</t>
  </si>
  <si>
    <t>你习得戏法传讯术。同时，你能够通过此特性施展通晓语言，在完成一次短休或长休后，你能再次施展此法术。从第3级起，你还能通过此特性施展魔嘴术，在完成一次长休后，你能再次施展此法术。智力是你在施展这些法术时的关键属性</t>
  </si>
  <si>
    <t>天狗</t>
  </si>
  <si>
    <t>推理直觉</t>
  </si>
  <si>
    <t>魔法侦测</t>
  </si>
  <si>
    <t>驭风者直觉</t>
  </si>
  <si>
    <t>暴风之祝福</t>
  </si>
  <si>
    <t>逆风行事</t>
  </si>
  <si>
    <t>蜥蜴人</t>
  </si>
  <si>
    <t>你获得两项自选技能的熟练项</t>
  </si>
  <si>
    <t>基础游泳速度为30尺</t>
  </si>
  <si>
    <t>如果你拥有施法或契约魔法职业能力，将以下龙纹法术加入施法职业法术列表中：
1环：侦测善恶，侦测毒性和疾病
2环：侦测思想，寻找陷阱
3环：鹰眼术，回避侦测
4环：秘法眼，预言术
5环：通晓传奇</t>
  </si>
  <si>
    <t>当你进行调查或洞悉检定时，你能够掷一个d4，将结果加到你的属性检定结果中</t>
  </si>
  <si>
    <t>你能够施展侦测魔法与侦测毒性和疾病法术，从3级起，你还能施展识破隐形。一旦你使用此特性施展了前述法术，你将无法再次使用此特性，直到完成一次长休。智力是你在施展这些法术时的关键属性，你无需为这些法术提供材料成分</t>
  </si>
  <si>
    <t>如果你拥有施法或契约魔法职业能力，将以下龙纹法术加入施法职业法术列表中：
1环：羽落术，云雾术
2环：造风术，浮空术
3环：雪雨暴，风墙术
4环：召唤次级元素生物，操控水体
5环：召唤元素生物</t>
  </si>
  <si>
    <t>当你进行体操检定或任何使用领航工具的属性检定时，你能掷一个d4，并把结果加到属性检定的结果上</t>
  </si>
  <si>
    <t>你对闪电伤害具有抗性</t>
  </si>
  <si>
    <t>你习得戏法舞风术。从第3级起，你能够通过此特性施展造风术。一旦你使用此特性施展了前述法术，你将无法再次使用此特性，直到完成一次长休。魅力是你在施展这些法术时的关键属性</t>
  </si>
  <si>
    <t>斑猫人</t>
  </si>
  <si>
    <t>凶恶</t>
  </si>
  <si>
    <t>坚韧不屈</t>
  </si>
  <si>
    <t>凶蛮攻击</t>
  </si>
  <si>
    <t>天生武器</t>
  </si>
  <si>
    <t>梭螺鱼人</t>
  </si>
  <si>
    <t>当你生命值降至0而没有立即死亡时，可以改为使生命值降至1。此特质生效后必须完成一次长休后才能再次生效</t>
  </si>
  <si>
    <t>使用近战武器攻击造成重击时，你可以额外掷一个该武器的伤害骰，并将其数值加入到重击的额外伤害中</t>
  </si>
  <si>
    <t>你头上的弯羊角是一件天生武器，可以用来进行徒手攻击。如果你击中了目标，你造成1d6+你的力量调整值的钝击伤害</t>
  </si>
  <si>
    <t>地精</t>
  </si>
  <si>
    <t>炎狱抗性</t>
  </si>
  <si>
    <t>马拉多米尼之遗赠</t>
  </si>
  <si>
    <t>迪斯遗赠</t>
  </si>
  <si>
    <t>福莱格索斯的遗赠</t>
  </si>
  <si>
    <t>马尔伯吉之遗赠</t>
  </si>
  <si>
    <t>斯泰吉亚之遗赠</t>
  </si>
  <si>
    <t>弥瑙洛斯之遗赠</t>
  </si>
  <si>
    <t>卡尼亚遗赠</t>
  </si>
  <si>
    <t>阿弗纳斯之遗赠</t>
  </si>
  <si>
    <t>你对火焰伤害具有抗性</t>
  </si>
  <si>
    <t>你习得戏法奇术。第3级时，你可以每日施展一次二环的炼狱叱喝。第5级时，你可以每日施展一次黑暗术。花费掉的法术次数将在完成一次长休后恢复。与该特质相关的施法关键属性为魅力</t>
  </si>
  <si>
    <t>你习得戏法恶言相加。当你到达3级时，你可以施展一次魅惑人类作为一个二环法术。当你到达5级时，你可以施展一次注目术。你必须完成一次长休息才能再次从这个特性中施展这些法术。魅力是你的施法主属性</t>
  </si>
  <si>
    <t>你习得戏法奇术。第3级时，你可以每日施展一次二环的燃烧之手。第5级时，你可以每日施展一次黑暗术。花费掉的法术次数将在完成一次长休后恢复。与该特质相关的施法关键属性为魅力</t>
  </si>
  <si>
    <t>当你不着装重甲时，你得到30尺飞行速度</t>
  </si>
  <si>
    <t>你习得戏法奇术。第3级时，你可以每日施展一次2环的致病射线。第5级，你可以每日施展一次疯狂冠冕。花费掉的法术次数将在一次长休后恢复。与该特质相关的施法关键属性为魅力</t>
  </si>
  <si>
    <t>你习得戏法奇术。第3级时，你可以每日施展一次易容术。第5级，你可以每日施展一次侦测思想。花费掉的法术次数将在一次长休后恢复。与该特质相关的施法关键属性为魅力</t>
  </si>
  <si>
    <t>你习得戏法交友术。第3级时，你可以每日施展一次2环的魅惑人类。第5级，你可以每日施展一次暗示术。花费掉的法术次数将在一次长休后恢复。与该特质相关的施法关键属性为魅力</t>
  </si>
  <si>
    <t>你习得戏法次级幻影。第3级时，你可以每日施展一次2环的易容术。第5级，你可以每日施展一次隐形术。花费掉的法术次数将在一次长休后恢复。与该特质相关的施法关键属性为魅力</t>
  </si>
  <si>
    <t>你习得戏法冷冻射线。第3级时，你可以每日施展一次2环的艾嘉西斯之铠。第5级，你可以每日施展一次黑暗术。花费掉的法术次数将在一次长休后恢复。与该特质相关的施法关键属性为魅力</t>
  </si>
  <si>
    <t>你习得戏法法师之手。第3级时，你可以施展一次谭森浮碟术，你在一次短休或长休后可以重新施展此法术。第5级，你可以施展一次秘法锁而不需要材料成分，你在一次长休后可以重新施展此法术。与该特质相关的施法关键属性为魅力</t>
  </si>
  <si>
    <t>你习得戏法法师之手。第3级时，你可以每日施展一次2环的燃烧之手。第5级，你可以每日施展一次火焰刀。花费掉的法术次数将在一次长休后恢复。与该特质相关的施法关键属性为魅力</t>
  </si>
  <si>
    <t>你习得戏法奇术。第3级时，你可以每日施展一次2环的炽焰斩。第5级，你可以每日施展一次印记斩。花费掉的法术次数将在一次长休后恢复。与该特质相关的施法关键属性为魅力</t>
  </si>
  <si>
    <t>天界抗力</t>
  </si>
  <si>
    <t>治愈之手</t>
  </si>
  <si>
    <t>光辉掌者</t>
  </si>
  <si>
    <t>你对光耀和黯蚀伤害具有抗性</t>
  </si>
  <si>
    <t>以一个动作，你可以触碰一个生物并使他恢复等同于你熟练加值数量的D4骰的生命值。一旦你使用了这个特性，在下次长休息完成之前你不能再次使用</t>
  </si>
  <si>
    <t>你习得戏法光亮术。其施法关键属性为魅力</t>
  </si>
  <si>
    <t>从3级起，你可以使用一个附赠动作来释放你内在的神圣能量
你的转变持续一分钟或直到你以一个附赠动作中止。在这期间，你得到等同于步行速度的飞行速度，并且每个你的回合中一次，当你的攻击或法术成功造成伤害，你将对一个目标造成等于你熟练加值的额外的光耀伤害
一旦你使用这个特性，在下次长休息完成之前你不能再次使用</t>
  </si>
  <si>
    <t>从3级起，你可以使用一个附赠动作使你体内的神圣能量解除拘束
你的转变持续一分钟或直到你以一个附赠动作中止。在这期间，明亮的光辉会照亮你周围10尺并给予额外10尺的微光照明。并且，每个你的回合结束，你和你周围10尺内的每个生物都将受到等同于你熟练加值的光耀伤害。此外，每个你的回合中一次，当你的攻击或法术成功造成伤害，你将对一个目标造成等于你熟练加值的额外光耀伤害
一旦你使用这个特性，在下次长休息完成之前你不能再次使用</t>
  </si>
  <si>
    <t>从3级起，你可以使用一个动作来解放你内在的腐败力量
在你进行转变的同时，你所指定周围10尺内能看见你的生物必须通过魅力豁免检定（DC=8+你的熟练值+你的魅力调整值），否则直到你的下回合结束之前他们将对你恐惧
你的转变持续一分钟或直到你以一个附赠动作中止。在这期间，每个你的回合中一次，当你的攻击或法术成功造成伤害，你将对一个目标造成等于你熟练加值的额外的黯蚀伤害
一旦你使用这个特性，在下次长休息完成之前你不能再次使用</t>
  </si>
  <si>
    <t>费尔伯格人魔法</t>
  </si>
  <si>
    <t>神隐步</t>
  </si>
  <si>
    <t>强健体格</t>
  </si>
  <si>
    <t>兽与叶之语</t>
  </si>
  <si>
    <t>你可以用此特质施展一次侦测魔法或易容术
你必须完成一次长休后才能再次启用该能力。你也可以通过法术位正常施展该特性中的法术，该法术的施法关键属性为智力、感知或魅力并在最初选择种族时决定
当你施展这个版本的易容术时，你可以看起来比平时高或矮3尺</t>
  </si>
  <si>
    <t>以一个附赠动作，你能如魔法般变为隐形，直到你的下一回合开始，或者直到你攻击，进行一次伤害骰，或者强迫某人进行一次豁免检定。你可以使用该特质的次数等于你的熟练加值，当你完成一次长休后，你重新获得所有消耗的次数</t>
  </si>
  <si>
    <t>你的负重、推动、拉动及抬起物品的能力视同为体型大一级的生物</t>
  </si>
  <si>
    <t>你有能力以有限的方式与野兽以及植物交流。它们可以理解你的话的意思，虽然你没有特殊的能力来明白它们的回应。你在所有试图影响它们的魅力检定上有优势</t>
  </si>
  <si>
    <t>兽人</t>
  </si>
  <si>
    <t>小型巨人</t>
  </si>
  <si>
    <t>石之坚韧</t>
  </si>
  <si>
    <t>生于高山</t>
  </si>
  <si>
    <t>原体蛇人</t>
  </si>
  <si>
    <t>你拥有运动的技能熟练项，并且你的负重、推动、拉动及抬起物品的能力视同为体型大一级的生物</t>
  </si>
  <si>
    <t>受到伤害时，你可以用自己的反应骰一次d12，再将骰值加上你的体质调整。你所受的实际伤害将减去该总值
你可以使用此特质的次数等于你的熟练加值，当你完成一次短休或长休后，你重新获得所有消耗的次数</t>
  </si>
  <si>
    <t>你对冷冻伤害具有抗性</t>
  </si>
  <si>
    <t>复制专家</t>
  </si>
  <si>
    <t>天狗回想</t>
  </si>
  <si>
    <t>拟声</t>
  </si>
  <si>
    <t>你可以仿造其他生物的笔迹和工艺。你在为伪造文书和复制现存物体进行的任何检定中获得优势</t>
  </si>
  <si>
    <t>你任选两项技能获得熟练项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</si>
  <si>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你可以模仿你听到的声音，包括人的嗓音。听到声音的生物需要通过DC为8+你的熟练加值+你的魅力调整值的洞悉检定，若成功将发现是模仿的</t>
  </si>
  <si>
    <t>人马</t>
  </si>
  <si>
    <t>基础步行速度为40尺</t>
  </si>
  <si>
    <t>啃咬</t>
  </si>
  <si>
    <t>屏息</t>
  </si>
  <si>
    <t>天生护甲</t>
  </si>
  <si>
    <t>自然直觉</t>
  </si>
  <si>
    <t>饥渴之喉</t>
  </si>
  <si>
    <t>牛头人</t>
  </si>
  <si>
    <t>你的尖牙可以用来进行徒手攻击。如果你击中了目标，你造成1d6+你的力量调整值的挥砍伤害</t>
  </si>
  <si>
    <t>你能屏住你的呼吸15分钟</t>
  </si>
  <si>
    <t>当你没有穿戴盔甲或穿戴的盔甲给予你的AC较低时，你的AC是13+你的敏捷调整值。你在使用你的天生护甲时，仍能获得盾牌的好处</t>
  </si>
  <si>
    <t>你从以下技能中选择两项获得熟练项：医药、自然、察觉、隐匿或求生</t>
  </si>
  <si>
    <t>在战斗中，你能以一个附赠动作，用你的啃咬攻击做一次特殊攻击，如果攻击命中，造成正常的伤害，同时你获得等同于你熟练加值的临生命值。你可以使用此特质的次数等于你的熟练加值，当你完成一次长休后，你重新获得所有消耗的次数</t>
  </si>
  <si>
    <t>吉斯人</t>
  </si>
  <si>
    <t>象族</t>
  </si>
  <si>
    <t>和象族语</t>
  </si>
  <si>
    <t>攀爬</t>
  </si>
  <si>
    <t>猫之利爪</t>
  </si>
  <si>
    <t>猫之天性</t>
  </si>
  <si>
    <t>猫之迅捷</t>
  </si>
  <si>
    <t>析米克混生体</t>
  </si>
  <si>
    <t>体质+2，自选一项其他属性+1</t>
  </si>
  <si>
    <t>和维多肯语或精灵语</t>
  </si>
  <si>
    <t>你获得等于你步行速度的攀爬速度</t>
  </si>
  <si>
    <t>你能够以爪子进行徒手攻击。如果你击中了目标，你造成1d6+你的力量调整值的挥砍伤害</t>
  </si>
  <si>
    <t>你拥有察觉和隐匿的技能熟练项</t>
  </si>
  <si>
    <t>当你在战斗中移动时，你可以让你的速度增加一倍，直到回合结束。一旦你使用了这个特性，除非你在你的一个回合移动了0尺，否则你不能再使用它</t>
  </si>
  <si>
    <t>维多肯</t>
  </si>
  <si>
    <t>智力+2，感知+1</t>
  </si>
  <si>
    <t>和维多肯语，以及任意一门自选语言</t>
  </si>
  <si>
    <t>两栖</t>
  </si>
  <si>
    <t>控风操水</t>
  </si>
  <si>
    <t>海之使者</t>
  </si>
  <si>
    <t>海渊守卫</t>
  </si>
  <si>
    <t>你能在空气中或水中呼吸</t>
  </si>
  <si>
    <t>你可以用此特质施展一次云雾术
第3级起，你可以用此特质施展一次云雾术或造风术
第5级起，你可以用此特质施展一次云雾术或造风术或水上行走
你必须完成一次长休后才能再次启用该能力。你也可以通过法术位正常施展该特性中的法术，该法术的施法关键属性为智力、感知或魅力并在最初选择种族时决定</t>
  </si>
  <si>
    <t>你可以与具有游泳速度的野兽、元素或怪兽沟通。它们能够理解你的话的意思，虽然你没有特殊的能力来明白它们的回应</t>
  </si>
  <si>
    <t>离梦人</t>
  </si>
  <si>
    <t>感知+2，魅力+1</t>
  </si>
  <si>
    <t>和梦族语，以及任意一门自选语言</t>
  </si>
  <si>
    <t>小型生物的怒火</t>
  </si>
  <si>
    <t>迅捷逃生</t>
  </si>
  <si>
    <t>长肢</t>
  </si>
  <si>
    <t>强力体格</t>
  </si>
  <si>
    <t>隐秘</t>
  </si>
  <si>
    <t>突袭攻击</t>
  </si>
  <si>
    <t>精类赠礼</t>
  </si>
  <si>
    <t>集众之运</t>
  </si>
  <si>
    <t>灵巧攀爬者</t>
  </si>
  <si>
    <t>砂砾</t>
  </si>
  <si>
    <t>你进行对抗魅惑的豁免时具有优势</t>
  </si>
  <si>
    <t>当你对比你大型的生物使用攻击或魔法，并造成伤害时，你可以对它造成等于你熟练加值的额外伤害
你可以使用此特质的次数等于你的熟练加值，当你完成一次长休后，你重新获得所有消耗的次数。并且你一回合不能使用该特质超过一次</t>
  </si>
  <si>
    <t>你可在自己的回合，以一个附赠动作进行撤离或者躲藏动作</t>
  </si>
  <si>
    <t>当你在你的回合使用近战攻击时，你的触及范围增加5尺</t>
  </si>
  <si>
    <t>你拥有隐匿的技能熟练项。此外，当你通过或停留在仅供容纳小型生物的空间时不需要挤身</t>
  </si>
  <si>
    <t>如果你的攻击检定命中了一个战斗开始后还没开始过自己回合的生物，这次攻击额外造成2d6伤害</t>
  </si>
  <si>
    <t>你可以使用该特质以一个附赠动作进行协助动作，而你可以使用此特质的次数等于你的熟练加值。当你完成一次长休后，你重新获得所有消耗的次数
第3级起，每当你使用该特质进行协助动作时，从下列选项中选择一项：
好客：你与受你协助的生物都获得等于1d6加你的熟练加值的临时生命值
通行：你与受你协助的生物的步行速度都增加10尺，直到你下一个的回合开始
恶意：直到你下一个的回合开始，当受你协助的生物首次使用攻击检定命中目标，该目标在下一分钟内的下一次攻击检定具有劣势</t>
  </si>
  <si>
    <t>如果你在一次攻击检定没有命中，或是在一次属性检定或豁免检定中失败，你将会获得骰值加值，此次加值的数目等同于你30尺内能见的友方数目（最多+3）。你可以使用此特质的次数等于你的熟练加值，当你完成一次长休后，你重新获得所有消耗的次数</t>
  </si>
  <si>
    <t>你的攀爬速度为25尺，当你身穿中型或重型护甲时你无法使用自己的攀爬速度。（如果你的游戏中使用规则变体：负重，如果你处于重载，你不能使用攀爬速度</t>
  </si>
  <si>
    <t>你对强酸和火焰伤害具有抗性，另外在你不穿护甲时，你的AC为11+你的敏捷加值</t>
  </si>
  <si>
    <t>机关人</t>
  </si>
  <si>
    <t>龙吼</t>
  </si>
  <si>
    <t>阿兰寇拉鹰人</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</si>
  <si>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</si>
  <si>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你从以下技能中选择一项获得熟练项：奥秘、调查、医药、巧手或求生</t>
  </si>
  <si>
    <t>你学会一项术士法术列表中的戏法。该法术的施法关键属性为智力、感知或魅力并在最初选择种族时决定</t>
  </si>
  <si>
    <t>基础步行速度为35尺</t>
  </si>
  <si>
    <t>应激冲刺</t>
  </si>
  <si>
    <t>你可以用附赠动作进行疾走动作。你可以使用此特质的次数等于你的熟练加值，当你完成一次长休后，你重新获得所有消耗的次数。并且你一回合不能使用该特质超过一次
      每当你使用该特质时，你获得等于你熟练加值的临时生命值</t>
  </si>
  <si>
    <t>魔法抗性</t>
  </si>
  <si>
    <t>毒素抗性</t>
  </si>
  <si>
    <t>毒蛇魔法</t>
  </si>
  <si>
    <t>你进行对抗法术的豁免时具有优势</t>
  </si>
  <si>
    <t>你学会毒气喷溅
你能无限次施展化兽为友，不过目标只能是蛇
第3级起，你可以用此特质施展一次暗示术
你必须完成一次长休后才能再次启用该能力。你也可以通过法术位正常施展该特性中的法术，该法术的施法关键属性为智力、感知或魅力并在最初选择种族时决定</t>
  </si>
  <si>
    <t>龟人</t>
  </si>
  <si>
    <t>心灵抗性</t>
  </si>
  <si>
    <t>星界知识</t>
  </si>
  <si>
    <t>吉斯洋基灵能</t>
  </si>
  <si>
    <t>精神灵术</t>
  </si>
  <si>
    <t>吉斯泽莱灵能</t>
  </si>
  <si>
    <t>元素裔</t>
  </si>
  <si>
    <t>佛丹人</t>
  </si>
  <si>
    <t>体质+1，魅力+2</t>
  </si>
  <si>
    <t>1-4级为小型，5级后为中型</t>
  </si>
  <si>
    <t>和地精语，以及任意一门自选语言</t>
  </si>
  <si>
    <t>你对心灵伤害具有抗性</t>
  </si>
  <si>
    <t>当你结束长休时，你能够获得一项你未拥有的技能熟练项及一项武器或工具熟练项，直到你完成下次长休</t>
  </si>
  <si>
    <t>你学会法师之手，当你使用该特质施展该戏法时，这只手是隐形的
第3级起，你可以用此特质施展一次跳跃术
第5级起，你可以用此特质施展一次跳跃术或迷踪步
你必须完成一次长休后才能再次启用该能力。你也可以通过法术位正常施展该特性中的法术，该法术的施法关键属性为智力、感知或魅力并在最初选择种族时决定
当你使用该特质施展这些法术时，无需法术成分</t>
  </si>
  <si>
    <t>你进行对抗魅惑和恐慌的豁免时具有优势</t>
  </si>
  <si>
    <t>你学会法师之手，当你使用该特质施展该戏法时，这只手是隐形的
第3级起，你可以用此特质施展一次护盾术
第5级起，你可以用此特质施展一次护盾术或侦测思想
你必须完成一次长休后才能再次启用该能力。你也可以通过法术位正常施展该特性中的法术，该法术的施法关键属性为智力、感知或魅力并在最初选择种族时决定
当你使用该特质施展这些法术时，无需法术成分</t>
  </si>
  <si>
    <t>狮族</t>
  </si>
  <si>
    <t>体质+2，力量+1</t>
  </si>
  <si>
    <t>和狮族语</t>
  </si>
  <si>
    <t>精类生物</t>
  </si>
  <si>
    <t>冲锋</t>
  </si>
  <si>
    <t>蹄击</t>
  </si>
  <si>
    <t>马体构造</t>
  </si>
  <si>
    <t>自然亲和</t>
  </si>
  <si>
    <t>半羊人</t>
  </si>
  <si>
    <t>你的生物类型是精类，而非类人</t>
  </si>
  <si>
    <t>如果你向着目标直线移动了至少30尺，并在同一轮内以近战武器攻击命中了目标，你可以紧跟着此次攻击使用附赠动作，使用你的马蹄攻击此目标</t>
  </si>
  <si>
    <t>你的马蹄视作天生近战武器，你可以用来做徒手攻击。如果你以蹄击中目标，将造成1d6+力量调整值的钝击伤害</t>
  </si>
  <si>
    <t>在决定你的载重与推拉抬极限时，视你为大一级的体型。另外，因为你的马腿，任何需要手脚并用的攀爬对你而言尤其困难。当你进行这样的攀爬时，每移动1尺需要花费额外4尺移动力，而非额外1尺</t>
  </si>
  <si>
    <t>你从以下技能中选择一项获得熟练项：驯兽、医药、自然或求生</t>
  </si>
  <si>
    <t>枭人</t>
  </si>
  <si>
    <t>角击</t>
  </si>
  <si>
    <t>猛抵冲撞</t>
  </si>
  <si>
    <t>角锤</t>
  </si>
  <si>
    <t>迷宫追忆</t>
  </si>
  <si>
    <t>仙灵</t>
  </si>
  <si>
    <t>你的角是天生近战武器，你可以用它进行徒手攻击。当你以角击中目标时，将造成1d6+力量调整值的穿刺伤害</t>
  </si>
  <si>
    <t>在你于你的回合中使用疾走动作，并至少移动了20尺之后，你可以立即以附赠动作用你的角击进行一次近战攻击</t>
  </si>
  <si>
    <t>在你于你的回合中以近战武器攻击作为攻击动作的一部分击中一个生物后，你可以使用一个附赠动作尝试以角推撞之。目标生物不能比你大超过一级体型，并且需要在你5尺之内。目标必须进行一次难度等级为8+你的熟练加值+你的力量调整值的力量豁免检定，若其失败，你将其推离你10尺</t>
  </si>
  <si>
    <t>你总是能知道哪个方向是北方， 同时你在任何为导航和追踪所进行的求生检定具有优势</t>
  </si>
  <si>
    <t>兔人</t>
  </si>
  <si>
    <t>身强体壮</t>
  </si>
  <si>
    <t>象之宁静</t>
  </si>
  <si>
    <t>象鼻</t>
  </si>
  <si>
    <t>敏锐嗅觉</t>
  </si>
  <si>
    <t>星界精灵</t>
  </si>
  <si>
    <t>你进行对抗恐慌和魅惑的豁免时具有优势</t>
  </si>
  <si>
    <t>当你没有穿戴盔甲或穿戴的盔甲给予你的AC较低时，你的AC是12+你的体质调整值。你在使用你的天生护甲时，仍能获得盾牌的好处</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</si>
  <si>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
你的象鼻不能使用武器或盾牌或任何需要手动操作的事情，比如使用工具或魔法物品或作为一个法术的姿势成分</t>
  </si>
  <si>
    <t>仰仗你敏感的鼻子，你在依赖嗅觉进行的察觉、求生、调查检定上具有优势</t>
  </si>
  <si>
    <t>自动侏儒</t>
  </si>
  <si>
    <t>诘弗河马人</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</si>
  <si>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</si>
  <si>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</si>
  <si>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</si>
  <si>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</si>
  <si>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</si>
  <si>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</si>
  <si>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哈多兹鼯猴人</t>
  </si>
  <si>
    <t>维多肯式冷静</t>
  </si>
  <si>
    <t>追求卓越，不知疲倦</t>
  </si>
  <si>
    <t>部分两栖</t>
  </si>
  <si>
    <t>流浆体</t>
  </si>
  <si>
    <t>你进行对抗所有智力、感知和魅力的豁免时具有优势</t>
  </si>
  <si>
    <t>你从以下技能中选择一项获得熟练项：奥秘、历史、调查、医药、表演或巧手。并同时获得任意一种工具的熟练项</t>
  </si>
  <si>
    <t>通过用皮肤吸收氧气，你可以水下呼吸一小时，一旦超过时限，你就无法再次使用本特性直到完成一次长休</t>
  </si>
  <si>
    <t>斯莱克林螳螂人</t>
  </si>
  <si>
    <t>变形生物</t>
  </si>
  <si>
    <t>幻身灵本能</t>
  </si>
  <si>
    <t>半血裔</t>
  </si>
  <si>
    <t>中型或小型。在你获得该族系时选择体型</t>
  </si>
  <si>
    <t>使用一个动作，你可以改变你的外表和声音。你决定这些变化的特征，包括你的肤色、发长和性别。你也可以调整你的身高和体重，并可以在中型和小型之中改变你的体型。你能够让自己看上去像是其他种族的一员，但这并不会改变你的游戏数据。你不能复制一个你从没见过的生物的外表，而你也必须选择一个和你基本肢体相同的生物。你的衣服和装备不能被这个能力变化
你将一直保持这个形态，直到你用一个动作变回你的真实形态或者你死亡</t>
  </si>
  <si>
    <t>你从以下技能中选择两项获得熟练项：欺瞒、洞悉、威吓、表演或游说</t>
  </si>
  <si>
    <t>巫咒之子</t>
  </si>
  <si>
    <t>双重灵魂</t>
  </si>
  <si>
    <t>心灵训练</t>
  </si>
  <si>
    <t>心灵链接</t>
  </si>
  <si>
    <t>隔离梦境</t>
  </si>
  <si>
    <t>重生者</t>
  </si>
  <si>
    <t>你进行对抗所有感知的豁免时具有优势</t>
  </si>
  <si>
    <t>你能够对10倍等级数尺内任何你能看到的生物通过心灵感应说话。你不必须懂得该生物的语言也能使其理解你通过心灵感应所传达的话语，但目标必须至少能够理解一种语言
当你对一个生物通过心灵感应说话时，你能以一个动作赋予该生物通过心灵感应向你说话的能力1小时或者你使用一个动作提前终止。为了使用这个能力，这个生物必须能看见你并且在该特性的范围内。你只能同时将该能力作用于一个生物：作用于另一人时，上一个人的该能力就被转移</t>
  </si>
  <si>
    <t>你对会让你做梦的法术或魔法效应免疫，但是会让你陷入睡眠的法术或效果对你正常生效</t>
  </si>
  <si>
    <t>洛卡鱼人</t>
  </si>
  <si>
    <t>力量+2，敏捷+1</t>
  </si>
  <si>
    <t>基础步行速度为30尺，基础游泳速度为30尺</t>
  </si>
  <si>
    <t>和水族语</t>
  </si>
  <si>
    <t>野兽本能</t>
  </si>
  <si>
    <t>化形</t>
  </si>
  <si>
    <t>阿芒凯那伽</t>
  </si>
  <si>
    <t>智力+1，体质+2</t>
  </si>
  <si>
    <t>和娜伽语</t>
  </si>
  <si>
    <t>你从以下技能中选择一项获得熟练项：体操、运动、威吓或求生</t>
  </si>
  <si>
    <t>以一个附赠动作，你可以展现出更为野兽化的姿态。这个变形持续一分钟，直到你死亡，或你以一附赠动作变回正常形态。当你化形时，你获得等同于你熟练加值×2的临时生命值。此外你也会依据你最初选择的形态获得其他好处
你可以使用此特质的次数等于你的熟练加值。当你完成一次长休后，你重新获得所有消耗的次数</t>
  </si>
  <si>
    <t>当你化形时，你额外获得1d6的临时生命值，另外当你处于化形状态时，你的AC+1</t>
  </si>
  <si>
    <t>当你使用化形时，以及在其后的每个处于化形形态的其他回合里，你可以以用你的长牙以一附赠动作发动一次徒手攻击。若命中，你造成1d6+力量调整值的穿刺伤害</t>
  </si>
  <si>
    <t>当你处于化形状态时，你的移动速度增加10尺。另外，当一生物在其回合进入你的5尺范围内时，你可以以一反应移动最多10尺，且这样的移动不会触发借机攻击</t>
  </si>
  <si>
    <t>当你处于化形状态时，你在感知检定中具有优势。并且，除非你处于失能状态，否则任何在你30尺范围内的生物均无法在攻击检定中对你取得优势</t>
  </si>
  <si>
    <t>魅力+1，感知+2</t>
  </si>
  <si>
    <t>和人鱼语，以及任意一门自选语言</t>
  </si>
  <si>
    <t>构装体耐力</t>
  </si>
  <si>
    <t>哨兵式休息</t>
  </si>
  <si>
    <t>一体化防护</t>
  </si>
  <si>
    <t>专业设计</t>
  </si>
  <si>
    <t>魅力+1，智力+2</t>
  </si>
  <si>
    <t>当你进行长休息时，你必须花费6小时处于一种静止的、非激活的状态，以代替睡眠。处于该状态时，你变得迟缓，但不会失去意识，并能够保持正常的视力和听力</t>
  </si>
  <si>
    <t>你的防护等级（AC）+1
你仅能装备你具有熟练的护甲。为了穿着这件护甲，你必须花费1个小时的时间将它组装进你的身体，在此期间你必须与该护甲保持接触。为了脱卸这件护甲，你同样要花费1小时来将其移除。你能在以此法穿着或脱卸护甲时进行休息
只要你还活着，你所穿着的护甲就不能在违背你意愿的情况下被卸下</t>
  </si>
  <si>
    <t>你选择一项技能和一种工具，获得其熟练项</t>
  </si>
  <si>
    <t>飞行</t>
  </si>
  <si>
    <t>禽爪</t>
  </si>
  <si>
    <t>呼风者</t>
  </si>
  <si>
    <t>当你不着装中甲或重甲时，你得到等于步行速度的飞行速度</t>
  </si>
  <si>
    <t>你的禽爪可以用来进行徒手打击。如果你击中了目标，你造成1d6+你的力量调整值的挥砍伤害</t>
  </si>
  <si>
    <t>第3级起，你可以用此特质施展一次造风术
你必须完成一次长休后才能再次启用该能力。你也可以通过法术位正常施展该法术，该法术的施法关键属性为智力、感知或魅力并在最初选择种族时决定
当你使用该特质施展该法术时，无需法术成分</t>
  </si>
  <si>
    <t>塞连</t>
  </si>
  <si>
    <t>魅力+2</t>
  </si>
  <si>
    <t>和塞连语</t>
  </si>
  <si>
    <t>魔息</t>
  </si>
  <si>
    <t>闪电抗性</t>
  </si>
  <si>
    <t>融入清风</t>
  </si>
  <si>
    <t>土行</t>
  </si>
  <si>
    <t>混入大地</t>
  </si>
  <si>
    <t>火焰抗性</t>
  </si>
  <si>
    <t>烈焰之触</t>
  </si>
  <si>
    <t>强酸抗性</t>
  </si>
  <si>
    <t>水陆两栖</t>
  </si>
  <si>
    <t>呼唤波浪</t>
  </si>
  <si>
    <t>只要你未陷入失能，就可以一直保持憋气</t>
  </si>
  <si>
    <t>你学会电爪
第3级起，你可以用此特质施展一次羽落术
第5级起，你可以用此特质施展一次羽落术或浮空术
你必须完成一次长休后才能再次启用该能力。你也可以通过法术位正常施展该特性中的法术，该法术的施法关键属性为智力、感知或魅力并在最初选择种族时决定
当你使用该特质施展这些法术时，无需法术成分</t>
  </si>
  <si>
    <t>你在使用自己的步行速度穿越土地与地板上的困难地形时可以不消耗额外的移动力</t>
  </si>
  <si>
    <t>你学会剑刃防护，你可以像通常一样地施展它，你也同样可以使用一个附赠动作施展该戏法，你可以以此施展等于你熟练加值的次数。当你完成一次长休后，你重新获得所有消耗的次数
第5级起，你可以用此特质施展一次行动无踪
你必须完成一次长休后才能再次启用该能力。你也可以通过法术位正常施展该法术，该法术的施法关键属性为智力、感知或魅力并在最初选择种族时决定
当你使用该特质施展该法术时，无需法术成分</t>
  </si>
  <si>
    <t>你学会燃火术
第3级起，你可以用此特质施展一次燃烧之手
第5级起，你可以用此特质施展一次燃烧之手或火焰刀
你必须完成一次长休后才能再次启用该能力。你也可以通过法术位正常施展该特性中的法术，该法术的施法关键属性为智力、感知或魅力并在最初选择种族时决定
当你使用该特质施展这些法术时，无需法术成分</t>
  </si>
  <si>
    <t>你对强酸伤害具有抗性</t>
  </si>
  <si>
    <t>你学会酸液飞溅
第3级起，你可以用此特质施展一次造水/枯水术
第5级起，你可以用此特质施展一次造水/枯水术或水墙术
你必须完成一次长休后才能再次启用该能力。你也可以通过法术位正常施展该特性中的法术，该法术的施法关键属性为智力、感知或魅力并在最初选择种族时决定
当你使用该特质施展这些法术时，无需法术成分</t>
  </si>
  <si>
    <t>人鱼</t>
  </si>
  <si>
    <t>利爪</t>
  </si>
  <si>
    <t>ﾠ屏息ﾠ</t>
  </si>
  <si>
    <t>龟壳防御</t>
  </si>
  <si>
    <t>你的爪子可以用来进行徒手攻击。如果你击中了目标，你造成1d6+你的力量调整值的挥砍伤害</t>
  </si>
  <si>
    <t>你能屏住呼吸长达1小时</t>
  </si>
  <si>
    <t>你无法穿戴护甲，你的AC是17。你在使用你的天生护甲时，仍能获得盾牌的好处</t>
  </si>
  <si>
    <t>你从以下技能中选择一项获得熟练项：驯兽、医药、自然、察觉、隐匿或求生</t>
  </si>
  <si>
    <t>你能采取一个动作缩回壳内。直到你出壳，你获得+4的AC加值，在力量豁免与体质豁免具有优势。当你在龟壳内时，你处于倒地状态，速度为0且不能增加。你的敏捷豁免具有劣势，你不能执行反应，你唯一能执行的动作是以一个附赠动作从壳中出来</t>
  </si>
  <si>
    <t>黑血治疗</t>
  </si>
  <si>
    <t>有限的心灵感应</t>
  </si>
  <si>
    <t>说服力</t>
  </si>
  <si>
    <t>心灵感应的洞察力</t>
  </si>
  <si>
    <t>吸血鬼</t>
  </si>
  <si>
    <t>当你在短休结束时掷出一个1或2的骰子时，你可以重新掷出这个骰子，并且必须使用新的骰子</t>
  </si>
  <si>
    <t>你可以用心灵感应的方式和任何你能在30尺内看到的生物说话。你不需要与该生物共享一种语言，因为它能理解你的心灵感应，但它必须能理解至少一种语言。这个沟通的过程是缓慢和有限的，只允许你传输和接收简单的想法和直观的概念</t>
  </si>
  <si>
    <t>你拥有游说的技能熟练项</t>
  </si>
  <si>
    <t>你进行对抗所有感知和魅力的豁免时具有优势</t>
  </si>
  <si>
    <t>爪击</t>
  </si>
  <si>
    <t>猎手本能</t>
  </si>
  <si>
    <t>畏惧咆哮</t>
  </si>
  <si>
    <t>你的爪子是天生武器，可以用来进行徒手攻击。如果你击中了目标，你造成1d4+你的力量调整值的钝击伤害</t>
  </si>
  <si>
    <t>你从以下技能中选择一项获得熟练项：运动、威吓、游说或求生</t>
  </si>
  <si>
    <t>你可以用一个附赠动作来发出一阵特别危险的咆哮。指定身边10尺内能听到你声音的生物必须进行一次感知豁免，否则他将因此陷入恐慌，并持续至你的下回合结束。该DC等于8+你的熟练加值+你的体质调整值。一旦你使用了此特性，直到你完成一次短休或长休才能再次使用</t>
  </si>
  <si>
    <t>顶撞</t>
  </si>
  <si>
    <t>欢喜之跃</t>
  </si>
  <si>
    <t>贪欢者</t>
  </si>
  <si>
    <t>你可以使用你的头和角来进行徒手打击。如果你使用它们，你造成等同于1d6+你力量调整值的钝击伤害</t>
  </si>
  <si>
    <t>无论何时你进行一次跳远或跳高时，你可以掷一枚d8，并将掷骰结果的数字加到你所跳跃的尺数——即使是进行一次立定跳远。这段额外的距离像通常的情况一样花费移动力</t>
  </si>
  <si>
    <t>你拥有表演和游说的技能熟练项以及一项你所选择的乐器的熟练项</t>
  </si>
  <si>
    <t>无声羽毛</t>
  </si>
  <si>
    <t>当你不着装中甲或重甲时，你得到等同步行速度的飞行速度</t>
  </si>
  <si>
    <t>你拥有隐匿的技能熟练项</t>
  </si>
  <si>
    <t>仙灵魔法</t>
  </si>
  <si>
    <t>你学会德鲁伊伎俩
第3级起，你可以用此特质施展一次妖火
第5级起，你可以用此特质施展一次妖火或变巨/缩小术
你必须完成一次长休后才能再次启用该能力。你也可以通过法术位正常施展该特性中的法术，该法术的施法关键属性为智力、感知或魅力并在最初选择种族时决定
当你使用该特质施展这些法术时，无需法术成分</t>
  </si>
  <si>
    <t>野兔敏锐</t>
  </si>
  <si>
    <t>野兔感官</t>
  </si>
  <si>
    <t>幸运步法</t>
  </si>
  <si>
    <t>兔子跳</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</si>
  <si>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</si>
  <si>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</si>
  <si>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以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</si>
  <si>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星界火</t>
  </si>
  <si>
    <t>星光步</t>
  </si>
  <si>
    <t>星界出神</t>
  </si>
  <si>
    <t>你从舞光术、光亮术或圣火术中选择一项戏法习得
该戏法的施法关键属性为智力、感知或魅力并在最初选择种族时决定</t>
  </si>
  <si>
    <t>使用一个附赠动作，你能魔法地传送到30尺内一处你可见且未被占据的空间里。你可以使用这个特性的次数等同于你的熟练加值，且当你完成一次长休
后恢复所有已被消耗的次数</t>
  </si>
  <si>
    <t>你不会因魔法效应而陷入睡眠
你在需要休息时陷入持续4个小时的半清醒深度冥想中。以这种方式休息后，你获得人类睡眠8小时的全部益处
当你结束这段冥想时，你能够获得你未拥有的一项技能熟练项与一项武器或工具熟练项直到你完成下次长休</t>
  </si>
  <si>
    <t>护甲包裹</t>
  </si>
  <si>
    <t>铸订成功</t>
  </si>
  <si>
    <t>机械医疗</t>
  </si>
  <si>
    <t>机械本质</t>
  </si>
  <si>
    <t>你的生物类型是构装，而非类人</t>
  </si>
  <si>
    <t>当你没有穿戴盔甲时，你的AC是13+你的敏捷调整值</t>
  </si>
  <si>
    <t>你能在你的攻击检定、属性检定、或豁免检定中添加一个d4，你能在看到d20的结果后但该次检定还未结束前这样做
你能使用本特性次数与你的熟练值相同，当你完成一次长休后，你恢复所有已使用的次数</t>
  </si>
  <si>
    <t>如果对你释放修复术，你能花费一个生命骰，投掷并恢复投掷结果加你的体质调整值点生命值（最低1点生命值）
此外，你能受益于一些保护生命但通常不影响构装生物的法术（疗伤术、治愈真言、群体疗伤术、群体治愈真言和维生术）</t>
  </si>
  <si>
    <t>你拥有对毒素伤害的抗性，并对疾病免疫，你在对抗麻痹或中毒的豁免中具有优势
你不需要吃，喝，呼吸</t>
  </si>
  <si>
    <t>当你进行长休息时，你必须花费6小时处于一种静止的、非激活的状态，以代替睡眠。处于该状态时，你变得迟缓，但不会失去意识</t>
  </si>
  <si>
    <t>你获得任意两项工具熟练项</t>
  </si>
  <si>
    <t>星界火花</t>
  </si>
  <si>
    <t>枪械精通</t>
  </si>
  <si>
    <t>河马体格</t>
  </si>
  <si>
    <t>当你使用简易或军用武器命中一个目标时，你能对目标造成等于你
熟练值的额外力场伤害
你能使用该特质的次数与你的熟练值相同，但每回合只能使用一次。当你完成一次长休后，你恢复所有已使用的次数</t>
  </si>
  <si>
    <t>你拥有所有枪械的熟练项，并无视所有枪械的装填属性。此外，用枪械进行长射程攻击时，你的攻击检定不会因超出常规射程而具有劣势</t>
  </si>
  <si>
    <t xml:space="preserve"> 你在进行力量属性检定和力量豁免时具有优势，并且你的负重、推动、拉动及抬起物品的能力视同为体型大一级的生物</t>
  </si>
  <si>
    <t>巧足</t>
  </si>
  <si>
    <t>滑翔</t>
  </si>
  <si>
    <t>哈多兹鼯猴人坚毅</t>
  </si>
  <si>
    <t>以一个附赠动作，你能用你的脚操纵一个物件，打开或关上一扇门或容器，或是捡起或放下一个微型物件</t>
  </si>
  <si>
    <t>如果你没有失能或穿着重甲，你就可以展开自己的翼膜来滑翔。当你如此
做，你可以执行以下空中机动： 
在空中每下降1尺，你就可以同时在水平方向上移动5尺，而且无需耗费你的移动力
当你即将受到坠落伤害时，你能使用你的反应动作来将坠落伤害减少至0</t>
  </si>
  <si>
    <t>当你受到伤害时，你能用你的反应投掷一个d6。将你的熟练值加入投掷结果中，然后把你受到的伤害减去前面的数值（最低伤害为0）
你能使用本特性次数与你的熟练值相同，当你完成一次长休后，你恢复所有已使用的次数</t>
  </si>
  <si>
    <t>泥怪生物</t>
  </si>
  <si>
    <t>无定型体</t>
  </si>
  <si>
    <t>天生坚韧</t>
  </si>
  <si>
    <t>变化自身</t>
  </si>
  <si>
    <t>你的生物类型是泥怪，而非类人</t>
  </si>
  <si>
    <t>当你没有携带和穿着任何东西时，你能跻身通过至多只有 1 寸宽的空间
你在发起或逃脱擒抱的属性检定中具有优势</t>
  </si>
  <si>
    <t>你能够屏住呼吸至多1个小时</t>
  </si>
  <si>
    <t>你对强酸和毒素伤害具有抗性，你在对抗中毒的豁免检定中具有优势</t>
  </si>
  <si>
    <t>以一个动作，你可以重塑你的身体，长出一个头，一或两只胳膊，一或两条腿，以及临时的手和脚，你也可以变回没有肢体的浆团。当你具有人类般的身形时，你能穿着和你体型相同的类人生物的衣服和护甲
以一个附赠动作，你能挤出一条伪肢，该伪肢至多6寸宽，10尺长，或是将伪足吸收回你的身体里。作为该附赠动作的一部分，你能用这条伪肢操纵一个物件，打开或关闭一扇门
或容器，或是捡起或放下一个微型物件。这条伪肢不具有感知器官，不能用来攻击、激活魔
法物品，或是举起超过 10 磅重的物体</t>
  </si>
  <si>
    <t>怪兽生物</t>
  </si>
  <si>
    <t>变色龙甲壳</t>
  </si>
  <si>
    <t>副臂</t>
  </si>
  <si>
    <t>无眠</t>
  </si>
  <si>
    <t>斯莱克林螳螂人心灵感应</t>
  </si>
  <si>
    <t>你的生物类型是怪兽，而非类人</t>
  </si>
  <si>
    <t>当你没有穿戴盔甲时，你的AC是13+你的敏捷调整值
并且，以一个动作，你能改变你甲壳的颜色来与你身边环境的颜色与纹理相匹配，这让你在进行隐匿检定来在这些环境中躲藏时具有优势</t>
  </si>
  <si>
    <t>在你的两只主臂下，还拥有两只稍微小一些的副臂。这些副臂能操纵一个物件，打开或关闭一扇门或容器，或是捡起或放下一个微型物件，或持用一把具有轻型属性的武器</t>
  </si>
  <si>
    <t>你不需要睡眠且能在长休期间保持清醒，但你仍然必须避免剧烈活动以获得休息的好处</t>
  </si>
  <si>
    <t>没有魔法的协助，你不能说你知晓的非螳螂人语言。你使用心灵感应作为替代来传达你的想法。你拥有一种魔法能力，能将你的想法通过心灵传递给你 120 尺内且你可见的自愿生物。一个被你连接的生物无需与你拥有共通语言就可以理解你的思想，但是需要至少能够理解一种语言。你与一个生物的心灵感应连接
会在以下情况下断裂：你和该生物之间的距离超过120尺，你们两者之一失能，或你们两者之一心灵上断开连接（无需动作）</t>
  </si>
  <si>
    <t>先祖遗赠</t>
  </si>
  <si>
    <t>不死本质</t>
  </si>
  <si>
    <t>蛛行</t>
  </si>
  <si>
    <t>吸血啃咬</t>
  </si>
  <si>
    <t>你获得两项自选的技能作为熟练项或保留原种族的技能熟练以及攀爬、飞行、游泳速度</t>
  </si>
  <si>
    <t>你不需要呼吸</t>
  </si>
  <si>
    <t>你具有等于行走速度的攀爬速度。第3级起，你能够在垂直表面任意行走，或是倒挂在天花板上，并且不需要双手进行攀援</t>
  </si>
  <si>
    <t>你的獠牙撕咬是天生武器，能够视为你熟练的简易近战武器使用。你将你的体质调整值加到啃咬进行的攻击和伤害检定中，而不是力量调整值。你的啃咬命中时造成1d4穿刺伤害。当你失去一半或一半以上生命值时，你使用该啃咬进行的攻击具有优势
当你使用啃咬命中一个并非构装生物和不死生物的生物时，你能够以以下选择的方式增强自身：
·恢复相当于啃咬造成的穿刺伤害的生命值
·在下一次你所进行的属性检定或攻击检定中获得加值，加值等同于你啃咬造成的穿刺伤害
你能使用啃咬增强自身的次数等同于你的熟练次数，你在结束一次长休后会获得所有消耗的次数</t>
  </si>
  <si>
    <t>怪诞徽记</t>
  </si>
  <si>
    <t>心灵传讯</t>
  </si>
  <si>
    <t>远端访问</t>
  </si>
  <si>
    <t>巫咒魔法</t>
  </si>
  <si>
    <t>以一个附赠动作，你能无害地拔下自己的一片指甲、一颗牙齿或者一缕长发。该徽记充满魔力，直到你完成一次长休后消散。当徽记通过这种方式注魔时，你能采取以下的动作：心灵传讯、远端访问
 一旦你使用本特质创造了徽记，直到完成一次长休前不能再使用本特质释放该法术，当你长休结束时，你失去的身体部分会重新长出来</t>
  </si>
  <si>
    <t>以一个动作，你能向一个持有该徽记的生物进行心灵传讯，只要你们两者之间的距离不超过10里。该讯息至多为25个单词</t>
  </si>
  <si>
    <t>如果你在徽记的10里之内，你能以一个动作进入出神状态。出神持续一分钟，你能提前主动解除（不需要动作），或是陷入失能时解除。在出神状态时，你能看见和听见徽记所处地点的事物，如同你本人也在那一般。当你使用感官感知徽记的地点时，你对自身周围处于目盲和耳聋状态。当出神结束时，徽记会被无害的摧毁。</t>
  </si>
  <si>
    <t>你能通过本特质使用易容术和脆弱诅咒。一旦你通过本特质使用了其中任何一个法术，直到你完成一次长休前你不能再使用本特质释放该法术。你也能用你拥有的任何法术位来释放这些法术</t>
  </si>
  <si>
    <t>往昔学识</t>
  </si>
  <si>
    <t>你在对抗疾病和中毒的豁免中具有优势，并且你具有毒素伤害的抗性
你的死亡豁免具有优势
你无需饮食和呼吸
你无需睡觉，而魔法亦不能让你陷入睡眠。你可以通过保持4小时静止不动的有意识状态来完成长休</t>
  </si>
  <si>
    <t>当你进行一次使用技能的属性检定时，在看到d20的数字后，你能立即投掷一个d6并将结果加到检定中。你能使用该特性的次数等于你的熟练次数，而你在完成一次长休后获得所有消耗的使用次数</t>
  </si>
  <si>
    <t>敏锐&amp;矫健</t>
  </si>
  <si>
    <t>利维坦意志</t>
  </si>
  <si>
    <t>有限两栖</t>
  </si>
  <si>
    <t>当你没有穿戴盔甲或穿戴的盔甲给予你的AC较低时，你的AC是12+你的敏捷调整值。你在使用你的天生护甲时，仍能获得盾牌的好处</t>
  </si>
  <si>
    <t>你拥有运动和察觉的技能熟练项</t>
  </si>
  <si>
    <t>你进行对抗魅惑、恐慌、麻痹、中毒、震慑和昏迷的豁免时具有优势</t>
  </si>
  <si>
    <t>你可以在空气和水中呼吸，但你需要至少每四个小时把自己浸入水中一次来避免窒息</t>
  </si>
  <si>
    <t>疾驰</t>
  </si>
  <si>
    <t>毒免疫</t>
  </si>
  <si>
    <t>作为一个奖励动作，如果你双手空置，直到你自己的回合结束前你增加额外5尺速度</t>
  </si>
  <si>
    <t>你的利齿和绞缠的蛇型躯干是天生的武器，你可以用它们来进行徒手攻击。若你的啃咬命中，则造成1d4＋力量调整值的穿刺伤害，目标必须同时做出体质豁免检定(DC8+你的熟练加值＋你的体质调整值)，失败则额外造成1d4的毒素伤害。若你的绞缠攻击命中，则造成1d6＋力量调整值的钝击伤害，目标被束缚(逃脱DC8+您的熟练加值+你的体质调整值)，在此期间你不能同时束缚其他目标</t>
  </si>
  <si>
    <t>你免疫毒素伤害，也不会中毒</t>
  </si>
  <si>
    <t>荒野面具</t>
  </si>
  <si>
    <t>通晓水域</t>
  </si>
  <si>
    <t>当你仅处于包括微光光照、薄雾笼罩、适中的植物覆盖等轻度遮蔽的环境时，你可以尝试躲藏</t>
  </si>
  <si>
    <t>你掌握一个德鲁伊法术列表中自选戏法</t>
  </si>
  <si>
    <t>你拥有历史和自然的技能熟练项</t>
  </si>
  <si>
    <t>吸血鬼抗性</t>
  </si>
  <si>
    <t>嗜血</t>
  </si>
  <si>
    <t>鲜血盛宴</t>
  </si>
  <si>
    <t>转化躯壳</t>
  </si>
  <si>
    <t>你可以从一个自愿的生物，陷入被你擒抱、失能或束缚状态的生物身上抽取血液和生命能量。对目标进行一次近战攻击。如果命中，对目标造成1点穿刺和1d6点黯蚀伤害。目标的生命值上限承受等同于该黯蚀伤害的减损，你回复等量的生命值。减损效应持续至目标目标完成一次长休。如果该攻击将目标生命值上限降至0，则目标死亡</t>
  </si>
  <si>
    <t>当你以嗜血能力抽取血液时，你会感受到活力涌动。此后1分钟内，你的移动速度增加10尺，在进行力量和敏捷检定或豁免检定时具有优势</t>
  </si>
  <si>
    <t>被你的嗜血能力杀死的类人生物转化为僵尸</t>
  </si>
  <si>
    <t>塞连之歌</t>
  </si>
  <si>
    <t>你拥有30尺的飞行速度。在你着装中型或重型护甲时你不能使用飞行速度。（如果你的游戏中使用规则变体：负重，如果你处于重载，你不能使用飞行速度</t>
  </si>
  <si>
    <t>你习得戏法交友术，并且可以不需要法术材料成分释放它</t>
  </si>
  <si>
    <t>流派</t>
  </si>
  <si>
    <t>VRGR</t>
  </si>
  <si>
    <t>兼职护甲熟练项</t>
  </si>
  <si>
    <t>兼职武器熟练项</t>
  </si>
  <si>
    <t>兼职工具熟练项</t>
  </si>
  <si>
    <t>兼职技能熟练项</t>
  </si>
  <si>
    <t>职业等级</t>
  </si>
  <si>
    <t>施法等级</t>
  </si>
  <si>
    <t>兼职1条件</t>
  </si>
  <si>
    <t>兼职2条件</t>
  </si>
  <si>
    <t>子职标记</t>
  </si>
  <si>
    <t>备选</t>
  </si>
  <si>
    <t>列</t>
  </si>
  <si>
    <t>最小行</t>
  </si>
  <si>
    <t>最大行</t>
  </si>
  <si>
    <t>职业1特性</t>
  </si>
  <si>
    <t>职业2特性</t>
  </si>
  <si>
    <t>职业3特性</t>
  </si>
  <si>
    <t>职业特性</t>
  </si>
  <si>
    <t>野兽道途起源</t>
  </si>
  <si>
    <t>遗物</t>
  </si>
  <si>
    <t>圣域</t>
  </si>
  <si>
    <t>星辰结社星图样式</t>
  </si>
  <si>
    <t>花招</t>
  </si>
  <si>
    <t>姿态</t>
  </si>
  <si>
    <t>命流宗命流面具</t>
  </si>
  <si>
    <t>圣武士克星</t>
  </si>
  <si>
    <t>物品（临时武器）</t>
  </si>
  <si>
    <t>集群守卫集群外观</t>
  </si>
  <si>
    <t>妖精漫游者精野之赐</t>
  </si>
  <si>
    <t>术士反应</t>
  </si>
  <si>
    <t>幽影术士异闻</t>
  </si>
  <si>
    <t>畸变心智异常起源</t>
  </si>
  <si>
    <t>时械之魂秩序显迹</t>
  </si>
  <si>
    <t>巨灵宗主巨灵器皿</t>
  </si>
  <si>
    <t>炼金师实验性灵药</t>
  </si>
  <si>
    <t>龙兽守卫起源</t>
  </si>
  <si>
    <t>神龙宗起源</t>
  </si>
  <si>
    <t>野蛮人</t>
  </si>
  <si>
    <t>狂战士道途</t>
  </si>
  <si>
    <t>图腾武者道途</t>
  </si>
  <si>
    <t>D12</t>
  </si>
  <si>
    <t>轻甲、中甲、盾牌</t>
  </si>
  <si>
    <t>简易武器、军用武器</t>
  </si>
  <si>
    <t>力量、体质</t>
  </si>
  <si>
    <t>从驯兽、运动、威吓、自然、察觉和求生中选择两项</t>
  </si>
  <si>
    <t>4、8、12、16、19</t>
  </si>
  <si>
    <t>盾牌</t>
  </si>
  <si>
    <t>子职1</t>
  </si>
  <si>
    <t>你的生父或生母患有兽化症，你也遗传了这方面的一些诅咒。</t>
  </si>
  <si>
    <t>圣人腿骨制成的手杖。（50GP）</t>
  </si>
  <si>
    <t>一块充当公园的墓地。</t>
  </si>
  <si>
    <t>一幅布满星座图列的卷轴</t>
  </si>
  <si>
    <t>你是一位假摔大师，通过假装已经因为伤势丧失作战能力挑逗敌人来补刀，你不但可以保护队友，还可以让敌人见识你其实还剩下多少战斗力。</t>
  </si>
  <si>
    <t>失禁老人式：站直，双膝并拢。（极为适宜在排长队时保命）</t>
  </si>
  <si>
    <t>渡鸦</t>
  </si>
  <si>
    <t>一个强大的兽人酋长，威胁要超越并摧毁你的一切。</t>
  </si>
  <si>
    <t>一个烤巨鸟腿。（巨棒，如有断骨则为长剑）</t>
  </si>
  <si>
    <t>群聚的昆虫</t>
  </si>
  <si>
    <t>在你进行短休或长休时，缥缈的蝴蝶在你周身振翅。</t>
  </si>
  <si>
    <t>的力量被你周围的人视为一种巨大的祝福，你也被期望用它们来为身边人服务。</t>
  </si>
  <si>
    <t>你摸起来一直是冰冷的。</t>
  </si>
  <si>
    <t>你曾暴露在遥远国度扭曲的影响之下。你坚信着有触须在你身上生长，但其他人都看不到。</t>
  </si>
  <si>
    <t>幽灵般的虚幻齿轮在你身后旋转。</t>
  </si>
  <si>
    <t>油灯</t>
  </si>
  <si>
    <t>治疗。饮用者恢复2d4+你智力调整值的生命值。</t>
  </si>
  <si>
    <t>你通过研究龙的鳞片或爪子，或一件从龙的宝库里找到的饰品，从这些徽记物上获取了残留的龙族魔法，构成了联结</t>
  </si>
  <si>
    <t>你通过观察巨龙并将自己的气与它们改天换地的力量相调谐来磨练自己的技艺。</t>
  </si>
  <si>
    <t>吟游诗人</t>
  </si>
  <si>
    <t>逸闻学院</t>
  </si>
  <si>
    <t>勇气学院</t>
  </si>
  <si>
    <t>D8</t>
  </si>
  <si>
    <t>轻甲</t>
  </si>
  <si>
    <t>简易武器、手弩、长剑、刺剑、短剑</t>
  </si>
  <si>
    <t>自选三种乐器</t>
  </si>
  <si>
    <t>敏捷、魅力</t>
  </si>
  <si>
    <t>自选三项技能</t>
  </si>
  <si>
    <t>自选一种乐器</t>
  </si>
  <si>
    <t>，再自选一项技能</t>
  </si>
  <si>
    <t>你是一位大德鲁伊的后人并且继承了变形部分躯体的能力。</t>
  </si>
  <si>
    <t>自助放纵工具包。（10GP）</t>
  </si>
  <si>
    <t>一座用来展示进口珍惜动植物的博物馆。</t>
  </si>
  <si>
    <t>一块钻有细孔的石板</t>
  </si>
  <si>
    <t>你腰包里随身会装一小袋盐或沙子，只要能让你的对手目盲，哪怕一瞬间，你也基本就要赢了。</t>
  </si>
  <si>
    <t>腐臭蝰蛇式：平躺在地上。（试图躲藏时堪称完美）</t>
  </si>
  <si>
    <t>黑白</t>
  </si>
  <si>
    <t>一个恶魔或天族，外层位面力量的代理人，你被指名受其腐败或救赎，视情况而定。</t>
  </si>
  <si>
    <t>一长条放干的面包。（硬头锤）</t>
  </si>
  <si>
    <t>微小的枯枝怪</t>
  </si>
  <si>
    <t>每天黎明，新鲜的、当季的花朵将在你的头发中生长。</t>
  </si>
  <si>
    <t>你的力量在他们变得明显的时候造成了毁灭，甚至死亡，你被当作罪犯对待。</t>
  </si>
  <si>
    <t>当你熟睡时看上去没有呼吸。（尽管你需要呼吸来维生。）</t>
  </si>
  <si>
    <t>一阵来自星界的灵能之风将心灵异能灌入你的体内。现在，当你使用这股力量时，你的身边会有微弱的光点闪烁。</t>
  </si>
  <si>
    <t>时钟的指针出现在你的眼中。</t>
  </si>
  <si>
    <t>瓮</t>
  </si>
  <si>
    <t>疾速。饮用者在1小时内速度增加10尺。</t>
  </si>
  <si>
    <t>一个专门收集和保护龙族学问的游侠会社向你传授了他们的道途。</t>
  </si>
  <si>
    <t>一位巨龙主动地帮助你修炼自身的能量。</t>
  </si>
  <si>
    <t>牧师</t>
  </si>
  <si>
    <t>知识领域</t>
  </si>
  <si>
    <t>生命领域</t>
  </si>
  <si>
    <t>光明领域</t>
  </si>
  <si>
    <t>自然领域</t>
  </si>
  <si>
    <t>风暴领域</t>
  </si>
  <si>
    <t>诡术领域</t>
  </si>
  <si>
    <t>战争领域</t>
  </si>
  <si>
    <t>简易武器</t>
  </si>
  <si>
    <t>感知、魅力</t>
  </si>
  <si>
    <t>从历史、洞悉、医药、游说和宗教中选择两项</t>
  </si>
  <si>
    <t>一只精类的精魂赐予你变换不同野兽形态的能力。</t>
  </si>
  <si>
    <t>圣水酿造啤酒。（20GP）</t>
  </si>
  <si>
    <t>一块不适合建设的沼泽地，充斥着沼泽生物群落。</t>
  </si>
  <si>
    <t>一张斑点枭熊皮，标有凸痕记号</t>
  </si>
  <si>
    <t>你在战斗开始时会先用副手攻击，诱骗你的对手将攻击和防御都放在那边，然后瞅准时机迅速换成主手，让你的敌人猝不及防。</t>
  </si>
  <si>
    <t>沉重补丁式：摊成烂泥。（当你想假装喝多了时很有用）</t>
  </si>
  <si>
    <t>哭脸</t>
  </si>
  <si>
    <t>一条龙，它的仆人缠住了你，阻碍你的步伐。</t>
  </si>
  <si>
    <t>一件只剩一根弦的乐器。（短弓）</t>
  </si>
  <si>
    <t>飞舞的群鸟</t>
  </si>
  <si>
    <t>你身上有淡淡的肉桂、薰衣草或肉豆蔻，或另一种令人舒适的药草或香料的香味。</t>
  </si>
  <si>
    <t>你的邻居憎恨你，害怕你的力量，他们离你躲得远远的。</t>
  </si>
  <si>
    <t>你很少流血，即使受了重伤。</t>
  </si>
  <si>
    <t>你曾受到底栖魔鱼的支配，它的力量在你的脑海中留下了一个精神碎片。</t>
  </si>
  <si>
    <t>你的皮肤发出如黄铜般的金属光泽。</t>
  </si>
  <si>
    <t>可装东西的戒指</t>
  </si>
  <si>
    <t>韧性。饮用者在10分钟内AC+1。</t>
  </si>
  <si>
    <t>一条龙给了你一枚晶球或宝石，并让你进行照看，你没想到的是，龙兽从这块石头里孵化了出来。</t>
  </si>
  <si>
    <t>你所在修道院的教义可追溯到百年甚至数百年前一只巨龙的指导，或某位献身于龙神的存在。</t>
  </si>
  <si>
    <t>德鲁伊</t>
  </si>
  <si>
    <t>大地结社</t>
  </si>
  <si>
    <t>月亮结社</t>
  </si>
  <si>
    <t>星辰结社</t>
  </si>
  <si>
    <t>野火结社</t>
  </si>
  <si>
    <t>轻甲、中甲、盾牌（不能装备或使用金属质的护甲和盾）</t>
  </si>
  <si>
    <t>短棒、匕首、飞镖、标枪、硬头锤、长棍、弯刀、镰刀、投石索、矛</t>
  </si>
  <si>
    <t>草药工具</t>
  </si>
  <si>
    <t>智力、感知</t>
  </si>
  <si>
    <t>从奥秘、驯兽、洞悉、医药、自然、察觉、宗教和求生中选择两项</t>
  </si>
  <si>
    <t>轻甲、中甲、盾牌（不使用铁质护甲或盾牌）</t>
  </si>
  <si>
    <t>战狂道途</t>
  </si>
  <si>
    <t>一只上古野兽的精魂住在你的体内，为你打开选择此道途的大门。</t>
  </si>
  <si>
    <t>梵天神侍羽翼制作的书签。（10GP）</t>
  </si>
  <si>
    <t>一片居住着树栖动物的大树林。</t>
  </si>
  <si>
    <t>一套黑檀木封皮地图集</t>
  </si>
  <si>
    <t>诅咒、谩骂、侮辱，你是一样不落，你喷向对手的那堆下流脏话，即使让食人魔蛮子都觉得尴尬。</t>
  </si>
  <si>
    <t>受惊侏儒式：蜷缩成胎儿的样子。（非常适合用于遭到巨大伤害之前）</t>
  </si>
  <si>
    <t>笑脸</t>
  </si>
  <si>
    <t>大祭司将你看作误入歧途的愚昧之徒，想要你放弃你的信仰。</t>
  </si>
  <si>
    <t>一只流行运动中用到的球拍。（手斧或战斧）</t>
  </si>
  <si>
    <t>好动的皮克精</t>
  </si>
  <si>
    <t>你的影子会在没人直视它时起舞。</t>
  </si>
  <si>
    <t>你开始注意到有一个邪恶的邪教组织，他们计划着利用你的能力。</t>
  </si>
  <si>
    <t>你的心脏一分钟才脉动一下，有时候你自己都感到吃惊。</t>
  </si>
  <si>
    <t>你被植入了一只夺心魔蝌蚪，但蜕变一直没能完成。现在，其灵能力已经被你占为已有。当你使用灵能时，你的身体里会冒出奇怪的粘液。</t>
  </si>
  <si>
    <t>你的体表浮动着方程式和几何图形。</t>
  </si>
  <si>
    <t>被塞住的瓶子</t>
  </si>
  <si>
    <t>勇气。饮用者在1分钟内，能够在每个攻击检定和豁免检定中增加一个d4。</t>
  </si>
  <si>
    <t>你吞下了几滴龙血，永远给你的自然魔法注入了龙的力量。</t>
  </si>
  <si>
    <t>你在一个远古巨龙巢穴的影响范围内冥想良久，并凭此吸收了环境中的魔力。</t>
  </si>
  <si>
    <t>战士</t>
  </si>
  <si>
    <t>勇士</t>
  </si>
  <si>
    <t>战斗大师</t>
  </si>
  <si>
    <t>奥法骑士</t>
  </si>
  <si>
    <t>D10</t>
  </si>
  <si>
    <t>全部护甲、盾牌</t>
  </si>
  <si>
    <t>从体操、驯兽、运动、历史、洞悉、威吓、察觉和求生中选择两项</t>
  </si>
  <si>
    <t>4、6、8、12、14、16、19</t>
  </si>
  <si>
    <t>先祖守卫道途</t>
  </si>
  <si>
    <t>神灵亲笔签名的圣徽。（100GP）</t>
  </si>
  <si>
    <t>一个当地居民集资建立的社区花园。</t>
  </si>
  <si>
    <t>一块遇光会投射出星辰轨迹的水晶</t>
  </si>
  <si>
    <t>你在战斗中一直和对面没完没了的唠叨，尽你所能的去分散他们的注意力或给他们洗脑，你猜有多少人在战斗中搞不清自己的鞋带开没开。</t>
  </si>
  <si>
    <t>积极学生式：高举一只手站立。（当你想被人看到时好用）</t>
  </si>
  <si>
    <t>骷髅</t>
  </si>
  <si>
    <t>一个曾与你一同训练的圣武士，如今背弃了誓言，与你对立。</t>
  </si>
  <si>
    <t>一根金属尖的拐杖。（巨剑或矛）</t>
  </si>
  <si>
    <t>你的头发中长出纤细的触角或鹿角。</t>
  </si>
  <si>
    <t>你周围的人都认为你的力量是对你的家庭的一种诅咒，因为过去的罪行。</t>
  </si>
  <si>
    <t>你难以记住生物和尸体应该被区别对待。</t>
  </si>
  <si>
    <t>小时候，你有一个想象中的朋友，它看上去像是呋噜或是一只奇怪的鸭嘴兽形生物。某天，它赠与你灵能的力量，但它最终不再止步于想象。</t>
  </si>
  <si>
    <t>你的法器短暂地变化成小巧的机械装置。</t>
  </si>
  <si>
    <t>空心小雕像</t>
  </si>
  <si>
    <t>飞行。饮用者在10分钟内获得10尺飞行速度。</t>
  </si>
  <si>
    <t>当你大声朗读巨石柱上的古代龙纹铭文后，你被赋予了力量。</t>
  </si>
  <si>
    <t>你找到了一张龙语卷轴，里面包含了令人顿悟的崭新技巧。</t>
  </si>
  <si>
    <t>武僧</t>
  </si>
  <si>
    <t>散打宗</t>
  </si>
  <si>
    <t>暗影宗</t>
  </si>
  <si>
    <t>四象宗</t>
  </si>
  <si>
    <t>简易武器、短剑</t>
  </si>
  <si>
    <t>自选一种工匠工具或一种乐器</t>
  </si>
  <si>
    <t>力量、敏捷</t>
  </si>
  <si>
    <t>从体操、运动、历史、洞悉、宗教、隐匿中选择两项</t>
  </si>
  <si>
    <t>风暴先驱道途</t>
  </si>
  <si>
    <t>护盾熟练</t>
  </si>
  <si>
    <t>摩擦生香的圣象。（5GP）</t>
  </si>
  <si>
    <t>一片被自然侵蚀的废弃街区。</t>
  </si>
  <si>
    <t>描绘星座排列的玻璃圆盘</t>
  </si>
  <si>
    <t>你有一个特制的腰包，专门用来在战斗最激烈时释放滚珠或铁蒺藜，迫使你的敌人同时躲避你的攻击和这些东西。</t>
  </si>
  <si>
    <t>吵闹酒仙式：伸直一只手做出敬酒的动作。（对于防止被掌掴特别实用）</t>
  </si>
  <si>
    <t>蝴蝶</t>
  </si>
  <si>
    <t>被某人打败的吸血鬼，发誓要对所有圣武士复仇。</t>
  </si>
  <si>
    <t>一大瓶葡萄酒。（硬头锤，如被敲碎则为短剑）</t>
  </si>
  <si>
    <t>据传，你的力量与一个古老的疯王、在一个世纪前的血腥起义中有某些关联。</t>
  </si>
  <si>
    <t>你上周只眨了一次眼。</t>
  </si>
  <si>
    <t>你的噩梦向你透露了真相：你的灵能不是来源于自身，而是从你未能成功出世的孪生兄弟/姐妹处抽取来的！</t>
  </si>
  <si>
    <t>你和那些受到你法术影响的生物都会听到齿轮的滴答声或是钟表的响铃。</t>
  </si>
  <si>
    <t>华丽提灯</t>
  </si>
  <si>
    <t>变形。饮用者的身体产生如同变身术的变化。具体怎样变化由饮用者决定，持续时间10分钟</t>
  </si>
  <si>
    <t>你做了一个逼真的梦，你梦见一个神秘的人物，有七只黄色的金丝雀伴随其左右，警告你即将到来的浩劫。当你醒来时，你的龙兽就在你的身边盯着你。</t>
  </si>
  <si>
    <t>你梦到了一名五首龙裔，而你醒来时，体内的气就已不同以往，宛如巨龙之息。</t>
  </si>
  <si>
    <t>圣武士</t>
  </si>
  <si>
    <t>奉献之誓</t>
  </si>
  <si>
    <t>古贤之誓</t>
  </si>
  <si>
    <t>复仇之誓</t>
  </si>
  <si>
    <t>从运动、洞悉、威吓、医药、说服、宗教中选择两项</t>
  </si>
  <si>
    <t>狂热者道途</t>
  </si>
  <si>
    <t>异界神侍剃须刀。（15GP）</t>
  </si>
  <si>
    <t>一间由奇怪而强大的德鲁伊同袍照料的动物园。</t>
  </si>
  <si>
    <t>强壮鸟妖式：边唱歌边疯狂扇动双臂。（鼓励人们远离你，同时也可以在夏天用来降温）</t>
  </si>
  <si>
    <t>游侠</t>
  </si>
  <si>
    <t>猎人</t>
  </si>
  <si>
    <t>驯兽师</t>
  </si>
  <si>
    <t>从驯兽、运动、洞悉、调查、自然、察觉、隐匿和求生中选择三项</t>
  </si>
  <si>
    <t>，再从驯兽、运动、洞悉、调查、自然、察觉、隐匿和求生中选择一项</t>
  </si>
  <si>
    <t>狂野魔法道途</t>
  </si>
  <si>
    <t>下流话未经删减的原版圣经（10GP）</t>
  </si>
  <si>
    <t>一座仅供有钱人享受的收费私人公园。</t>
  </si>
  <si>
    <t>断裂桥面式：脸和膝盖贴地并撅起臀部。（降低正面的敌人能见度，并为盟友提供一个实用的滑梯）</t>
  </si>
  <si>
    <t>游荡者</t>
  </si>
  <si>
    <t>盗贼</t>
  </si>
  <si>
    <t>刺客</t>
  </si>
  <si>
    <t>诡术师</t>
  </si>
  <si>
    <t>敏捷、智力</t>
  </si>
  <si>
    <t>从体操、运动、欺瞒、洞悉、威吓、调查、察觉、表演、游说、巧手、隐匿中选择四项</t>
  </si>
  <si>
    <t>4、8、10、12、16、19</t>
  </si>
  <si>
    <t>，再从体操、运动、欺瞒、洞悉、威吓、调查、察觉、表演、游说、巧手、隐匿中选择一项</t>
  </si>
  <si>
    <t>野兽道途</t>
  </si>
  <si>
    <t>一片收容因被捕猎而惊恐的动物的自然保护区。</t>
  </si>
  <si>
    <t>术士</t>
  </si>
  <si>
    <t>龙族血脉</t>
  </si>
  <si>
    <t>狂野魔法</t>
  </si>
  <si>
    <t>D6</t>
  </si>
  <si>
    <t>匕首、飞镖、投石索、长棍、轻弩</t>
  </si>
  <si>
    <t>体质、魅力</t>
  </si>
  <si>
    <t>从奥秘、欺瞒、洞悉、威吓、游说、宗教中选择两项</t>
  </si>
  <si>
    <t>巨人道途</t>
  </si>
  <si>
    <t>一间培育稀有的异国动植物并用其制作各种商品的商铺。</t>
  </si>
  <si>
    <t>邪术师</t>
  </si>
  <si>
    <t>至高妖精</t>
  </si>
  <si>
    <t>旧日支配者</t>
  </si>
  <si>
    <t>感知，魅力</t>
  </si>
  <si>
    <t>从奥秘、欺瞒、威吓、调查、历史、自然、宗教中选择两项</t>
  </si>
  <si>
    <t>法师</t>
  </si>
  <si>
    <t>防护学派</t>
  </si>
  <si>
    <t>咒法学派</t>
  </si>
  <si>
    <t>预言学派</t>
  </si>
  <si>
    <t>附魔学派</t>
  </si>
  <si>
    <t>塑能学派</t>
  </si>
  <si>
    <t>幻术学派</t>
  </si>
  <si>
    <t>死灵学派</t>
  </si>
  <si>
    <t>变化学派</t>
  </si>
  <si>
    <t>在奥秘、历史、洞悉、调查、医药、宗教中选择两项</t>
  </si>
  <si>
    <t>炼金师</t>
  </si>
  <si>
    <t>魔炮师</t>
  </si>
  <si>
    <t>战地匠师</t>
  </si>
  <si>
    <t>盗贼工具、修补工具、另外自选一种工匠工具</t>
  </si>
  <si>
    <t>体质、智力</t>
  </si>
  <si>
    <t>从奥秘、历史、调查、医药、自然、察觉、巧手中选择两项</t>
  </si>
  <si>
    <t>轻甲，中甲，盾牌</t>
  </si>
  <si>
    <t>盗贼工具、修补工具</t>
  </si>
  <si>
    <t>迷惑学院</t>
  </si>
  <si>
    <t>备选兼职</t>
  </si>
  <si>
    <t>子职2</t>
  </si>
  <si>
    <t>子职3</t>
  </si>
  <si>
    <t>剑舞学院</t>
  </si>
  <si>
    <t>狂暴</t>
  </si>
  <si>
    <t>第1级起，你可以在自己回合内以一个附赠动作进入狂暴
狂暴持续期间，只要你未着装重甲就获得以下增益：
你进行力量检定和力量豁免时具有优势
你用力量值发动近战武器攻击时的伤害掷骰获得加值。此加值随你的野蛮人等级提升而增加，具体见“野蛮人职业表”中“狂暴伤害”一栏
你拥有钝击，穿刺和挥砍伤害的抗性
拥有施法能力的角色无法在狂暴持续期间施展法术或进行法术专注
你的狂暴状态维持1分钟。如果你在狂暴其间陷入昏迷，或者，如果你在上一个自己回合之后到本回合结束时都未攻击任何敌对生物也未受到伤害，则狂暴提前结束。你也可以在自己回合里以一个附赠动作主动结束狂暴状态
“野蛮人职业表”中根据你的野蛮人等级给出了相应的狂暴次数。如果你用光了这些次数，则必须完成一次长休才能再次使用狂暴</t>
  </si>
  <si>
    <t>施法-吟游诗人</t>
  </si>
  <si>
    <t>你习得以音乐为媒介随意解构、分解，再重新构造现实的方法。你的法术是融入你纷繁奏乐中的音符，也是你以各种形式谱奏的魔法乐章</t>
  </si>
  <si>
    <t>施法-牧师</t>
  </si>
  <si>
    <t>你作为神圣力量的导体得以施展牧师法术</t>
  </si>
  <si>
    <t>德鲁伊语</t>
  </si>
  <si>
    <t>第1级时，你习得德鲁伊语——即一种德鲁伊间的秘密语言。你可以说这门语言并用它留下隐藏的信息。懂得这门语言的人（包括你自己）会自动注意到此信息，而不懂此语言的人通过一次DC15的感知（察觉）检定后可以注意到其存在，不过不能用非魔法手段读懂</t>
  </si>
  <si>
    <t>战斗风格-战士</t>
  </si>
  <si>
    <t>第1级时，你可以选择一种战斗风格作为你的专精。同一种战斗风格不可重复选择</t>
  </si>
  <si>
    <t>第1级起，未着装任何护甲也没持用盾牌时，你的AC等于10+你的敏捷调整值+你的感知调整值</t>
  </si>
  <si>
    <t>神圣感知</t>
  </si>
  <si>
    <t>第1级起，你可以使用一个动作扩展你的意识，直到你下回合结束前，你可以对身边60尺范围内进行感测，任何未对你处在全身掩护状态的天界生物、邪魔或不死生物都将被你定位。你感应到范围内生物的种类，不过并不能精确指明。在同样的范围内，你也可以侦测任何受到圣居一类的法术祝福或亵渎的地点或物件
该特性的可用次数等于1＋你的魅力调整值。而已消耗的特性使用次数，则可以通过完成一次长休进行恢复</t>
  </si>
  <si>
    <t>第1级起，从下列种类中选择其一作为宿敌：异怪、野兽、天界生物、构装生物、龙、元素生物、精类生物、邪魔、巨人、怪兽、泥怪、植物、不死生物。或者作为另一种方案，你也可以选择两个类人生物种族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第6和第14级时，你将分别获得一个额外的宿敌以及相关语言。另外，随着等级的提升，你所选择的宿敌应该与你在冒险中所遭遇怪物的种类层次相符</t>
  </si>
  <si>
    <t>专精-游荡者</t>
  </si>
  <si>
    <t>第1级起，你选择两个已有技能熟练项，或者一个技能熟练项和盗贼工具熟练项。此后你进行该项目的检定时，可以使用双倍的熟练加值
第6级时，你可以再选择另外两个已有的技能熟练项（或盗贼工具熟练项）从该特性中获益</t>
  </si>
  <si>
    <t>施法-术士</t>
  </si>
  <si>
    <t>过去的一个事件激发了你体内先辈的血脉，为你烙上了奥法力量的坚固印记。这股起源于某种存在的魔力驱动着你的法术能力</t>
  </si>
  <si>
    <t>异界宗主</t>
  </si>
  <si>
    <t>第1级时，你就跟某个异界的存在订下契约。随后，你将在第1、第6、第10和第14级获得所选契约的相应特性</t>
  </si>
  <si>
    <t>施法-法师</t>
  </si>
  <si>
    <t>作为一名奥术魔法的研习者，你拥有一本自己的法术书。书中所包含的法术隐约透露着你真正的力量</t>
  </si>
  <si>
    <t>魔法工艺</t>
  </si>
  <si>
    <t>第1级起，当你手持修补工具，或其他工匠工具。然后花费一个动作触摸一个微小的非魔法物体，从以下魔法属性中选择一个赋予它：
该物体提供5尺半径的明亮照明，以及该范围外5尺范围的微光照明
无论何时，只要该物品被生物触碰，就会发出可在10尺外听到的录音信息。录入的信息在你将此属性赋予对象时决定，且时长不可超过6秒
物品不断地发出一种气味或一种非语言的声音。这一现象最多能传播10尺远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你能够使用该特性影响的物品的最大数量等于你的智力调整值（最少一个物品）。如果你试图超过最大值，最老的魔法属性将立即结束，然后新的魔法属性生效</t>
  </si>
  <si>
    <t>低语学院</t>
  </si>
  <si>
    <t>第1级起，未着装任何护甲时，你的AC等于10＋你的敏捷调整值＋你的体质调整值。使用盾牌不会影响你从此特性获益</t>
  </si>
  <si>
    <t>戏法-吟游诗人</t>
  </si>
  <si>
    <t>第1级时，你从诗人法术列表中选择两个戏法作为已知法术。在获得更高诗人等级后你还可以习得其它的戏法，具体数量见“吟游诗人职业表”中“已知戏法”一栏</t>
  </si>
  <si>
    <t>戏法-牧师</t>
  </si>
  <si>
    <t>第1级时，你选择三个牧师法术列表中的戏法作为已知法术。在获得更高的牧师等级后你还可以习得其它的戏法，具体数据参见“牧师职业表”中“已知戏法”一栏</t>
  </si>
  <si>
    <t>施法-德鲁伊</t>
  </si>
  <si>
    <t>你掌握自然世界的神圣本质，并依你的意志施展法术对其进行重塑</t>
  </si>
  <si>
    <t>你使用远程武器进行攻击检定时具有+2加值</t>
  </si>
  <si>
    <t>武艺</t>
  </si>
  <si>
    <t>第1级起，你获得徒手打击和武僧武器的武器熟练。武僧武器包括短剑和所有不含双手与重型属性的简易近战武器
未着装任何护甲也没持用盾牌时，如果你徒手或只持用武僧武器，则你发动的攻击拥有下列增益：
你使用徒手打击或武僧武器进行攻击时，可以用敏捷值代替力量值进行攻击检定和伤害掷骰
你使用徒手打击或武僧武器进行攻击时，可以选择用武艺骰代替原本的伤害掷骰，该骰子将随武僧职业等级的提升而增大，具体数据见“武僧职业表”中“武艺”一栏
你使用徒手打击或武僧武器执行攻击动作时，可以在自己回合内以附赠动作发动一次徒手打击
某些宗派的武僧会使用一些奇异的武僧武器，无论你使用什么武器，其属性数据都参考与其相似的常规武器属性数据</t>
  </si>
  <si>
    <t>圣疗</t>
  </si>
  <si>
    <t>第1级起，你获得一个治疗能量池，其内的治疗能量在每次完成长休后自动补满。治疗能量池储备的可恢复生命值总值等于你的圣武士职业等级×5
你可以用一个动作触碰一个生物，并抽取治疗能量池中的能量恢复该生物的生命值，其恢复量最多等于你治疗能量池中剩余的治疗量
此外，你也可以使用5点治疗量治愈目标生物身上的一种疾病，或者祛除一种中毒效应。你可以在一次圣疗中治愈复数的疾病并祛除复数的毒素，但你需要为每一种疾病和毒素分别支付治疗量
该职业特性对不死生物和构装生物无效</t>
  </si>
  <si>
    <t>第1级起，当你以一次攻击掷骰命中一个生物时，你可以呼唤你与自然的神秘羁连以将目标标记为你的夙敌，持续一分钟或直到你失去专注(如同你在专注一道法术)
你在你的回合内第一次命中你的夙敌并对其造成伤害，包括你标记它的时候，你可以造成额外的1d4点伤害。你可以使用同等于你的熟练加值次该特性来标记你的夙敌，你在完成一次长休后恢复所有已使用的次数。
6级起，额外1d6伤害；14级起，额外1d8伤害
夙敌可以触发屠灭众敌特性</t>
  </si>
  <si>
    <t>偷袭</t>
  </si>
  <si>
    <t>第1级起，每当你的攻击命中一个生物时，如果该攻击的攻击检定带有优势，则可以造成额外1d6的伤害。该伤害每回合可以产生一次，且造成伤害的攻击必须使用带灵巧属性的武器或远程武器
如果目标生物身边5尺内还有其他与之对敌者，且该对敌者并未处于失能状态，则只要你的攻击检定没有劣势且使用带灵巧属性的武器或远程武器，就可以发动偷袭
你的偷袭伤害也将会随游荡者职业等级的提升而提高，其具体数值见“游荡者职业表”</t>
  </si>
  <si>
    <t>戏法-术士</t>
  </si>
  <si>
    <t>第1级时，你从术士法术列表中选择四个戏法作为已知法术。在获得更高术士等级后你还可以习得其它的戏法，具体数量见“术士职业表”中“已知戏法”一栏</t>
  </si>
  <si>
    <t>契约魔法</t>
  </si>
  <si>
    <t>你的法术力量源于你的奥秘研究和宗主的魔法馈赠</t>
  </si>
  <si>
    <t>戏法-法师</t>
  </si>
  <si>
    <t>第1级时，你从法师法术列表中选择三个戏法作为已知法术。在获得更高法师等级后你还可以习得其它的戏法，具体数量见“法师职业表”中“已知戏法”一栏</t>
  </si>
  <si>
    <t>施法-奇械师</t>
  </si>
  <si>
    <t>你已经学习了魔法的工作原理，知道如何引导魔法进入物体，以及如何唤醒魔法</t>
  </si>
  <si>
    <t>雄辩学院</t>
  </si>
  <si>
    <t>鲁莽攻击</t>
  </si>
  <si>
    <t>第2级起，你在自己回合内发动第一次攻击时，可以选择发动鲁莽攻击。使用此特性后，你本回合内所有使用力量值发动的近战武器攻击具有优势。此后，所有对你发动的攻击检定也将具有优势，且该优势持续存在至你的下个回合</t>
  </si>
  <si>
    <t>法术位-吟游诗人</t>
  </si>
  <si>
    <t>“吟游诗人职业表”中记录了你可用以施展诗人法术的1环及更高环阶法术位数量。施展诗人法术时，你必须同时消耗其对应环阶的法术位。已消耗的法术位可在完成长休后恢复</t>
  </si>
  <si>
    <t>法术的准备与施展-牧师</t>
  </si>
  <si>
    <t>“牧师职业表”里记录了你用以施展牧师法术的1环及更高环阶法术位数量。施展某个牧师法术时，你必须同时消耗其对应环阶的法术位。已消耗的法术位可在完成长休后恢复
你可以准备牧师法术列表中所有符合当前施展条件的法术。准备法术时，你所准备法术的总数等于你的感知调整值＋你的牧师职业等级（最少可以准备一个）。另外，你只能准备已经获得相应环阶法术位的法术
你可以在完成长休后改变你的准备法术列表。准备新的牧师法术列表时，你要再花时间进行祈祷和冥想。准备时，你要为你列表上每个法术的每个环阶都花费至少1分钟时间</t>
  </si>
  <si>
    <t>戏法-德鲁伊</t>
  </si>
  <si>
    <t>第1级时，你选择两项德鲁伊法术列表中的戏法作为已知法术。在获得更高的德鲁伊等级后你还可以习得其它的戏法，具体数据参见“德鲁伊职业表”中“已知戏法”一栏</t>
  </si>
  <si>
    <t>着装护甲时，你的AC获得+1加值</t>
  </si>
  <si>
    <t>气</t>
  </si>
  <si>
    <t>第2级起，你将拥有一定数量的气作为储备。而气的储备量由你的武僧等级决定，具体数值见“武僧职业表”中“气”一栏
你可以消耗气以行使各种特性
消耗掉的气必须在你短休或长休时完成至少30分钟的冥想，才能重获所有消耗掉的气值</t>
  </si>
  <si>
    <t>战斗风格-圣武士</t>
  </si>
  <si>
    <t>第2级时，你可以选择一种战斗风格作为你的专精。同一种战斗风格不可重复选择</t>
  </si>
  <si>
    <t>第1级起，从下列类别中选择一种偏爱地形：极地、海岸、荒漠、丛林、草原、山地、沼泽或幽暗地域。当你进行与偏好地形相关的智力或感知检定时，如果你拥有该技能的熟练项，则在检定时加入双倍熟练加值
当你在偏好地形上移动一小时或更长时间时，你获得以下增益：
你的队伍旅行时不会因困难地形而变慢
除非受魔法效应影响，否则你的队伍不会迷路
旅行时，即使你进行另一项活动，仍能对危险保持警觉
独自旅行时，你能够保持隐匿状态以正常步调移动
觅食时，你会发现两倍的食物
追踪其他生物时，你还能了解他们的确切数量、体型以及离开踪迹的时间
你在第6级和第10级时将分别获得一个额外的偏好地形</t>
  </si>
  <si>
    <t>盗贼黑话</t>
  </si>
  <si>
    <t>第1级时，你掌握了盗贼黑话——一门混合了土话、术语和密语的秘密语言，掌握这门语言后，你可以在平时对话中不落痕迹的加入隐藏信息。而只有另一个懂盗贼黑话的生物才能看懂这些隐藏信息。不过这种交流方式需要花费四倍于直接交流所需要的时间
另外，你还习得一套用以传达简单短小信息的秘密符文和标识。它能发布的内容诸如某地区是否危险，是否受盗贼公会管辖，附近是否有战利品，附近的人是否好主顾或者路上是否有安全的房屋以供庇护</t>
  </si>
  <si>
    <t>法术位-术士</t>
  </si>
  <si>
    <t>“术士职业表”中记录了你可用以施展术士法术的1环及更高环阶法术位数量。施展术士法术时，你必须同时消耗其对应环阶的法术位。已消耗的法术位可在完成长休后恢复</t>
  </si>
  <si>
    <t>戏法-邪术师</t>
  </si>
  <si>
    <t>第1级时，你从邪术师法术列表中选择两个戏法作为已知法术。在获得更高邪术师等级后你还可以习得其它的戏法，具体数量见“邪术师职业表”中“已知戏法”一栏</t>
  </si>
  <si>
    <t>法术位-法师</t>
  </si>
  <si>
    <t>“法师职业表”中记录了你可用以施展法师法术的1环及更高环阶法术位数量。施展法师法术时，你必须同时消耗其对应环阶的法术位。已消耗的法术位可在完成长休后恢复</t>
  </si>
  <si>
    <t>必备工具</t>
  </si>
  <si>
    <t>当你使用施法特性来施展法术时，必须手持盗贼工具或工匠工具作为法器。你必须熟练这一工具才能将它作为法器使用
第2级起，你也能使用任何你进行过物品注法的物品来作为法器使用</t>
  </si>
  <si>
    <t>职业重复</t>
  </si>
  <si>
    <t>错误子职</t>
  </si>
  <si>
    <t>创造学院</t>
  </si>
  <si>
    <t>险境感知</t>
  </si>
  <si>
    <t>第2级起，在受到你能看见的效应（诸如陷阱和法术）影响时，你对其进行的敏捷豁免具有优势。你无法在目盲、耳聋或是失能的状态下从此特性获益</t>
  </si>
  <si>
    <t>已知法术-吟游诗人</t>
  </si>
  <si>
    <t>你从诗人法术列表中选择四个1环法术作为已知法术
“吟游诗人职业表”中“已知法术”一栏记录了你获得更多已知法术时的相应等级。但是，你只能获取已有相应环阶法术位的法术
另外，你每提升一个诗人等级，可以从诗人法术列表中选择一个新法术来代替一个已知法术列表中的旧法术，不过你必须已有新法术的相应环阶法术位</t>
  </si>
  <si>
    <t>施法关键属性-牧师</t>
  </si>
  <si>
    <t>当你的牧师法术需要施法关键属性时均指向你的感知值。而你牧师法术的豁免DC和攻击检定，则使用你的感知调整值
法术豁免DC＝8＋你的熟练加值＋你的感知调整值
法术攻击调整值＝你的熟练加值＋你的感知调整值</t>
  </si>
  <si>
    <t>法术的准备与施展-德鲁伊</t>
  </si>
  <si>
    <t>“德鲁伊职业表”里记录了你用以施展德鲁伊法术的一环及更高环阶法术位数量。施展某个德鲁伊法术时，你必须同时消耗其对应环阶的法术位。已消耗的法术位可在完成长休后恢复
你可以准备德鲁伊法术列表中所有符合当前施展条件的法术。准备法术时，你所准备法术的总数等于你的感知调整值＋你的德鲁伊职业等级（最少可以准备一个）。另外，你只能准备已经获得相应环阶法术位的法术
你可以在完成长休后改变你的准备法术列表。如需准备新的德鲁伊法术，则需要你再花时间进行祈祷和冥想。准备法术时，法术的每个环阶平均要花费至少1分钟的准备时间</t>
  </si>
  <si>
    <t>单手持用一把近战武器，且并未同时持用其他武器时，你用该武器攻击的伤害掷骰获得+2加值</t>
  </si>
  <si>
    <t>疾风连击</t>
  </si>
  <si>
    <t>第2级起，你在自己回合内执行攻击动作后，可立即消耗1点气并以一个附赠动作发动两次徒手打击</t>
  </si>
  <si>
    <t>第1级起，你获得以下增益：
第1级时，你选择一项你拥有熟练的技能，你在使用该技能时的任何属性检定的使用两倍的熟练加值。此外，你可以额外说，读，写两门你选择的语言
第6级起，你的步行速度增加5，同时你获得等于你步行速度的攀爬速度和游泳速度
第10级起，以一个动作，你能够给予自己1d8+你的感知调整值的临时生命值。你能够使用此特性的次数等于你的熟练加值次（最少1次），已消费的次数可以通过完成一次长休进行恢复。此外，当你完成一次短休时，你的力竭等级减少1（若有）</t>
  </si>
  <si>
    <t>灵巧动作</t>
  </si>
  <si>
    <t>第2级起，你在战斗中每回合可执行一次附赠动作，该附赠动作可用以执行撤离、疾走或躲藏三种动作项其中之一</t>
  </si>
  <si>
    <t>已知法术-术士</t>
  </si>
  <si>
    <t>你从术士法术列表中选择两个1环法术作为已知法术
“术士职业表”中“已知法术”一栏记录了你获得更多已知法术时的相应等级。但是，你只能获取已有相应环阶法术位的法术
另外，你每提升一个术士等级，可以从术士法术列表中选择一个新法术来代替一个已知法术列表中的旧法术，不过你必须已有新法术的相应环阶法术位</t>
  </si>
  <si>
    <t>法术位-邪术师</t>
  </si>
  <si>
    <t>“邪术师职业表”中记录了你可用以施展邪术师法术的1环及更高环阶法术位数量。施展邪术师法术时，你必须同时消耗其对应环阶的法术位。已消耗的法术位可在完成短休或长休后恢复</t>
  </si>
  <si>
    <t>第1级时，你从法师法术列表中选择六个1环法术作为已知法术。你的法术书储存着你除戏法外的所有已知法术，而你的戏法则直接铭记在你脑海中
你在等级提升时加入法术书中的法师法术，体现了你的奥术研究成果，同时也代表你对多元宇宙本质的认知的新突破。你也许会在冒险过程中发现其他的法术
你的法术书是一本独特的法术合集，其上有着独特的使用痕迹和空白页</t>
  </si>
  <si>
    <t>戏法-奇械师</t>
  </si>
  <si>
    <t>第1级时，你从奇械师法术列表中选择两个戏法作为已知法术。在获得更高奇械师等级后你还可以习得其它的戏法，具体数量见“奇械师职业表”中“已知戏法”一栏
当你提升一个奇械师等级时，可以从奇械师戏法列表表中选择一个你未习得的戏法，替换一个你已经习得的戏法</t>
  </si>
  <si>
    <t>精魂学院</t>
  </si>
  <si>
    <t>原初道途</t>
  </si>
  <si>
    <t>第3级时，你选择一种道途来塑造你狂怒时的特质。随后，你将在第3、第6、第10、第14级时获得所选道途的相应特性</t>
  </si>
  <si>
    <t>施法关键属性-吟游诗人</t>
  </si>
  <si>
    <t>当你的诗人法术需要施法关键属性时均指向你的魅力值。而你诗人法术的豁免DC和攻击检定，则使用你的魅力调整值
法术豁免DC＝8＋你的熟练加值＋你的魅力调整值
法术攻击调整值＝你的熟练加值＋你的魅力调整值</t>
  </si>
  <si>
    <t>仪式施法-牧师</t>
  </si>
  <si>
    <t>如果你所准备牧师法术中的某法术有带仪式标签，则你可以用这些法术进行仪式施法</t>
  </si>
  <si>
    <t>施法关键属性-德鲁伊</t>
  </si>
  <si>
    <t>当你的德鲁伊法术需要施法关键属性时均指向你的感知值。而你德鲁伊法术的豁免DC和攻击检定，则使用你的感知调整值
法术豁免DC＝8＋你的熟练加值＋你的感知调整值
法术攻击调整值＝你的熟练加值＋你的感知调整值</t>
  </si>
  <si>
    <t>双手持用一把近战武器发动攻击时，如果你的伤害掷骰掷出1或2，则可以选择重掷。你必须接受重掷的数值。此外，该武器必须具有双手或两用属性</t>
  </si>
  <si>
    <t>坚强防御</t>
  </si>
  <si>
    <t>第2级起，你在自己回合内，可以消耗1点气，并以一个附赠动作的形式来执行回避动作</t>
  </si>
  <si>
    <t>单手持用一把近战武器，且并未同时持用其他武器时，你使用该武器进行攻击的伤害掷骰获得+2加值</t>
  </si>
  <si>
    <t>战斗风格‐游侠</t>
  </si>
  <si>
    <t>游荡者范型</t>
  </si>
  <si>
    <t>第3级时，你选择学习一种特定的战斗范型。随后，你将在第3、第9、第13和第17级获得所选范型的相应特性</t>
  </si>
  <si>
    <t>施法关键属性-术士</t>
  </si>
  <si>
    <t>当你的术士法术需要施法关键属性时均指向你的魅力值。而你术士法术的豁免DC和攻击检定，则使用你的魅力调整值
法术豁免DC＝8＋你的熟练加值＋你的魅力调整值
法术攻击调整值＝你的熟练加值＋你的魅力调整值</t>
  </si>
  <si>
    <t>已知法术-邪术师</t>
  </si>
  <si>
    <t>你从邪术师法术列表中选择两个1环法术作为已知法术
“邪术师职业表”中“已知法术”一栏记录了你获得更多已知法术时的相应等级。但是，你只能获取已有相应环阶法术位的法术
另外，你每提升一个邪术师等级，可以从邪术师法术列表中选择一个新法术来代替一个已知法术列表中的旧法术，不过你必须已有新法术的相应环阶法术位</t>
  </si>
  <si>
    <t>将法术抄入法术书</t>
  </si>
  <si>
    <t>当你发现一道1环或更高环阶的法师法术时，你可以将其抄入你的法术书中，前提是，你必须能够准备该法术，且也有时间去解读和复制它
抄写法术时，你必须先重构该法术的基础式，然后解读抄写该法术的法师所使用的独特符号系统。你必须反复练习这个法术，直至完全理解其所需的咒语和手势，最后用再用你自己的符号系统将之抄入法术书
这个过程将消耗每法术环阶2小时的时间和每法术环阶50gp的资金。这笔开销代表你在练习这个法术的过程中消耗的材料成分，还有抄录法术所需的上好的墨水。当你花费了这一笔时间和金钱后，你就可以如同准备其他法术一般准备这个法术了</t>
  </si>
  <si>
    <t>法术的准备和施展</t>
  </si>
  <si>
    <t>“奇械师职业表”里记录了你用以施展法师法术的一环及更高环阶法术位数量。施展某个奇械师法术时，你必须同时消耗其对应环阶的法术位。已消耗的法术位可在完成长休后恢复
你可以准备奇械师法术列表中所有符合当前施展条件的法术。准备法术时，你所准备法术的总数等于你的智力调整值＋你的奇械师职业等级的一半（最少可以准备一个）。另外，你只能准备已经获得相应环阶法术位的法术
你可以在完成长休后改变你的准备法术列表。如需准备新的奇械师法术，你需要花时间来调整你的法器。准备法术时，法术的每个环阶平均要花费至少1分钟的准备时间</t>
  </si>
  <si>
    <t>未选子职</t>
  </si>
  <si>
    <t>第3级时，你可以从野蛮人技能熟练项列表中选择一个技能，获得该技能的熟练
第10级时，你可以再选择一个技能获得熟练项</t>
  </si>
  <si>
    <t>仪式施法-吟游诗人</t>
  </si>
  <si>
    <t>如果你已知法术列表中的某法术带有仪式标签，则你可以用这些法术进行仪式施法</t>
  </si>
  <si>
    <t>法器-牧师</t>
  </si>
  <si>
    <t>你可以使用圣徽作为施展牧师法术的法器</t>
  </si>
  <si>
    <t>仪式施法-德鲁伊</t>
  </si>
  <si>
    <t>如果你所准备德鲁伊法术中的某法术有带仪式标签，则你可以用这些法术进行仪式施法</t>
  </si>
  <si>
    <t>当某个你能看见的生物攻击你身边5尺内除你之外的目标时，你可以用反应迫使该攻击的攻击检定具有劣势。此时你必须持用盾牌</t>
  </si>
  <si>
    <t>飞檐走壁</t>
  </si>
  <si>
    <t>第2级起，你在自己回合内，可以消耗1点气，并以一个附赠动作的形式来执行撤离动作或疾走动作，同时使你该回合内的跳跃距离翻倍</t>
  </si>
  <si>
    <t>双手持用一把近战武器发动攻击时，若你的伤害掷骰掷出1或2，则可以选择重掷。你必须接受重掷的数值。此外，该武器必须具有双手或两用属性</t>
  </si>
  <si>
    <t>使用远程武器进行攻击检定时具有+2加值</t>
  </si>
  <si>
    <t>第3级起，以一个附赠动作，你在当前回合为你的下一次攻击提供优势。你只能在你本回合还没有移动的时候使用这个附赠动作，而且在你使用这个附赠动作后，你的速度在当前回合里降为0</t>
  </si>
  <si>
    <t>法器-术士</t>
  </si>
  <si>
    <t>你可以使用奥术法器作为施展术士法术的法器</t>
  </si>
  <si>
    <t>施法关键属性-邪术师</t>
  </si>
  <si>
    <t>当你的邪术师法术需要施法关键属性时均指向你的魅力值。而你邪术师法术的豁免DC和攻击检定，则使用你的魅力调整值
法术豁免DC＝8＋你的熟练加值＋你的魅力调整值
法术攻击调整值＝你的熟练加值＋你的魅力调整值</t>
  </si>
  <si>
    <t>替换法术书</t>
  </si>
  <si>
    <t>你可以把法术从你的法术书抄到另一本书上——例如，你打算为你的法术书做一个备份时，就可以这么做。这个进程和将新法术抄入法术书相似，但更快也更简单，因为你早已理解了你自己的符号系统，也知道如何施展这个法术。这时，你只需要花费每环阶1小时和每环阶10gp的花费
如果你弄丢了法术书，你也可以用相同的流程将你准备的法术抄入一本新法术书中。而要填满法术书的其余部分就需要你自己去寻找新的法术了。所以，很多法师都喜欢在安全的地方保存好备份的法术书</t>
  </si>
  <si>
    <t>施法关键属性-奇械师</t>
  </si>
  <si>
    <t>当你的奇械师法术需要施法关键属性时均指向你的智力值。而你奇械师法术的豁免DC和攻击检定，则使用你的智力调整值
法术豁免DC＝8＋你的熟练加值＋你的智力调整值
法术攻击调整值＝你的熟练加值＋你的智力调整值</t>
  </si>
  <si>
    <t>职业0级</t>
  </si>
  <si>
    <t>第5级起，你在自己回合内执行攻击动作时可以发动两次攻击</t>
  </si>
  <si>
    <t>法器-吟游诗人</t>
  </si>
  <si>
    <t>你可以使用乐器作为施展诗人法术的法器</t>
  </si>
  <si>
    <t>神圣领域</t>
  </si>
  <si>
    <t>第1级时，你将选择一个与你所信仰神祇的神职相关的神圣领域。随后，你将在第1、第2、第6、第8、第17级时获得所选领域的相应特性
某些领域其领域法术可能并不在牧师法术列表中，此时如果你选择了该领域，则你视该领域的领域法术为你的牧师法术</t>
  </si>
  <si>
    <t>法器-德鲁伊</t>
  </si>
  <si>
    <t>你可以用德鲁伊法器作为你施展德鲁伊法术的法器</t>
  </si>
  <si>
    <t>使用两把武器战斗时，你可以将相应属性调整值加到第二次攻击的伤害上</t>
  </si>
  <si>
    <t>无甲移动</t>
  </si>
  <si>
    <t>第2级起，当未穿着任何护甲也没持用盾牌时，你的移动速度增加10尺。该加值将随着武僧职业等级的提升而增加，具体数值见“武僧职业表”中“无甲移动”一栏
第9级起，你在自己的回合内，可以在垂直平面或水面等地形移动，但移动结束时你必须处在不会坠落的地方</t>
  </si>
  <si>
    <t>直觉闪避</t>
  </si>
  <si>
    <t>第5级起，当一个你能看见的敌人攻击命中你时，你可以用反应让此次攻击的伤害减半</t>
  </si>
  <si>
    <t>术法起源</t>
  </si>
  <si>
    <t>第1级时，你选择一个术法起源作为你天赋魔力的源泉。随后，你将在第1、第6、第14和第18级获得所选起源的相应特性</t>
  </si>
  <si>
    <t>法器-邪术师</t>
  </si>
  <si>
    <t>你可以使用奥术法器作为施展邪术师法术的法器</t>
  </si>
  <si>
    <t>法术的准备与施展-法师</t>
  </si>
  <si>
    <t>“法师职业表”里记录了你用以施展法师法术的一环及更高环阶法术位数量。施展某个法师法术时，你必须同时消耗其对应环阶的法术位。已消耗的法术位可在完成长休后恢复
你可以准备法师法术列表中所有符合当前施展条件的法术。准备法术时，你所准备法术的总数等于你的智力调整值＋你的法师职业等级（最少可以准备一个）。另外，你只能准备已经获得相应环阶法术位的法术
你可以在完成长休后改变你的准备法术列表。如需准备新的法师法术，你要再花时间研读你的法术书，并重新记忆所准备法术的咒语和施展动作。准备法术时，法术的每个环阶平均要花费至少1分钟的准备时间</t>
  </si>
  <si>
    <t>仪式施法-奇械师</t>
  </si>
  <si>
    <t>如果你所准备奇械师法术中的某法术有带仪式标签，则你可以用这些法术进行仪式施法</t>
  </si>
  <si>
    <t>快速移动</t>
  </si>
  <si>
    <t>第5级起，你在未着装重甲时速度提升10尺</t>
  </si>
  <si>
    <t>诗人激励</t>
  </si>
  <si>
    <t>第1级起，你可以在自己回合内用一个附赠动作指定身边60尺内一个能听到你声音的生物（不能指定你自身），并使该生物获得一个诗人激励，即一个d6的激励骰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该生物可以在d20结果掷出后，DM宣布结果前决定是否使用诗人激励。而诗人激励一旦使用即被消耗掉。一个生物同一时间里只能保有一个诗人激励
你能够使用该特性的次数等于你的魅力调整值（最低一次）。完成一次长休后，你将重获所有消耗掉的诗人激励次数
你产生的激励骰大小可以在达到本职业的特定等级时增大。第5级起为d8，第10级起为d10，而第15级起为d12</t>
  </si>
  <si>
    <t>领域法术</t>
  </si>
  <si>
    <t>第1级起，每个领域都有其相应的领域法术列表。当你获得表中所对应的牧师等级时，你将同时习得这些法术。领域法术一旦习得，将会一直在你的准备法术列表中，且不计入你的每日准备法术上限
任何领域法术对你而言都是牧师法术，而不论其是否在牧师法术列表之上</t>
  </si>
  <si>
    <t>荒野形态</t>
  </si>
  <si>
    <t>第2级起，你可以用动作以魔力变化为曾见识过的野兽形态。该特性可以使用两次，且在完成一次短休或长休后，你将重新获得所有消耗掉的荒野形态次数
你的德鲁伊职业等级决定了你可以变化的野兽种类，你可以变化成任意没有飞行或游泳速度且挑战等级为¼或更低的野兽形态。第4级起可以变化成任意没有飞行速度且挑战等级为½或更低的野兽形态。第8级起你可以变化成任意挑战等级为1或更低的野兽形态
你可以在数个小时里保持着野兽形态，其持续时间具体数值等于你的德鲁伊职业等级的一半（向下取整）。你可以在持续时间过后恢复原形，或者你也可以再次使用此特性来维持变形。另外，你也可以在你的回合内用一个附赠动作来恢复原形。在你陷入昏迷、生命值为0或者死亡的时候，变形将自动解除
你变形时必须遵从以下规则：
你的属性数据替换为新形态的数值，但你仍保持你的阵营、个性，以及智力值、感知值、魅力值。你保留技能与豁免的熟练项，并且获得新形态的技能和豁免熟练项。如果新形态的熟练项与你相同且熟练加值较高，则使用新形态的熟练加值。你不能使用新形态可能拥有的传奇动作或巢穴动作
变形后，你使用新形态的生命值和生命骰。变回原形时，你的生命值恢复变形之前的数值。而任何让你的生命值降至0的伤害，都可以使你变回原形并承受该伤害的溢出伤害量。例如，你在动物形态下受到了10点伤害而你只剩1点生命值，则你变回原形并受到9点伤害。只要超过的伤害没有将你原形的生命值降至0，你就不会因此陷入昏迷
你不能施法，并且任何说话或者需要用手的动作，在你处于野兽形态时都将受到限制。变形不会打断你正在专注的法术，也不会妨碍你执行作为已施展法术一部分的某些动作
你保持从职业、种族或其它来源特性的收益，并且可以在新形态身体能力允许下使用这些特性。不过，你无法使用任何原有的特殊感官，除非你的新形态也具有这种感官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某装备时，该装备会掉落你所处空间或融入新形态中。融入新形态的装备失去其效应，且在你变回原形时才能恢复</t>
  </si>
  <si>
    <t>你获得10尺盲视。在10尺范围内，你可以看见除了处于全身掩护后的任何东西，哪怕你正在被目盲或是在黑暗之中。另外，你可以看见该范围内的未对你成功躲藏的隐形生物</t>
  </si>
  <si>
    <t>第2级起，每当你完成短休或长休时，可以碰触一件武器，将气集中在它之中，然后该武器就视为武僧武器，直到你再次使用这个能力
所选武器必须符合以下标准：
武器必须是简易武器或军用武器
你必须拥有其熟练项
不能拥有重型或特殊属性</t>
  </si>
  <si>
    <t>你从牧师法术列表中选择两种戏法习得。这些戏法对你来说是圣武士法术，这些戏法的施法关键属性是魅力。当你提升此职业的等级时，你能够将一个已知戏法替换为牧师法术列表中的另一个戏法</t>
  </si>
  <si>
    <t>反射闪避</t>
  </si>
  <si>
    <t>第7级起，你在成为某一范围效应影响对象时，若该效应允许你通过成功的敏捷豁免来使伤害减半，则你在该豁免成功时不受伤害，而豁免失败时只受一半伤害</t>
  </si>
  <si>
    <t>魔力泉涌</t>
  </si>
  <si>
    <t>第2级起，你体内涌现的魔力体现为你的可用术法点。你可以使用术法点创造各种魔法效应</t>
  </si>
  <si>
    <t>魔能祈唤</t>
  </si>
  <si>
    <t>第2级时，你获得两种自选的魔能祈唤。在获得更高的邪术师等级后你还可以习得其它的魔能祈唤，具体数据见“邪术师职业表”中“已知祈唤”一栏
另外，你提升邪术师职业等级时，可以用新的祈唤替换一个已学会的祈唤，但你的角色必须满足学习新祈唤的先决条件</t>
  </si>
  <si>
    <t>施法关键属性-法师</t>
  </si>
  <si>
    <t>当你的法师法术需要施法关键属性时均指向你的智力值。而你法师法术的豁免DC和攻击检定，则使用你的智力调整值
法术豁免DC＝8＋你的熟练加值＋你的智力调整值
法术攻击调整值＝你的熟练加值＋你的智力调整值</t>
  </si>
  <si>
    <t>物品注法</t>
  </si>
  <si>
    <t>第2级起，每当你完成一个长休后，你可以触摸一个非魔法的物体，使用奇械师注法来把它变成一个魔法物品。注法只能作用于注法描述中写明的指定类型物品。如果该物品需要调谐，你可以在为物品进行注法的那一刻调谐到它，或者你可以放弃调谐，以便其他人能够调谐到该物品。如果你决定以后与这个物品进行调谐，你必须进行通常的调谐程序
你的注法持续时间无限，但当你死亡时，注法会在你智力调整值的天数后消失（至少1天）。如果你将某个注法从已知中替换掉，该注法的效果也将消失
你能在一次长休后为复数物品进行注法；具体数据见“奇械师职业表”中“注法数量上限”一栏。你必须触摸每一个物体，且一种注法在同一时间内只能存在于一个物品上。如果你试图超过你的最大注法量，则最旧的注法立即结束，然后新的注法适用</t>
  </si>
  <si>
    <t>第7级起，你骰先攻时具有优势
此外，如果你在战斗开始时被突袭但并未陷入失能，则你仍可以在你的第一回合正常行动。不过你必须在进行任何其它行动前进入狂暴</t>
  </si>
  <si>
    <t>万事通</t>
  </si>
  <si>
    <t>第2级起，在你进行属性检定时，如果检定结果不包含你的熟练加值，则你可以将自身熟练加值的一半（向下取整）加入到检定结果中</t>
  </si>
  <si>
    <t>引导神力</t>
  </si>
  <si>
    <t>第2级时，你获得引导神祇所授予神圣能量的能力，所引导的能量将用以实现各种魔法效应。你最初将获得两种效应：驱散不死生物和另一个与你所选领域相关的效应。随着你在冒险中提升等级，某些领域会赋予更多额外的效应，具体信息可以参考相应领域的描述内容
引导神力最终产生的效应由你自行选择。引导神力后，你必须完成一次短休或长休才能再次使用该特性
第6级起，你可以在两次休息之间使用两次引导神力，第18级起可以使用三次。完成一次短休或长休后，你将重新获得所有消耗掉的引导神力次数</t>
  </si>
  <si>
    <t>德鲁伊结社</t>
  </si>
  <si>
    <t>第2级时，你将选择参与一个德鲁伊结社。随后，你将在第2、第6、第10、第14级时获得所选结社的相应特性</t>
  </si>
  <si>
    <t>当一个你可见的生物攻击距离你5尺以内你以外的目标时，你能以一个反应将目标受到的伤害减少1d10+你熟练加值（最多减到0伤害）。当你手持一面盾牌或者一把简单或军用武器时才能执行此反应</t>
  </si>
  <si>
    <t>宗派</t>
  </si>
  <si>
    <t>第3级时，你选择投入一个宗派精进你的技艺。随后，你将在第3、第6、第11、第17级时获得所选宗派的相应特性</t>
  </si>
  <si>
    <t>你获得10尺盲视。在此范围内，你视为能看见任何未被完全遮蔽的事物，即便你目盲或在黑暗光照下。此外，你也可以看见范围内的隐形生物，除非其针对你进行隐匿并成功</t>
  </si>
  <si>
    <t>可靠才能</t>
  </si>
  <si>
    <t>第11级起，每当你进行的属性检定可以使用熟练加值时，你可以将d20骰中10以下的结果都视为10</t>
  </si>
  <si>
    <t>术法点</t>
  </si>
  <si>
    <t>第2级起，你拥有2个术法点。此后你每提升一个术士等级，都会获得更多的术法点，详见“术士职业表”中“术法点”一栏。你的术法点永远不能超过表中所列对应你当前等级的数值。而已消耗的术法点则可以通过完成一次长休进行恢复</t>
  </si>
  <si>
    <t>施展魔能爆时，你可以将魅力调整值加到其每次命中所造成的伤害中
先决条件：习得戏法魔能爆</t>
  </si>
  <si>
    <t>仪式施法-法师</t>
  </si>
  <si>
    <t>如果你法术书中所记录的某法术有带仪式标签，则你可以用这些法术进行仪式施法。进行仪式施法时，你不需要准备相应的法术</t>
  </si>
  <si>
    <t>已知注法</t>
  </si>
  <si>
    <t>第2级时，你获得四种自选的奇械师注法。在获得更高的奇械师等级后你还可以习得其它的奇械师，具体数据见“奇械师职业表”中“已知注法”一栏
另外，你提升奇械师职业等级时，可以用新的注法替换一个已学会的注法，但你的角色必须满足学习新注法的先决条件
除非注法的描述中写明，否则你无法重复学习同一个注法</t>
  </si>
  <si>
    <t>第7级起，作为你进入狂暴状态的附赠动作的一部分，你可以移动一段距离。这段距离长度是你速度的一半</t>
  </si>
  <si>
    <t>休憩曲</t>
  </si>
  <si>
    <t>第2级起，如果你或任何友方生物可以在其短休时听到你的演奏声，且决定在此时使用生命骰恢复生命值，则其恢复量可以额外增加1d6
该额外恢复的数值在达到特定职业等级时可以再增加。第9级起增为1d8，第13级起增为1d10，第17级起增为1d12</t>
  </si>
  <si>
    <t>引导神力-驱散不死生物</t>
  </si>
  <si>
    <t>第2级起，你以一个动作展示你的圣徽，并说出一段谴责不死生物的祷言。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被驱散的生物无法使用反应，只能使用既有的疾走动作或从任何妨碍他们移动的效应中挣脱。该生物无路可走时会使用“回避”动作
豁免DC等于你的牧师法术豁免DC</t>
  </si>
  <si>
    <t>第2级起，以一个动作，你能够消耗一次荒野变形使用次数来施放一次无需材料的获得魔宠法术
当你以此方法施放该法术时，魔宠的类型是精类而不是野兽，魔宠会在等同于你德鲁伊等级一半的小时数后消失</t>
  </si>
  <si>
    <t>你从战斗大师武术范型的战技列表中习得一项战技。如果该战技需要豁免，则豁免DC为8+你的熟练加值+你的力量或敏捷调整值（由你选择）。
你获得一个d6的卓越骰（或在你以其他方式获得的卓越骰中增加一颗）。此卓越骰可用于启动你的战技。卓越骰一经使用即消耗，并在完成一次短休或长休后恢复</t>
  </si>
  <si>
    <t>拨挡飞弹</t>
  </si>
  <si>
    <t>第3级起，你可以用你的反应拨挡或抓取一个击中你的远程武器攻击。使用本特性后，该次攻击的伤害将被削弱，其减数值等于1d10+你的敏捷调整值+你的武僧职业等级
当被拨挡攻击的伤害减少至0，且实施伤害的飞弹可以被你单手抓住时，你可以用此时空闲的手去抓取该飞弹。此时你可以消耗1点气以该“飞弹”进行一次远程攻击，而该攻击将视为本次反应的一部分。无论你是否具有被拨挡武器的熟练项，本次攻击中你都视为进行具有熟练项的攻击，所使用的飞弹也视为武僧武器，其射程为20/60尺</t>
  </si>
  <si>
    <t>当一个你可见的生物攻击并击中了你5尺内一个你以外的生物时，你可以用反应减少该目标受到的伤害，减少数值为1d10+你的熟练加值。你必须正在持用一面盾牌或一把简单武器或军用武器才能使用此能力</t>
  </si>
  <si>
    <t>你获得10尺盲视。在10尺范围内，你可以看见除了处于全遮掩后的任何东西，哪怕你正在被目盲或是在黑暗之中。另外，你可以看见该范围内的隐形生物，除非该生物成功地对你躲藏</t>
  </si>
  <si>
    <t>听声辨位</t>
  </si>
  <si>
    <t>第14级起，只要能听到声音，你就可以定位身边10尺内躲藏或隐形的生物</t>
  </si>
  <si>
    <t>灵活施法</t>
  </si>
  <si>
    <t>第2级起，你可以使用术法点来获得额外的法术位，或是消耗法术位来换取额外的术法点。随着术士等级的提升，你还可以学会其他术法点的使用方法</t>
  </si>
  <si>
    <t>你可以随意以自身为目标施展法师护甲，且无需消耗法术位和材料成分</t>
  </si>
  <si>
    <t>法器-法师</t>
  </si>
  <si>
    <t>你可以用奥术法器作为你施展法师法术的法器</t>
  </si>
  <si>
    <t>物品：一根权杖、法杖或是魔杖（需调谐）
当持续此物品时，持有者的法术攻击检定获得+1加值，同时在进行法术法术攻击时无视半身掩护
10级起，该加值变成+2</t>
  </si>
  <si>
    <t>凶蛮重击</t>
  </si>
  <si>
    <t>第9级起，计算近战攻击的重击伤害时，你可以额外骰一个所用武器的伤害骰
第13级起，你可以额外骰两个；第17级时，你可以额外骰三个</t>
  </si>
  <si>
    <t>第2级起，如果一个生物拥有来自你的诗人激励骰子，在他释放一个恢复生命值或者造成伤害的法术时，他可以掷出激励骰子并选择法术的其中一个被法术影响的目标，在对该目标的恢复或者伤害数值上加上诗人激励骰的掷骰结果。这个诗人激励骰子随即被消耗</t>
  </si>
  <si>
    <t>第2级起，你可以花费一次你的引导神力次数来充能你的法术。你可以用一个附赠动作触碰你的圣徽并祈祷，你恢复一个环阶不超过你熟练加值的一半（向上取整）的法术位。你能使用此特性的次数取决于你此职业的等级：2级一次；6级两次；18级三次。完成一次长休后，你将恢复所有已消耗的次数</t>
  </si>
  <si>
    <t>第4级起，当你的德鲁伊职业等级抵达能让你获得属性值提升时，你可以将一个你通过此职业的施法特性学会的德鲁伊戏法替换为德鲁伊法术列表中的另一个戏法</t>
  </si>
  <si>
    <t>你可以在使用一件带有投掷属性武器进行进攻时，将那件武器作为攻击的一部分而拔出。另外，在你以一件投掷武器于远程攻击中命中对手时，你的伤害掷骰+2</t>
  </si>
  <si>
    <t>第3级起，如果你在你的回合中执行动作时花费了1点或更多的气，则你可以在回合结束前用1附赠动作以徒手打击或武僧武器进行一次攻击</t>
  </si>
  <si>
    <t>施法-圣武士</t>
  </si>
  <si>
    <t>你学会通过冥想与祈祷引导神圣魔法，其原理与牧师相仿</t>
  </si>
  <si>
    <t>你学会两个来自德鲁伊法术列表的你自选的戏法。它们对你视作游侠法术，感知是你施展他们的施法关键属性。当你升级时，你可以将其中一个戏法替换为德鲁伊法术列表中的另一个戏法</t>
  </si>
  <si>
    <t>圆滑心智</t>
  </si>
  <si>
    <t>第15级起，你获得感知豁免的熟练项</t>
  </si>
  <si>
    <t>生成法术位</t>
  </si>
  <si>
    <t>第2级起，你可以在自己回合内以附赠动作将未使用的术法点转换为法术位。另外，你无法生成高于五环的法术位。以此方式生成的法术位将在完成一次长休后消散
一环法术位需要2术法点，二环法术位需要3术法点，三环法术位需要5术法点，四环法术位需要6术法点，五环法术位需要7术法点</t>
  </si>
  <si>
    <t>你可以随意以自身为目标施展动物交谈，且无需消耗法术位和材料成分</t>
  </si>
  <si>
    <t>学习法术</t>
  </si>
  <si>
    <t>你每提升一个法师等级，可以将两项自选的法师法术加入你的法术书中。但是，你只能加入已经获得相应环阶法术位的法术。你在冒险过程中所发现的法术也可以加入到法术书中</t>
  </si>
  <si>
    <t>物品：一套盔甲或一面盾牌
穿着该盔甲或挥舞该盾牌的生物在AC上获得+1加值
10级起，该加值变成+2</t>
  </si>
  <si>
    <t>坚韧狂暴</t>
  </si>
  <si>
    <t>第11级起，如果你的生命值降至0但并未立即死亡，则你可以进行一次DC10的体质豁免。豁免成功则改为你的生命值降至1
第一次使用此特性后，每当你再次使用此特性时其体质豁免DC提高5。在你完成一次短休或长休后其DC重置为10</t>
  </si>
  <si>
    <t>吟游诗人学院</t>
  </si>
  <si>
    <t>第3级时，你将选择加入一个吟游诗人的学院协会，以探寻更精深的技艺。随后，你将在第3、第6、第14级时获得所选学院的相应特性</t>
  </si>
  <si>
    <t>第4级起，当你的牧师职业等级抵达能让你获得属性值提升时，你可以将一个你通过此职业的施法特性学会的牧师戏法替换为牧师法术列表中的另一个戏法</t>
  </si>
  <si>
    <t>不朽身-德鲁伊</t>
  </si>
  <si>
    <t>第18级起，每经过10年的岁月，你的身体就仿佛只过了1年</t>
  </si>
  <si>
    <t>你的徒手打击可以造成1d6+你力量调整值的钝击伤害，如果你没有手持任何武器或盾牌进行攻击，伤害骰从d6变成d8
每个你的回合开始时，你可以对被你擒抱的生物造成1d4钝击伤害</t>
  </si>
  <si>
    <t>轻身坠</t>
  </si>
  <si>
    <t>第4级起，当你要承受坠地伤害时，你可以使用反应将伤害减少等同于五倍武僧职业等级的数值</t>
  </si>
  <si>
    <t>法术的准备与施展-圣骑士</t>
  </si>
  <si>
    <t>“圣武士职业表”里记录了你用以施展圣武士法术的1环及更高环阶法术位数量。施展某个圣武士法术时，你必须同时消耗其对应环阶的法术位。已消耗的法术位可在完成长休后恢复
你可以准备圣武士法术列表中所有符合当前施展条件的法术。准备法术时，你所准备法术的总数等于你的魅力调整值＋你的圣武士职业等级的一半（最少可以准备一个）。另外，你只能准备已经获得相应环阶法术位的法术
你可以在完成长休后改变你的准备法术列表。准备新的圣武士法术列表时，你要再花时间进行祈祷和冥想。准备时，你要为你列表上每个法术的每个环阶都花费至少1分钟时间</t>
  </si>
  <si>
    <t>飘忽不定</t>
  </si>
  <si>
    <t>第18级起，除非你处于失能状态，否则以你为目标的攻击检定无法取得优势</t>
  </si>
  <si>
    <t>法术位转换术法点</t>
  </si>
  <si>
    <t>第2级起，你可以在自己回合内使用附赠动作将未使用的法术位转化为术法点。你消耗一枚法术位并获得等于该法术位环阶的术法点
所有你以该特性生成的法术位，在你完成一次长休后也将随之消失</t>
  </si>
  <si>
    <t>你获得欺瞒和游说技能的技能熟练项</t>
  </si>
  <si>
    <t>奥术回想</t>
  </si>
  <si>
    <t>第1级起，你可以每日使用一次奥术回想，以在你完成一次短休后恢复若干已消耗的法术位，所恢复的法术位环阶总和不得大于你法师等级的一半（向上取整），且任何一枚法术位的环阶都必须小于6环</t>
  </si>
  <si>
    <t>物品：一把简易或军用武器
该魔法武器在攻击和伤害检定中具有+1加值
10级起，该加值变成+2</t>
  </si>
  <si>
    <t>持久狂暴</t>
  </si>
  <si>
    <t>第15级起，只有当你昏迷或是主动终止狂暴时才能使之提前结束</t>
  </si>
  <si>
    <t>专精-吟游诗人</t>
  </si>
  <si>
    <t>第3级时，你选择两个已有的技能熟练项。此后你进行所选技能的属性检定时，可以使用双倍的熟练加值
第10级起，你可以再选择另外两个已有的技能熟练项从该特性中获益</t>
  </si>
  <si>
    <t>摧毁不死生物</t>
  </si>
  <si>
    <t>第5级起，当不死生物进行对抗你驱散特性的豁免失败时，如果其挑战等级等于或低于一个既定的下限，则该不死生物将被即时摧毁
第5级起：½或更低
第8级起：1或更低
第11级起：2或更低
第14级起：3或更低
第17级起：4或更低</t>
  </si>
  <si>
    <t>野兽施法</t>
  </si>
  <si>
    <t>第18级起，你在荒野形态下可以施展大部分的德鲁伊法术。在野兽形态时，你可以完成德鲁伊法术的姿势与语言成分，但无法完成其材料成分的使用</t>
  </si>
  <si>
    <t>回气</t>
  </si>
  <si>
    <t>第1级起，可以在自己回合内用一个附赠动作恢复生命值，其总值为1d10＋你的战士职业等级。你必须完成一次短休或长休才能再次使用该特性</t>
  </si>
  <si>
    <t>第4级起，以一个动作，你能消耗2点气并且投掷一粒武艺骰，你恢复等同于掷骰结果加上你的熟练加值的生命值</t>
  </si>
  <si>
    <t>施法关键属性-圣武士</t>
  </si>
  <si>
    <t>当你的圣武士法术需要施法关键属性时均指向你的魅力值。而你圣武士法术的豁免DC和攻击检定，则使用你的魅力调整值
法术豁免DC＝8＋你的熟练加值＋你的魅力调整值
法术攻击调整值＝你的熟练加值＋你的魅力调整值</t>
  </si>
  <si>
    <t>施法-游侠</t>
  </si>
  <si>
    <t>你学会运用自然世界的魔法本源进行施法，你的施法方式与德鲁伊类似</t>
  </si>
  <si>
    <t>幸运一击</t>
  </si>
  <si>
    <t>第20级时，当你的攻击未命中时，可以直接更改判定为命中。或者，当你的属性检定失败时，可以直接将d20骰的结果视为20
你必须完成一次短休或长休才能再次使用该特性</t>
  </si>
  <si>
    <t>超魔法</t>
  </si>
  <si>
    <t>第3级起，你可以扭曲所施展的法术使其符合你的需求。从超魔法选项中选择其二。随后你将在第10和第17级分别再获得其一
除非特别说明，否则对一个法术只能应用一种超魔法项</t>
  </si>
  <si>
    <t>你在黑暗中拥有120尺的可视距离，而无论其属于魔法黑暗还是非魔法黑暗</t>
  </si>
  <si>
    <t>奥术传承</t>
  </si>
  <si>
    <t>第2级时，你选择一种奥术传承以使你的训练专注。随后，你将在第2、第6、第10和第14级获得所选传承的相应特性</t>
  </si>
  <si>
    <t>物品：一颗价值至少100gp的宝石或水晶
你在注法中使用的物品变成人工生命的心脏，而它的身体会立即围绕心脏成型
你能够决定人工生命的外观
人工生命对你和你的同伴都十分友善，且服从你的命令。人工生命的游戏数据见下，它的数据中某几项会适用你的熟练加值
在战斗中，人工生命使用你的先攻，并且在你的回合后立即行动。它能自由移动和执行反应，但除非你以一个附赠动作命令它进行数据中列出的动作或其他动作，否则它在回合中只能进行闪避动作。如果你失能，人工生命可以进行任何动作，而不仅仅是闪避
如果你对人工生命施放修复术，它将恢复2d6生命值。如果你或人工生命死亡，它将消失，只有心脏会留在它之前占据的地方
人工生命仆从
微型构装体
护甲等级：13(天生护甲)
生命值：1+你的智力调整值+你的奇械师等级（仆从具有你奇械师等级数量的生命骰[d4]）
速度：20尺速度，30尺飞行速度
力量4（-3）
敏捷15（+2）
体质12（+1）
智力10（+0）
感知10（+0）
魅力7（-2）
豁免：敏捷：2+熟练加值
技能：察觉：2×熟练加值；隐匿：2+熟练加值
伤害免疫：毒素
状态免疫：力竭、中毒
感官能力：60尺黑暗视觉，被动察觉10+2×熟练加值
语言能力：能听懂你所说的语言
熟练加值：与你等同
反射闪避：当需要通过敏捷豁免来使伤害减半时，若豁免成功则不受伤害，豁免失败则伤害减半。此特性在失能时无效
动作：
力场冲击：远程武器攻击：使用你的法术攻击调整值，射程30尺，可以攻击你能看到的单一目标，造成1d4+熟练加值的力场伤害
反应：
传递法术：当你施展施法距离为触及的法术时，只要人工生命距离你120尺内，它就能替你传递该法术</t>
  </si>
  <si>
    <t>死亡领域</t>
  </si>
  <si>
    <t>不屈勇武</t>
  </si>
  <si>
    <t>第18级起，你进行力量检定的总值低于你的力量值时，可以直接使用力量值作为检定结果</t>
  </si>
  <si>
    <t>第4级起，当你的吟游诗人职业等级抵达能让你获得属性值提升时，你能进行以下一项改变
1．替换一个你已经选择专精的技能，你可以选择专精于另一个你已经有熟练但还没有专精的技能。之后，你原先专精于的技能变回熟练而非专精
2．从诗人戏法列表表中选择一个你未习得的戏法，替换一个你已经习得的戏法</t>
  </si>
  <si>
    <t>第8级起，替代神圣打击或强力施法，当你通过戏法或武器攻击来伤害一个生物时，你能够对该生物造成额外1d8光耀伤害。当你造成一次此伤害后，你直到自己的下一个回合开始前无法再次使用此特性</t>
  </si>
  <si>
    <t>大德鲁伊</t>
  </si>
  <si>
    <t>第20级时，你可以无限次的使用荒野形态
另外，你还可以将德鲁伊法术中的姿势和语言成分，以及非无价值且不被法术消耗的材料成分忽略。你在原形态和荒野形态下都可以从此特性获益</t>
  </si>
  <si>
    <t>动作如潮</t>
  </si>
  <si>
    <t>第2级起，你可以在自己回合内执行一个额外的动作
你必须完成一次短休或长休才能再次使用该特性
第17级起，你可在休息前使用两次该特性，但每一回合只能使用一次</t>
  </si>
  <si>
    <t>第5级起，你在自己回合内执行攻击动作时可以发动两次攻击而非一次</t>
  </si>
  <si>
    <t>法器-圣战士</t>
  </si>
  <si>
    <t>你可以使用圣徽作为施展圣武士法术的法器</t>
  </si>
  <si>
    <t>法术位-游侠</t>
  </si>
  <si>
    <t>“游侠职业表”中记录了你可用以施展你游侠法术的1环及更高环阶法术位数量。施展某个游侠法术时，你必须同时消耗其对应环阶的法术位。已消耗的法术位可在完成长休后恢复</t>
  </si>
  <si>
    <t>快手</t>
  </si>
  <si>
    <t>第3级起，你可以使用从“灵巧动作”特性中得到的附赠动作来进行一次敏捷（巧手）检定，或是以该附赠动作使用盗贼工具来解除陷阱、撬锁，或执行“使用物件”动作</t>
  </si>
  <si>
    <t>施展一个让其他生物进行豁免的法术时，你可以让其中一些生物免受法术的全额威力。实现该效应需要你使用1术法点，并指定一定数量的目标生物，其最大数量等于你的魅力调整值（至少为1）。而被指定的生物将直接成功通过法术的豁免检定</t>
  </si>
  <si>
    <t>你可以随意施展法术侦测魔法，且无需消耗法术位</t>
  </si>
  <si>
    <t>第3级起，每当你完成一次长休，你可以查阅法术书中所记的奥法公式，以将你的一个已知法师戏法替换为另一个来自法师法术列表的戏法</t>
  </si>
  <si>
    <t>物品：一把具有弹药特性的简单或军用武器（需调谐）
此魔法武器在远程攻击的攻击和伤害检定上获得+1加值，并且无视装填特性（如有）。
此武器不需要弹药；除非你手动为它装填弹药，否则每次你以它远程攻击时，它会魔法地创造一根子弹。此武器创造的弹药在击中或失误之后立即消失</t>
  </si>
  <si>
    <t>奥秘领域</t>
  </si>
  <si>
    <t>原初斗士</t>
  </si>
  <si>
    <t>第20级时，你的力量和体质各提升4。并且你这两项属性的上限变为24</t>
  </si>
  <si>
    <t>激励之源</t>
  </si>
  <si>
    <t>第5级起，你可以在完成短休或长休后恢复你已消耗的诗人激励次数</t>
  </si>
  <si>
    <t>神圣干预</t>
  </si>
  <si>
    <t>第10级起，你可以用一个动作来请求所信仰神祇的帮助。描述你所需要的帮助，然后掷d100。如果你的结果等于或者小于你的牧师等级，你将得到神祇的回应。回应的结果由DM作出选择；此时通常请求任何牧师法术或者领域法术的效应都在可接受范围内
如果你的神祇回应了请求，你在此后的7日内无法再次使用该特性；否则你可以在完成长休后再次使用该特性。
第20级时，你的呼唤将自动得到神祇的回应，无需再掷d100</t>
  </si>
  <si>
    <t>附赠戏法-德鲁伊</t>
  </si>
  <si>
    <t>第2级时，你学会一个额外的德鲁伊戏法</t>
  </si>
  <si>
    <t>武术范型</t>
  </si>
  <si>
    <t>第3级时，你选择一种范型以体现你的战斗风格和技巧。随后，你将在第3、第7、第10、第15、第18级时获得所选范型的相应特性</t>
  </si>
  <si>
    <t>震慑拳</t>
  </si>
  <si>
    <t>第5级起，你的近战武器攻击命中时，可以消耗1点气尝试发动震慑拳。被命中目标必须进行一次体质豁免，豁免失败则受到震慑，并持续至你的下一回合结束
豁免DC＝8+你的熟练加值+你的感知调整值</t>
  </si>
  <si>
    <t>至圣斩</t>
  </si>
  <si>
    <t>第2级起，你使用近战武器攻击命中一个生物时，可以消耗一枚法术位，并对目标造成除武器伤害外附加的光耀伤害。额外伤害的数值为1环法术位时的2d8，以及更高法术位时每比1环高一环就外加1d8，其最高值为5d8。如果目标是不死生物或邪魔，则该伤害将再额外增加1d8，至高提升至6d8</t>
  </si>
  <si>
    <t>已知法术-游侠</t>
  </si>
  <si>
    <t>你从游侠法术列表中选择两个1环法术作为已知法术
“游侠职业表”中“已知法术”一栏记录了你获得更多已知法术时的相应等级。但是，你只能获取已有相应环阶法术位的法术
另外，你每提升一个游侠等级，可以从游侠法术列表中选择一个新法术来代替一个已知法术列表中的旧法术，不过你必须已有新法术的相应环阶法术位</t>
  </si>
  <si>
    <t>梁上君子</t>
  </si>
  <si>
    <t>第3级起，你攀爬不再消耗额外的移动力
此外，当你做一个有助跑的跳远时，跳远距离增加一定的尺数，其数值等于你的敏捷调整值</t>
  </si>
  <si>
    <t>施展一个施法距离不小于5尺的法术时，你可以使用1术法点使该法术的施法距离翻倍
施展一个施法距离为触及的法术时，你可以使用1术法点将法术的施法距离改为30尺</t>
  </si>
  <si>
    <t>施展魔能爆时，射程变为300尺
先决条件：习得戏法魔能爆</t>
  </si>
  <si>
    <t>法术精通</t>
  </si>
  <si>
    <t>第18级起，选择你法术书中的一项1环法师法术和一项2环法师法术，此后只要你准备了它们，就可以随意施展其最低环阶版本，且无需消耗法术位。你也可以消耗法术位来施展其更高环阶版本
通过8小时的研习，你可以将这两项法术中的任一项替换为同环阶的其他法术</t>
  </si>
  <si>
    <t>使用此注法，你能够复制一个特定的魔法物品。你能够多次学习此注法；每次这样做时，你需要从可复制魔法物品表中选择一个不同的魔法物品。如果表格的标题中有一个等级，那么你必须到达该等级才能在这个表格中选择一个魔法物品。另外，你也可以选择一个游戏中存在且并非卷轴或药水的普通级魔法物品
在表格中，物品的条目会告诉你该项目是否需要调谐。有关该物品的更多信息，包括制作该物品所需的物品类型，请参阅《地下城主指南》中的物品描述</t>
  </si>
  <si>
    <t>锻造领域</t>
  </si>
  <si>
    <t>狂怒</t>
  </si>
  <si>
    <t>第3级起，你可以在狂暴时进入狂怒。使用此特性时，你可以在本回合之后狂暴持续时间内的每个回合里，以一个附赠动作发动一次近战武器攻击。而当狂暴终止时，你将提升一级力竭</t>
  </si>
  <si>
    <t>反迷惑</t>
  </si>
  <si>
    <t>第6级起，你可以使用一个动作开始一场持续至你的下一回合结束的演出。在这段时间内，你与你身边30尺内的友方生物进行对抗恐慌或魅惑效应的豁免检定具有优势。该生物必须能听到你的声音才能获得此增益。这场表演只有当你陷入失能、沉默状态，或主动终止（无需动作）时才会提前结束</t>
  </si>
  <si>
    <t>知识领域法术</t>
  </si>
  <si>
    <t>第1级时：命令术、鉴定术
第3级时：卜筮术、暗示术
第5级时：回避侦测、死者交谈
第7级时：秘法眼、困惑术
第9级时：通晓传奇、探知</t>
  </si>
  <si>
    <t>自然恢复</t>
  </si>
  <si>
    <t>第2级起，完成一次短休后，你可以选择恢复部分已使用的法术位。所恢复法术位环阶的总和等于你德鲁伊职业等级的一半（向下取整），且不能是6环或更高环阶。你在完成一次长休后才能再次使用该特性</t>
  </si>
  <si>
    <t>第4级起，当你的战士职业等级抵达能让你获得属性值提升时，你能进行以下一项改变
1．用一个战士可用的战斗风格替换原有的一个战斗风格
2．如果你通过战技大师范型掌握了战技，你可以将你的一个已知战技替换为一个不同的战技</t>
  </si>
  <si>
    <t>第5级起，当你攻击检定未命中时，你可以花费1到3点气来使该次攻击检定获得加值，每点气的消耗能获得+2加值，这可能会使原本的未命中改为命中</t>
  </si>
  <si>
    <t>神佑</t>
  </si>
  <si>
    <t>第3级起，你体内涌动的神圣魔法使你免疫疾病</t>
  </si>
  <si>
    <t>施法关键属性-游侠</t>
  </si>
  <si>
    <t>当你的游侠法术需要施法关键属性时均指向你的感知值。而你游侠法术的豁免DC和攻击检定，则使用你的感知调整值
法术豁免DC＝8＋你的熟练加值＋你的感知调整值
法术攻击调整值＝你的熟练加值＋你的感知调整值</t>
  </si>
  <si>
    <t>极效潜行</t>
  </si>
  <si>
    <t>第9级起，当回合内移动距离不超过自身速度一半时，你的敏捷（隐匿）检定将获得优势</t>
  </si>
  <si>
    <t>为法术进行伤害掷骰时，你可以使用1术法点重掷其中一定数量的骰子。重掷骰子的最大数等于你的魅力调整值（至少为1），且你必须接受新的结果
强效法术超魔可以与其他超魔法选项合用</t>
  </si>
  <si>
    <t>你可以读懂任何文字</t>
  </si>
  <si>
    <t>招牌法术</t>
  </si>
  <si>
    <t>第20级时，选择你的法术书中的两个3环法师法术，作为你的招牌法术。此后这两个法术将永远视为已准备法术，且不计入你的准备法术数量之中。你可以施展这两个法术的3环版本各一次，且无需消耗法术位。招牌法术使用后，需要完成一次短休或长休才能再次使用
你也可以消耗法术位施展这两个法术的更高环阶版本</t>
  </si>
  <si>
    <t>物品：一把带有投掷属性的简易或军用武器
该魔法武器在攻击和伤害检定中具有+1加值，在使用它进行远程攻击后，它会立即回到持有者的手中</t>
  </si>
  <si>
    <t>坟墓领域</t>
  </si>
  <si>
    <t>无我狂暴</t>
  </si>
  <si>
    <t>第6级起，你在狂暴中不会被魅惑或恐慌。如果你开始狂暴时已经陷入魅惑或恐慌，则该效应在你狂暴期间被压制</t>
  </si>
  <si>
    <t>魔法奥秘</t>
  </si>
  <si>
    <t>第10级起，你可以从所有职业的法术列表里选择两个法术加入已知法术中。你所选择的法术必须是你当前等级可以施展的环阶法术或戏法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</si>
  <si>
    <t>知识祝福</t>
  </si>
  <si>
    <t>第1级时，你学会两门自选语言。你还从以下技能中选择两项加入你的熟练项中：奥秘、历史、自然、宗教
你进行关于所选两项技能的属性检定时，可以加上双倍的熟练加值</t>
  </si>
  <si>
    <t>结社法术</t>
  </si>
  <si>
    <t>第3级起，你根据成为德鲁伊时的所在地学会大地结社法术
结社法术一旦获得，将会一直在你的已准备法术列表中，且不计入你的每日准备法术上限。任何结社法术对你而言都是德鲁伊法术，而不论其是否在德鲁伊法术列表之上</t>
  </si>
  <si>
    <t>额外攻击-战士</t>
  </si>
  <si>
    <t>第5级起，你在自己回合内执行攻击动作时可以发动两次攻击
第11级起，你可以攻击三次；第20级时，可以攻击四次</t>
  </si>
  <si>
    <t>真气驻拳</t>
  </si>
  <si>
    <t>第6级起，攻击对非魔法攻击或伤害具有抗性或免疫的目标时，你的徒手打击视为魔法攻击</t>
  </si>
  <si>
    <t>神圣誓言</t>
  </si>
  <si>
    <t>第3级时，你将立下神圣誓言，并永远与你的圣武士身份同在。随后，你将在第3、第7、第15和第20级获得所选圣誓的相应特性</t>
  </si>
  <si>
    <t>你可以用德鲁伊法器作为你施展游侠法术的法器</t>
  </si>
  <si>
    <t>使用魔法装置</t>
  </si>
  <si>
    <t>第13级起，你在使用魔法物品时，可以忽略所有职业、种族和等级的限制条件</t>
  </si>
  <si>
    <t>施展一个持续时间不短于1分钟的法术时，你可以使用1术法点使法术的持续时间翻倍，但其最终结果不能超过24小时</t>
  </si>
  <si>
    <t>你可以随意施展1环法术虚假生命，且无需消耗法术位和材料成分</t>
  </si>
  <si>
    <t>防护学者</t>
  </si>
  <si>
    <t>第2级起，你向法术书中抄写防护系法术的时间和金钱花费减半</t>
  </si>
  <si>
    <t>物品：一套盔甲（需调谐）
此盔甲拥有6发充能。穿戴者能以下列方式消耗充能：
进行力量检定或力量豁免检定时，你能消耗1发充能来获得等于你智力调整值的加值
当穿着者将被击倒时，以一个反应消耗1发充能，就能避免被击倒
此盔甲在每天的黎明时会恢复1d6发充能</t>
  </si>
  <si>
    <t>秩序领域</t>
  </si>
  <si>
    <t>威慑之姿</t>
  </si>
  <si>
    <t>第10级起，你可以用一个动作展示自己的可怖姿态来恐吓他人。指定30尺内一个你能看见的生物。如果该生物能看见你或听见你的声音，则其必须进行一次感知豁免（DC为8＋你的熟练加值＋你的魅力调整值），豁免失败者将因此而陷入恐慌，并持续至你的下回合结束。在接下来的回合里，你可以通过使用动作来延长此效应的持续时间，使之持续至你此后一回合结束。如果该生物在结束其回合时离开你的视线范围，或是离开你60尺外，则此效应提前终止
如果此生物成功通过此豁免，则你在随后的24小时内无法对该生物使用此特性</t>
  </si>
  <si>
    <t>先发激励</t>
  </si>
  <si>
    <t>第20级时，你骰先攻时若没有可用的诗人激励次数，则你获得一次使用次数</t>
  </si>
  <si>
    <t>引导神力-岁月知识</t>
  </si>
  <si>
    <t>第2级起，你可以用一个动作，选定一个技能或工具，并在接下来的10分钟内视为拥有其熟练项</t>
  </si>
  <si>
    <t>第3级时：人类定身术、荆棘丛生
第5级时：雪雨暴、缓慢术
第7级时：行动自如、冰风暴
第9级时：问道自然、寒冰锥</t>
  </si>
  <si>
    <t>不屈</t>
  </si>
  <si>
    <t>第9级起，你可以重掷失败的豁免检定。不过你必须采用重掷的结果。你必须完成一次长休才能再次使用该特性
第13级起，你可以在长休之间使用两次该特性；第17级起，你可以在长休之间使用三次该特性</t>
  </si>
  <si>
    <t>圣誓法术</t>
  </si>
  <si>
    <t>第3级起，每种誓言都有其相应的圣誓法术列表。当你获得表中所对应的圣武士等级时，你将同时习得这些法术。圣誓法术一旦习得，将会一直在你的准备法术列表中，且不计入你的每日准备法术上限
任何圣誓法术对你而言都是圣武士法术，而不论其是否在圣武士法术列表之上</t>
  </si>
  <si>
    <t>游侠范型</t>
  </si>
  <si>
    <t>第3级时，你选择学习一种特定的战斗范型。随后，你将在第3、第7、第11和第15级获得所选范型的相应特性</t>
  </si>
  <si>
    <t>窃盗本能</t>
  </si>
  <si>
    <t>第17级起，战斗的第一轮里，你可以行动两个回合：即你先以自己正常的先攻执行一个回合行动，再以先攻数值减10的数值作为另一先攻额外执行一回合的行动。你不能在遭受突袭时使用该特性</t>
  </si>
  <si>
    <t>施展一个迫使一个生物进行豁免以抵御其效应的法术时，你可以花费3术法点使该法术所有目标中的一个首次进行对抗该法术的豁免时具有劣势</t>
  </si>
  <si>
    <t>你用动作触碰一个自愿的类人生物，并与其建立起感官的连接。连接状态持续到你下回合结束时终止。其间，只要你与该生物还处于同一位面中，就可以用动作继续维持连接，使其持续时间延长至你下回合结束时终止
以所连接生物的感官进行观察时，你将拥有该生物所有的特殊感官收益，但你对于自身所处的环境则视为等同与处于目盲和耳聋状态</t>
  </si>
  <si>
    <t>奥术守御</t>
  </si>
  <si>
    <t>第2级起，你施展一道1环或更高环阶的防护系法术时，可以用该法术的一丝魔力创造一个保护自己的魔法结界，该结界将持续至你完成一次长休。结界的生命值等于你法师等级的两倍＋你的智力调整值。每当你受伤害时，该结界都会替你承受伤害。如果伤害使结界的生命值降至0，则你将承受剩余的伤害
奥术守御的生命值降至0时不再吸收伤害，但其魔法仍然存在。你每次施展1环或更高环阶防护系法术时，结界都能以此恢复两倍于该法术环阶数量的生命值
创造奥术守御后，你必须完成一次长休才能再次创造新的奥术守御</t>
  </si>
  <si>
    <t>物品：一套盔甲或法袍
此物品能够鞭策穿戴者，使其能够重新集中精神。此物品具有4发充能，当穿戴此物品的生物在维持专注法术的一次专注豁免中失败时，能够以一个反应消耗1发充能将结果变为成功
此物品在每天的黎明时会恢复1d4发充能</t>
  </si>
  <si>
    <t>和平领域</t>
  </si>
  <si>
    <t>报偿</t>
  </si>
  <si>
    <t>第14级起，身边5尺内敌人对你造成伤害时，你可以用反应对该生物发动一次近战武器攻击</t>
  </si>
  <si>
    <t>附赠熟练项-吟游诗人</t>
  </si>
  <si>
    <t>第3级时，你获得三个自选技能的熟练项</t>
  </si>
  <si>
    <t>引导神力-读心</t>
  </si>
  <si>
    <t>第6级起，你可以用一个动作，指定身边60尺内一个你可以看见的生物。该生物必须进行一次感知豁免。豁免成功则你不能对其使用该特性，直至你完成一次长休
如若豁免失败，且其仍身处你周边60尺内，则你可以阅读其表层的思想（最基础的意识，当前情绪的反映以及正活跃的思考内容）。该效应持续1分钟
效应持续期间，你可以用你的动作终止该效应，并同时对其施展一个无需花费法术位的暗示术。而目标对该法术的豁免将直接判定为失败
豁免DC等于你的牧师法术豁免DC</t>
  </si>
  <si>
    <t>第3级时：镜影术、迷踪步
第5级时：水下呼吸、水上行走
第7级时：操控水体、行动自如
第9级时：召唤元素生物、探知</t>
  </si>
  <si>
    <t>精通重击</t>
  </si>
  <si>
    <t>第3级起，你的武器攻击在掷出19或20时即可造成重击</t>
  </si>
  <si>
    <t>心如止水</t>
  </si>
  <si>
    <t>第7级起，你可以用你的动作结束一个正影响你的魅惑或恐慌状态</t>
  </si>
  <si>
    <t>第3级时，你获得引导神祇所授予神圣能量的能力，所引导的能量将用以实现各种魔法效应
引导神力最终产生的效应由你自行选择。引导神力后，你必须完成一次短休或长休才能再次使用该特性</t>
  </si>
  <si>
    <t>第3级起，你可以消耗一枚游侠法术位，并用动作将你的意识集中在身处的区域，感测1里内是否存在以下类型生物（在偏爱地形中时，扩展至6里）：异怪、天界生物、龙、精类生物、邪魔、元素生物和不死生物。所消耗法术位每提高一环阶感测效果持续时间就多加1分钟。另外，该特性并不会知晓生物的位置或数量</t>
  </si>
  <si>
    <t>附赠熟练项-游荡者</t>
  </si>
  <si>
    <t>第3级时，你获得易容工具和制毒者工具的熟练项</t>
  </si>
  <si>
    <t>施展一个施法时间为1动作的法术时，你可以使用2术法点将其施法时间改为1附赠动作</t>
  </si>
  <si>
    <t>你可以随意施展法术易容术，且无需消耗法术位</t>
  </si>
  <si>
    <t>投射守御</t>
  </si>
  <si>
    <t>第6级起，你周边30尺内一个你能看见的生物受到伤害时，你可以用你的反应，以你现有的奥术守御吸收这次伤害。如果这次伤害将结界的生命值降至0，则被保护的目标将承受剩余的伤害值</t>
  </si>
  <si>
    <t>奇械师专业</t>
  </si>
  <si>
    <t>第3级时，你选择自己将成为哪方面的专家。随后，你将在第3、第5、第9和第15级获得所选专业的相应特性</t>
  </si>
  <si>
    <t>暮光领域</t>
  </si>
  <si>
    <t>精魄寻者</t>
  </si>
  <si>
    <t>第3级起，你获得以仪式施法方式施展法术野兽知觉和动物交谈的能力</t>
  </si>
  <si>
    <t>语出惊人</t>
  </si>
  <si>
    <t>第3级起，当你身边60尺内一个你能看见的生物进行攻击检定，属性检定或伤害掷骰时，你可以用反应消耗一次诗人激励次数来掷一次激励骰。并在目标的掷骰结果中减去你的激励骰结果。你可以在目标掷出骰子后，DM宣布结果之前决定是否使用该特性。若目标无法听见你的话语或免疫魅惑状态，则目标同样也会免疫该特性</t>
  </si>
  <si>
    <t>第8级起，你施展牧师戏法造成伤害时，可以再加上你的感知调整值</t>
  </si>
  <si>
    <t>第3级时：朦胧术、沉默术
第5级时：造粮术、防护能量伤害
第7级时：枯萎术、幻景
第9级时：疫病虫群、石墙术</t>
  </si>
  <si>
    <t>运动健将</t>
  </si>
  <si>
    <t>第7级起，你可以将一半的熟练加值（向上取整）加在你不包含熟练加值的任何力量、敏捷或体质检定上
另外，当你助跑跳远时，你能跳出的距离增加等同于你力量调整值的尺数</t>
  </si>
  <si>
    <t>百病不侵</t>
  </si>
  <si>
    <t>第10级起，你免疫疾病和毒素</t>
  </si>
  <si>
    <t>第3级起，你可以花费一次你的引导神力次数来充能你的法术。你可以用一个附赠动作触碰你的圣徽并祈祷，你恢复一个环阶不超过你熟练加值的一半（向上取整）的法术位。你能使用此特性的次数取决于你此职业的等级：3级一次；7级两次；15级三次。完成一次长休后，你将恢复所有已消耗的次数</t>
  </si>
  <si>
    <t>第3级起，你学会以下法术，这些法术不占用你的游侠已知法术
第3级时：动物交谈
第5级时：野兽知觉
第9级时：植物交谈
第13级时：生物定位术
第17级时：问道自然
你每天可以施展每个法术一次而不需要消耗法术位，一旦你用这种方式施法，你在完成一次长休前不能再这么做</t>
  </si>
  <si>
    <t>第3级起，你对战斗开始后还没开始过自己回合的生物发动攻击时，所进行的攻击检定具有优势。此外，你攻击命中被突袭的生物时，必定造成重击</t>
  </si>
  <si>
    <t>施展一个法术时，你可以使用1术法点无视该法术施法必须的语言成分或姿势成分</t>
  </si>
  <si>
    <t>你可以随意施展无声幻影，且无需消耗法术位和材料成分</t>
  </si>
  <si>
    <t>精通防护</t>
  </si>
  <si>
    <t>第10级起，你施展一个需要你在施法过程中进行属性检定的防护系法术时，你可以在进行相应的属性检定时加上你的熟练加值</t>
  </si>
  <si>
    <t>称手工具</t>
  </si>
  <si>
    <t>第3级起，使用盗贼工具或工匠工具，你可以在离你5英尺内的未占据空间中魔法性地制作出一套工匠工具。这一制造需要1小时不间断的工作，可以在短休或长休的过程中进行。这套工具是魔法的产物，但其本身是非魔法的，当你再次使用此特性时，之前制造的工具就会消失</t>
  </si>
  <si>
    <t>团结领域</t>
  </si>
  <si>
    <t>图腾精魄</t>
  </si>
  <si>
    <t>第3级时，选择一个图腾精魄并获得其能力。你必须制造或获取一个象征图腾兽其毛，羽，爪，牙或骨的图腾物件，可以是项链，也可以是其他类似的物件。如果你愿意，你的外貌也会发生些微改变，让人看到时不由得联想起你的图腾精魄</t>
  </si>
  <si>
    <t>额外魔法奥秘</t>
  </si>
  <si>
    <t>第6级起，你从任意职业的法术列表里选择两个法术加入已知法术中。你选择的法术必须是你当前等级可以施展的环阶或戏法。所选法术对你而言视为吟游诗人法术，但不包含在“诗人职业表”上“已知法术”一栏的所记录的数量之内</t>
  </si>
  <si>
    <t>透视过去</t>
  </si>
  <si>
    <t>第17级起，你可以花费至少1分钟冥想，然后将以梦幻阴暗的形式瞥见最近发生的事件。你在维持幻觉的时长分钟数等于你的感知值。而在这段时间里，你必须要如施法般维持专注
物件解读。保持专注于某个物件时，你即可从幻觉中找到其之前的拥有者。1分钟冥想后，你将看到该拥有者如何获得以及如何丢失该物件。以及新近发生的涉及该物体与该拥有者的重大事件。如果对象在近期转交由另一个生物拥有（转交日距施法时的日数必须在等同于你感知值的日数之内），则每个生物你要花费额外1分钟进行冥想，以通过幻觉获得同类的信息
区域解读。你在冥想时看到的景象是身处位置最近发生的事件（某处的房间、街道、地道、空地，或是与之类似的50尺立方空间），可回溯的日数等于你的感知值。每个重要事件的幻象都将额外花费你1分钟的时间。这些重大事件通常涉及强烈的情感，比如战争和背叛、结婚和谋杀、出生和葬礼等。而这其中也可能包含有一些当时看似平凡无奇，眼下却显得至关重要的事情</t>
  </si>
  <si>
    <t>第3级时：树肤术、蛛行术
第5级时：召雷术、植物滋长
第7级时：预言术、行动自如
第9级时：问道自然、树跃术</t>
  </si>
  <si>
    <t>额外战斗风格</t>
  </si>
  <si>
    <t>第10级时，你可以额外选择一个战斗风格</t>
  </si>
  <si>
    <t>天语通</t>
  </si>
  <si>
    <t>第13级起，你能够听懂所有语言，同时掌握至少一门语言的任何生物都能理解你讲的话语</t>
  </si>
  <si>
    <t>第4级起，当你的圣武士职业等级抵达能让你获得属性值提升时，你可以将一个圣武士可用的战斗风格替换原有的一个战斗风格</t>
  </si>
  <si>
    <t>第4级起，当你的游侠职业等级抵达能让你获得属性值提升时，你可以将一个游侠可用的战斗风格替换原有的一个战斗风格</t>
  </si>
  <si>
    <t>专业渗透</t>
  </si>
  <si>
    <t>第9级起，你可以不限次的为自己伪造身份。你必须花费七天和25gp来为身份编造历史、工作和人际关系。不过你不能伪造成已存在的角色
此后，如果你通过易容获取了这个身份，其他生物就相信你是那个人，直至其得到一个显而易见的理由可以否定这个身份</t>
  </si>
  <si>
    <t>施展一个影响单一生物，且施法距离并非自身的法术时，你可以使用等于法术环阶的术法点（戏法消耗1点），并在法术施法距离内再指定另一个目标
以高环阶施展的法术，其升环施法后如果目标变为复数则无法再使用该方式增加其目标
适用该超魔的法术在其当前环阶时不能同时指定多个生物为目标</t>
  </si>
  <si>
    <t>施展魔能爆时，你可以将被命中的生物沿直线往远离你的方向推动至多10尺
先决条件：习得戏法魔能爆</t>
  </si>
  <si>
    <t>法术抗性</t>
  </si>
  <si>
    <t>第14级起，你抵抗法术时进行的豁免检定具有优势
此外，你对法术造成的伤害具有抗性</t>
  </si>
  <si>
    <t>工具专精</t>
  </si>
  <si>
    <t>第6级起，你在使用你熟练的工具时，能够使用双倍的熟练加值</t>
  </si>
  <si>
    <t>力量领域</t>
  </si>
  <si>
    <t>第3级起，狂暴时，你获得对心灵伤害之外任何伤害类型的抗性</t>
  </si>
  <si>
    <t>超凡技艺</t>
  </si>
  <si>
    <t>第14级起，你进行属性检定时，可以花费一次诗人激励次数并掷一次激励骰，然后将结果加到你的属性检定上。你可以在掷完属性检定后，DM宣布结果前决定是否使用此特性</t>
  </si>
  <si>
    <t>生命领域法术</t>
  </si>
  <si>
    <t>第1级时：祝福术、疗伤术
第3级时：次级复原术、灵体武器
第5级时：希望信标、回生术
第7级时：防死结界、信仰守卫
第9级时：群体疗伤术、死者复活</t>
  </si>
  <si>
    <t>第3级时：隐形术、行动无踪
第5级时：昼明术、加速术
第7级时：预言术、行动自如
第9级时：托梦术、疫病虫群</t>
  </si>
  <si>
    <t>高效重击</t>
  </si>
  <si>
    <t>第15级起，你的武器攻击掷出18~20时即可造成重击</t>
  </si>
  <si>
    <t>金刚魂</t>
  </si>
  <si>
    <t>第14级起，你获得所有的豁免检定熟练项
另外，当豁免失败时，你可以消耗1点气重掷豁免并使用重掷的结果</t>
  </si>
  <si>
    <t>第5级起，你在自己回合内执行攻击动作时可以攻击两次</t>
  </si>
  <si>
    <t>冒充者</t>
  </si>
  <si>
    <t>第13级起，你获得准确模仿他人说话，写字和行为的能力。你必须花费至少三小时来学习模仿目标的这三方面行为：听他说话，练习写字并观察其特殊习惯
你的伪装手段主要针对那些不细心观察的对象。如果某个机警的生物觉得你有问题，则你此时为避免被识破而进行的所有魅力（欺瞒）检定都具有优势</t>
  </si>
  <si>
    <t>当你因法术进行一次攻击检定并击失时，你可以使用2术法点重投之。你必须使用重投的结果
追踪法术超魔可以与其他超魔法选项合用</t>
  </si>
  <si>
    <t>你可以消耗你的邪术师法术位施展一个灾祸术。你必须完成一次长休才能再次使用该特性</t>
  </si>
  <si>
    <t>咒法学者</t>
  </si>
  <si>
    <t>第2级起，你向法术书中抄写咒法系法术的时间和金钱花费减半</t>
  </si>
  <si>
    <t>物品：一双靴子（需调谐）
一个穿着这双靴子的生物能以一个附赠动作传送到一个该生物可以看到且距离15尺内的未占据空格中。该空格必须被该生物在当前回合中的某个时间点里占据过</t>
  </si>
  <si>
    <t>野心领域</t>
  </si>
  <si>
    <t>第3级起，狂暴时，如果你未着装重甲，则其他生物在对你进行借机攻击时进行的攻击检定具有劣势</t>
  </si>
  <si>
    <t>第3级时，你获得中甲、盾牌和军用武器的熟练项</t>
  </si>
  <si>
    <t>附赠熟练项-牧师</t>
  </si>
  <si>
    <t>第1级时，你获得重甲的熟练项</t>
  </si>
  <si>
    <t>第3级时：蛛行术、荆棘丛生
第5级时：闪电束、融身入石
第7级时：塑石术、石肤术
第9级时：穿墙术、石墙术</t>
  </si>
  <si>
    <t>生还者</t>
  </si>
  <si>
    <t>第18级时，你每回合开始时如果生命值不到上限的一半，则你恢复一部分生命值，其数值等于5＋你的体质调整值。你生命值为0时不能以此获益</t>
  </si>
  <si>
    <t>不朽身-武僧</t>
  </si>
  <si>
    <t>第15级起，你不受衰老的减益，并且无法被魔法变老。尽管你依然会寿终正寝，但再不需要饮食</t>
  </si>
  <si>
    <t>守护灵光</t>
  </si>
  <si>
    <t>第6级起，你与友方生物在你身边10尺内进行豁免检定时，可以将你的魅力调整值作为加值加在其豁免结果上（至少为+1）。提供该加值时你必须保持意识清醒
第18级起，该灵光的作用范围扩展至30尺</t>
  </si>
  <si>
    <t>大地行者</t>
  </si>
  <si>
    <t>第8级起，你穿过非魔法的困难地形时不会消耗额外移动力。你穿过非魔法的植物时不会消耗额外移动力，且这类植物的荆棘、毛刺或类似的危害物也无法对你造成伤害
另外，在抵抗魔法制造或控制的植物造成的移动障碍效应时，你的豁免检定具有优势</t>
  </si>
  <si>
    <t>致命一击</t>
  </si>
  <si>
    <t>第17级起，你攻击命中一个被突袭的生物时，该生物必须进行一次体质豁免（DC8＋你的敏捷调整值＋你的熟练加值）。豁免失败时，你将对其造成双倍伤害</t>
  </si>
  <si>
    <t>当你施放一个能够造成以下列表中类型伤害的法术时，你可以使用1术法点将其改为列表中的另一种伤害类型：强酸、冷冻、火焰、闪电、毒素或雷鸣</t>
  </si>
  <si>
    <t>每回合一次，当你以魔能爆击中一个生物时，你可以让此生物直线向你移动10英尺
先决条件：习得戏法魔能爆</t>
  </si>
  <si>
    <t>次级咒术</t>
  </si>
  <si>
    <t>第2级起，你可以用你的动作召来一件无生命的物件。该物件将出现在你手中，或者你周边10尺范围内一处那你能看见且未被占据的地面空间。该物件每边长度不得大于3尺，重量不得大于10磅。其形状必须是你曾经见过的一件非魔法物件的形状。该物件看起来明显是由魔法构成且散发着出5尺范围的微光光照
该物件将在1小时后消失不见。当你再次使用该特性，或当其受到伤害或造成伤害时，物件也会提前消失</t>
  </si>
  <si>
    <t>物品：一把简易或军用武器（需调谐）
该魔法武器在攻击和伤害检定中具有+1加值。该武器被拿在手中时，持有者能以一个附赠动作让它放出半径30尺的明亮照明以及该范围外30尺范围的微光照明。持有者也能以一个附赠动作熄灭武器的光芒
当该武器的持有者被近战攻击命中时，持有者能够以一个反应让攻击者对你的法术豁免dc进行一次体质豁免检定，若失败，攻击者将目盲直到他的下个回合结束。该反应动作在使用后必须经过一次短休或长休后才能再次使用</t>
  </si>
  <si>
    <t>热忱领域</t>
  </si>
  <si>
    <t>第3级起，狂暴时，如果你周围５尺范围内有任何敌对生物，则你的盟友对这些生物发动近战攻击时的攻击检定具有优势</t>
  </si>
  <si>
    <t>战斗激励</t>
  </si>
  <si>
    <t>第3级起，从你身上获得诗人激励的生物投掷武器伤害掷骰时，可以使用该激励骰并将其骰值加入本次伤害掷骰中。另外，从你身上获得诗人激励的生物被攻击时，该生物可以用它的反应使用该激励骰，并将掷骰结果加入到它对抗该次攻击的AC中，该特性可以使用于攻击检定揭示后，但必须在命中与否宣布之前使用</t>
  </si>
  <si>
    <t>生命门徒</t>
  </si>
  <si>
    <t>第1级起，当你使用1环或更高环阶法术恢复生物生命值时，你的目标额外恢复2＋法术环阶数值的生命值</t>
  </si>
  <si>
    <t>第3级时：黑暗术、马友夫强酸箭
第5级时：水上行走、臭云术
第7级时：行动自如、生物定位术
第9级时：疫病虫群、探知</t>
  </si>
  <si>
    <t>卓越战技</t>
  </si>
  <si>
    <t>第3级时，你习得战技并获得驱动战技的卓越骰
你习得三种自选战技，而你在每次攻击时只能应用一种战技
你在第7，第10和第15级时均习得两种新战技。习得新战技时，你还可以额外替换一个已经习得的战技
你拥有四个d8卓越骰。卓越骰一经使用即消耗，完成短休或长休后恢复。第7级起，增加到五个；第15级起，增加到六个</t>
  </si>
  <si>
    <t>空灵体</t>
  </si>
  <si>
    <t>第18级起，你可以消耗4点气并使用动作隐形1分钟。此时，你对力场伤害之外的所有伤害都具有抗性
另外，你可以消耗8点气施展法术星界投影，以该形式施展的法术不需要材料成分，但无法捎带其他生物与你同行</t>
  </si>
  <si>
    <t>勇气灵光</t>
  </si>
  <si>
    <t>第10级起，你与友方生物在你身边10尺内不会陷入恐慌。提供该增益时你必须保持意识清醒
第18级起，该灵光的作用范围扩展至30尺</t>
  </si>
  <si>
    <t>第10级起，你可以花1分钟来为自己制作伪裝。你必须能取用新鲜的泥土、植物、煤烟等天然物料进行制作
伪装完成后，你可以将自己贴上至少跟自己等高等阔的实体表面并尝试躲藏。如果你留在原地不移动且不执行动作，则你的敏捷（隐匿）检定获得+10加值。一旦移动、执行动作或执行反应，你都必须重新伪装以重获该增益</t>
  </si>
  <si>
    <t>施法-游荡者</t>
  </si>
  <si>
    <t>你学习幻术系和附魔系的诡术，以这些魔法来提高自己已经相当老练的隐匿和灵动水平</t>
  </si>
  <si>
    <t>第4级起，当你的术士职业等级抵达能让你获得属性值提升时，你能进行以下一项改变
1．用另一个你能够选择的超魔法选项替换你当前的一个超魔法选项
2．从术士戏法列表表中选择一个你未习得的戏法，替换一个你已经习得的戏法</t>
  </si>
  <si>
    <t>每回合一次，当你以魔能爆击中一个生物时，你可以降低目标10英尺的速度，直到你的下个回合结束
先决条件：习得戏法魔能爆</t>
  </si>
  <si>
    <t>王车易位</t>
  </si>
  <si>
    <t>第6级起，你可以用你的动作传送至一处距离你30尺内，你能看见且未被占据的空间。你也可以指定一处该距离内被一个小型或中型生物所占据的空间，如果该生物愿意，则你就可以与它交换位置
你必须完成一次长休，或施展一个环阶不低于1环的咒法系法术才能再次使用该特性</t>
  </si>
  <si>
    <t>物品：一个盾牌（需调谐）
持握该盾牌的生物AC获得+1加值
该盾牌有4发充能，当持用者被近战攻击命中时，以一个反应消耗一发充能，其可以将攻击者击退至多15尺远。该盾牌在次日黎明时会恢复1d4发充能</t>
  </si>
  <si>
    <t>第3级起，狂暴时，若你未着中甲，你的步行速度增加15尺</t>
  </si>
  <si>
    <t>第6级起，你在自己回合内执行攻击动作时可以攻击两次而非一次</t>
  </si>
  <si>
    <t>引导神力-维持生命</t>
  </si>
  <si>
    <t>第2级起，你可以用一个动作展示你的圣徽，引导治疗能量来恢复等于你牧师等级五倍的生命值。你指定身边30尺内的任意生物作为该特性的目标，再为其分配从中获得的治疗能量。该特性不能将目标恢复到其生命值上限的一半以上。而且你不能对不死生物或构装生物使用该特性</t>
  </si>
  <si>
    <t>第3级时：蛛行术、蛛网术
第5级时：气化形体、臭云术
第7级时：高等隐形术、塑石术
第9级时：死云术、疫病虫群</t>
  </si>
  <si>
    <t>你在自己回合内执行攻击动作时，可以放弃一次攻击并使用附赠动作指挥一名盟友发动奇袭。使用此战技时，你消耗一粒卓越骰，并指定一名能看见你或能听到你声音的盟友。所选盟友可以立即使用反应发动一次武器攻击，并将消耗的卓越骰加在此次攻击的伤害掷骰中</t>
  </si>
  <si>
    <t>超凡入圣</t>
  </si>
  <si>
    <t>第20级时，若你骰先攻时身上未有储备的气，则你获得4点气</t>
  </si>
  <si>
    <t>精通至圣斩</t>
  </si>
  <si>
    <t>第11级起，当你使用近战武器命中一个生物时，该生物将额外受到1d8点光耀伤害</t>
  </si>
  <si>
    <t>第10级起，以一个附赠动作，你可以魔法地使自己与正携带、着装的任何装备变得隐形，直到你的下个回合开始。你可以使用该特性同等于你的熟练加值次，你在完成一次长休后恢复所有的使用次数</t>
  </si>
  <si>
    <t>戏法-游荡者</t>
  </si>
  <si>
    <t>第3级时，你学会法师之手，并从法师法术列表中选择另外两个戏法作为已知法术
第10级时，你再获得额外一个法师戏法</t>
  </si>
  <si>
    <t>当你进行一次属性检定并失败时，你可以使用1术法点重投之。你必须使用重投的结果。此举可能使该检定改为成功</t>
  </si>
  <si>
    <t>你在保持专注的体质豁免检定上有优势，可以让你维持对某个法术的专注</t>
  </si>
  <si>
    <t>咒法专注</t>
  </si>
  <si>
    <t>第10级起，你在专注咒法系法术时，不会因承受伤害而打断专注</t>
  </si>
  <si>
    <t>物品：一套盔甲（需调谐）
穿戴该盔甲的生物对以下伤害类型中的一种具有抗性，具体类型由你在进行注法时选择：强酸、冷冻、火焰、力场、闪电、黯蚀、毒素、心灵、光耀与雷鸣</t>
  </si>
  <si>
    <t>第3级起，狂暴时，你增加10尺的跳跃距离和3尺的跳高距离</t>
  </si>
  <si>
    <t>战斗魔法</t>
  </si>
  <si>
    <t>都14级起，每当你用动作施展一个诗人法术时，你同时还可以用附赠动作发动一次武器攻击</t>
  </si>
  <si>
    <t>神佑医者</t>
  </si>
  <si>
    <t>第6级起，你对其他生物施展1环或更高环阶法术恢复其生命时，可对自身恢复2＋法术环阶数值的生命值</t>
  </si>
  <si>
    <t>第6级起，你穿过非魔法的困难地形时不会消耗额外移动力。你穿过非魔法的植物时不会消耗额外的移动力，且这类植物的荆棘、毛刺或类似的危害物也无法对你造成伤害
另外，在抵抗魔法制造或控制的植物造成的移动障碍效应时，你进行豁免检定时具有优势</t>
  </si>
  <si>
    <t>你以武器攻击命中敌人时，可消耗一粒卓越骰以尝试缴械目标，使其丢弃手中持握的一件物品。使用此战技时，你将消耗的卓越骰加在此次攻击的伤害掷骰中，并迫使目标必须进行一次力量豁免。豁免失败则其丢弃手中持握的一件物品（由你选择）。被丢弃的物品将掉落在该生物脚下
豁免DC＝8+你的熟练加值+你的力量或敏捷调整值（自选）</t>
  </si>
  <si>
    <t>散打技巧</t>
  </si>
  <si>
    <t>第3级起，当你用疾风连击特性的攻击击中敌人时，你可以让该目标承受下列效应之一：
目标必须进行一次敏捷豁免，豁免失败则应击倒地
目标必须进行一次力量豁免，豁免失败则被往远离你的方向推动至多15尺
目标直到你的下一回合结束前，无法执行反应
豁免DC＝8+你的熟练加值+你的感知调整值</t>
  </si>
  <si>
    <t>净化之触</t>
  </si>
  <si>
    <t>第14级起，你可以用动作触碰你自身或一个自愿生物，以中止该目标身上的一个法术效应
该特性的可用次数等于你的魅力调整值（至少一次）。而已消耗的特性使用次数则可以通过完成一次长休进行恢复</t>
  </si>
  <si>
    <t>无踪步</t>
  </si>
  <si>
    <t>第14级起，你可以在自己回合以一个附赠动作的形式执行躲藏动作。此时，你无法被非魔法手段追踪到，除非你主动留下踪迹</t>
  </si>
  <si>
    <t>法术位-游荡者</t>
  </si>
  <si>
    <t>“诡术师施法能力”表中列出了你用以施展你法师法术的1环及更高环阶法术位数量。施展某个法师法术时，你必须同时消耗其对应环阶的法术位。已消耗的法术位可在完成长休后恢复</t>
  </si>
  <si>
    <t>术法复苏</t>
  </si>
  <si>
    <t>第20级时，你每完成一次短休，可以恢复4术法点</t>
  </si>
  <si>
    <t>魔契恩泽</t>
  </si>
  <si>
    <t>第3级时，你的宗主赋予你一份馈赠作为你忠诚服务的回馈。你可以从魔契中自选其一，并获得新的魔能祈唤选项</t>
  </si>
  <si>
    <t>强韧召唤</t>
  </si>
  <si>
    <t>第14级起，你用咒法系法术所召唤或创造的生物获得30点临时生命值</t>
  </si>
  <si>
    <t>物品：一枚戒指（需调谐）
穿戴此戒指的生物能够以一个动作恢复一个消费掉的法术位。恢复的法术位最高3环。一旦使用，此戒指在次日黎明前将无法再次使用</t>
  </si>
  <si>
    <t>兽之形</t>
  </si>
  <si>
    <t>第6级时，你根据所选的图腾兽获得一项魔法能力。你可以选择和第3级时相同的图腾，也可以另做选择</t>
  </si>
  <si>
    <t>激励光环</t>
  </si>
  <si>
    <t>第3级起，以一个附赠动作，你可以消耗一次吟游激励的次数，让自己得到华美而出尘的外貌。当你这样做时，选择处于你周围60尺内的一定数量的盟友，你必须能看到他们而他们也必须能看到你，至多等于你的魅力调整值的数量（至少1个）。每个目标获得5点临时生命值。当一个生物获得这些临时生命值时，它可以用反应以其速度移动且不引发借机攻击
第5级起，8点临时生命；第10级起，11点临时生命；第15级起，14点临时生命</t>
  </si>
  <si>
    <t>第8级起，你在每个自己回合里有一次机会，可以在用武器攻击命中某生物时，使该攻击额外造成1d8的光耀伤害。第14级起，该伤害提升到2d8</t>
  </si>
  <si>
    <t>自然之护</t>
  </si>
  <si>
    <t>第10级起，你免疫元素生物或精类生物造成的魅惑或恐慌状态，并且免疫中毒和疾病</t>
  </si>
  <si>
    <t>你以武器攻击命中敌人时，可以消耗一粒卓越骰以扰乱该目标，让你的盟友有机可乘。使用此战技时，你将消耗的卓越骰加在此次攻击的伤害掷骰中。此后直至你下一回合开始，下一次由除你之外的生物对目标发动的攻击检定具有优势</t>
  </si>
  <si>
    <t>混元体</t>
  </si>
  <si>
    <t>第6级起，你可以使用一个动作获得等同于三倍武僧职业等级的生命值。你必须完成一次长休才能再次使用该特性</t>
  </si>
  <si>
    <t>奉献圣誓法术</t>
  </si>
  <si>
    <t>第3级时：防护善恶、庇护术
第5级时：次级复原术、诚实之域
第9级时：希望信标、解除魔法
第13级时：行动自如、信仰守卫
第17级时：通神术、焰击术</t>
  </si>
  <si>
    <t>野性感官</t>
  </si>
  <si>
    <t>第18级时，你攻击一个看不到的生物时不会因此承受劣势
另外，你还能感测30尺内所有隐形敌人的位置，前提是该生物并没有针对你进行躲藏，而你也没有陷入目盲或耳聋</t>
  </si>
  <si>
    <t>已知法术-游荡者</t>
  </si>
  <si>
    <t>你从法师法术列表中选择三个1环法术作为已知法术，其中两个必须从附魔系和幻术系中选择
“诡术师施法能力”中“已知法术”一栏记录了你获得更多已知法术时的相应等级
你只能选择附魔系或幻术系法术，且只能获取已有相应环阶法术位的法术
另外，你每提升一个游荡者等级，可以从法师法术列表中选择一个新法术来代替一个已知法术列表中的旧法术，不过你必须已有新法术的相应环阶法术位
在第8、14和20级，你可以学习任何学派的法术</t>
  </si>
  <si>
    <t>巨龙先祖</t>
  </si>
  <si>
    <t>第1级起，你选择一种巨龙作为你的先祖
你可以说、读、写龙语。此外，你与巨龙互动时进行的魅力检定可以使用熟练加值时，可以加上双倍的加值</t>
  </si>
  <si>
    <t>第3级起，你习得法术获得魔宠，并可以把它作为一个仪式施展。此法术不计入你的已知法术数量
施展该法术时，你可以选择召唤一个普通的生物，或是下列特殊生物之一：小魔鬼、伪龙、夸赛魔、或小妖精
此外，当你执行攻击动作时可以放弃所有攻击中的一次攻击，转而让你的魔宠使用其反应发动一次攻击</t>
  </si>
  <si>
    <t>预言学者</t>
  </si>
  <si>
    <t>第2级起，你向法术书中抄写预言系法术的时间和金钱花费减半</t>
  </si>
  <si>
    <t>灵光一闪</t>
  </si>
  <si>
    <t>第7级起，当你或距离你30英尺内的可见生物进行属性检定或豁免检定时，你能以一个反应将你的智力调整值添加到此次检定中
你能使用此能力的次数等于你的智力调整值（最少1次）。在你完成一次长休后，将恢复所有可用次数</t>
  </si>
  <si>
    <t>梦境结社</t>
  </si>
  <si>
    <t>第6级起，你的载重（包括最大负重和最大举重）翻倍，并且你在推、拉、举和破坏物件时进行的力量检定具有优势</t>
  </si>
  <si>
    <t>醉人表演</t>
  </si>
  <si>
    <t>第3级起，若你表演至少1分钟，你可以尝试通过歌唱，吟诗或舞蹈的方式来让你的观众们感受到美。在这次表演的结束时，选择一定数量的类人生物，他们需要处于你周围60尺内，并完整的观看并聆听了你的表演，可以选择的数量至多等于你的魅力调整值（至少1个）。每个目标必须通过一次感知豁免检定，对抗你的法术豁免DC，否则被你魅惑。当被你以此法魅惑时，目标视你为偶像，他会热情的和任何和他交谈的人谈论你，反对任何对抗你的人，他会避免暴力，除非他已经站在你这边加入了战斗。此效果在一个目标上持续1小时，或当他受到任何伤害，你攻击他，以及他目睹你对任何他的盟友进行攻击或造成伤害时结束
若一个目标在对抗此效果的豁免检定中成功，该目标对于你试图魅惑他的行为没有任何察觉
你必须完成一次短休或长休才能再次使用该特性</t>
  </si>
  <si>
    <t>极效治疗</t>
  </si>
  <si>
    <t>第17级起，当你需要用一个法术来掷一粒或多粒骰子计算你所恢复的生命值时，所有骰子将取其最高值</t>
  </si>
  <si>
    <t>自然庇护所</t>
  </si>
  <si>
    <t>第14级起，自然界的生物感知到你跟自然的链接而不会主动攻击你。当一个野兽或植物类的生物攻击你时，该生物必须先进行一次对抗你德鲁伊法术DC的感知豁免。豁免失败时，该生物必须选择另一个目标，否则其攻击将判为未命中。豁免成功时，该生物在随后的24小时内免疫此效应
该生物会在攻击你之前就意识到你有此效应</t>
  </si>
  <si>
    <t>你在移动时，可以消耗一粒卓越骰，并将其加入你的AC中，直至你完成移动</t>
  </si>
  <si>
    <t>宁神境</t>
  </si>
  <si>
    <t>第11级起，你可以进入一种特殊的冥想状态，使浑身环绕着和平的灵光。完成长休后，你将获得法术庇护术的效应，其效应持续至你再次开始长休之前（该法术效应可以如常被提前终止）。该法术效应的豁免DC等于8＋你的感知调整值＋你的熟练加值</t>
  </si>
  <si>
    <t>引导神力-神圣武器</t>
  </si>
  <si>
    <t>第3级起，以一个动作，你可以用引导神力特性向你正持握的一把武器注入正能量。随后1分钟内，你使用该武器进行攻击检定时可以加上你的魅力调整值（至少为+1）。该武器同时提供20尺半径的明亮光照，该范围外再延伸出20尺微光光照。如果该武器之前不是魔法武器，则在效应持续其间该武器将视为魔法武器
你可以在自己回合内执行任何其他动作时终止该效应，而终止效应的行为视为该动作的一部分。当你不再持握或携带这把武器，或者当你陷入昏迷时，该效应终止</t>
  </si>
  <si>
    <t>屠灭众敌</t>
  </si>
  <si>
    <t>第20级时，你在自己的每个回合内，都有一次机会将你的感知调整值加到你对宿敌进行的攻击检定或伤害掷骰上。你可以在掷骰之前或者之后决定使用该特性，但必须在该掷骰的相关效应被应用之前</t>
  </si>
  <si>
    <t>施法关键属性-游荡者</t>
  </si>
  <si>
    <t>当你的法师法术需要施法关键属性时均指向你的智力值。而你法师法术的豁免DC和攻击检定，则使用你的智力调整值
法术豁免DC＝8＋你的熟练加值＋你的智力调整值</t>
  </si>
  <si>
    <t>龙族体魄</t>
  </si>
  <si>
    <t>第1级起，每一个术士等级，都将生命值提升1点
此外，未着装护甲时，你的AC等于13＋你的敏捷调整值</t>
  </si>
  <si>
    <t>第3级起，你可以用一个动作从空着的手中创造一把契约武器。你每次创造契约武器时都可以从近战武器列表中选择它的形态。当你使用该武器时，将视为拥有该武器的熟练项。在攻击对非魔法攻击或伤害具有抗性或免疫的目标时，该武器将视为魔法武器
你的契约武器在离你5尺外的区域停留超过1分钟或更长时间，其将自然消失。当你再次创造契约武器、解散契约武器（无需动作）或是死亡的情况下，契约武器也会消失不见
你可以通过一个特殊的仪式把持有的魔法武器变为你的契约武器。该仪式花费1小时，并且可以在短休时进行。仪式完成后，你随时可以解散该武器，以将其转移到一个异次元空间之中。而每当你再次创造契约武器时再将它召唤出来。该仪式无法对神器或智能武器起作用。如果你死亡；或是花费1小时对另外一把武器举行了仪式；或是你通过1小时的仪式打破该契约，则该武器便不再是你的契约武器。如果在它处于异次元空间时你打破契约，那么该武器将会出现在你的脚边</t>
  </si>
  <si>
    <t>预兆</t>
  </si>
  <si>
    <t>第2级起，你在每次完成长休时投两次d20并记下两组骰值。此后，你可以用这两组预知骰骰值中的任意一个，替代任何一次由你，或者由你能看见的某个生物所进行的攻击检定，豁免检定或属性检定。你必须在相关检定开始前决定是否使用预知骰，且你每回合只能使用一次预知骰
每个预知骰只能使用一次。你完成一次长休后，将失去所有未使用的预知骰</t>
  </si>
  <si>
    <t>魔法物品熟稔</t>
  </si>
  <si>
    <t>第10级起，你一次最多可以调谐四个魔法物品
如果你制作一件稀有度为普通或非普通的魔法物品，时间花费只需通常的四分之一，而且金钱花费只有通常的一半</t>
  </si>
  <si>
    <t>牧人结社</t>
  </si>
  <si>
    <t>第6级起，你可以轻易的看清1里之内的范围，细节之处与100尺距离内的影像一样清晰。此外，你在微光环境中进行感知（察觉）检定时不会具有劣势</t>
  </si>
  <si>
    <t>统御光环</t>
  </si>
  <si>
    <t>第6级起，以一个附赠动作，你可以施展命令术而无需消耗法术位，并且同时你变化为超凡的美貌外表，持续1分钟或直到你专注结束（就像你专注一个法术）。在这段时间内，你可以在你的每个回合以一个附赠动作施展命令术，且无需消耗法术位
任何被你魅惑的生物将自动的在它们对抗此能力的豁免检定中失败
你必须完成一次短休或长休才能再次使用该特性</t>
  </si>
  <si>
    <t>光明领域法术</t>
  </si>
  <si>
    <t>第1级时：燃烧之手、妖火
第3级时：炽焰法球、灼热射线
第5级时：昼明术、火球术
第7级时：信仰守卫、火墙术
第9级时：焰击术、探知</t>
  </si>
  <si>
    <t>战斗荒野形态</t>
  </si>
  <si>
    <t>第2级起，你可以在自己回合内用一个附赠动作而不是动作来使用荒野形态特性
此外，你使用荒野形态变形时，可以用一个附赠动作消耗一个法术位来恢复相应法术位每环阶1d8点生命值</t>
  </si>
  <si>
    <t>你可以在自己回合内消耗一粒卓越骰，以此指定你身边5尺范围内一个生物为目标，并使用附赠动作对其虚晃一招。你在本回合内对该生物发动的下一次攻击检定具有优势。如果该攻击命中，则将消耗的卓越骰加在此次攻击的伤害掷骰中</t>
  </si>
  <si>
    <t>渗透劲</t>
  </si>
  <si>
    <t>第17级起，你的徒手打击命中目标生物时，可以消耗3点气将一股致命的劲力送入敌人体内。劲力的持续日数等于你的武僧等级，且在你用动作终止劲力之前它不产生任何减益。若要终止劲力，你和目标必须在同一个位面。而你使用动作终止劲力后，目标必须进行一次体质豁免，豁免失败则其生命值降为0，豁免成功则目标受到10d10的暗蚀伤害
同一时间只能有一个生物受你渗透劲特性影响。你也可以选择不造成任何伤害的终止渗透劲，且不需要使用动作
豁免DC＝8+你的熟练加值+你的感知调整值</t>
  </si>
  <si>
    <t>引导神力-驱散不洁</t>
  </si>
  <si>
    <t>第3级起，以一个动作，你可以用引导神力特性亮出圣徽高喊祷言，以逐退不死生物和邪魔。你身边30尺范围内能够看见圣徽或能听到你祷言的不死生物或邪魔都必须进行一次感知豁免，豁免失败者将受到驱散，其效应持续1分钟或直至其受到任何伤害
以该方式被驱散的生物必须花费其回合内的所有移动力尽量远离你，且无法主动靠近你30尺内。被驱散的生物无法执行反应，只能使用既有的疾走动作或从任何妨碍其移动的效应中挣脱。该生物无路可走时将执行回避动作
豁免DC等于你的圣武士法术豁免DC</t>
  </si>
  <si>
    <t>猎物</t>
  </si>
  <si>
    <t>第3级时，你从巨像屠夫、巨人杀手或巨人杀手中选择获得一个特性</t>
  </si>
  <si>
    <t>法师之手</t>
  </si>
  <si>
    <t>第3级起，你施展法师之手时可以制作一个隐形的幽灵手，且你可以用它来做下列特殊任务：
你可以传递一个幽灵手持握的物件到其他生物携带或着装的容器中。
你可以取回一个其他生物携带或着装容器内的物件。
你可以用盗贼工具在其施法范围内撬锁和解除陷阱
你可以在目标生物不知情的前提下完成这些任务之一，前提是你必须进行一次敏捷（巧手）检定，并在与该生物的感知（察觉）检定对抗中胜出
此外，你还可以用你的灵巧动作特性给予的附赠动作来控制法师之手</t>
  </si>
  <si>
    <t>元素亲和</t>
  </si>
  <si>
    <t>第6级起，当你施展伤害类型与你巨龙先祖相对应的法术时，可以将你的魅力调整值附加到该法术其中一次伤害掷骰中。此时你还可以用1术法点来获得持续1小时的相应伤害抗性
黑龙、赤铜龙：强酸
蓝龙、青铜龙：闪电
黄铜龙、金龙、红龙：火焰
绿龙：毒素
银龙、白龙：冷冻</t>
  </si>
  <si>
    <t>第3级起，你的宗主给予你一本名为“影之书”的魔法书。获得该特性后，从任意职业法术列表中选择三个戏法（这三个戏法不必来自同一个列表）。该魔法书在你身上时，你可以随意施展那些法术。它们不算入你的已知戏法数量中。这些法术就算本来不属于邪术师法术列表，你也将其视为邪术师法术
如果你丢失了自己的影之书，你可以举行一个1小时的仪式，并从你的宗主处获得一个替代品。仪式可以在短休或长休期间完成，而它会摧毁之前的魔法书。当你死亡时，该书也将化为灰烬</t>
  </si>
  <si>
    <t>预言专家</t>
  </si>
  <si>
    <t>第6级起，你用法术位施展一个环阶不低于2环的预言系法术时，可以恢复一个已耗用的法术位。所恢复的法术位环阶必须比你正施展的预言系法术所用的法术位低，且不能高于5环</t>
  </si>
  <si>
    <t>物品：一件头盔（需调谐）
穿戴此头盔的生物在先攻检定上具有优势。此外，穿戴者只要不处于失能状态，就不会被突袭</t>
  </si>
  <si>
    <t>孢子结社</t>
  </si>
  <si>
    <t>第6级起，你可以在用快速步调旅行的同时追踪其他生物，也可以在用正常步调旅行时保持隐匿</t>
  </si>
  <si>
    <t>绝对统御</t>
  </si>
  <si>
    <t>第14级起，以一个附赠动作，你展现魔法的壮美仪度直至1分钟或你失能，期间任何生物在每回合第一次试图对你进行攻击时都必须要进行一次魅力豁免检定对抗你的法术豁免DC。若失败，则该生物不能在这个回合内攻击你，且必须要选定一个新的目标，否则就要失去本次的攻击。若这回合豁免检定成功，该生物能够攻击你，但在对抗你的下个回合施展的法术时在所有豁免检定中具有劣势
你必须完成一次短休或长休才能再次使用该特性</t>
  </si>
  <si>
    <t>附赠戏法-牧师</t>
  </si>
  <si>
    <t>第1级时，你获得戏法光亮术</t>
  </si>
  <si>
    <t>结社形态</t>
  </si>
  <si>
    <t>第2级起，你用荒野形态特性变身的野兽其挑战等级至高为1（无视表格“野兽形态”中的“最高CR栏”，但限制依然生效）。
第6级起，你所变身野兽的挑战等级最高等于你的德鲁伊等级除以3（向下取整）</t>
  </si>
  <si>
    <t>你以武器攻击命中敌人时，可以消耗一粒卓越骰以尝试挑衅该目标。使用此战技时，你将所消耗的卓越骰加在此次攻击的伤害掷骰中，并迫使目标进行一次感知豁免。豁免失败者攻击除你之外的生物时，其进行的攻击检定具有劣势，直至你的下一回合结束
豁免DC＝8+你的熟练加值+你的力量或敏捷调整值（自选）</t>
  </si>
  <si>
    <t>暗影技艺</t>
  </si>
  <si>
    <t>第3级起，你可用一个动作消耗2点气以施放黑暗术、黑暗视觉、行动无踪或沉默术，且无需材料成分。此外，若你仍未习得戏法次级幻影，则你将获得该戏法</t>
  </si>
  <si>
    <t>奉献灵光</t>
  </si>
  <si>
    <t>第7级起，你与友方生物在你身边10尺内不会被魅惑。提供该增益时你必须保持意识清醒
第18级起，灵光的作用范围扩展至30尺</t>
  </si>
  <si>
    <t>第3级起，当你用武器攻击命中敌人时，如果该敌人当前生命值低于其上限，则其额外受到1d8点伤害。你每回合只能造成一次这种额外伤害</t>
  </si>
  <si>
    <t>诡术伏击</t>
  </si>
  <si>
    <t>第9级起，如果你在针对某个生物躲藏的状态下对其施法，则该生物在本回合里对抗该法术所进行的豁免检定具有劣势</t>
  </si>
  <si>
    <t>龙翼</t>
  </si>
  <si>
    <t>第14级时，你获得一对可以从背后张开的龙翼，并获得等于你当前速度的飞行速度。你可以在自己回合内用一个附赠动作生成龙翼。龙翼持续存在至你在自己回合内用一个附赠动作将其解散
你不能在着装护甲时张开龙翼（除非该护甲经过特殊的设计）。而当你显现龙翼时，未经过特殊设计的衣服可能会毁坏</t>
  </si>
  <si>
    <t>第3级起，你的宗主赐予你一个护身符，一个当需要的时候可以帮助佩戴者的护身符。当佩戴者在一次能力检定中失败，他们可以在骰掷结果上增加一个d4骰，这可能将结果变为成功。这一能力可使用的次数等于你的熟练加值，且所有已消耗的次数将会在你完成一次长休之后全部恢复
如果你弄丢了护身符，你可以进行一个1小时的仪式从你的宗主那里得到一个替代品。这一仪式可以在一个短休或一个长休过程中完成，且它将会破坏之前的护身符。护身符将会在你死亡时消散为灰尘</t>
  </si>
  <si>
    <t>天眼通</t>
  </si>
  <si>
    <t>第10级起，你可以用你的动作增强你的感知能力。使用此特性时，你选择一下增益其中之一。其效应将持续至你陷入失能状态，或直至你开始一次短休或长休。你必须完成一次短休或长休才能再次使用该特性
黑暗视觉：你获得60尺的黑暗视觉
以太视界：你可以看到自身周边60尺范围内的以太位面
高等理解力：你可以读懂任何语言
识破隐形：你可以看到距离你10尺内，且处在你视线范围内的隐形生物或物件</t>
  </si>
  <si>
    <t>储法物品</t>
  </si>
  <si>
    <t>第11级起，当你完成一次长休，你能够触摸一件简易武器、军用武器或一个你可以将其作为法器使用的物品，从奇械师法术列表中选择一个施法时间为一个动作的1环或2环法术（你不需要准备这个法术）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如果该法术需要专注，则启动物品的生物必须进行专注。该法术将留存在物品中，直到使用次数用完（最大使用次数等于你智力调整值的两倍（至少两次））或直到你再次使用该特性</t>
  </si>
  <si>
    <t>第6级起，无论你是骑乘还是徒步，你的旅行速度变为双倍。只要你未失能，在你周围60尺内的最多十个同伴也能得到这个好处</t>
  </si>
  <si>
    <t>第3级时，你得到中甲和弯刀的熟练项
如果你熟练于一个简易近战武器或者军用近战武器，你可以用它作为诗人法术的法器</t>
  </si>
  <si>
    <t>守御闪光</t>
  </si>
  <si>
    <t>第1级起，当你身边30尺内一个你能看见的生物向你发动攻击时，你可以用你的反应在攻击完成前对攻击者闪出一道光亮，以此迫使该攻击检定具有劣势。不受目盲状态影响的攻击者同样对该特性免疫
你可以使用该特性的次数等于你的感知调整值（至少为一次）。而你将在完成一次长休后重新恢复所有的使用次数</t>
  </si>
  <si>
    <t>原初打击</t>
  </si>
  <si>
    <t>第6级起，你以野兽形态攻击时，如果目标对非魔法攻击或伤害具有免疫或抗性，则你的攻击此时视为魔法攻击</t>
  </si>
  <si>
    <t>你在自己回合内发动近战武器攻击时，可以消耗一粒卓越骰并令该攻击的触及范围增加5尺。如果该攻击命中，则将所消耗的卓越骰加在此次攻击的伤害掷骰中</t>
  </si>
  <si>
    <t>暗影步</t>
  </si>
  <si>
    <t>第6级起，你处于微光光照或黑暗环境时，可以用附赠动作传送至多60尺，到达一个你能看见且未被占据还必须同样处于微光光照或黑暗环境中的区域。随后直至你本回合结束前，你下一次发动近战攻击时具有优势</t>
  </si>
  <si>
    <t>纯净之魂</t>
  </si>
  <si>
    <t>第15级起，你获得永远保持法术防护善恶效应的能力</t>
  </si>
  <si>
    <t>第3级起，一个距离你5尺内的大型或更大体型生物对你发动攻击时，无论该次攻击是否命中，只要你能看见它就可以在该攻击结束后用一个反应对该生物发动攻击</t>
  </si>
  <si>
    <t>万能诡术</t>
  </si>
  <si>
    <t>第13级时，你获得用你的法师之手使目标分心的能力。以一个附赠动作，你可以在自己的回合内指定该法术之幽灵手周边5尺内的一个生物。直至该回合结束之前，你对该生物发动的攻击检定具有优势</t>
  </si>
  <si>
    <t>真龙姿态</t>
  </si>
  <si>
    <t>第18级起，你可以用一个动作和5术法点引导巨龙先祖的恐怖气息，并张开一个60尺范围的震撼（或恐惧）灵光。在1分钟内，只要你保持专注（等同于施法时进行专注），在灵光范围内开始其回合的每个敌对生物都必须进行一次感知豁免，豁免失败则被魅惑（震撼灵光）或陷入恐慌（恐惧灵光）直至灵光消失。豁免成功者将在随后的24小时内免疫你的灵光效应</t>
  </si>
  <si>
    <t>现在你可以把魔法仪式抄录进你的“影之书”。你可以从任意职业法术列表中选择两个1环带仪式标签的法术（两法术可以属于不同法术列表）。所选法术将记录在“影之书”中，且不计入你的已知法术数量内。只要“影之书”在你的手中，你便可以施展所选的仪式法术。你不能通过仪式外的方式施展这些法术，除非你已经通过其他方式习得了这些法术。此外，你还可以把带有仪式描述的邪术师法术作为仪式法术进行施展
冒险过程中，你还可以添加其他仪式法术到你的“影之书”中。当你发现一个这样的法术时，如果该法术的环阶等于或低于你邪术师等级的一半（向上取整），并且你能抽出时间抄录此法术，则你可以把此法术添加进“影之书”。抄录法术时其每环阶需要花费2小时时间和价值50gp的珍稀墨水
先决条件：书之魔契</t>
  </si>
  <si>
    <t>高等预兆</t>
  </si>
  <si>
    <t>第14级起，你的预兆特性变为获得三个预知骰</t>
  </si>
  <si>
    <t>魔法物品专家</t>
  </si>
  <si>
    <t>第14级起，你在魔法物品方面的技巧愈发精进：
你一次最多可以调谐五个魔法物品
你无视调谐或使用魔法物品所需的任何职业、种族、法术和等级条件</t>
  </si>
  <si>
    <t>第6级起，你从下面列表中选择两个技能得到熟练：运动，体操，隐匿，求生</t>
  </si>
  <si>
    <t>战斗风格‐吟游诗人</t>
  </si>
  <si>
    <t>第3级时，你可以从决斗和双武器战斗中选择一种战斗风格作为你的专精。同一种战斗风格不可重复选择</t>
  </si>
  <si>
    <t>引导神力-黎明曙光</t>
  </si>
  <si>
    <t>第2级起，你可以用一个动作展示你的圣徽，并驱散你身边30尺内所有源自魔法的黑暗。此外，你身边30尺内每个敌对生物都必须进行一次体质豁免。豁免失败者将受2d10＋你牧师等级的光耀伤害，豁免成功则伤害减半。相对你处于全身掩护的生物不受该效应影响
豁免DC等于你的牧师法术豁免DC</t>
  </si>
  <si>
    <t>元素荒野形态</t>
  </si>
  <si>
    <t>第10级起，你可以花费两次荒野形态次数以变成气元素，土元素，火元素或者水元素</t>
  </si>
  <si>
    <t>你以武器攻击命中敌人时，可以消耗一粒卓越骰以让盟友移动到更有利的位置。使用此战技时，你将所消耗的卓越骰加在此次攻击的伤害掷骰中，并指定一个能看见你或听到你声音的盟友。该盟友可以立即用其反应移动至多等于其速度一半的距离。本次移动不会引发本次所攻击目标的借机攻击</t>
  </si>
  <si>
    <t>幽影斗篷</t>
  </si>
  <si>
    <t>第11级起，当你处于微光光照或黑暗环境时，可以用动作变为隐形。隐形状态将一直持续至你发动攻击、施展法术或进入明亮光照区域时结束</t>
  </si>
  <si>
    <t>至圣光轮</t>
  </si>
  <si>
    <t>第20级时，你可以用一个动作生成一个散发阳光的灵光。在随后的1分钟内，明亮光照从你身边往外辐射半径30尺的球状区域，并在该范围外额外辐射30尺范围的微光光照
在该明亮光照范围内开始其回合的每个敌对生物都将受到10点光耀伤害
此外，在该特性持续时间内，你对抗不死生物或邪魔的法术时进行的豁免检定具有优势
你必须完成一次长休才能再次使用该特性</t>
  </si>
  <si>
    <t>第3级起，进行武器攻击时，你可以用该武器对位于目标5尺内，且在你武器射程内的另一生物发动一次攻击。你在每个自己的回合里只能造成一次这种额外攻击</t>
  </si>
  <si>
    <t>法术窃贼</t>
  </si>
  <si>
    <t>第17级起，当一个生物施展的一个法术以你为目标，或其法术效应范围包含你所在区域时，你可以立即用你的反应强迫该生物以其施法关键属性调整值进行一次豁免。其DC等同于你的法术豁免DC。若其豁免失败，则你取消该法术对你的效应。如果该法术至少为1环且属于你可以施展的环阶（但不需要是法师法术），则你还可以盗取该法术的知识。在接下来的8小时内，你视为习得该法术且能用你的法术位施展该法术。而目标生物则无法施展该法术直至8小时过去
你必须完成一次长休才能再次使用该特性</t>
  </si>
  <si>
    <t>狂野魔法浪涌</t>
  </si>
  <si>
    <t>第1级起，每回合一次，DM可以让你在施展一道1环或更高环阶术士法术后立即骰一次d20。若你骰值为1，则按表格“狂野魔法浪涌”骰出一个魔法效应。若该效果是一道法术，则其因过于狂野而无法受你的超魔法影响，而如果它正常情况下需要专注，则此时它无需专注。该法术生效至其持续时间结束。一个魔法浪涌每回合只能出现一次。如果某个浪涌的效应是一个法术，则其狂野的本质让其无法受超魔法的影响。如果其对应法术需要专注，则此时它并不需要专注。以该方式生效的法术将维持至其持续时间结束
01~02，下1分钟内，你在每次自己回合开始时重骰本表，并在后续的掷骰中跳过本结果
03~04，下1分钟内，你可以看到任何处于你视线范围内的隐形生物
05~06，一只由DM选用及操控的魔冢出现在你身边5尺范围内一处未被占据空间中，并在1分钟后消失不见
07~08，你以3环法术效应施展火球术，并且以你自身为爆发中心
09~10，你以5环法术效应施展魔法飞弹
11~12，骰一次d10，并以骰值为寸数改变你的身高。奇数变矮，偶数则长高
13~14，你以自身为中心施展困惑术
15~16，下1分钟内，你在每次自己回合开始时恢复5点生命值
17~18，你脸上长出一大把的羽毛。一旦你打了喷嚏，这些羽毛会从你的脸上炸开
19~20，你以自身为中心施展油腻术
21~22，下1分钟内，你施展第一个需要豁免检定的法术时，其目标生物进行检定时具有劣势
23~24，你的皮肤显出微蓝的颜色。法术移除诅咒可结束此效应
25~26，你的前额长出第三只眼并持续存在1分钟。下1分钟内，你所有依赖视觉进行的感知（察觉）检定具有优势
27~28，下1分钟内，你所有的施法时间为1动作的法术施法时间变为1附赠动作
29~30，指定一个距你60尺内，未被占据且你可以看见的空间，并将你自己传送到那里
31~32，你被传送到星界，直至你下一回合结束时返回原位。如果此时该空间被占据，则你出现该出附近一个未被占据空间内
33~34，下1分钟内，你施展下一个伤害性法术时其伤害掷骰取满值
35~36，骰一次d10，并以骰值为年数改变你的年龄。奇数变年轻（至少变年轻1岁），偶数变则老
37~38，1d6只有DM操控的呋噜怪出现在距你60尺内的未被占据空间，并因你而陷入恐慌。它们将在1分钟后消失不见
39~40，你恢复2d10点生命值
41~42，你变成一棵盆栽，状态持续至你下一回合开始。作为盆栽时，你陷入失能状态，并具有所有伤害类型的易伤。如果你的生命值降至0，则你的花盆被打碎，而你恢复原形
43~44，下1分钟内，你可以在每个自己回合内以一个附赠动作传送至多20尺
45~46，你对自身施展浮空术
47~48，一只由DM控制的独角兽出现在你身边5尺范围内，并在1分钟后消失不见
49~50，下1分钟内，你无法说话。你一张嘴就会吐出粉色的泡泡
51~52，下1分钟内，一面鬼灵盾牌保护着你，为你的AC提供+2加值，并使你免疫魔法飞弹
53~54，在接下来5d6天内，你免疫醉酒
55~56，你的头发掉光，不过可以在24小时后恢复
57~58，下1分钟内，你接触的任何未被人着装或携带的可燃物都会被点燃
59~60，你恢复已消耗的最低环阶法术位
61~62，下1分钟内，你说话时只能喊叫
63~64，你以自身为中心施展云雾术
65~66，你指定至多三个距离你30尺内的生物，使之承受4d10点闪电伤害
67~68，你因最近的生物而陷入恐慌，直至你的下一回合结束
69~70，你身边30尺内所有生物在下一分钟内进入隐形。一旦其施法或攻击则结束其隐形状态
71~72，下1分钟内，你具有所有类型伤害的抗性
73~74，距离你60尺内的一个随机生物陷入持续1d4小时的中毒状态
75~76，下1分钟内，你发出30尺半径的明亮光照。任何在你周边5尺范围内结束其回合的生物将陷入目盲，并持续至其下一回合结束
77~78，你对自身施展变形术。如若豁免失败，则你在法术持续时间内被变成绵羊
79~80，下1分钟内，你身边10尺范围不断出现虚幻的蝴蝶和花瓣
81~82，你可以立刻执行一个动作
83~84，距离你30尺内的所有生物受到1d10点黯蚀伤害。你恢复等于伤害值的总和数值的生命值
85~86，你施展镜影术
87~88，你对身边60尺内随机一个生物施展飞行术
89~90，下1分钟内，你进入隐形，且其他生物无法听见你的声音。你一旦施法或攻击则隐形结束
91~92，如果你在下1分钟内死亡，则你立刻复活，如同被施展法术转生术
93~94，下1分钟内，你的体型暂时变大一级
95~96，下1分钟内，你和你身边30尺内所有生物获得穿刺伤害的易伤
97~98，下1分钟内，你被空灵的音乐声环绕
99~00，你恢复全部已消耗的术法点</t>
  </si>
  <si>
    <t>只要你与你的魔宠处于同一位面，你就可以用心灵感应与其进行交流，以及使用其感官感知世界。此外，当你通过魔宠的感官感知时，你可以通过魔宠用你自己的声音说话，而不论你的魔宠是否能够说话
先决条件：链之魔契</t>
  </si>
  <si>
    <t>附魔学者</t>
  </si>
  <si>
    <t>第2级起，你向法术书中抄写附魔系法术的时间和金钱花费减半</t>
  </si>
  <si>
    <t>物品：一套盔甲（需调谐）
穿戴者获得以下好处：
穿戴者的步行速度增加5尺
每一只装甲附带的手套在没有持握任何物品时皆可被视为一件近战魔法武器。穿戴者熟练于此手套，命中后会造成1d8力场伤害，此手套具有投掷属性，普通射程20尺，最大射程60尺。投掷时，手套会脱离并飞向攻击目标，然后立即回到穿戴者身上并重新连接
此盔甲除非你自愿，否则无法移除
如果你有肢体缺失，装甲能够替换你所有缺失的肢体——手、臂、脚、腿等，替换肢体的部分拥有和正常肢体一样的功能</t>
  </si>
  <si>
    <t>精魄行者</t>
  </si>
  <si>
    <t>第10级起，你获得以仪式施法方式施展法术问道自然的能力。施展此法术时，你所选的图腾兽会以精魄形态现身并回答你的疑问</t>
  </si>
  <si>
    <t>当你单手持用一把近战武器，且不持用其他武器，你使用这把武器的伤害掷骰获得＋2加值</t>
  </si>
  <si>
    <t>精通闪光</t>
  </si>
  <si>
    <t>第6级起，你能看见的生物在你周边30尺内攻击除你之外的某个生物时，你可以对该攻击者使用你的“守御闪光”</t>
  </si>
  <si>
    <t>千面相</t>
  </si>
  <si>
    <t>第14级起，你学会了用魔法精确改变自身外形的方法。你可以随意施展法术变身术</t>
  </si>
  <si>
    <t>你以武器攻击命中敌人时，可消耗一粒卓越骰以尝试恐吓该目标。使用此战技时，你将所消耗的卓越骰加在此次攻击的伤害掷骰中，并迫使目标进行一次感知豁免。豁免失败者将陷入对你恐慌的状态，直至你下一回合结束
豁免DC＝8+你的熟练加值+你的力量或敏捷调整值（自选）</t>
  </si>
  <si>
    <t>灵机一斩</t>
  </si>
  <si>
    <t>第17级起，身处你身边5尺范围内的生物被除你之外的生物攻击命中时，你可以用反应对该被攻击生物发动一次近战攻击</t>
  </si>
  <si>
    <t>古贤圣誓法术</t>
  </si>
  <si>
    <t>第3级时：诱捕打击、动物交谈
第5级时：月华之光、迷踪步
第9级时：植物滋长、防护能量伤害
第13级时：冰风暴、石肤术
第17级时：问道自然、树跃术</t>
  </si>
  <si>
    <t>防守战术</t>
  </si>
  <si>
    <t>第7级时，你从冲出重围、多重防御或钢铁意志中选择获得一个特性</t>
  </si>
  <si>
    <t>听声辨谎</t>
  </si>
  <si>
    <t>第3级起，当你进行一次感知（洞悉）检定来察觉一个生物是否在说谎时，你可以将d20投中低于8的结果都视为8</t>
  </si>
  <si>
    <t>混乱之潮</t>
  </si>
  <si>
    <t>第1级起，你可以使一次攻击检定，属性检定或豁免检定具有优势。此后，你必须完成一次长休后才能再次使用该特性
在你重获使用混乱之潮的能力前，你每次施展一个不低于1环的术士法术后，DM都可以要求你立刻骰一次狂野魔法浪涌效果。此后，你重获使用该特性的能力</t>
  </si>
  <si>
    <t>你不再需要睡眠，同样不能以任何手段强制入梦。为了获得长休息的益处，你可以花费8小时执行轻度的工作
先决条件：书之魔契</t>
  </si>
  <si>
    <t>催眠凝视</t>
  </si>
  <si>
    <t>第2级起，以一个动作，你指定身边5尺范围内一个你能看见的生物。如果该生物能看见你或者能听到你的声音，则其必须进行一次对抗你法师法术豁免DC的感知豁免，豁免失败则受你魅惑，其状态持续至你下一回合结束。该被魅惑生物的速度降至0，并陷入失能状态。外表上看该生物会是一副头晕目眩的样子
在接下来的回合中，你可以用另一个动作来延续该效应，以将其持续时间再延续至你的下一回合结束。然而，如果你移动到目标生物5尺以外，或者该生物变得不能看见你也不能听到你的声音，又或者目标生物受到伤害时，该效应将提前终止
如果该效应终止，或者该生物在最初的豁免中成功，则你将无法对这个生物再使用该特性，直至你完成一次长休</t>
  </si>
  <si>
    <t>魔法物品大师</t>
  </si>
  <si>
    <t>第18级起，你一次最多可以调谐六个魔法物品</t>
  </si>
  <si>
    <t>特性数量</t>
  </si>
  <si>
    <t>图腾同调</t>
  </si>
  <si>
    <t>第14级时，你根据所选的图腾兽获得一项魔法能力。你可以选择和之前相同的图腾，也可以另做选择</t>
  </si>
  <si>
    <t>当以双武器战斗时，你可以将你的属性调整值加到第二次攻击的伤害上</t>
  </si>
  <si>
    <t>仲夏庭院的芬馥</t>
  </si>
  <si>
    <t>第2级起，你得到等同于德鲁伊等级的d6骰作为妖精能量池
以一个附赠动作，你可以选择一名在你120尺内的可见盟友，并且花费最多等于你德鲁伊等级一半的d6骰。投掷那些骰子并把结果加在一起。目标恢复等于那个总值的生命值。目标同时也得到等同于花费骰子数目的临时生命值
在你结束一次长休之后，你恢复所有花费掉的骰子</t>
  </si>
  <si>
    <t>其他生物的近战攻击对你造成伤害时，你可以用你的反应消耗一粒卓越骰以减少伤害。减少的数值为卓越骰骰值+你的敏捷调整值</t>
  </si>
  <si>
    <t>四象门徒</t>
  </si>
  <si>
    <t>第3级起，你开始学习操控元素的法门。每种法门在使用时都需要消耗气
你会先习得元素同调法门和另一个自选法门，你将在第6、第11、第17级时，再各习得一个新法门
你每次习得新的法门时，还可以将一个你已知的法门替换为另一个符合选择条件的法门</t>
  </si>
  <si>
    <t>引导神力-自然之怒</t>
  </si>
  <si>
    <t>第3级起，以一个动作，你可以让特殊的藤蔓生长并缠绕一个距离你10尺内，你能看见的生物。该生物必须进行一次力量或敏捷豁免（由其选择），豁免失败者将陷入束缚状态。此后，每当该生物结束其回合时，都可以再进行一次该豁免。一旦豁免成功，则该生物挣脱束缚，藤蔓也就此消失
豁免DC等于你的圣武士法术豁免DC</t>
  </si>
  <si>
    <t>第7级起，以你为目标的借机攻击具有劣势</t>
  </si>
  <si>
    <t>细致入微</t>
  </si>
  <si>
    <t>第3级起，你可以使用附赠动作来进行一次感知（察觉）检定来侦测到一个隐藏的生物或物体，或者是进行一次智力（调查）检定来揭示和破译线索</t>
  </si>
  <si>
    <t>扭曲幸运</t>
  </si>
  <si>
    <t>第6级起，当一个你能看见的生物进行攻击检定、属性检定或豁免检定时，你可以用一个反应并消耗2术法点骰一次1d4，再将结果用作加值或减值（由你决定）加到目标生物的检定结果中。你可以在看到检定结果后使用该特性，但必须在这次检定生效前声明</t>
  </si>
  <si>
    <t>当你的魔宠距离你100英尺内时，若你恢复生命值，所有决定你恢复生命值点数的骰子，都被视为骰出了最大值
先决条件：链之魔契</t>
  </si>
  <si>
    <t>直觉魅惑</t>
  </si>
  <si>
    <t>第6级起，一个身处你周边30尺范围内你能看见的生物对你发动攻击检定时，你可以用你的反应来偏转本次攻击，前提是必须有另一生物在本次攻击的攻击范围内。攻击者必须进行一次对抗你法师法术豁免DC的感知豁免。豁免失败则攻击者必须转而攻击距离他最近的生物（不包括你或他自身）。如果有多个目标离他的距离相等且都为最近，则攻击者可以从中自选一个攻击对象。如果攻击者豁免成功，则你将无法对这个生物在使用该特性，直至你完成一次长休
你必须在攻击确认命中与否前使用该特性。而免疫魅惑的生物也同样免疫该特性</t>
  </si>
  <si>
    <t>奇械之魂</t>
  </si>
  <si>
    <t>第20级时，你当前每有一件调谐中的魔法物品，你就在所有豁免检定中得到+1加值
如果你的生命值降低到0，但没有立即死亡，你能以一个反应解除一个注法，使你的生命值降低到1而不是0</t>
  </si>
  <si>
    <t>第14级起，狂暴时，如果身处你周边5尺内的任何敌对生物发动攻击，而其目标不是你或另一个具有此特性的生物，则该攻击的攻击检定具有劣势。无法看到你或听到你声音的生物，以及无法陷入恐慌的生物对该特性免疫</t>
  </si>
  <si>
    <t>剑舞</t>
  </si>
  <si>
    <t>第3级起，当你在自己回合执行攻击动作时，你的步行速度提升10尺直到该回合结束。当作为该动作的一部分，由你发动的武器攻击命中生物时，你能选择使用以下剑舞选项之一，每回合你只能使用一项剑舞
防御剑舞：你可以消耗一次诗人激励的次数，并使该武器对你命中的目标造成额外的伤害。额外伤害等于你的激励骰掷骰结果。直到你的下回合开始，你也将该数值加在你的AC上
乱击剑舞：你可以消耗一次诗人激励的次数，并使该武器对你命中的目标和你5尺范围内能被你看见且受你选择的其他生物造成额外伤害，伤害等于你的激励骰投掷结果
灵活剑舞：你可以消耗一次诗人激励的次数，并使该武器对你命中的目标造成额外的伤害。你还能将目标向远离你的方向推动至多5＋你的激励骰掷骰结果尺。然后你能立即使用你的反应移动至多等于你步行速度的距离，来到距离目标5尺内的一个未被占据的空间</t>
  </si>
  <si>
    <t>光冕</t>
  </si>
  <si>
    <t>第17级起，你可以用你的动作启动日光的灵光，其效应持续1分钟或直至你用另一个动作将其解散。你将释放出半径60尺的亮光光照，以及其外延伸30尺的微光光照。身处该亮光光照中的敌人，为抵抗任何火焰或光耀伤害的法术而进行豁免检定时具有劣势</t>
  </si>
  <si>
    <t>月光与阴影的炉心</t>
  </si>
  <si>
    <t>第6级起，在进行一次短休息或长休息时，你可以祈求薄暮庭院的幽影之力来保护你的营地不被外来者侵扰。在休息开始时，你接触空间中的一点，以那一点为中心一个隐形的、半径30尺的球体魔法般地出现。全掩护会阻断这个球体
在这一领域内你和你的盟友在所有感知（察觉）检定和敏捷（隐匿）检定中得到+5加值，并且由任何明火放射的光亮从领域外是不可见的
这些效果持续到休息结束或你离开这个领域</t>
  </si>
  <si>
    <t>你进行武器攻击时，可以消耗一粒卓越骰以将其结果加在本次攻击的攻击检定中。你可以在进行攻击检定之前或之后使用此战技，不过必须在相应攻击效果生效之前作决定</t>
  </si>
  <si>
    <t>施放元素法术</t>
  </si>
  <si>
    <t>某些法门让你可施展法术。通过法门施法也适用正常的施法时间和其它规则，只是你不需要提供材料成分
第5级起，你可以通过消耗额外的气来提升以法门施展法术的环阶，使得法术更具威力。每额外消耗1点气，法术环阶就提升1级
你以该方式施展法术可消耗气的数量上限与你的武僧等级相关联：
5级起，施法最高消耗3气；9级起，施法最高消耗4气；13级起，施法最高消耗5气；17级起，施法最高消耗6气</t>
  </si>
  <si>
    <t>引导神力-驱散无信者</t>
  </si>
  <si>
    <t>第3级起，以一个动作，你亮出圣徽，迫使身边30尺范围内能够听到你声音的所有精类生物或邪魔都进行一次感知豁免，豁免失败者将受到驱散，其效应持续1分钟或直至其受到任何伤害
以该方式被驱散的生物必须花费其回合内的所有移动力尽量远离你，且无法主动靠近你30尺内。被驱散的生物无法执行反应，只能使用既有的疾走动作或从任何妨碍其移动的效应中挣脱。该生物无路可走时会执行回避动作
如果被驱散生物的真实外形被幻术、变形、或其他效应掩盖，那么在被驱散后，它将显露出原形
豁免DC等于你的圣武士法术豁免DC</t>
  </si>
  <si>
    <t>第7级起，你被生物的攻击命中时，你在本回合内对抗该敌人所有后续攻击的AC获得+4加值</t>
  </si>
  <si>
    <t>战斗洞察</t>
  </si>
  <si>
    <t>第3级起，以一个附赠动作，你对于一个你能看见的，并非失能的生物进行一次感知（洞悉）检定，对抗目标的魅力（欺瞒）检定。若你成功，你可以在你并未对该生物具有优势时对他发动偷袭攻击，但在你的攻击骰有劣势时不行。这个效果持续1分钟或直到你成功的对另一个目标使用了战斗洞察为止</t>
  </si>
  <si>
    <t>操控混沌</t>
  </si>
  <si>
    <t>第14级起，你每次骰狂野魔法浪涌效果时，可以骰两次检定再自选其一生效</t>
  </si>
  <si>
    <t>你可以使用任何锋刃魔契职业特性召唤出来的武器作为邪术师法术的法器
除此之外，武器在攻击骰和伤害骰上获得+1加值，除非它是一件已经有攻击骰和伤害骰加值的魔法武器
最后，你塑造的武器可以是短弓、长弓、轻弩或者重弩
先决条件：刃之魔契</t>
  </si>
  <si>
    <t>分裂附魔</t>
  </si>
  <si>
    <t>第10级起，你施展一个以单一生物为目标的1环或更高环阶的附魔系法术时，可以为该法术指定第二个目标</t>
  </si>
  <si>
    <t>本职工具</t>
  </si>
  <si>
    <t>第3级时，你获得炼金工具的熟练。如果你已经拥有此熟练，你能获得另一种任意工匠工具的熟练</t>
  </si>
  <si>
    <t>愤怒风暴</t>
  </si>
  <si>
    <t>第14级起，狂暴时，你获得等同于你移动速度的飞行速度。此特性只能用于短途冲刺。如果回合结束时你仍在空中且毫无凭依，则你将坠落</t>
  </si>
  <si>
    <t>自然领域法术</t>
  </si>
  <si>
    <t>第1级时：化兽为友、动物交谈
第3级时：树肤术、荆棘丛生
第5级时：植物滋长、风墙术
第7级时：支配野兽、擒抱藤
第9级时：疫病虫群、树跃术</t>
  </si>
  <si>
    <t>隐匿通途</t>
  </si>
  <si>
    <t>第10级起，在你的回合，你可以以一个附赠动作传送到60尺内一处未被占据的可见区域。或者，你也可以用你的动作来接触一个自愿生物将它传送至30尺内一处未被占据的你可见的空间
你可以使用这个能力的次数等同于你的感知调整值（至少1次），当你结束一次长休之后，你恢复所有使用次数</t>
  </si>
  <si>
    <t>你以武器攻击命中敌人时，可以消耗一粒卓越骰以尝试将该目标推开。使用此战技时，你将所消耗的卓越骰加在此次攻击的伤害掷骰中。如果该目标为大型或更小体型，则其必须进行一次力量豁免。豁免失败者将被往远离你的方向推动至多15尺
豁免DC＝8+你的熟练加值+你的力量或敏捷调整值（自选）</t>
  </si>
  <si>
    <t>你可以用动作短暂操控身边30尺内的元素之力，并产生下列效应之一：
用土、水、气、火创造一次无害的瞬间视听效应，比如火花闪现、清风吹拂、青雾飘散、岩石轰隆
瞬间点燃或吹熄蜡烛，火炬或小型营火
加热或降温至多1磅无生命的物质，至多持续1小时
将土，水，雾或火按照你的心意塑形成至多1尺立方的粗糙形状，至多持续1分钟</t>
  </si>
  <si>
    <t>守御灵光</t>
  </si>
  <si>
    <t>第7级起，你和距离你10尺以内的友善生物获得对法术伤害的抗性
第18级起，灵光的作用范围扩展至30尺</t>
  </si>
  <si>
    <t>第7级起，你对抗恐慌的豁免具有优势</t>
  </si>
  <si>
    <t>镇定之眼</t>
  </si>
  <si>
    <t>第9级起，你可以在进行任何感知（察觉）检定或智力（调查）检定中得到优势，只要你在同一回合中移动不超过一半的速度</t>
  </si>
  <si>
    <t>法术轰击</t>
  </si>
  <si>
    <t>第18级起，你在为法术进行伤害掷骰时，如果其中的任何一粒骰子掷出最大值，额外再掷一枚伤害骰，并将其结果加在伤害数值上。你每回合只能使用一次该特性</t>
  </si>
  <si>
    <t>当你使用获得魔宠时，你将一定程度的魔能力量灌注给被召唤的魔宠，给予这个生物以下的能力：
该魔宠获得40尺飞行速度或游泳速度（由你选择）
你可以使用一个附赠动作指挥你的魔宠进行一次攻击动作
该魔宠的武器攻击被认为是魔法武器攻击，旨在克服对于非魔法攻击的免疫和抗性
如果该魔宠强迫一个生物进行豁免检定，它使用你的法术豁免DC
当你的魔宠受到伤害时，你可以使用你的反应动作给予它对于该伤害的抗性
先决条件：链之魔契</t>
  </si>
  <si>
    <t>编演记忆</t>
  </si>
  <si>
    <t>第14级起，你施展一个可以魅惑一个或更多生物的附魔系法术时，可以改变某一个生物的认识，以令其无法察觉自己已经被魅惑
此外，在法术持续时间结束前，你有一次机会可以用你的动作尝试修改被指定生物的记忆，让他忘记被魅惑期间的一些记忆。该生物必须进行一次对抗你法师法术豁免DC的智力豁免，豁免失败则其失去一定小时的记忆，其数值为1＋你的魅力调整值（至少为1）。你可以选择让目标忘记更短时间内的记忆，而所忘记记忆的长度不能超过该附魔法术的持续时间</t>
  </si>
  <si>
    <t>炼金师法术</t>
  </si>
  <si>
    <t>第3级起，当你获得表中所对应的炼金师等级时，你将同时习得列出的法术。这些法术将会一直在你的准备法术列表中，且不计入你的每日准备法术上限
第3级起：治愈真言、致病射线
第5级起：炽焰法球、马友夫强酸箭
第9级起：气化形体、群体治愈真言
第13级起：枯萎术、防死结界
第17级起：死云术、死者复活</t>
  </si>
  <si>
    <t>紫龙骑士</t>
  </si>
  <si>
    <t>风暴之魂</t>
  </si>
  <si>
    <t>战斗风格</t>
  </si>
  <si>
    <t>第14级起，狂暴时，如果你在自己回合内以近战武器攻击命中一名大型或更小体型的生物，则你可以用一个附赠动作顺势将其打击至倒地</t>
  </si>
  <si>
    <t>剑舞大师</t>
  </si>
  <si>
    <t>第14级起，当你使用剑舞选项时，你可以投掷一枚d6来代替诗人激励的消耗</t>
  </si>
  <si>
    <t>自然侍僧</t>
  </si>
  <si>
    <t>第1级时，你习得一个自选的德鲁伊戏法。另外你从以下技能中选择一项获得熟练项：驯兽、自然或求生</t>
  </si>
  <si>
    <t>梦境行者</t>
  </si>
  <si>
    <t>第14级起，当你完成了一次短休息，你可以施展以下法术之一，无需消耗法术位也无需材料成分：托梦术（以你作为信使）、探知、或传送法阵
以这种方法使用的传送法阵是特别的。取代了打开入口通往永久性传送法阵的能力，它将打开入口通往你在现存位面上完成最后一次长休息的所在地。如果你没有在现存位面上进行过长休息，这个法术会失败但不会浪费
你必须完成一次长休才能再次使用该特性</t>
  </si>
  <si>
    <t>你在自己回合内可以使用一个附赠动作并消耗一粒卓越骰以鼓舞一名盟友的士气。选择一名能看见你或听到你声音的盟友，并使其获得数量等于卓越骰结果+你的魅力调整值的临时生命值</t>
  </si>
  <si>
    <t>你在自己回合内执行攻击动作时，可以消耗1点气使得火焰触须从四肢喷涌而出。在本回合余下时间里，你进行徒手打击时的触及范围增加10尺。而这些攻击造成的伤害变为火焰伤害，而非钝击伤害。若在攻击命中时再消耗1点气，则该次攻击还可额外造成1d10的火焰伤害</t>
  </si>
  <si>
    <t>不灭哨卫</t>
  </si>
  <si>
    <t>第15级起，你生命值降至0点，但尚未被直接杀死时，可以选择让你的生命值降到1点而不是0点。你必须完成一次长休才能再次使用该特性
此外，你不受任何衰老减益。也不会因为魔法效应而衰老</t>
  </si>
  <si>
    <t>多重攻击</t>
  </si>
  <si>
    <t>第11级时，你从箭雨或剑刃风暴中选择获得一个特性</t>
  </si>
  <si>
    <t>精准之眼</t>
  </si>
  <si>
    <t>第13级起，以一个动作，你感知到你周围30英尺内的幻术存在，不在天生形态下的变形生物，和其他意在欺瞒感官的魔法，前提是你没有目盲或耳聋。你能了解到了有一个效果正在试图欺骗你，不过你并没有得到对其后所掩盖的真相和对他真实本质的特殊洞察力
你可以使用这个功能的次数等于你的感知调整值（至少一次），当你完成一次长休，你重新获得所有次数</t>
  </si>
  <si>
    <t>神圣术法</t>
  </si>
  <si>
    <t>第1级起，当你的施法特性让你学会一个新的戏法法术时，除原本术士法术列表之外，你还可以从牧师法术列表中选择新法术。但是，你只能获取已有相应环阶法术位的法术
此外，选择一种对你神力来源的亲和力并根据这个关联，学习一个额外的法术。这些法术不占用你的术士已知法术且被你视为术士法术。如果你以后替换了这个法术，你必须用牧师的法术列表来替换它
善良：疗伤术
邪恶：致伤术
守序：祝福术
混乱：灾祸术
中立：防护善恶</t>
  </si>
  <si>
    <t>当该护符的佩戴者被一个位于你30尺以内对你可见的攻击者命中时，你可以使用你的反应动作对于攻击者造成等于你熟练加值的心灵伤害，并将它推至护符佩戴者10英尺以外
先决条件：符之魔契</t>
  </si>
  <si>
    <t>塑能学者</t>
  </si>
  <si>
    <t>第2级起，你向法术书中抄写塑能系法术的时间和金钱花费减半</t>
  </si>
  <si>
    <t>实验性灵药</t>
  </si>
  <si>
    <t>第3级起，每当你完成一次长休，你能在一个你接触的空瓶中魔法性的制造出一剂实验性灵药。当某人饮用灵药时，通过实验性灵药表来掷骰决定灵药的效果。以一个动作，一个生物能自己饮用灵药，或是将灵药给一个失能生物饮用
你需要拥有炼金工具才能制造实验性灵药，你通过此特征创造的所有灵药会一直存在到被饮用，或是你一下次长休结束时
第6级起，你能创造2剂；第15级起，你能创造3剂
每剂灵药都需要掷骰决定效果。每一剂灵药都需要用独立的烧瓶盛放
你能通过消耗一枚1环或更高环的法术位来制造额外的实验性灵药。要这么做的话，你需要以一个动作接触一个空烧瓶来制造灵药，然后从实验性灵药表中选择这剂灵药的效果</t>
  </si>
  <si>
    <t>魔射手</t>
  </si>
  <si>
    <t>狂怒风暴</t>
  </si>
  <si>
    <t>第14级起，狂暴时，当你试图穿过一个被大体型或更小的生物占据的空间，你可以使用你的附赠动作让那个生物立即进行一次力量豁免（DC=8+你的力量调整值+你的熟练值）。若失败，生物被击倒并且受到1d12+你的力量调整值的钝击伤害</t>
  </si>
  <si>
    <t>心灵之刃</t>
  </si>
  <si>
    <t>第3级起，当你在一次武器攻击命中一个生物时，你可以消耗一次吟游激励的次数并对目标造成额外的2d6点精神伤害。你每轮在你的回合只能这样做一次
第5级起，3d6点精神伤害；第10级起，5d6点精神伤害；第15级起，8d6点精神伤害</t>
  </si>
  <si>
    <t>林地之语</t>
  </si>
  <si>
    <t>第2级起，你学会说、读、写木族语。此外，野兽能理解你的语言，而你也能理解它们的声音和动作。大多数野兽缺乏足够的智力去表述或理解复杂的概念，但友善的野兽可以复述它在最近听到或看到的事物。此能力并不会让你和野兽形成特别的友谊，尽管你可以将此技能与讨好它们的礼物结合使用，就像是你能对其他NPC做的那样</t>
  </si>
  <si>
    <t>当某生物对你发动近战攻击而未命中时，你可以使用反应并消耗一粒卓越骰对其发动一次近战武器攻击。如果该攻击命中，则将卓越骰加在此攻击的伤害掷骰中</t>
  </si>
  <si>
    <t>你可以消耗2点气施展雷鸣波</t>
  </si>
  <si>
    <t>上古斗士</t>
  </si>
  <si>
    <t>第20级时，你可以化作远古自然力量的化身，并获得一项你自己决定的外貌特征
你使用一个动作以经历该变化，并在接下来一分钟内获得以下增益：
你在每个自己的回合开始时，恢复10点生命值。
你施展施法时间为1动作的圣武士法术时，可以用一个附赠动作而不是一个动作来施展它。
距离你10尺以内的敌人对抗你圣武士法术和引导神力特性进行豁免检定时具有劣势</t>
  </si>
  <si>
    <t>第11级起，你使用你的动作指定你的远程武器射程内你能看见的某点，并分别对该点周围10尺范围内任意数量的生物发动一次远程攻击。发动该特性时，你必须有足够的弹药用以攻击敌人，且要为每个目标进行独立的攻击检定</t>
  </si>
  <si>
    <t>识破弱点</t>
  </si>
  <si>
    <t>第17级起，当你的战斗洞察对一个生物使用时，你对该生物的偷袭伤害提高3d6</t>
  </si>
  <si>
    <t>众神眷恩</t>
  </si>
  <si>
    <t>第1级起，若你未通过一次豁免检定或在一次攻击检定中失手，你可以投2d4，并将它加到总值上，这可能会改变结果
你必须完成一次短休或长休才能再次使用该特性</t>
  </si>
  <si>
    <t>第4级起，当你的邪术师职业等级抵达能让你获得属性值提升时，你能进行以下一项改变
1．从邪术师戏法列表表中选择一个你未习得的戏法，替换一个你已经习得的戏法
2．用另一个你能够选择的魔契恩泽选项替换你当前的一个魔契恩泽选项
3．如果你的角色已经12级或者更高，你可以将一个玄奥秘法的法术替换为另一个同环邪术师法术
如果这些改变让你不再符合某些魔能祈唤的条件，你必须现在选择那些符合你条件的祈唤来替换它们</t>
  </si>
  <si>
    <t>法术塑形</t>
  </si>
  <si>
    <t>第2级起，你施展某个塑能系法术时，如果该法术的效应影响你能看见的其他生物，则你可以从中指定一定数量的生物作特殊处理。被指定生物的数量等于1＋该法术的环阶，而被指定生物进行该法术豁免时将直接判为成功，且豁免成功伤害减半的法术此时也不对该生物造成任何伤害</t>
  </si>
  <si>
    <t>炼金术掌握</t>
  </si>
  <si>
    <t>第5级起，当你使用炼金工具作为法器施法时，你在法术的一次掷骰中获得加值。该掷骰必须恢复生命值，或是造成强酸、火焰、黯蚀或毒素伤害，获得的加值等于你的智力调整值（最低+1）</t>
  </si>
  <si>
    <t>骑兵</t>
  </si>
  <si>
    <t>兽性之魂</t>
  </si>
  <si>
    <t>第14级起，狂暴时，如果你向一个大体型或者更小的目标直线接近至少20尺并且向它进行了一次近战武器攻击，你可以用附赠动作对它进行一次额外的近战武器攻击</t>
  </si>
  <si>
    <t>恶毒言辞</t>
  </si>
  <si>
    <t>第3级起，若你单独的对一个类人生物说话至少1分钟，你可以尝试在其心灵中埋下多疑与恐惧的种子。在这次谈话的结束时，该目标必须通过一次感知豁免检定，对抗你的法术豁免DC，否则在接下来对你或者你指定的生物变得恐慌，直到1小时或直到下述事件发生时结束：他被攻击或伤害，他目击其盟友被攻击或伤害
若一个目标在对抗此效果的豁免检定中成功，该目标对于你试图让他变得恐慌的行为没有任何察觉
你必须完成一次短休或长休才能再次使用该特性</t>
  </si>
  <si>
    <t>引导神力-魅惑动植物</t>
  </si>
  <si>
    <t>第2级起，你可以用一个动作展示你的圣徽同时呼唤守护神之名。身处你身边30尺内每个你能看见的野兽或植物生物都必须进行一次感知豁免。豁免失败者将受你魅惑，该魅惑状态将持续1分钟或直至其受到伤害。受你魅惑时，该生物对你及你指定的生物均保持友善
豁免DC等于你的牧师法术豁免DC</t>
  </si>
  <si>
    <t>精魂图腾</t>
  </si>
  <si>
    <t>第2级起，以一个附赠动作，你可以魔法般地召唤一个虚体的精魂，到处于你周围60尺内、你能看到的一点处。此精魂创造出一道环绕该点的、30尺半径的光环。精魂不算作是生物，也不算作是物体，尽管它有着符合对应生物的幽魂般的外表
以一个附赠动作，你可以移动此精魂至多60尺，到你能看到的一点处
此精魂持续1分钟或直到你失能。一旦你使用了此特性，你无法再次使用它，直到你完成一次短休息或长休息为止
此精魂的光环效果基于你召唤的精魂的类别，如下面的选项所示：
熊精魂：熊精魂授予你和你的伙伴它的力量和坚韧。在精魂出现时，每个处于此光环中、由你选择的生物，获得等于5+你的德鲁伊等级的临时生命值。此外，你和你的盟友在处于光环内时，在力量检定和力量豁免检定中获得优势
鹰精魂：鹰精魂是技艺精湛的猎手，用它敏锐的视力标记你的敌人。当一个生物对一个处于此精魂光环内的目标进行一次攻击检定时，你可以使用你的反应让这次攻击检定获得优势。此外，在光环内你和你的盟友得到感知（察觉）检定的优势
独角兽精魂：独角兽精魂为周围提供保护。你和你的盟友在用于侦测在此精魂光环内的生物所进行的所有属性检定中获得优势。此外，若你以一个法术位施展了一个为任何处于或不处于光环内的人恢复生命值的法术，每个处于光环内、由你选择的生物也恢复等于你德鲁伊等级的生命值</t>
  </si>
  <si>
    <t>你以近战武器攻击命中敌人时，可以消耗一粒卓越骰以尝试连带攻击附近的另一个生物。使用此战技时，指定你触及范围内一个距离初始目标不超过5尺的生物。如果你原本的攻击检定足以命中第二个目标，则它将受到等同于你卓越骰结果的伤害。此伤害与你原本攻击的伤害类型相同</t>
  </si>
  <si>
    <t>以一个动作，你可以消耗2点气并指定一个在你身边30尺内的生物。该生物必须进行一次力量豁免，豁免失败者将受到3d10点钝击伤害，此外你每额外消耗1点气则再增加1d10点钝击伤害，并且可以将目标从远离你的方向推开至多20尺再使其倒地。豁免成功则伤害减半，且不会被推离和击倒
豁免DC＝8+你的熟练加值+你的感知调整值</t>
  </si>
  <si>
    <t>复仇圣誓法术</t>
  </si>
  <si>
    <t>第3级时：灾祸术、猎人印记
第5级时：人类定身术、迷踪步
第9级时：加速术、防护能量伤害
第13级时：放逐术、任意门
第17级时：怪物定身术、探知</t>
  </si>
  <si>
    <t>第11级起，你使用你的动作指定你身边5尺内任意数量的生物，并分别对其发动一次近战攻击，每个受此攻击的目标必须进行独立的攻击检定</t>
  </si>
  <si>
    <t>阴谋大师</t>
  </si>
  <si>
    <t>第3级起，你可以得到易容工具、文书伪造工具和一种自选赌博工具的熟练。你同时可以学会两种自选语言
此外，如果你听到一个生物讲话长于1分钟，你可以确切无误地模仿他的语气和口音。这允许你模仿来自某个特殊地区的特别口音，只要你知晓这种语言</t>
  </si>
  <si>
    <t>强效治疗</t>
  </si>
  <si>
    <t>第6级起，当你或你的盟友在你周围5英尺内掷骰子来决定法术恢复hp点数的时候，只要你没有失能，你便可以花费1个术法点，重扔其中任意数量的骰子。每轮只能使用一次该能力</t>
  </si>
  <si>
    <t>你可以消耗你的邪术师法术位施展一个缓慢术。你必须完成一次长休才能再次使用该特性</t>
  </si>
  <si>
    <t>强力戏法</t>
  </si>
  <si>
    <t>第6级起，你造成伤害的戏法可以影响本可免受戏法效应影响的生物。生物对抗你戏法的豁免成功时，它仍将受到一半伤害（若有），但仍不会受该戏法的其他效应影响</t>
  </si>
  <si>
    <t>复原药剂</t>
  </si>
  <si>
    <t>第9级起，每当一个生物饮用一剂你制造的实验性灵药时，该生物获得2d6+你智力调整值的临时生命值。（至少1点临时生命点）
此外，只要你使用炼金工具作为法器，就可以在不花费法术位的情况下施展次级复原术。你能够这么做的次数等于你的智力调整值（最少1次），在你完成一次长休后，将恢复所有可用次数</t>
  </si>
  <si>
    <t>武士</t>
  </si>
  <si>
    <t>受祝击</t>
  </si>
  <si>
    <t>战狂装甲</t>
  </si>
  <si>
    <t>第3级起，当你穿着钉刺甲并在狂暴中，你可以使用你的附赠动作用钉刺甲对5尺内的目标进行一次近战武器攻击。若攻击命中，钉刺将造成1d4的穿刺伤害。把你的力量调整加在武器的攻击和伤害骰上
另外，当你使用攻击动作去擒抱一个生物，你在擒抱检定成功时对他造成3点穿刺伤害</t>
  </si>
  <si>
    <t>低语光环</t>
  </si>
  <si>
    <t>第6级起，当一个类人生物在你周围30尺内死去时，你可以使用你的反应，通过魔法能力捕获其影。你能保持这个影子直到你完成了一次长休息
你能以一个动作使用影子，当你这么做时，影子消失，魔法改变了你的外表。你看起来就像那个死去的人物，除了你还健康的活着。伪装持续1小时，或直到你以一个附赠动作结束此效果
当你处于伪装中，你会获得所有该生物会与泛泛之交分享的信息。这包括了其背景和人生的一般细节，但不包括秘密。这些信息足够你借用它的记忆来伪装成该生物
其他生物可以通过进行一次感知（洞悉）检定，对抗你的魅力（欺瞒）检定，来看穿此伪装，你在你的检定中获得+5加值
一旦你使用此特性捕捉了一道影子，你必须完成一次短休或长休才能再次使用该特性</t>
  </si>
  <si>
    <t>抑制元素</t>
  </si>
  <si>
    <t>第6级起，身处你或身处你身边30尺内的一个生物受到强酸，冷冻，火焰，闪电或雷鸣伤害时，你可以用你的反应使该生物在本次伤害过程中对该伤害类型具有抗性</t>
  </si>
  <si>
    <t>强力召唤</t>
  </si>
  <si>
    <t>第6级起，你获得了召唤强力野兽和精类的能力。任何你法术召唤或创造出的野兽或精类获得两种好处：
该生物出现时具有比正常情况下更多的生命值：它具有的每个HD会多出2点额外的生命值
在克服对于非魔法攻击和伤害的免疫和抗力时，来自该生物天生武器的伤害被视为是魔法的</t>
  </si>
  <si>
    <t>你以武器攻击命中敌人时，可以消耗一粒卓越骰以尝试击倒该目标。使用此战技时，你将所消耗的卓越骰加在此次攻击的伤害骰中。如果该目标为大型或更小体型，则其必须进行一次力量豁免。豁免失败则其应击倒地
豁免DC＝8+你的熟练加值+你的力量或敏捷调整值（自选）</t>
  </si>
  <si>
    <t>你可以消耗2点气施展造风术</t>
  </si>
  <si>
    <t>引导神力-破胆斥喝</t>
  </si>
  <si>
    <t>第3级起，以一个动作，你亮出圣徽，高喊一句斥责敌人的祷言，并使用引导神力特性。指定一个你能看见，且距离你60尺以内的生物。目标生物必须进行一次感知豁免，除非其免疫恐慌。邪魔和不死生物进行该豁免时具有劣势
豁免失败者将在接下来的一分钟内陷入恐慌，直至其受到伤害。在恐慌状态下，目标生物的速度降至0，且不能从任何增加移动速度的效应中上获益
豁免成功，则目标生物的速度在接下来的1分钟内减半，直至其受到伤害
豁免DC等于你的圣武士法术豁免DC</t>
  </si>
  <si>
    <t>高效猎人防术</t>
  </si>
  <si>
    <t>第15级时，你从反射闪避、逆流而上或直觉闪避中选择获得一个特性</t>
  </si>
  <si>
    <t>战术大师</t>
  </si>
  <si>
    <t>第3级起，你可以把协助动作作为附赠动作使用。此外，当你使用协助动作帮助一个盟友攻击一个生物时，如果攻击目标可以看到你或者听到你的话，攻击的目标可以在30尺以内，而不是你的5尺之内</t>
  </si>
  <si>
    <t>神圣之翼</t>
  </si>
  <si>
    <t>第14级起，你可以使用一个附赠动作，在你的背部展现一对光翼。当光翼展现时，你具有30尺的飞行速度。它们会一直展现着，直到你失能、死亡、或者你以一个附赠动作遣散
你为你神圣魔法的特性所选择的亲和力，决定了光翼的外观</t>
  </si>
  <si>
    <t>身处微光或黑暗环境时，你可以使用动作进入隐形，其效应持续至你进行移动、执行动作或执行反应时终止</t>
  </si>
  <si>
    <t>强效塑能</t>
  </si>
  <si>
    <t>第10级起，你施展任何塑能系法师法术时，可以将你的智力调整值加到该法术的其中一次伤害掷骰中</t>
  </si>
  <si>
    <t>化学专家</t>
  </si>
  <si>
    <t>第15级起，你获得了对强酸伤害和毒素伤害的抗性，同时对中毒状态免疫
只要你使用炼金工具作为法器，就能够在不消费法术位和材料成分的情况下施展高等复原术或医疗术。一旦你通过此特性施法，必须完成一次长休才能再次使用此特性</t>
  </si>
  <si>
    <t>回音骑士</t>
  </si>
  <si>
    <t>奥术射击</t>
  </si>
  <si>
    <t>凶蛮无羁</t>
  </si>
  <si>
    <t>第6级起，若你在狂暴中使用鲁莽攻击，你可以得到等同你体质调整值的临时生命（最少1点）。当你结束狂暴时它们消失</t>
  </si>
  <si>
    <t>阴暗学识</t>
  </si>
  <si>
    <t>第14级起，以一个动作，你对一个30尺内，能听见你的声音的生物发出一段魔法的低语。目标必须进行一次感知豁免检定，对抗你的法术豁免DC。若它与你没有共通的语言，或是它不能听见你的声音，它会自动在豁免中成功。在一次成功的豁免检定中，你的低语声听起来就像是不知所云的呢喃，并且没有效果
若目标在豁免检定中失败，他将在接下来的8小时内被你魅惑，或直到你或你的盟友攻击了它、伤害了它，或是迫使它进行一次豁免检定。他认为这段低语描述了他最为困窘的秘密。尽管你不会了解到这个秘密，目标坚信你已经知道了
当被以此法魅惑时，该生物因为畏惧你会公开他的秘密而遵循你的命令。他不会为了你让自己的生命受到威胁，或是为你战斗，除非他已经这么做。他偏向于你，并会像密友那样提供关爱和恩惠
当此效果结束时，该生物不会明白为什么他会对你如此恐惧
你必须完成一次长休才能再次使用该特性</t>
  </si>
  <si>
    <t>第8级起，你在每个自己回合里有一次机会，可以在用武器攻击命中某生物时，使该攻击额外造成1d8点冷冻，火焰或闪电伤害（由你选择）。第14级起，该伤害提升到2d8</t>
  </si>
  <si>
    <t>精魂守卫</t>
  </si>
  <si>
    <t>第10级起，当一个你以法术召唤或创造的野兽或精类在你的精魂光环内结束其回合时，该生物恢复等于你德鲁伊等级一半的生命值</t>
  </si>
  <si>
    <t>当你进行一次敏捷（隐匿）检定或先攻检定时，你能够消耗一枚卓越骰，并将消耗的卓越骰加入检定中</t>
  </si>
  <si>
    <t>以一个动作，你可以消耗1点气并指定你周边120尺内一块不大于30尺的冰或水的区域。你可以将该区域内的水凝为冰，反之亦可，并且还可以将区域内的冰塑造成任意的形状。你可以提高或降低冰的高度，创造或填平沟壑，竖起或放倒冰墙，或是塑造一根冰柱。这些造型的最大尺寸不能超过该区域最大边长的一半。你不能通过塑形冰来困住或伤害区域内的生物</t>
  </si>
  <si>
    <t>引导神力-仇敌誓言</t>
  </si>
  <si>
    <t>第3级起，以一个附赠动作，你可以立下一个仇敌誓言，宣誓歼灭一个你可以看到，且距离你10尺以内的生物，同时使用你的引导神力。在接下来的1分钟内，你对该生物发动攻击时进行的攻击检定具有优势，直至该生物的生命值降至0或者陷入昏迷状态</t>
  </si>
  <si>
    <t>第15级起，你在成为某一范围效应影响对象时，若该效应允许你通过成功的敏捷豁免来使伤害减半，则你在该豁免成功时不受伤害，而豁免失败时只受一半伤害</t>
  </si>
  <si>
    <t>洞察力</t>
  </si>
  <si>
    <t>第9级起，如果你至少花1分钟观察或与战斗之外的其他生物进行交互，你可以了解到跟你自己的能力相比较的某些信息。DM告诉你，在你选择的下列两个特征中，是否你的相等、优越或低等：
智力值
感知值
魅力值
职业等级（如果有的话）
如果你的DM允许，你也有可能知道这个生物的一段经历或者它的一个性格特征，如果它有的话</t>
  </si>
  <si>
    <t>神秘复原</t>
  </si>
  <si>
    <t>第18级起，当你的hp不足一半时，以一个附赠动作，你可以获得等同于你一半生命值的生命
你必须完成一次长休才能再次使用该特性</t>
  </si>
  <si>
    <t>你可以消耗你的邪术师法术位施展一个降咒。你必须完成一次长休才能再次使用该特性</t>
  </si>
  <si>
    <t>超限导能</t>
  </si>
  <si>
    <t>第14级起，施展一个造成伤害的1-5环法师法术时，你可以让法术的伤害直接取其最大值。该特性不能作用于戏法
首次发动该特性时，你并不会承受任何减益。如果你在完成一次长休前再次使用此特性，则你将在施法完成后立刻受到等于该法术每环阶2d12点黯蚀伤害。你在完成一次长休前，每再使用一次该特性，每环阶的黯蚀伤害就增加1d12。这种反噬伤害将无视任何的抗性和免疫</t>
  </si>
  <si>
    <t>第3级时，你获得木匠工具的熟练。如果你已经拥有此熟练，你能获得另一种任意工匠工具的熟练</t>
  </si>
  <si>
    <t>符文骑士</t>
  </si>
  <si>
    <t>宿敌</t>
  </si>
  <si>
    <t>战狂冲锋</t>
  </si>
  <si>
    <t>第10级起，你在狂暴中可以用一个附赠动作进行疾冲</t>
  </si>
  <si>
    <t>巧舌如簧</t>
  </si>
  <si>
    <t>第3级起，当你进行一个魅力（游说）或（欺瞒）检定时，你可以将d20骰掷10以下的结果都视为10</t>
  </si>
  <si>
    <t>自然大师</t>
  </si>
  <si>
    <t>第17级起，当生物受你的魅惑动植物特性魅惑时，你可以在自己回合内执行一个附赠动作并发出一个口头指令，而所有这些受魅惑生物都将在其下一回合执行该指令</t>
  </si>
  <si>
    <t>忠诚召唤</t>
  </si>
  <si>
    <t>第14级起，若你的生命值降到0，或非自愿地变得失能，你可以立即获得召唤野兽法术的好处，如同它是以一个9级法术位施展的那样。它召唤出四只由你选择的、挑战等级2或更低的野兽。被召唤的野兽出现在你周围20尺内。如它们没有从你那里获得命令，它们会保护你免受伤害并攻击你的敌人。此法术持续1小时，无需专注，或直到你解消它（无需动作）
你必须完成一次长休才能再次使用该特性</t>
  </si>
  <si>
    <t>当你距离一个盟友5尺以内时，你能够消耗一枚卓越骰，如果你同时消耗5尺的移动力，你能与该盟友互换位置，这一移动不会引发借机攻击
掷消耗的卓越骰。直到你的下个回合开始前，你或另一个生物（由你选择）的AC获得等于掷骰结果的加值</t>
  </si>
  <si>
    <t>你可以消耗2点气施展燃烧之手</t>
  </si>
  <si>
    <t>坚韧复仇</t>
  </si>
  <si>
    <t>第7级起，你以借机攻击中命中一个生物时，可以在该攻击后立刻移动至多相当于你速度一半的距离，本次移动是原反应的一部分。且本次移动不引起借机攻击</t>
  </si>
  <si>
    <t>第15级起，当敌人对你的近战攻击未命中时，你可以用反应迫使敌人向你所指定的生物（除攻击者外）重新发动攻击</t>
  </si>
  <si>
    <t>误导</t>
  </si>
  <si>
    <t>第13级起，每当你成为一次攻击的目标，并且在你的5尺距离内有生物为你对抗这次攻击提供了掩蔽，你可以使用你的反应将这次攻击的目标转移给这个生物</t>
  </si>
  <si>
    <t>幽暗之瞳</t>
  </si>
  <si>
    <t>第1级起，你获得120尺黑暗视觉
第3级起，你掌握了黑暗术，这不会占用你术士已知法术数量。你可以用2点术法点或1个法术位来释放。当你用法术点施法时，你能够看穿该法术所制造的黑暗</t>
  </si>
  <si>
    <t>当你自身回合内使用契约武器执行攻击动作时，你可以发动两次攻击而非一次
先决条件：刃之魔契</t>
  </si>
  <si>
    <t>幻术学者</t>
  </si>
  <si>
    <t>第2级起，你向法术书中抄写幻术系法术的时间和金钱花费减半</t>
  </si>
  <si>
    <t>魔炮师法术</t>
  </si>
  <si>
    <t>第3级起，当你获得表中所对应的魔炮师等级时，你将同时习得列出的法术。这些法术将会一直在你的准备法术列表中，且不计入你的每日准备法术上限
第3级起：护盾术、雷鸣波
第5级起：灼热射线、粉碎音波
第9级起：火球术、风墙术
第13级起：冰风暴、火墙术
第17级起：寒冰锥、力场墙</t>
  </si>
  <si>
    <t>灵能武士</t>
  </si>
  <si>
    <t>自然探索者</t>
  </si>
  <si>
    <t>符文雕刻</t>
  </si>
  <si>
    <t>钉刺反冲</t>
  </si>
  <si>
    <t>第14级起，每当你5尺内有生物用近战攻击命中你，同时你处于狂暴中且并非失能，攻击者将立即受到3点穿刺伤害。你必须穿着钉刺甲才能使用这个能力</t>
  </si>
  <si>
    <t>扰神之词</t>
  </si>
  <si>
    <t>第3级起，你可以用一个附赠动作消耗一次诗人激励次数，并选择你身边60尺内一个你能看见的生物。骰掷一次诗人激励骰。在你的下一个回合开始前，该生物进行的下一次豁免必须在掷骰结果中减去你的激励骰结果的数字</t>
  </si>
  <si>
    <t>风暴领域法术</t>
  </si>
  <si>
    <t>第1级时：云雾术、雷鸣波
第3级时：造风术、粉碎音波
第5级时：召雷术、雪雨暴
第7级时：操控水体、冰风暴
第9级时：湮灭波、疫病虫群</t>
  </si>
  <si>
    <t>第2级起，你学会孢子结社法术
结社法术一旦获得，将会一直在你的已准备法术列表中，且不计入你的每日准备法术上限。任何结社法术对你而言都是德鲁伊法术，而不论其是否在德鲁伊法术列表之上
第2级时：冻寒之触
第3级时：遗体防腐、目盲/耳聋术
第5级时：操纵死尸、气化形体
第7级时：枯萎术、困惑术
第9级时：死云术、疫病术</t>
  </si>
  <si>
    <t>当一个生物移动进你的触及范围而你手握武器时，你能以一个反应消耗一枚卓越骰对该生物进行一次武器攻击。如果攻击命中，将消耗的卓越骰加入此次攻击的伤害检定中</t>
  </si>
  <si>
    <t>你可以用一个动作消耗2点气创造一根水鞭推拉目标使其失去平衡。指定你周边30尺区域内一个你能看见的生物，并迫使其进行一次敏捷豁免。豁免失败者将受到3d10点钝击伤害，此外你每额外消耗1点气则再增加1d10点钝击伤害，且你可以使目标倒地或者将其向你的方向拉近至多25尺。豁免成功则伤害减半，且不会被拉近和击倒
豁免DC＝8+你的熟练加值+你的感知调整值</t>
  </si>
  <si>
    <t>复仇之魂</t>
  </si>
  <si>
    <t>第15级起，一个受你仇敌誓言影响的生物发动攻击时，如果其身处你的近战武器攻击范围内，则你就可以用你的反应对其发动一次近战武器攻击</t>
  </si>
  <si>
    <t>第15级起，当一个你能看见的敌人攻击命中你时，你可以用反应让此次攻击的伤害减半</t>
  </si>
  <si>
    <t>心灵欺骗</t>
  </si>
  <si>
    <t>第17级起，除非你允许，否则你的思想不能被心灵感应或者其他能力阅读。如果你使用魅力（欺瞒）检定并在与思想阅读者的感知（洞悉）检定的对抗之中胜出，你还可以伪造思想使对方信以为真
此外，不管你说什么，你总是可以选择让魔法判定你在说真话并显现出相应的迹象。你也不会因为魔法效应的影响而被强迫说出真话</t>
  </si>
  <si>
    <t>终焉之力</t>
  </si>
  <si>
    <t>第1级起，当生命值被降至0点时，你可以通过一个DC=该次所受伤害+5的魅力豁免。若豁免成功，作为代替你的生命值被降至1点。若该次伤害为光耀或重击时你不可使用此能力
当你通过豁免后直到下一次长休前不能再使用此能力</t>
  </si>
  <si>
    <t>以一个附赠动作，你周身环绕起外观如同纷飞蚊蝇般的魔法灵光。灵光从你四周散发5英尺，但不会穿过全掩蔽。灵光持续到你失能或以一个附赠动作解消它
灵光给予你在魅力（威吓）检定的优势，但你在所有其他魅力检定上遭受劣势。任何在灵光内开始回合的生物，受到等于你魅力调整值的毒素伤害（最小为0）
你必须完成一次短休或长休才能再次使用该特性</t>
  </si>
  <si>
    <t>精通次级幻影</t>
  </si>
  <si>
    <t>第2级起，你习得戏法次级幻影。如果你已学会此戏法，则你可以学习另一个自选的法师戏法。该戏法不计入你的已知戏法数目限制
你施展戏法次级幻影时，可以在一次施法中同时创造出声音和影像</t>
  </si>
  <si>
    <t>魔能炮台</t>
  </si>
  <si>
    <t>第3级起，只要你手持木匠工具或铁匠工具，你能以一个动作在距离你5尺且没被占据的水平空格内魔法性地召唤出一架小型或微型炮台。小型魔能炮台会占据它所在的方格，而微型炮台能直接拿在手里
你每天能够免费召唤一次炮台，你在这么做后，必须完成一次长休才能再次进行。但是你也可以通过消费一个法术位来制造炮台。你不能制造第二个炮台
无论炮台有多大，它都是魔法物件。它的ac是18，生命值是你奇械师等级的5倍。它对毒素伤害和心灵伤害免疫。如果它被迫进行属性检定或豁免检定，则将其所有属性都视为10(+0)。如果对炮台施展修补术，它将恢复2d6生命值。炮台在生命值降低到0或者1小时后消失。你能够以一个动作来提早让它消失
当你制造炮台时，你可以决定它的外观以及是否有腿，并且需要从魔能炮台列表中选择它的类型。在你的每个回合中，只要你离炮台不到60尺，就能以一个附赠动作来激活炮台。作为同一动作的一部分，你可以引导有腿的炮台步行或攀爬到15英尺内的一个未占用的空间中</t>
  </si>
  <si>
    <t>原初意识</t>
  </si>
  <si>
    <t>先祖护卫</t>
  </si>
  <si>
    <t>第3级起，当你处于狂暴状态，你的回合内你攻击命中的第一个目标直到你的下一个回合开始，对你以外的生物的攻击骰取劣势，若目标在一次攻击中击中了除你以外的生物，该生物对那次攻击有伤害抗力。若你的狂暴结束，此效果也随之提前结束</t>
  </si>
  <si>
    <t>不竭鼓舞</t>
  </si>
  <si>
    <t>第6级起，当一个生物将一个你的诗人激励骰加到其属性检定、攻击检定或豁免检定而掷骰失败时，该生物可以保留那个诗人激励骰</t>
  </si>
  <si>
    <t>第1级时，你获得军用武器和重甲的熟练项</t>
  </si>
  <si>
    <t>孢子光晕</t>
  </si>
  <si>
    <t>第2级起，当一个生物进入你10尺内时，或在其中开始其回合时，你可以使用反应来激发孢子光晕特性。对方必须进行一次等同于你法术DC的体质豁免，豁免失败则受到1d4点黯蚀伤害
第6级起，提高到1d6；第5级起，提高到1d8；第14级起，提高到1d10</t>
  </si>
  <si>
    <t>当你进行一次魅力（威吓）、魅力（表演）或魅力（说服）检定时，你能够消耗一枚卓越骰，将消耗的卓越骰加入此次属性检定中</t>
  </si>
  <si>
    <t>你可以消耗3点气施展法术人类定身术</t>
  </si>
  <si>
    <t>复仇天使</t>
  </si>
  <si>
    <t>第20级时，你可以化身为复仇的天使。你可以使用动作实行这种转变，并在接下来的1小时内获得以下增益：
你背生双翼，获得60尺飞行速度
你散发出一个30尺半径范围的威胁灵光。在一次战斗中，任何敌对生物第一次进入灵光范围，或者在灵光范围内开始其回合时，都必须进行一次感知豁免。豁免失败者将在接下来的1分钟陷入对你的恐慌状态，直至受到伤害。对因此陷入恐慌的生物所进行的任何攻击检定都具有优势
你必须完成一次长休才能再次使用该特性</t>
  </si>
  <si>
    <t>第3级起，你获得一个野兽伴侣陪你一起冒险，指定一个不大于中型体型，且挑战等级为1/4或更低的野兽。将你的熟练加值加到该野兽的AC，攻击检定，伤害掷骰以及其所有具有熟练项的豁免和技能检定中。其生命值上限选用其原上限，或你游侠等级的四倍两者中较高者。跟其他别的生物一样，该野兽也可在短休时使用生命骰
动物伴侣会尽可能执行你的命令。它会在轮到你的先攻时行动。你在自己回合内可以用声音指令指示该野兽往何处移动（无需执行其他动作）。你可以用你的动作以声音指令指示它执行攻击，疾走，撤离或协助动作。若你无法发出指令，该野兽将自主执行回避动作。如果你具有额外攻击特性，则你可以在命令该野兽执行攻击动作的同时自己发动一次武器攻击
若你陷入失能或并不在场，该野兽将自主活动，并集中致力于保护你和它自己。该野兽此时无需你下达指令即可使用期反应，比如以此发动一次借机攻击
身处偏好地形时，如果只有该野兽与你一起，则你仍可以保持隐匿状态以正常步调旅行
如果该野兽死亡，则你可以耗费8小时与另一个非敌对关系的野兽建立魔法联结成为伴侣，新的伴侣不一定要与之前的野兽类型相同
该野兽可以跟其他生物一样在短休时使用其生命骰。当你陷入失能或不在身边时，该野兽也可以自主的保护你或者它自身。它被借机攻击时，不需等待你的命令就可以执行其反应</t>
  </si>
  <si>
    <t>散兵战术</t>
  </si>
  <si>
    <t>第3级起，当一个敌人在你周围5英尺内结束其回合时，你可以以一个反应移动至多你速度的一半。此移动不会导致借机攻击</t>
  </si>
  <si>
    <t>凶兆猎犬</t>
  </si>
  <si>
    <t>第6级起，你可以以一个附赠动作消耗3点术法点选择一个120尺内你可见的生物作为目标，用魔法召唤一头凶兆猎犬的猎犬去猎杀它。凶兆猎犬用恐狼的模板但有以下变化：
猎犬的体型由大体型变为中等体型，猎犬视作怪兽而不是野兽
当猎犬被召唤时获得等同于你术士等级一半的临时生命值
猎犬可以像穿越困难地形一样穿过其他生物或物体。如果当猎犬的回合结束时处于某个物体内则会受到5点的力场伤害
当猎犬的回合开始时，自动知晓猎物的所在。如果目标处于躲藏状态，它对猎犬来说不再处于该状态</t>
  </si>
  <si>
    <t>每回合一次，当你以契约武器命中一个生物，你可以消耗一个邪术师法术位，对目标造成额外1d8+每法术位等级1d8的力场伤害，如果目标体型是巨型或更小，你可以将它击倒
先决条件：刃之魔契</t>
  </si>
  <si>
    <t>易变幻象</t>
  </si>
  <si>
    <t>第6级起，你施展持续时间不少于1分钟的幻术系法术时，可以用你的动作改变幻象的外形（仍需遵守相应法术的描述），前提是你必须可以看见该幻象</t>
  </si>
  <si>
    <t>投火机</t>
  </si>
  <si>
    <t>炮台在你指定的一个15尺锥形范围内发射火焰。该区域内的每个生物必须对你的法术豁免DC做一次敏捷豁免检定，如果豁免失败则受到2d8火焰伤害，成功的豁免检定将使伤害减半。火焰会点燃该地区内任何未被穿戴或携带的易燃物品</t>
  </si>
  <si>
    <t>遁术</t>
  </si>
  <si>
    <t>精魂之盾</t>
  </si>
  <si>
    <t>第6级起，若你处于狂暴，而一个处于你周围30尺内的，你能看到的其他生物受到伤害，你可以用一个反应动作来降低2d6的伤害
10级起可以降低3d6的伤害；14级起可以降低4d6的伤害</t>
  </si>
  <si>
    <t>统一言说</t>
  </si>
  <si>
    <t>第6级起，以一个动作，选择你身边60尺内一个或多个生物，你最多可以选择与你魅力调整值相等数量的生物（至少一个生物）。不管你说哪种语言，被选择的生物都能在一小时内魔法般地理解你
一旦你使用了此特性，直到你完成一次长休息，或者消耗一个法术位才能再次使用它</t>
  </si>
  <si>
    <t>风暴狂怒</t>
  </si>
  <si>
    <t>第1级起，身处你周边5尺范围内一个你能看见的生物攻击命中你时，你可以用你的反应迫使该生物进行一次敏捷豁免。豁免失败者将受到2d8点闪电或雷鸣伤害（由你选择），豁免成功则伤害减半
你可以使用该特性的次数等于你的感知调整值（至少为一次）。而你将在完成一次长休后重新恢复所有的使用次数
豁免DC等于你的牧师法术豁免DC</t>
  </si>
  <si>
    <t>一体共生</t>
  </si>
  <si>
    <t>第2级起，你可以用一个动作使用一次荒野形态，以唤醒孢子，而非进行变形。当你这样做的时候，你获得等于你德鲁伊等级×4的临时生命值。当此特性激活时，你获得下以下增益：
当你的孢子光晕特性造成伤害时，额外骰一个伤害骰加在原有的伤害骰上
你的近战武器攻击对任何被命中的目标造成额外的1d6点黯蚀伤害
这些增益持续10分钟，或直到你失去所有临时生命值或再次使用了你的荒野形态</t>
  </si>
  <si>
    <t>当你在一次近战武器攻击命中一个生物时，你能够立即消耗一枚卓越骰，以一个附赠动作对目标进行一次擒抱。将消耗的卓越骰加入你的力量（运动）检定中</t>
  </si>
  <si>
    <t>你可以消耗3点气施展粉碎音波</t>
  </si>
  <si>
    <t>破誓者法术</t>
  </si>
  <si>
    <t>第3级时：炼狱叱喝、致伤术
第5级时：疯狂冠冕、黑暗术
第9级时：操纵死尸、降咒
第13级时：枯萎术、困惑术
第17级时：疫病术、支配人类</t>
  </si>
  <si>
    <t>第3级起，你召唤出一只原初的野兽，其力量来自于与你与自然的联系。这只野兽对你和你的伙伴态度友善，并会听从你的命令。从大地野兽，海洋野兽和天空野兽的数据中选择其一，它数据表中许多地方将会用到你的熟练加值（PB）。你决定原初野兽是何种动物，并选择适合其数据的种类。无论你选择什么样的动物，这只野兽都带有原始的印记，暗示着其神秘的起源
在战斗中，原初野兽在你的回合中行动。它能自行移动和使用反应动作，但除非你在你的回合中以一个附赠动作命令它执行其他动作，它只会执行回避动作。该动作可以是其数据中列出的动作或是之外的其他动作。你也能在使用自己的攻击动作时，牺牲一次自己的攻击命令野兽执行攻击动作。如果你陷入失能，野兽将会自主行动，而非仅使用回避动作
如果野兽在存在时间内死亡，你能使用你的动作触碰它并消耗一个一环或更高的法术位。原初野兽会在一分钟后死而复生并获得所有生命值
当你结束一次长休后，你能够召唤一只不同的原初野兽。这只新的野兽出现在你5尺内未被占据的空间内，并由你选择其数据和外表。如果你已经通过此特性获得了一只原初野兽，它会在新的原初野兽出现时消失。原初野兽也会在你死亡时消失
原初野兽
中型野兽
智力8（-1）
感知14（+2）
魅力11（+0）
护甲等级：13+熟练加值（天生护甲）
感官能力：60尺黑暗视觉，被动察觉12
语言能力：能听懂你所说的语言
熟练加值：与你等同
原初联结：你能将你的熟练加值加到野兽进行的一切属性检定和豁免检定上
大地野兽：
生命值：5+5×你的游侠等级（野兽具有你游侠等级数量的生命骰[d8]）
速度：40尺速度，40尺攀爬速度
力量14（+2）
敏捷14（+2）
体质15（+2）
冲锋：当大地野兽向一个目标直线移动了至少20尺，然后在同一回合以挥打攻击命中目标时。目标会额外受到1d6挥砍伤害。如果目标是生物，它必须成功通过对抗你法术豁免DC的力量豁免检定否则应击倒地
动作：
挥打：近战武器攻击：使用你的法术攻击调整值，触及5尺，单一目标，造成1d8+2+熟练加值的挥砍伤害
海洋野兽：
生命值：5+5×你的游侠等级（野兽具有你游侠等级数量的生命骰[d8]）
速度：5尺速度，60尺游泳速度
力量14（+2）
敏捷14（+2）
体质15（+2）
水陆两栖：野兽可以在空气和水中呼吸
动作：
攫击：近战武器攻击：使用你的法术攻击调整值，触及5尺，单一目标，造成1d8+2+熟练加值的穿刺或钝击伤害（由你选择），并且目标被擒抱（逃脱DC等于你的法术豁免DC）。直到擒抱结束，野兽无法对另一个目标使用该攻击
天空野兽：
生命值：4+4×你的游侠等级（野兽具有你游侠等级数量的生命骰[d6]）
速度：10尺速度，60尺飞行速度
力量6（-2）
敏捷16（+3）
体质13（+1）
飞掠：野兽以飞行离开敌人的触及范围时不会引发对方的借机攻击
动作：
撕咬：近战武器攻击：使用你的法术攻击调整值，触及5尺，单一目标，造成1d4+2+熟练加值的挥砍伤害</t>
  </si>
  <si>
    <t>生存专家</t>
  </si>
  <si>
    <t>第3级起，你得到对于自然和求生技能的熟练。当使用上述熟练进行的任何属性检定中，你的熟练加值加倍</t>
  </si>
  <si>
    <t>幽影漫步</t>
  </si>
  <si>
    <t>第14级起，当你处于微光或黑暗中时，以一个附赠动作你可以魔法地将自己传送至120尺内另一处未被占据并自己可见的微光或黑暗中</t>
  </si>
  <si>
    <t>你可以在水下呼吸，并且你得到等于你步行速度的游泳速度。
你可以施展一次水下呼吸法术，而无需消耗法术位。当你结束一次长休后，你重新获得此能力</t>
  </si>
  <si>
    <t>幻影化形</t>
  </si>
  <si>
    <t>第10级起，当一个生物对你发动攻击检定时，你可以用你的反应，在攻击者和你之间插入你自身的幻象分身。攻击者对你的攻击将直接判为未命中，幻象分身也随即消失
你必须完成一次短休或长休才能再次使用该特性</t>
  </si>
  <si>
    <t>力场弩炮</t>
  </si>
  <si>
    <t>对一个距离炮台120尺以内的生物或物体进行远程法术攻击。击中时，目标受到2d8力场伤害，如果目标是一个生物，它将向远离炮台的方向推开5尺</t>
  </si>
  <si>
    <t>问道精魂</t>
  </si>
  <si>
    <t>第10级起，你可以不消耗法术位和材料成分使用一次卜筮术或鹰眼术。取代法术描述里的球形探测器，这个法术会在指定位置创造一个无形的先祖之魂。感知是你的施法主属性
你必须完成一次短休或长休才能再次使用该特性</t>
  </si>
  <si>
    <t>启悟传播</t>
  </si>
  <si>
    <t>第14级起，当你身边60尺内的一个生物将你的诗人激励骰加到其属性检定、攻击检定或豁免检定并且该掷骰成功时，你可以用你的反应去激励在你身边60尺内能听到你声音的一个其他生物（不能指定你自身），给予该生物一个诗人激励而不需要消耗你任何的诗人激励
你能够使用该特性的次数等于你的魅力调整值（最低一次）。完成一次长休后，你将重获所有消耗掉的诗人激励次数</t>
  </si>
  <si>
    <t>引导神力-毁灭狂怒</t>
  </si>
  <si>
    <t>第2级起，当你造成闪电或雷鸣伤害时，可以使用引导神力使该伤害的伤害掷骰直接取最高值而无需掷骰</t>
  </si>
  <si>
    <t>真菌感染</t>
  </si>
  <si>
    <t>第6级起，如果一个小型或中型的野兽或类人生物在你10尺内死亡，你可以以一个反应动作活化它，令它站起并具有1点生命值。该生物使用僵尸的属性，它将持续活化状态1小时，之后会倒下死去
在战斗中，它的回合紧接着你的。它遵从你的精神指令，唯一能执行的动作为攻击，此动作只能进行一次近战攻击
该特性的可用次数等于你的感知调整值（至少1次）。而已消耗的特性使用次数则可以通过完成一次长休进行恢复</t>
  </si>
  <si>
    <t>以一个附赠动作，你能消耗一枚卓越骰以一件具有投掷属性的武器进行一次远程攻击。在进行此攻击时，你能拔出一把投掷武器作为攻击的一部分。如果此次攻击命中，你能将消耗的卓越骰加入此次攻击的伤害检定中</t>
  </si>
  <si>
    <t>你可以消耗4点气施展火球术</t>
  </si>
  <si>
    <t>引导神力-控制亡灵</t>
  </si>
  <si>
    <t>第3级起，以一个动作，你指定其身边30尺内一个能看见的不死生物。该目标必须进程一次感知豁免。豁免失败时，该目标必须在随后的24小时里遵从你的命令，或者直至你再次使用该引导神力选项为止。挑战等级等于或高于你角色等级的不死生物免疫该效应</t>
  </si>
  <si>
    <t>特殊训练</t>
  </si>
  <si>
    <t>第7级起，如果你的野兽伴侣在你的回合内未曾发动攻击，则你可以在本回合用一个附赠动作命令该野兽在其回合内执行“疾走”“撤离”或“协助”动作。此外，该野兽的攻击作用于非魔法攻击与伤害的免疫与抗性时视为魔法</t>
  </si>
  <si>
    <t>优异灵活</t>
  </si>
  <si>
    <t>第9级起，你的行走速度增加10英尺。若你具有攀爬或游泳速度，这个能力也会增加在这些速度上</t>
  </si>
  <si>
    <t>幽暗形态</t>
  </si>
  <si>
    <t>第18级起，你可以耗费6点术法点以一个附赠动作魔法地将自己转变为暗影形态。在此形态中，你对除力场和光耀之外的所有伤害形势都具有抗性。并且你可以像穿越困难地形一般地穿过其他生物或物体。若回合结束时你处于某个物体内则会受到5点的力场伤害
你能维持这种状态1分钟。当你以一个附赠动作来解除暗影形态、处于失能或死亡时会提前结束状态效果</t>
  </si>
  <si>
    <t>以一个附赠动作，对你以降咒法术或咒剑诅咒、凶兆符记等邪术师特性所诅咒的目标，你向他施加一种精神干扰。当你如此做时，你对诅咒目标和所有距他5英尺内的、你所选择的生物造成精神伤害。精神伤害值等于你的魅力调整值（最低为1）。为了使用此祈唤，你必须能看到诅咒目标，且他必须距你30英尺以内
先决条件：降咒法术或进行诅咒的邪术师特性</t>
  </si>
  <si>
    <t>亦真亦幻</t>
  </si>
  <si>
    <t>第14级起，你施展一个1环或更高环阶的幻术系法术时，可以选择幻象中一个非活化的非魔法物件，并让该物件化作真实。你可以在自己回合中，相应法术持续时间内以一个附赠动作完成此事。被指定的物件将在接下来1分钟内保持真实
被化作真实的物件无法造成伤害，也无法以任何其他方式直接伤害任何事物</t>
  </si>
  <si>
    <t>防御者</t>
  </si>
  <si>
    <t>炮台释放出一股正能量，给予它自己和10尺距离内每个你选择的生物1d8+你智力调整值的临时生命值（最低+1）</t>
  </si>
  <si>
    <t>先祖复仇</t>
  </si>
  <si>
    <t>第14级起，当你使用精魂之盾保护生物、降低一次攻击的伤害时，攻击者受到精魂之盾所降低的等量力场伤害</t>
  </si>
  <si>
    <t>潜能微尘</t>
  </si>
  <si>
    <t>第3级起，每当你给予一个生物以诗人激励骰时，你可以唱出造物之歌的一个音符，创造一团微小的潜能微尘，在那个生物五尺以内的轨道上环绕。这个微尘是无形且不可被摧毁的，它将一直持续存在直到这个诗人激励骰被消耗掉
当这个生物使用那个诗人激励骰时，这团微尘将会根据这个诗人激励骰被使用的方式-属性检定，攻击检定或者豁免检定，会产生不同的额外效果。具体细节如下所示：
属性检定：当该生物将诗人激励骰用于增益属性检定时，他可以重新掷一次诗人激励骰并且选择使用其中一个掷骰结果。这团微尘会炸开，发射出多彩而无害的闪光
攻击检定：当该生物将诗人激励骰用于增益攻击检定时，掷出诗人激励骰后，这团微尘会立刻如雷霆般破碎。该生物这次攻击的目标以及其5尺距离内你能看到的由你决定的所有生物必须进行一次体质豁免，其DC为你的施法DC，如果豁免失败，将会承受等同于该诗人激励骰子所掷结果的雷鸣伤害
豁免检定：当该生物将诗人激励骰用于增益豁免检定时，掷出诗人激励骰后，这团微尘会立刻伴随着一段舒缓的音乐消失不见，给予这个生物等同于该诗人激励骰子所掷结果加上你的魅力调整值的临时生命值（最低为1）</t>
  </si>
  <si>
    <t>雷鸣打击</t>
  </si>
  <si>
    <t>第6级起，当你对一个大型或更小体型的生物造成闪电伤害时，你还可以同时将其往远离你的方向推动至多10尺</t>
  </si>
  <si>
    <t>扩散孢子</t>
  </si>
  <si>
    <t>第10级起，当你的一体共生特性处于激活状态下，你可以用一个附赠动作，将真菌孢子抛向至多30尺外，它们将漂浮在那里10尺立方的空间中，持续1分钟。若你再次使用此特性，或使用一个附赠动作取消掉，或你的一体共生特性不再起作用，这片孢子将提前消失
任何在此空间内开始其回合的生物除非其成功通过一次等于你法术DC的体质豁免，否则受到你孢子光晕的伤害，一个生物每轮只能受到一次该伤害
只要这片孢子存在，你就不能使用你孢子光晕的反应动作</t>
  </si>
  <si>
    <t>当你进行一次智力（调查）、智力（历史）或感知（洞悉）检定时，你能够消耗一枚卓越骰，将消耗的卓越骰加入此次属性检定中</t>
  </si>
  <si>
    <t>你可以消耗4点气对自身施展气化形体</t>
  </si>
  <si>
    <t>引导神力-恐怖显现</t>
  </si>
  <si>
    <t>第3级起，以一个动作，你可以指定周边30尺内每个能看到你的生物进行一次感知豁免。豁免失败的目标将陷入1分钟对你恐慌的状态。因该效应陷入恐慌的生物如果在距离你30尺外的位置结束其自己回合，则其可以尝试再进行一次该感知豁免，豁免成功则终止其自己身上的该效应</t>
  </si>
  <si>
    <t>兽性狂怒</t>
  </si>
  <si>
    <t>第11级起，当你命令野兽伴侣执行攻击动作时，它可以发动两次攻击。或者，若其拥有“多重攻击”动作项，则它也可以执行该动作项</t>
  </si>
  <si>
    <t>突袭大师</t>
  </si>
  <si>
    <t>第13级起，你在先攻检定时具有优势。此外，在第一轮战斗中你所命中的第一个生物对你和其他人而言会变得更容易打击；直到你下一回合开始之前，所有对它进行的攻击检定具有优势</t>
  </si>
  <si>
    <t>风语者</t>
  </si>
  <si>
    <t>第1级时，你学会听、说、读、写原初语</t>
  </si>
  <si>
    <t>当你受到伤害时，你可以以一个反应将自己封锁在冰墓中，冰墓会在你的下一个回合结束时融解。你得到每邪术师等级10点的临时生命值，此生命值会尽可能优先地抵消伤害。当你受到伤害之后，你立即得到对火焰伤害的易伤，速度降低至0，并且陷入失能状态。这些效果，以及剩余的临时生命值，会在冰墓融解时终止
你必须完成一次短休或长休才能再次使用该特性</t>
  </si>
  <si>
    <t>死灵学者</t>
  </si>
  <si>
    <t>第2级起，你向法术书中抄写死灵系法术的时间和金钱花费减半</t>
  </si>
  <si>
    <t>奥法火器</t>
  </si>
  <si>
    <t>第5级起，当你完成一次长休后，你可以用木匠工具在一根魔杖、法杖或权杖上刻印一个特殊印记，从而把它变成你的奥法火器。印记会一直存在，除非你之后在另一件物品上刻上这种印记，这样的话，之前物体上印记就会消失
你可以将你的奥法火器作为你奇械师法术的法器。当你通过奥法火器施放一个奇械师法术时，掷一个d8，你在法术的一次伤害检定中获得与掷骰结果相同的加值</t>
  </si>
  <si>
    <t>永亡宗</t>
  </si>
  <si>
    <t>第3级起，当处于狂暴时，你散发出一个10尺半径的灵光，但无法穿透全掩护。你的灵光效果拥有一个由你进入狂暴时所激活的效果，你在每个自己的回合也可以用一个附赠动作来激活该效果。此灵光的效果基于你选择的环境类型。每当你在此职业中获得级别提升时，你可以改变所选环境</t>
  </si>
  <si>
    <t>造物表演</t>
  </si>
  <si>
    <t>第3级起，以一个动作，你可以引导造物之歌的魔力来创造一个你选择的非魔法物品，它会在你选择的距离你10尺内的一处未被占据的空间里生成。它必须要生成在一个可以支撑它的地方——这可以是在液体内或者一个表面上。这件物品的价值不能超过你吟游诗人等级×20gp，它必须是中型或者更小的物品。这件物品会闪烁着柔和的微光。当一个生物触碰它的时候，会听到轻微的音乐。在被创造出等同于你的熟练加值数的小时之后，这件物品会消失
每当你用这一特性创造出一件物品后，直到下一次长休结束前你都不能再次使用这个能力。你可以消耗一个2环或者更高级的法术位去重置这个能力的使用次数。你同时只能保持一件以此法被创造出的物品。如果在你使用这个能力创造物品时已经有一件被创造出来的物品了，那么那个旧的物品会立刻消失不见
6级起，你可以创造出大型物品，14级起，你可以创造出巨型物品</t>
  </si>
  <si>
    <t>第8级起，你在每个自己回合里有一次机会，可以在用武器攻击命中某生物时使该攻击额外造成1d8点雷鸣伤害。第14级起，该伤害提升到2d8</t>
  </si>
  <si>
    <t>真菌之躯</t>
  </si>
  <si>
    <t>第14级起，你不再会被目盲，耳聋，恐慌，或中毒；若一次攻击对你造成重击，它不会对你造成额外伤害除非你处于失能状态</t>
  </si>
  <si>
    <t>战争学徒</t>
  </si>
  <si>
    <t>第3级时，你选择一种工匠工具并获得其熟练项</t>
  </si>
  <si>
    <t>你可以消耗4点气对自身施展飞行术</t>
  </si>
  <si>
    <t>憎恨灵光</t>
  </si>
  <si>
    <t>第7级起，你与身边10尺内的所有邪魔和不死生物都将获得与你魅力调整值相同（至少为+1）的近战武器伤害掷骰加值。一个生物一次只能从一名圣武士的该特性中获益
第18级起，灵光的作用范围扩展至30尺</t>
  </si>
  <si>
    <t>法术共享</t>
  </si>
  <si>
    <t>第15级起，当你施展一个目标为自身的法术时，如果你的野兽伴侣处于你身边30尺范围内，则该法术效应同时也作用于你的野兽伴侣</t>
  </si>
  <si>
    <t>突袭打击</t>
  </si>
  <si>
    <t>第17级起，若你在你的回合进行攻击动作，你可以以一个附赠动作进行一次额外的攻击。此攻击可以从你的偷袭中收益，即使你已经在此回合中使用了它，但是你不能在一回合中对同一目标偷袭一次以上</t>
  </si>
  <si>
    <t>暴风魔法</t>
  </si>
  <si>
    <t>第1级起，每当你在你自己的行动轮内施展一个并非戏法的法术时，你可以用附赠动作导致旋转的风元素飙风围绕着你。此时你可以飞行10尺，而不引起借机攻击</t>
  </si>
  <si>
    <t>一张新的书页出现在你的影之书中。在你的允许之下，一个生物可以使用一个动作来将他的名字写在这一页上，这一页能包括的名字数量等于你的熟练加值
你可以对一个名字在这一页上的生物使用短讯术，而不需要消耗法术位和施法材料。你必须将传讯写在这一页上来完成这一行为。目标将在他们的意识中听到这个传讯，且如果目标回复了传讯，他们的回复将会出现在书页上而不是在你的意识中。这些文字将会在一分钟后消失
你可以使用一个动作，以触摸的形式魔法化地消除一个在书页上的名字
先决条件：书之魔契</t>
  </si>
  <si>
    <t>惧怖收割</t>
  </si>
  <si>
    <t>第2级起，你每回合有一次机会，在以一个环阶不低于1环的法术杀死一个或多个生物时，可以恢复等于该法术环阶两倍的生命值。如果你使用的是死灵系法术，则其恢复的生命值为法术环阶的三倍。你以此杀死不死生物或构装生物时，无法从该特性获得任何益处</t>
  </si>
  <si>
    <t>高爆炮台</t>
  </si>
  <si>
    <t>第9级起，你制造的所有炮台的伤害增加1d8
如果你距离炮台不到60尺，你能以一个动作命令你的炮台自爆。这么做会摧毁炮台，并迫使每一个离它20尺以内的生物对你的法术豁免dc进行一次敏捷豁免检定，若豁免失败，将受到3d8力场伤害，成功的豁免检定将使伤害减半</t>
  </si>
  <si>
    <t>醉拳宗</t>
  </si>
  <si>
    <t>第3级起，当处于狂暴时，你的灵光中所有其他生物都会受到2点火焰伤害
5级起，3点火焰伤害；10级起，4点火焰伤害；15级起，5点火焰伤害；20级时，6点火焰伤害</t>
  </si>
  <si>
    <t>活化表演</t>
  </si>
  <si>
    <t>第6级起，以一个动作，你可以选择你30尺内一个你可以看见大型或者更小的非魔法物品，赋予其生命。这件活化的物品将会使用舞空物品的属性，并且使用你的熟练加值。这件物品将会对你以及你的伙伴保持友好，而且会听从你的命令。它将持续保持活性一个小时，如果期间其生命值降低为0，或者你死亡，则该物品失去活性
在战斗中，该物品将会与你共用先攻，但会在你的回合后行动。它可以自行移动并执行自己的反应，不过除非你在你的回合中使用附赠动作命令其执行其他动作，否则它在它的回合只会进行回避动作。它可以执行其动作列表中的动作或是其他动作。如果你失能，那么这件活化物品会执行它选择的任意动作，而不仅仅是回避
当你使用诗人激励特性时，作为发出诗人激励的附赠动作的一部分，你同时也可以对这个活化物品发出指令
每当你用这一特性活化一件物品后，直到下一次长休结束前你都不能再次使用这个能力。你可以消耗一个3环或者更高级的法术位去重置这个能力的使用次数。你同时只能保持一件以此法被活化的物品。如果在你使用这个能力时，已经有一件受到此特性影响的舞空物品，那么那个旧的物品会立刻停止不动，变为无生命
舞空物品
大型或者更小体型的构装体
护甲等级：16（天生护甲）
生命值：10+5×你的吟游诗人等级
速度：30尺速度，30尺飞行速度（可以盘旋在空中）
力量18（+4）
敏捷14（+2）
体质16（+3）
智力4（-3）
感知10（+0）
魅力6（-2）
伤害免疫：毒素，心灵
状态免疫：魅惑，力竭，中毒，恐慌
感官能力：60尺黑暗视觉，被动察觉10
语言能力：能听懂你所说的语言
熟练加值：与你等同
不变之形：该物品不会受到任何使它形态发生改变的法术或者其他效果的影响
难抑舞动：若一个生物在该舞空物品10尺内开始回合，那么他将可以增加或者减少10尺的步行移动力（由你来决定），直到他的下一个回合结束。舞空物品需要保持清醒来提供这一效果
动作：力场猛击：近战武器攻击：使用你的法术攻击调整值，触及5尺，可以攻击你能看到的目标，造成1d10+熟练加值的力场伤害</t>
  </si>
  <si>
    <t>风暴降生</t>
  </si>
  <si>
    <t>第17级起，当你不在地底或室内时，你得到等同于你步行速度的飞行速度</t>
  </si>
  <si>
    <t>星图</t>
  </si>
  <si>
    <t>第2级时，你创造了一个星图。它是一个微型物体，可以作为你德鲁伊法术的法器
当你持握这件星图时，你获得这些好处：
你已知神导术戏法
你获得准备曳光弹。它对你来说视作德鲁伊法术，且不计入你的每日准备法术上限
你可以施放曳光弹而无需消耗法术位。你可以这样做的次数等同于你的熟练加值，且在你完成一次长休后会恢复所有已消耗使用次数
如果你丢失了星图，你可以举行一场为时一小时的仪式来使用魔法创造一个替代品。这一仪式可以在一场短休或长休时举行，并会摧毁先前的星图</t>
  </si>
  <si>
    <t>知己知彼</t>
  </si>
  <si>
    <t>第7级起，你在战斗外观察某生物或与之交互至少1分钟后，可以获知有关其能力的一些情报。从下列选项中选择其二，DM将告诉你在这两项上你是强于该生物，弱于该生物，或是与之相仿
力量值
敏捷值
体质值
护甲等级
当前生命值
总职业等级（如果有）
战士职业等级（如果有）</t>
  </si>
  <si>
    <t>你可以消耗6点气施展法术寒冰锥</t>
  </si>
  <si>
    <t>超然抗性</t>
  </si>
  <si>
    <t>第15级起，你获得对非魔法武器的钝击、刺穿、挥砍伤害的抗性</t>
  </si>
  <si>
    <t>幽域追踪者魔法</t>
  </si>
  <si>
    <t>第3级起，你学会以下法术，这些法术不占用你的游侠已知法术且被你视为巡林客法术
第3级时：易容术
第5级时：魔绳术
第9级时：恐惧术
第13级时：高等隐形术
第17级时：伪装术</t>
  </si>
  <si>
    <t>梦幻舞步</t>
  </si>
  <si>
    <t>第3级起，在你的回合，如果你对一个生物进行一次近身攻击，那个生物在你回合剩下的时间内无法对你进行借机攻击</t>
  </si>
  <si>
    <t>风暴之心</t>
  </si>
  <si>
    <t>第6级起，你对闪电和雷鸣伤害具有抗性。每当你施展一个1环或以上且造成闪电或雷鸣伤害的法术时，猛烈的魔法从你身体内爆发而出。这次爆发导致所有10尺内你选择的可见生物（每次使用此能力都指定），都承受等于你术士等级一半的闪电或雷鸣伤害</t>
  </si>
  <si>
    <t>你可以在不消耗法术位的情况下使用操纵死尸。每当你这么做时，你不能再次以这种形式使用该法术直到你完成一次长休</t>
  </si>
  <si>
    <t>不死奴仆</t>
  </si>
  <si>
    <t>第6级起，将法术操纵死尸加入法术书。施展操纵死尸时，你可以指定额外的一具尸体或一堆骸骨以创造一个额外的僵尸或骷髅，并按法术详述进行设定
此外，每当你用死灵系法术创造不死生物时，这些生物还可以获得以下增益：
其生命值上限增加，数值等于你的法师等级
其武器的伤害掷骰可以加上你的熟练加值</t>
  </si>
  <si>
    <t>坚固要塞</t>
  </si>
  <si>
    <t>第15级起，你和你的盟友在距离炮台不到10尺的地方有半身掩护
你现在同时拥有二个炮台，你能以一个动作同时制造两台炮台（但使用法术位制造时，每个炮台都要一个法术位），此外，你能够以一个附赠动作来同时激活两个炮台。这二个炮台可以是不同的类型。你在拥有两个炮台时，不能制造第三个炮台</t>
  </si>
  <si>
    <t>剑圣宗</t>
  </si>
  <si>
    <t>游侠伴侣</t>
  </si>
  <si>
    <t>第3级起，当处于狂暴时，你可以选择一个处于灵光中且你能看到的其他生物。目标必须通过一个敏捷豁免，否则受到1d6闪电伤害，豁免成功则伤害减半
豁免DC等于8+你的熟练加值+你的体质调整
10级起，2d6闪电伤害；15级起，3d6闪电伤害；20级时，4d6闪电伤害</t>
  </si>
  <si>
    <t>高潮乐章</t>
  </si>
  <si>
    <t>第14级起，当你使用造物表演特性创造物品时，你能一次创造的物品数量等于你的魅力调整值（最低为两件物品）。如果同时创造的物品总数超过了这个数值，那么你可以选择你先前创造的物品中的哪几件将会消失不见。你所创造的物品中只有一件可以达到你创造物品的大小峰值，其他的必须是小型或者微型
你的创造表演特性不再有使用所创造物品的价值限制</t>
  </si>
  <si>
    <t>诡术领域法术</t>
  </si>
  <si>
    <t>第1级时：魅惑人类、易容术
第3级时：镜影术、行动无踪
第5级时：闪现术、解除魔法
第7级时：任意门、变形术
第9级时：支配人类、篡改记忆</t>
  </si>
  <si>
    <t>星耀形态</t>
  </si>
  <si>
    <t>第2级时，以一个附赠动作，你可以消耗一次荒野形态使用次数以呈现一个星耀形态
当处于星耀形态时，你保留你的游戏数据，但你的身体变得明亮；你的关节星光熠熠并有如星图一般由亮线连接。这一形态散发出10尺范围明亮光照以及其外10尺范围昏暗光照。这一形态持续10分钟。如果你解除它（无需动作）、失能、死亡、或再次使用此特性，它就会提前结束
每当你化身星耀形态，选择以下哪个星座在你身上闪耀；你的选择为你在形态中获得特定好处：
射手座：一个弓箭手星座于你身上浮现。当你激活这个形态时，你可以在它持续的后续回合使用一个附赠动作进行一次远程法术攻击，对你60尺内的一个生物射出一发光箭。命中时，此次攻击造成的光耀伤害等同于1d8+你的感知调整值
圣杯座：一个予命圣杯星座于你身上浮现。每当你使用法术位施展恢复生物生命值的法术，你或你30尺内的另一生物可以回复等同于1d8+你的感知调整值的生命值
巨龙座：一个智龙星座于你身上浮现。当你进行一次智力或感知检定或是进行一次体质豁免来维持法术专注时，你可以将d20中10以下的骰值视为10</t>
  </si>
  <si>
    <t>精通卓越战技</t>
  </si>
  <si>
    <t>第10级起，你的卓越骰变为d10。第18级起，你的卓越骰变为d12</t>
  </si>
  <si>
    <t>你可以消耗5点气对自身施展石肤术</t>
  </si>
  <si>
    <t>恐惧之王</t>
  </si>
  <si>
    <t>第20级时，以一个动作，你可以使自己在1分钟内环绕于阴郁的灵光中。该灵光可以周边30尺半径的亮光光照减弱为微光光照。任何受你恐慌的敌人在该灵光内开始其自己回合时将受到4d10的心灵伤害。此外，你和指定的身处灵光中的生物都将笼罩于更深的幽影中。依赖视觉的生物对笼罩于该幽影中的生物发动攻击检定时具有劣势
灵光持续时，你可以在自己回合内用一个附赠动作。对令该灵光内的一个目标发动一次近战法术攻击。若攻击命中，则该目标受到的黯蚀伤害等于3d10+你的魅力调整值
激活该灵光后，必须完成一次长休才能再次使用该特性</t>
  </si>
  <si>
    <t>恐惧奇兵</t>
  </si>
  <si>
    <t>第3级起，你获得一个等同于你的感知调整值的加值在你的先攻投上
在每一场战斗的你的第一个回合的开始，你的移动速度增加10尺，直到那个回合结束。如果你在那个回合进行攻击动作，你可以做一次额外的武器攻击作为那一个动作的一部分。如果那次攻击命中，目标受到额外1d8的武器伤害</t>
  </si>
  <si>
    <t>胆大无畏</t>
  </si>
  <si>
    <t>第3级起，你将你的魅力调整值加入你的先攻掷骰值
你也可以通过一种额外的方式来使用偷袭攻击：只要你在目标生物周围5尺内，并且没有其他生物在你5尺内，你的攻击检定也没有劣势，你就可以无需攻击检定的优势对目标生物进行偷袭。其他所有关于偷袭的规则依然适用于你</t>
  </si>
  <si>
    <t>风暴导向</t>
  </si>
  <si>
    <t>第6级起，你获得对你周边气象的微妙掌控：
如果正在下雨，你可以用一个动作，使你身边20尺半径的范围停止下雨。你可以以一个附赠动作终止这一效果
如果正在刮风，你可以每轮以一个附赠动作掌控你身边一百尺半径范围的风向。风会保持吹往你指定的方向，直到你的下一个行动轮。你无法改变风速</t>
  </si>
  <si>
    <t>你可以消耗你的邪术师法术位施展一个强迫术。你必须完成一次长休才能再次使用该特性</t>
  </si>
  <si>
    <t>不死适应</t>
  </si>
  <si>
    <t>第10级起，你对黯蚀伤害具有抗性，且你的生命值上限不会被降低</t>
  </si>
  <si>
    <t>第3级时，你获得铁匠工具的熟练。如果你已经拥有此熟练，你能获得另一种任意工匠工具的熟练</t>
  </si>
  <si>
    <t>日魂宗</t>
  </si>
  <si>
    <t>第3级起，当处于狂暴时，灵光中每个你选择的生物获得2点临时生命
5级起，3点临时生命；10级起，4点临时生命；15级起，5点临时生命；20级时，6点临时生命</t>
  </si>
  <si>
    <t>呢喃指引</t>
  </si>
  <si>
    <t>第3级起，你习得神导术戏法，且不计入你已习得的吟游诗人戏法数量。对你来说，当你施展神导术时，其施法距离为60尺</t>
  </si>
  <si>
    <t>诡术祝福</t>
  </si>
  <si>
    <t>第1级起，你可以用你的动作触碰处你自身之外的一个自愿目标，并使他在进行敏捷（隐匿）检定时具有优势。该祝福持续1小时或直至你再次使用该特性为止</t>
  </si>
  <si>
    <t>宇宙预兆</t>
  </si>
  <si>
    <t>第6级起，每当你完成一次长休，你可以参照你的星图来寻找预兆。当你这样做时，掷一个骰子。直到你完成下一次长休，你获得一个基于此掷骰结果奇偶性的特殊反应。
吉兆（奇数）：每当你30尺内可见的一个生物进行一次攻击检定，豁免检定或属性检定，你可以使用你的反应来骰一个d6并将骰值加到检定结果中
凶兆（偶数）：每当你30尺内可见的一个生物进行一次攻击检定，豁免检定或属性检定，你可以使用你的反应来骰一个d6并将骰值从检定结果中减去
你可以使用你的反应次数等于你的熟练加值，且在你完成一次长休后会恢复所有已消耗使用次数</t>
  </si>
  <si>
    <t>坚韧</t>
  </si>
  <si>
    <t>第15级起，你骰先攻时若没可用的卓越骰，则你获得1枚卓越骰</t>
  </si>
  <si>
    <t>你可以消耗5点气施展火墙术</t>
  </si>
  <si>
    <t>王冠圣誓法术</t>
  </si>
  <si>
    <t>第3级时：命令术、强令对决
第5级时：守护之链、诚实之域
第9级时：活力灵光、灵体卫士
第13级时：放逐术、信仰守卫
第17级时：原力法阵、指使术</t>
  </si>
  <si>
    <t>阴影视野</t>
  </si>
  <si>
    <t>第3级起，你获得60尺黑暗视觉。如果你已经从种族特性中获得了黑暗视觉，它的范围增加30尺
另外，在黑暗中，你对于任何靠黑暗视觉观察你的角色是隐形的</t>
  </si>
  <si>
    <t>潇洒气质</t>
  </si>
  <si>
    <t>第9级起，你可以用一个动作进行一次魅力（游说）检定来对抗一个生物的感知（洞悉）检定。目标生物必须能听到你的声音，并且你们两个必须会同一种语言
如果那个生物是敌对的并且你的检定成功，它对除你之外的其他目标攻击取劣势，并且不能对除你之外的目标进行借机攻击。这个效果持续1分钟，或你的队友攻击/用法术影响了这个目标，或你移动到远离目标60尺外为止
如果那个生物不是敌对的并且你的检定成功，它被你魅惑1分钟。当它被魅惑时，它认为你是一个友好的熟人。这个效果会在你或者你的队友做出任何对他有害的行为之后立即结束</t>
  </si>
  <si>
    <t>暴风狂怒</t>
  </si>
  <si>
    <t>第14级起，每当你在一次近战攻击中被命中，你可以用你的反应动作对攻击者造成等于你术士等级的闪电伤害。此外，攻击者必须进行一次力量豁免，DC等于你的术士法术豁免。一旦豁免失败，攻击者将被直线推开20尺</t>
  </si>
  <si>
    <t>你可以消耗你的邪术师法术位施展一个困惑术。你必须完成一次长休才能再次使用该特性</t>
  </si>
  <si>
    <t>命令亡灵</t>
  </si>
  <si>
    <t>第14级起，以一个动作，你可以指定一个在距你60尺内你能看见的不死生物。该生物必须进行一次对抗你法师法术豁免DC的魅力豁免。若豁免成功，则你将不能对该生物再次使用此特性。若豁免失败，则该生物变为对你友善，并服从你的命令，直至你再次使用此特性
以该方式操纵智慧不死生物要更难一些。如果目标的智力值不低于8，则它在进行该豁免时具有优势。而智力不低于12的不死生物，即使其豁免失败也可以每小时重掷豁免，直至其豁免成功并挣脱你的控制</t>
  </si>
  <si>
    <t>战地匠师法术</t>
  </si>
  <si>
    <t>第3级起，当你获得表中所对应的战地匠师等级时，你将同时习得列出的法术。这些法术将会一直在你的准备法术列表中，且不计入你的每日准备法术上限
第3级起：英雄气概、护盾术
第5级起：印记斩、守护之链
第9级起：活力灵光、召唤箭雨
第13级起：净化灵光、火焰护盾
第17级起：放逐斩、群体疗伤术</t>
  </si>
  <si>
    <t>命流宗</t>
  </si>
  <si>
    <t>巨灵宗主扩展法术</t>
  </si>
  <si>
    <t>第6级起，获得增益。增益效果基于你选择风暴灵光的环境类型</t>
  </si>
  <si>
    <t>精魂法器</t>
  </si>
  <si>
    <t>第3级起，以下物品可作为你施展吟游诗人法术的法器：一根蜡烛、一个水晶球、一个头骨、一个通灵板或者一副塔罗卡牌
第6级起，当你通过精魂法器施放一个造成伤害或恢复生命的吟游诗人法术时，投一枚d6，你在该法术的一次伤害或治疗掷骰中获得等同于该d6掷骰结果的加值</t>
  </si>
  <si>
    <t>引导神力-召唤分身</t>
  </si>
  <si>
    <t>第2级起，你可以用一个动作创造一个完美的自身幻象。该幻象持续存在一分钟，或直至你失去对该特性的专注（等同于专注一个法术）。该幻象出现在你身边30尺内一个你能看见且未被占据的空间。你在自己回合内可以用一个附赠动作让该幻象移动至多30尺到某个你能看见的地方，但其必须始终保持离你120尺以内
在幻象持续期间，你可以从幻象所在位置施展法术，但仍必须使用你自己的感官。当你和幻象都在同一个目标身边5尺内，且该目标可以看见幻象时，由于幻象对目标造成的干扰，你对该目标发动攻击而进行的攻击检定具有优势</t>
  </si>
  <si>
    <t>闪耀星座</t>
  </si>
  <si>
    <t>第10级起，你的星耀形态星座增强了。射手座和圣杯座的1d8变成了2d8，而且在巨龙座激活时，你获得20尺飞行速度并且可以悬浮
此外，在星耀形态下的每回合开始时，你可以改变身上闪耀的星座</t>
  </si>
  <si>
    <t>施法-战士</t>
  </si>
  <si>
    <t>你学会以武斗技术施展法术的能力</t>
  </si>
  <si>
    <t>你可以消耗6点气施展石墙术</t>
  </si>
  <si>
    <t>引导神力-捍卫挑战</t>
  </si>
  <si>
    <t>第3级起，以一个附赠动作，你可以选择30尺内任意数量你可以看见的生物，他们每一个都必须要通过一次感知豁免。如果豁免失败，那个生物将不能自愿从你周围30尺范围离开。如果你死亡，或者你失能，或者生物与你距离超过30尺，则此效果终结
豁免DC等于你的圣武士法术豁免DC</t>
  </si>
  <si>
    <t>钢铁意志</t>
  </si>
  <si>
    <t>第7级起，你获得感知豁免熟练。如果你已经有这项熟练，你可以获得智力或者魅力豁免熟练（取决于你）来代替</t>
  </si>
  <si>
    <t>优雅战技</t>
  </si>
  <si>
    <t>第13级起，你可以在你的回合用一个附赠动作来获得在同一回合中下一个敏捷（体操）或力量（运动）检定的优势</t>
  </si>
  <si>
    <t>清风之灵</t>
  </si>
  <si>
    <t>第18级起，你获得60尺飞行速度，且免疫闪电与雷鸣伤害
以一个动作，你可以将你的飞行速度降低到30尺，持续一小时。当你这么做时，你可以指定在你身边30尺内的，3+你的魅力调整值个生物。这些被选定的生物获得30尺飞行速度，持续1小时。你必须完成一次短休或长休才能再次使用该特性</t>
  </si>
  <si>
    <t>你可以消耗你的邪术师法术位施展一个变形术。你必须完成一次长休才能再次使用该特性</t>
  </si>
  <si>
    <t>变化学者</t>
  </si>
  <si>
    <t>第2级起，你向法术书中抄写变化系法术的时间和金钱花费减半</t>
  </si>
  <si>
    <t>战斗准备</t>
  </si>
  <si>
    <t>第3级起，你得到军用武器的熟练。
当你以魔法武器攻击时，你可以在攻击和伤害检定使用智力调整值，以代替力量或敏捷</t>
  </si>
  <si>
    <t>星我宗</t>
  </si>
  <si>
    <t>装甲型号</t>
  </si>
  <si>
    <t>第6级起，你得到对火焰伤害的抗力，并不会受到极端高温的效果影响。此外，以一个动作，你可以触摸一个没有被他人穿戴或携带的易燃物体，并且点燃它</t>
  </si>
  <si>
    <t>彼岸故事</t>
  </si>
  <si>
    <t>第3级起，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你可以使用一个动作选择30尺内一个你能够看到的生物（可以是你自身）作为故事效果所影响的目标。一旦这样做之后，在下一次投掷故事表以前，你都无法再次使用此故事的效果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如果故事的效果需要进行豁免，其DC为你的法术豁免DC
1：</t>
  </si>
  <si>
    <t>引导神力-幽影斗篷</t>
  </si>
  <si>
    <t>第6级起，你可以用一个动作变成隐形状态，该状态将持续至你的下一回合结束。当你攻击或施法时，将随即显形</t>
  </si>
  <si>
    <t>灿若繁星</t>
  </si>
  <si>
    <t>第14级起，当你处于星耀形态时，你的身体部分无实质化，使你对钝击，穿刺和劈砍伤害具有抗性</t>
  </si>
  <si>
    <t>戏法-战士</t>
  </si>
  <si>
    <t>第3级时，你选择两项法师法术列表中的戏法作为已知法术
第10级时，你再获得一个额外的法师戏法</t>
  </si>
  <si>
    <t>往生咒</t>
  </si>
  <si>
    <t>第3级起，当你使一个5尺距离内的生物生命值下降到0点时，你得到你的感知调整值+武僧等级的临时生命值（最小1点）</t>
  </si>
  <si>
    <t>引导神力-扭转局势</t>
  </si>
  <si>
    <t>第3级起，以一个附赠动作，你可以选择你周围30尺内任意数量可以听见你说话的生物，如果他们生命值在一半以下，他们将立即恢复1d6+你的魅力调整值（最小为1点）的生命值</t>
  </si>
  <si>
    <t>追猎如风</t>
  </si>
  <si>
    <t>第11级起，你的每个回合一次，当你的一次武器攻击未命中时，你可以做出另一次武器攻击作为同一动作的一部分</t>
  </si>
  <si>
    <t>决斗大师</t>
  </si>
  <si>
    <t>第17级起，如果你的一次攻击失手，你可以选择以优势再投一次攻击骰。你必须完成一次短休或长休才能再次使用该特性</t>
  </si>
  <si>
    <t>灵能法术</t>
  </si>
  <si>
    <t>第1级起，当你获得表中所对应的术士等级时，你将同时习得这些法术，这些法术对你而言视为术士法术，但不包含在“术士职业表”上“已知法术”一栏的所记录的数量之内
如果你以后替换了这些法术，你必须用术士、魔导士或法师的法术列表来替换它
第1级时：哈达之臂、不谐低语、心灵之楔
第3级时：安定心神、侦测思想
第5级时：哈达之欲、短讯术
第7级时：艾伐黑触手、异怪召唤术
第9级时：拉瑞心灵联结、心灵遥控</t>
  </si>
  <si>
    <t>以一个动作，你得到看穿30尺范围的固态物体的能力。这种特殊的视觉持续1分钟，或直到你的专注终止（如同你专注于一个法术）。在此期间，你观察物体所看到的是影子般的、透明的画面
你必须完成一次短休或长休才能再次使用该特性</t>
  </si>
  <si>
    <t>次级炼金</t>
  </si>
  <si>
    <t>第2级起，你可以暂时转变一件非魔法物件的物理属性，将其构成材料变成另一种物质。你对一件物件施行某些特殊的炼金程序使其完成转化，该物件必须完全由木材，石头（不包括宝石），钢铁，铜，或者白银制成，而后你可以将其变为上述材质中的另一种。你每花费10分钟施行该程序，就可以转变1立方尺的物质。1小时后，或者当你的专注中断时（其规则等同于进行法术专注），材质就会复原</t>
  </si>
  <si>
    <t>钢铁守卫</t>
  </si>
  <si>
    <t>第3级起，你可以创造一个钢铁守卫。它对你和你的同伴友好，并且服从你的命令。它的数据中某几项会适用你的熟练加值。该生物的外观由你决定
在战斗中，钢铁守卫使用你的先攻，并且在你的回合后立即行动。它能自由移动和执行反应，但除非你以一个附赠动作命令它进行数据中列出的动作或其他动作，否则它在回合中只能进行闪避动作。如果你失能，钢铁守卫可以进行任何动作，而不仅仅是闪避
如果你对钢铁守卫施放修复术，它将恢复2d6生命值。如果它在最近一小时内死亡，你能够以一个动作使用铁匠工具花费一个至少1环的法术位来在距离你5尺的空格内复活它。钢铁守卫会在1分钟后复活，在复活时会回满生命值
当你在手头有铁匠工具的情况下完成一次长休时，你可以创造一个新的钢铁守卫。如果你已经通过此特性拥有一个钢铁守卫，则上一个会立即消失。如果你死亡，钢铁守卫会随之损毁
钢铁守卫
中型构装体
护甲等级：15(天生护甲)
生命值：2+你的智力调整值+5×你的奇械师等级（野兽具有你奇械师等级数量的生命骰[d8]）
速度：40尺速度
力量14（+2）
敏捷12（+1）
体质14（+2）
智力4（-4）
感知10（+0）
魅力6（-2）
豁免：敏捷：1+熟练加值；体质：2+熟练加值
技能：运动：2+熟练加值；察觉：2×熟练加值
伤害免疫：毒素
状态免疫：魅惑、力竭、中毒
感官能力：60尺黑暗视觉，被动察觉10+2×熟练加值
语言能力：能听懂你所说的语言
熟练加值：与你等同
警惕：钢铁守卫不会被突袭
动作：
力场动能撕扯：近战武器攻击：使用你的法术攻击调整值，触及5尺，可以攻击你能看到的单一目标，造成1d8+熟练加值的力场伤害
修理（3次/天）：能够为钢铁守卫本身或距离其5尺内的构装体或物品恢复2d8+熟练加值的生命值
反应：
偏转攻击：当距离钢铁守卫5尺内的一个可见生物对钢铁守卫以外的生物进行攻击时，钢铁守卫能迫使此次攻击承受劣势</t>
  </si>
  <si>
    <t>神龙宗</t>
  </si>
  <si>
    <t>第6级起，你得到对闪电伤害的抗力，并能在水下呼吸。你还获得了30尺的游泳速度</t>
  </si>
  <si>
    <t>精魂集会</t>
  </si>
  <si>
    <t>第6级起，你可以进行一个小时的仪式，使用精魂法器来与精魂们沟通（这可以在短休或长休中进行）。你可以召集等同于你熟练加值数目的自愿生物来参与仪式（包括你自己）。仪式结束时，你可以从任意职业的法术列表中选择一个法术，你暂时性地习得该法术
你习得的法术的环级需小于或等于参加仪式的生物数目，该法术必须为预言或死灵学派，并且必须是你可以施放的环级的法术。该法术对你而言是诗人法术，但不计入你已知的诗人法术数量中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</si>
  <si>
    <t>第8级起，你在每个自己回合里有一次机会，可以在用武器攻击命中某生物时使该攻击额外造成1d8点毒素伤害。第14级起，该伤害提升到2d8</t>
  </si>
  <si>
    <t>第2级起，你学会野火结社法术
结社法术一旦获得，将会一直在你的已准备法术列表中，且不计入你的每日准备法术上限。任何结社法术对你而言都是德鲁伊法术，而不论其是否在德鲁伊法术列表之上
第2级时：燃烧之手、疗伤术
第3级时：炽焰法球、灼热射线
第5级时：植物滋长、回生术
第7级时：生命灵光、火焰护盾
第9级时：焰击术、群体疗伤术</t>
  </si>
  <si>
    <t>法术位-战士</t>
  </si>
  <si>
    <t>“奥法骑士施法能力”表中列出了你用以施展你的法师法术的1环及更高环阶法术位数量。施展某个法师法术时，你必须同时消耗其对应环阶的法术位。已消耗的法术位可在完成长休后恢复</t>
  </si>
  <si>
    <t>索命镰</t>
  </si>
  <si>
    <t>第6级起，以一个动作，你使距离你30尺内的所有能看见你的生物立即进行一次感知豁免。若豁免失败，他们将对你恐慌直到你的下回合结束
豁免DC＝8+你的熟练加值+你的感知调整值</t>
  </si>
  <si>
    <t>神圣誓忠</t>
  </si>
  <si>
    <t>第7级起，如果一个在你周围5尺内的生物受到伤害，你可以使用你的反应魔法地代替目标生物承受这一次伤害，使目标不再受伤。你不能用任何方式减少或者阻止这个伤害</t>
  </si>
  <si>
    <t>暗影闪避</t>
  </si>
  <si>
    <t>第15级起，无论何时一名角色对你做出一次攻击投掷且那次投掷没有优势，你都能用反应对其施加劣势。你必须在知道攻击投掷的结果之前使用该特性</t>
  </si>
  <si>
    <t>亡者余声</t>
  </si>
  <si>
    <t>第3级起，每当你完成一次短休或长休时，你可以选择一项你没有熟练的工具或者技能并且获得该熟练，当你用这个能力来选择一项不同的熟练时，你会失去原来的熟练项</t>
  </si>
  <si>
    <t>传心谈话</t>
  </si>
  <si>
    <t>第1级起，以一个附赠动作，你可以选择30尺内一个你可见的生物，只要你与其距离的里数不超过你的魅力调整值（至少1里），你与其能够通过心灵感应方式进行交流。你们必须使用对方知晓的语言进行心灵交流才能使其理解你通过心灵感应传达的话语
心灵感应的链接持续等同于你术士等级的分钟数。当你失能或死亡，或你使用此能力与其他生物构建链接时，其提前结束</t>
  </si>
  <si>
    <t>你的诅咒为你和你的目标间建立了短暂的链接。以一个附赠动作，你可以魔法性质地传送到诅咒目标5英尺以内的、你能看到的未占据空间，传送距离最多30英尺。为了实现此方式的传送，你必须可以看到诅咒目标
先决条件：降咒法术或进行诅咒的邪术师特性</t>
  </si>
  <si>
    <t>变化师之石</t>
  </si>
  <si>
    <t>第6级起，你可以花费8小时时间创造一颗储存着变化魔力的变化师之石。你可以自己保有石头获得其增益或将其赠予别人。持有变化师之石的生物将从中获得你所选择的增益。在创造变化师之石时，选择下述效应其一：
60尺黑暗视觉
该生物未处于重载时，其速度提升10尺
具有体质豁免检定的熟练项
具有对强酸、冷冻、闪电、火焰、雷鸣伤害之一的抗性（每当你选择该增益时自选一种伤害类型）
你自己持有变化师之石时，你每施展一个1环或更高环阶变化系法术，都可以改变你的变化师之石所带的效应
你创造了一颗新的变化师之石后，原有的石头便会失效</t>
  </si>
  <si>
    <t>第6级起，你得到对寒冷伤害的抗力，并不会受到极端低温的效果影响。此外，以一个动作，你可以触摸水并且把5立方尺的水冻结成冰，这种冰将会在1分钟后融化。如果有生物处于该立方空间中，你的行动将会失败</t>
  </si>
  <si>
    <t>神秘连接</t>
  </si>
  <si>
    <t>第14级起，在使用彼岸故事特性时，你可以掷骰两次，自选其中一个效果使用。如果两次掷骰结果相同，则你此次可以忽略掷骰结果，并从表中任选一个效果使用</t>
  </si>
  <si>
    <t>精通分身</t>
  </si>
  <si>
    <t>第17级起，你使用召唤分身时可以同时制造至多四个自身的幻象分身而非一个。作为你自己回合内的一个附赠动作，你可以让任意数量的该分身移动至多30尺到某个你可以看见的地方，但幻象必须始终保持离你120尺之内</t>
  </si>
  <si>
    <t>召唤野火精魂</t>
  </si>
  <si>
    <t>第2级起，以一个动作，你可以消耗一次荒野形态使用次数召唤你的野火精魂
精魂出现在你所选择的距离你30尺内未被占据的可见空间内。每个精魂10尺内的生物（除你之外）在它出现时都必须成功一次对抗你法术豁免DC的敏捷豁免否则受到2d6火焰伤害
野火精魂对你与你的同伴保持友善并遵从你的命令。由你来决定精魂的外形
在战斗中，野火精魂与你使用同一先攻，但在你的回合之后紧接着行动。它仅能使用回避动作，除非你使用一个附赠动作命令它采取其他动作。那个动作可以是其资料表上的一个，也可以是其他动作。如果你陷入失能，精魂可以采取任何它选择的动作，不只是回避
野火精魂持续存在1小时，直到其生命值降低至0，或直到你再次使用此特性召唤此精魂，或直到你死亡
野火精魄
小型元素
护甲等级：13(天生护甲)
生命值：10+5×你的德鲁伊等级
速度：30尺速度，30尺飞行速度（悬浮）
力量10（+0）
敏捷14（+2）
体质14（+2）
智力13（+1）
感知15（+2）
魅力11（+0）
伤害免疫：火焰
状态免疫：魅惑，恐慌，擒抱，倒地，束缚
感官能力：60尺黑暗视觉，被动察觉12
语言能力：能听懂你所说的语言
熟练加值：与你等同
动作：
火种：远程武器攻击：使用你的法术攻击调整值，射程60尺，可以攻击你能看到的目标，造成1d6+熟练加值的火焰伤害
烈焰传送：精魂与每个在其5尺内你所选择的自愿生物传送至15尺内你可见的未被占据的空间。随后每个处于精魂离开空间5尺范围内的生物必须成功通过对抗你法术豁免DC的敏捷豁免，否则受到1d6+熟练加值的火焰伤害</t>
  </si>
  <si>
    <t>已知法术-战士</t>
  </si>
  <si>
    <t>你从法师法术列表中选择三个1环法术作为已知法术
“奥法骑士施法能力”中“已知法术”一栏记录了你获得更多已知法术时的相应等级
你只能选择防护系或塑能系法术，且只能获取已有相应环阶法术位的法术
另外，你每提升一个战士等级，可以从法师法术列表中选择一个新法术来代替一个已知法术列表中的旧法术，不过你必须已有新法术的相应环阶法术位
在第8、14和20级，你可以学习任何学派的法术</t>
  </si>
  <si>
    <t>握生死</t>
  </si>
  <si>
    <t>第11级起，每次你的生命值下降为0，你可以花费1点气（无需任何动作）使自己保留1点生命值</t>
  </si>
  <si>
    <t>顽强精神</t>
  </si>
  <si>
    <t>第15级起，你进行对抗震慑和麻痹的豁免时具有优势</t>
  </si>
  <si>
    <t>边界行者魔法</t>
  </si>
  <si>
    <t>第3级起，你学会以下法术，这些法术不占用你的游侠已知法术且被你视为巡林客法术
第3级时：防护善恶
第5级时：迷踪步
第9级时：加速术
第13级时：放逐术
第17级时：传送法阵</t>
  </si>
  <si>
    <t>墓穴惊嚎</t>
  </si>
  <si>
    <t>第3级起，当你在你的回合对于一个生物造成了偷袭伤害之后，你可以立即选择该生物30尺内第二个可见生物，掷你一半的偷袭骰（向上取整），对其造成等同于结果的暗蚀伤害
你可以使用此特性的次数等同于你的熟练加值，当你完成一次长休时恢复所有使用次数</t>
  </si>
  <si>
    <t>灵能术法</t>
  </si>
  <si>
    <t>第6级起，当你施放一个你通过灵能法术特性知晓的法术时，你可以改为使用等同于该法术环数数量的术法点而非消耗法术位施放该法术。你依然可以用法术位正常施放这些法术
当你通过此能力施放法术时，你无视该法术施法需要的语言成分或姿势成分。你同时无视该法术需要的不会消耗的材料成分</t>
  </si>
  <si>
    <t>你可以对自己施展一次行动自如法术，而无需消耗法术位。你必须完成一次长休才能再次使用该特性</t>
  </si>
  <si>
    <t>第10级起，你将变形术加入法术书。你可以无需消耗法术位的施展变形术。此时，你可以指定的目标将限定为你自身，而其效应为变成一种挑战等级不高于1的野兽
你以该方式施展变形术后，必须完成一次短休或长休才能再次使用该特性，但仍可正常消耗法术位地施展变形术</t>
  </si>
  <si>
    <t>奥能震荡</t>
  </si>
  <si>
    <t>第9级起，当你使用魔法武器或指挥钢铁守卫命中目标时，你可以将奥术能量引导至攻击中，以获得以下一种效应：
目标受到额外的2d6力场伤害
选择距离目标30尺以内的一个可见生物或物体。为其恢复2d6生命值
你可以引导奥术能量的次数等同于你的智力调整值（至少1次），但每回合只能这么做一次。在你完成长休时，恢复所有可用次数</t>
  </si>
  <si>
    <t>风暴之盾</t>
  </si>
  <si>
    <t>第10级起，当处于狂暴时。处于你灵光内的、你选择的生物得到你的风暴之魂特性所带来的伤害抗力</t>
  </si>
  <si>
    <t>战争领域法术</t>
  </si>
  <si>
    <t>第1级时：神恩、虔诚护盾
第3级时：魔化武器、灵体武器
第5级时：十字军披风、灵体卫士
第7级时：行动自如、石肤术
第9级时：焰击术、怪物定身术</t>
  </si>
  <si>
    <t>强化链接</t>
  </si>
  <si>
    <t>第6级起，当你在野火精魂处于召唤状态下施展一个造成火焰伤害或回复生命值的法术时，骰一个d8，你在该法术的一次掷骰时获得等同于骰出数值的加值
此外，当你施展一个射程非自身的法术时，该法术可以源自你或你的野火精魂</t>
  </si>
  <si>
    <t>施法关键属性-战士</t>
  </si>
  <si>
    <t>长眠触</t>
  </si>
  <si>
    <t>第17级起，以一个动作，你触碰一个5尺内的生物，同时花费1到10点气。目标必须进行一次体质豁免，若失败将受到每点被耗费的气2d10的黯蚀伤害。成功通过豁免可以使这个伤害降低到一半
豁免DC＝8+你的熟练加值+你的感知调整值</t>
  </si>
  <si>
    <t>崇高卫士</t>
  </si>
  <si>
    <t>第20级时，你可以用一个动作在接下来1个小时里得到如下好处：
你抵抗由非魔法武器造成的钝击、穿刺和挥砍伤害
在你30尺距离内的盟友在进行死亡豁免时具有优势
你和你30尺距离内的盟友在感知豁免上具有优势
如果你死亡或者进入失能状态，这个效果将提前结束。你必须完成一次长休才能再次使用该特性</t>
  </si>
  <si>
    <t>侦测传送门</t>
  </si>
  <si>
    <t>第3级起，以一个动作，你侦测1英里的范围内离你最近的传送门的距离和方向。你必须完成一次短休或长休才能再次使用该特性</t>
  </si>
  <si>
    <t>逝者遗物</t>
  </si>
  <si>
    <t>第9级起，当你30尺内一个可见生物死亡时，你可以以一个反应张开一只空手，使得一个微型的饰物出现在你的掌心，那是一个魂器。DM决定魂器的外观或者让你骰玩家手册中的饰品表来决定。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若你如此做，你可以向与魂器相关的灵体一个问题。灵体将出现在你面前并以它生前所知的一种语言回答。它并无义务对你诚实，并由于其对自由的渴望将回答地尽量简略。DM应当决定在这个灵体只知道他生前所知</t>
  </si>
  <si>
    <t>心灵防御</t>
  </si>
  <si>
    <t>第6级起，你对心灵伤害具有抗性。此外，你在对抗魅惑或恐慌的豁免检定上获得优势</t>
  </si>
  <si>
    <t>当佩戴者在一次豁免检定中失败，他们可以在骰掷结果上增加一个d4骰，这可能将结果变为成功。这一能力可使用的次数等于你的熟练加值，且所有已消耗的次数将会在你完成一次长休之后全部恢复
先决条件：符之魔契</t>
  </si>
  <si>
    <t>变化宗师</t>
  </si>
  <si>
    <t>第14级起，你可以用你的动作将储存在你变化师之石中的变化魔力一次耗尽。此时你可以选择下述效应之一。你的变化师之石将因此被毁，而你必须完成一次长休后才能再创作新的变化师之石头
高等转化：你可以将一件不大于5尺立方的非魔法物件变成体积和质量相近，价值等同或更低的另一件非魔法物件。你必须花10分钟来完成转化
万灵秘药：你用变化师之石触碰一个生物，移除其身上生效的所有诅咒、中毒以及疾病效应，同时恢复该生物的全部生命值
起死回生：你用变化师之石触碰一个生物，并以此对其施展法术死者复活，而无需消耗任何法术位，也不需要法术书中有该法术
返老还童：你用变化师之石触碰一个自愿的生物，并将该生物的表面年龄减少3d10年（至少减少13年的表面年龄）。不过该效应并不能延长生物的寿命</t>
  </si>
  <si>
    <t>改良守卫</t>
  </si>
  <si>
    <t>第15级起，你的奥能震荡和钢铁守卫变得更强：
奥能震荡的额外伤害和生命恢复变为4d6
你的钢铁守卫AC+2
当你的钢铁守卫使用偏转攻击时，攻击者受到1d4+你的智力调整值的力场伤害</t>
  </si>
  <si>
    <t>第14级起，强化你的愤怒风暴</t>
  </si>
  <si>
    <t>额外熟练项-牧师</t>
  </si>
  <si>
    <t>灼烧烈焰</t>
  </si>
  <si>
    <t>第10级起，当一个小型或更大生物在你或你的野火精魂30尺内死亡时，无害幽火从其死亡生物空间中涌现并在此处摇曳1分钟。当一个你可见的生物进入该空间时，你可以用反应扑灭那里的幽火并对该生物进行治疗或火焰伤害。伤害或治疗数值等于2d10+你的感知调整值
你能使用该特性的次数等于你熟练加值，你在完成一次长休后会恢复所有已消耗使用次数</t>
  </si>
  <si>
    <t>武器联结</t>
  </si>
  <si>
    <t>第3级起，你习得一种让你和你的武器建立魔法联结的仪式。仪式耗时1小时，且可在短休时进行。仪式过程中武器必须在你的触及范围内，直至仪式结束前，你都要碰触该武器以完成联结
联结建立后，只要你不处于失能状态，使用联结武器时就不会被缴械。如果联结武器与你处于同一位面，则你可以用一个附赠动作召唤其回到你手中
你至多可以拥有两把建立联结的武器，但一个附赠动作只能召唤一把武器。如果你试图和第三把武器建立联结，则必须与已经联结的一把武器取消联结</t>
  </si>
  <si>
    <t>额外熟练-武僧</t>
  </si>
  <si>
    <t>第3级时，你获得表演的技能熟练项和酿酒工具的工具熟练项</t>
  </si>
  <si>
    <t>征服圣誓法术</t>
  </si>
  <si>
    <t>第3级时：艾嘉西斯之铠、命令术
第5级时：人类定身术、灵体武器
第9级时：降咒、恐惧术
第13级时：支配野兽、石肤术
第19级时：死云术、支配人类</t>
  </si>
  <si>
    <t>位面战士</t>
  </si>
  <si>
    <t>第3级起，以一个附赠动作，选择一名在你30尺范围内对你可见的角色，这回合你对其的下一次武器攻击造成的伤害变成力场伤害，且目标额外受到来自于该攻击的1d8力场伤害
第11级起，额外伤害变成2d8</t>
  </si>
  <si>
    <t>幽灵漫步</t>
  </si>
  <si>
    <t>第13级起，以一个附赠动作，你化为灵体的形态。处于这种形态时，你拥有10尺的飞行速度，能够盘旋，并且针对你的攻击都具有劣势。你也可以如同是困难地形那样穿过生物或者物品，但是如果回合结束时你仍然在内部，你将受到1d10点力场伤害
该形态持续10分钟或直到你以一个附赠动作将其解除。你再次使用此特性前必须完成一次长休。或者你以同一个附赠动作销毁一个你的魂器并激活幽灵漫步</t>
  </si>
  <si>
    <t>血肉启示</t>
  </si>
  <si>
    <t>第14级起，以一个附赠动作，你使用至少1术法点以魔法性地转变形态，持续10分钟。你每因此使用了1术法点，你便可以在转变形态期间选择并获得以下一种增益：
你能看见60尺内的隐形生物，前提是其对你不为全遮蔽
你获得等同于你行走速度的飞行速度，并能停留在空中。当你飞行时，你的皮肤表面流出发光的粘液或是散发出超凡脱俗的光芒
你获得等同于你两倍行走速度的游泳速度，且你能在水下呼吸。此外，腮从你的脖子上长出来，或从耳后呈扇状翻出，你的手指变成蹼趾，或有卷曲的细毛从你的衣服底下翻腾而出
你的身体和你携带的装备都变得柔韧粘滑。你能够轻松穿过最窄1寸宽的狭窄空间而不用挤进去，且你可以消耗5尺移动速度以逃离非魔法的束缚或擒抱</t>
  </si>
  <si>
    <t>你可以随意以自身为目标施展浮空术，且无需消耗法术位和材料成分</t>
  </si>
  <si>
    <t>战法兼修</t>
  </si>
  <si>
    <t>第2级时，你获得轻甲的护甲熟练，并获得一种自选单手近战武器的武器熟练
你同时获得对表演的技能熟练项</t>
  </si>
  <si>
    <t>第3级时，你获得重甲的护甲熟练，另外你获得铁匠工具的熟练。如果你已经拥有铁匠工具熟练，你能获得另一种任意工匠工具的熟练</t>
  </si>
  <si>
    <t>第14级起，当处于狂暴时，处于你灵光中的生物在一次攻击命中你后，你可以用你的反应迫使该生物立刻做一次敏捷豁免。豁免失败则受到等于你野蛮人等级一半数值的火焰伤害
豁免DC等于8+你的熟练加值+你的体质调整</t>
  </si>
  <si>
    <t>战争祭司</t>
  </si>
  <si>
    <t>第1级起，当你执行攻击动作时，你可以用一个附赠动作发动一次武器攻击
你可以使用该特性的次数等于你的感知调整值（至少为一次）。而你将在完成一次长休后重新恢复所有的使用次数</t>
  </si>
  <si>
    <t>炽烈回生</t>
  </si>
  <si>
    <t>第14级起，当你生命值降至0从而昏迷时，如果精魂在你的120尺之内，你可以使精魂降至0生命值。之后你就会恢复一半生命值，并立刻站起来
你必须完成一次长休才能再次使用该特性</t>
  </si>
  <si>
    <t>战争魔法</t>
  </si>
  <si>
    <t>第7级起，当你使用动作施展戏法时，可以用附赠动作发动一次武器攻击</t>
  </si>
  <si>
    <t>醉拳法门</t>
  </si>
  <si>
    <t>第3级起，每当你使用疾风连击时，你将获得撤离动作的好处，而你的步行速度增加10尺直到当前回合结束</t>
  </si>
  <si>
    <t>引导神力-征服威压</t>
  </si>
  <si>
    <t>第3级起，以一个动作，你强迫每个处于你周围30尺内、你能看见的、由你选择的生物各进行一次感知豁免检定。若豁免失败，目标变得恐慌于你，持续1分钟。变得恐慌的生物可以在其每个回合的结束时重复此豁免检定，成功则结束其身上的此效果
豁免DC等于你的圣武士法术豁免DC</t>
  </si>
  <si>
    <t>灵界漫步</t>
  </si>
  <si>
    <t>第7级起，以一个附赠动作，你能够以这个特性不消耗法术位施放以太化，但是这个法术在当前回合结束时结束，你必须完成一次短休或长休才能再次使用该特性</t>
  </si>
  <si>
    <t>死亡之友</t>
  </si>
  <si>
    <t>第17级起，你获得了如下益处：
当你使用墓穴惊嚎的时候，你可以同时对你的攻击目标和第二目标造成那份暗蚀伤害
在一次长休的结束时，假如你没有任何魂器，死者的灵魂会自动被你吸引，在你手中形成一个魂器</t>
  </si>
  <si>
    <t>扭曲爆裂</t>
  </si>
  <si>
    <t>第18级起，以一个动作，你可以传送到120尺内你可见的一个未被占据的位置，然后你消失位置30尺内的生物必须进行一次力量豁免，失败受3d10力场伤害并被立即拉向你原本的位置或最近的一个未被占据的位置，成功半伤且不受拉扯
一旦你使用了此特性，除非你消耗5术法点，否则将无法再次使用，直到你完成一次长休</t>
  </si>
  <si>
    <t>你可以消耗你的邪术师法术位施展一个召唤元素生物。你必须完成一次长休才能再次使用该特性</t>
  </si>
  <si>
    <t>剑歌之术</t>
  </si>
  <si>
    <t>第2级起，只要你并未穿着中甲、重甲或使用盾牌，就可以用一个附赠动作开始剑歌，它将持续1分钟。如果你陷入失能，或穿上中甲、重甲或盾牌，或你用双手发动一次武器攻击，你的剑歌将提前结束。你也可以随时解消剑歌（不需要动作）
在剑歌激活期间，你获得以下好处：
你的AC获得等于你智力调整值的加值（最少+1）
你的陆地移动速度增加10英尺
你在敏捷（体操）检定上获得优势
你在为维持法术专注所进行的体质豁免检定上获得加值，加值等于你的智力调整值（最少+1）
你能使用本特性的次数等于你的熟练加值。完成一次短休息或长休息后你重获所有已用的使用次数</t>
  </si>
  <si>
    <t>装甲师法术</t>
  </si>
  <si>
    <t>第3级起，当你获得表中所对应的装甲师等级时，你将同时习得列出的法术。这些法术将会一直在你的准备法术列表中，且不计入你的每日准备法术上限
第3级起：魔法飞弹、雷鸣波
第5级起：镜影术、粉碎音波
第9级起：催眠图纹、闪电束
第13级起：火焰护盾、高等隐形术
第17级起：穿墙术、力场墙</t>
  </si>
  <si>
    <t>破誓者</t>
  </si>
  <si>
    <t>第14级起，当处于狂暴时，任何处于你灵光中的生物若被你以一次攻击击中，你可以用你的反应迫使该生物进行一次力量豁免，豁免失败则则变为俯卧状态
豁免DC等于8+你的熟练加值+你的体质调整</t>
  </si>
  <si>
    <t>引导神力-导引打击</t>
  </si>
  <si>
    <t>第2级起，你在进行攻击检定时，可以使用引导神力令该次检定获得+10加值。你可以在看到掷骰结果后DM公布是否命中前，决定是否使用该特性</t>
  </si>
  <si>
    <t>秘法打击</t>
  </si>
  <si>
    <t>第10级起，当你的武器攻击命中敌人后，直至你下一回合结束前，该生物对抗你下一个法术所进行的豁免检定具有劣势</t>
  </si>
  <si>
    <t>微醺摇摆</t>
  </si>
  <si>
    <t>第6级起，你获得以下动作：
鲤鱼打挺：当你倒地时，你可以花费5尺移动力起身而不是一半的移动力。
借力打力：当一个生物对你的一次近战攻击失手时，你可以花费1点气作此反应，让这次攻击击中在你周围5尺范围内由你选择的一名可见生物，但不能是攻击者</t>
  </si>
  <si>
    <t>引导神力-神助打击</t>
  </si>
  <si>
    <t>第3级起，当你进行一次攻击检定时，你可以使用你的引导神力以在此检定中得到+10加值。你在你看到掷骰后进行决定，但需要在DM宣布此攻击命中与否前声明</t>
  </si>
  <si>
    <t>闪现打击</t>
  </si>
  <si>
    <t>第11级起，当你进行攻击动作时，你能够在每一次攻击前传送10尺到一片对你可见的空地上
如果你用一个动作攻击了至少两名不同的角色，你可以额外攻击一次第三名角色</t>
  </si>
  <si>
    <t>灵能天赋</t>
  </si>
  <si>
    <t>第3级起，你获得灵能骰，它的起始大小是d6。你拥有等同于你熟练加值两倍数量的灵能骰，并且他们供你发挥出你拥有的多种灵能力量
一些你的能力会消耗它们使用的灵能骰，如能力中确切描述的一样，而且你不能在你灵能骰全部用完的时候使用要求你使用灵能骰的能力。你在完成一次长休之后恢复所有的灵能骰。此外，作为一个附赠动作，你可以恢复一个你消耗的灵能骰，但是直到你完成一次短休或者长休之前，你都无法再次这样做
第5级起，灵能骰变为d8；第11级起，灵能骰变为d10；第17级起，灵能骰变为d12</t>
  </si>
  <si>
    <t>时械法术</t>
  </si>
  <si>
    <t>第1级起，当你获得表中所对应的术士等级时，你将同时习得这些法术，这些法术对你而言视为术士法术，但不包含在“术士职业表”上“已知法术”一栏的所记录的数量之内
如果你以后替换了这些法术，你必须用术士、魔导士或法师的法术列表来替换它
第1级时：警报术、防护善恶
第3级时：援助术、次级复原术
第5级时：解除魔法、防护能量伤害
第7级时：行动自如、构装体召唤术
第9级时：高等复原术、力场墙
此外，你可以从决定一种你在施法时显现出与秩序之联系的方式</t>
  </si>
  <si>
    <t>你可以随意以自身为目标施展1环法术跳跃术，且无需消耗法术位和材料成分</t>
  </si>
  <si>
    <t>额外攻击-剑咏者</t>
  </si>
  <si>
    <t>第6级起，你在自己回合内执行攻击动作时可以发动两次攻击。此外，你还可以施展一个戏法以替代其中一次攻击</t>
  </si>
  <si>
    <t>奥能装甲</t>
  </si>
  <si>
    <t>第3级起，只要你手持铁匠工具，就能以一个动作将你正穿着的一套护甲变成奥能装甲。在穿着奥能装甲时，你获得以下好处：
如果你的盔甲通常对穿戴者的力量有要求，奥能装甲能让你无视它
你能够将奥能装甲作为你奇械师法术的法器
穿在你身上的奥能装甲除非你自愿，否则无法移除。同时，奥能装甲能够扩展到复盖你的整个身体，并替换你所有缺失的肢体，替换肢体的部分拥有和正常肢体一样的功能
转化为奥能装甲的盔甲会一直保有其功能，直到你脱下它、装上另一套盔甲、或你死亡</t>
  </si>
  <si>
    <t>王冠之誓</t>
  </si>
  <si>
    <t>第14级起，当处于狂暴时，你可以选择一个你可以看见的、处于灵光里的生物。该生物必须通过一次力量检定，豁免失败则其速度降为0，直到你的下一个回合开始
豁免DC等于8+你的熟练加值+你的体质调整</t>
  </si>
  <si>
    <t>引导神力-战神祝福</t>
  </si>
  <si>
    <t>第6级起，身处你周边30尺范围内的一个生物进行攻击检定时，你可以用一个反应使用引导神力令该检定获得+10加值。你可以在看到掷骰结果后DM公布是否命中前，决定是否使用该特性</t>
  </si>
  <si>
    <t>秘法冲锋</t>
  </si>
  <si>
    <t>第15级起，你可以在使用动作如潮时传送至多30尺距离。传送的目的地必须是你能看到且未被占据的空间。你可以在使用动作如潮提供的额外动作之前或之后进行传送</t>
  </si>
  <si>
    <t>醉汉机运</t>
  </si>
  <si>
    <t>第11级起，当你进行一次属性检定，攻击检定或豁免检定并在检定中拥有劣势时，你可以花费2点气抵消这个劣势</t>
  </si>
  <si>
    <t>征服光环</t>
  </si>
  <si>
    <t>第7级起，只要你并未失能，你便弥漫出一阵威吓的灵光。光环从你向各个方向延伸10尺，它会被全掩蔽所阻挡
若一个生物恐慌于你，当其处于此光环内，其速度降为0，若其在光环内开始其回合，则受到等于你圣武士等级一半的心灵伤害
第18级起，光环的作用范围扩展至30尺</t>
  </si>
  <si>
    <t>虚体防御</t>
  </si>
  <si>
    <t>第15级起，当你受到一次攻击伤害时，你可以用你的反应来给予你在这一回合对那次攻击全部伤害的抗性</t>
  </si>
  <si>
    <t>灵能诀窍</t>
  </si>
  <si>
    <t>第3级起，如果你使用具有熟练项的技能或工具进行一次属性检定，但失败时，你可以掷灵能天赋骰，将掷骰结果加到检定结果中，这可能会让失败的检定变为成功。你只在灵能让检定成功时消耗灵能骰</t>
  </si>
  <si>
    <t>归复平衡</t>
  </si>
  <si>
    <t>第1级起，当你60尺内一个你可见的生物即将进行一次具有优势或劣势的检定时，你可以用反应使其免受优势或劣势的影响
你可以使用此能力的次数等同于你的熟练加值。每当你完成一次长休息，你重新获得已消耗的使用次数</t>
  </si>
  <si>
    <t>你可以随意施展法术死者交谈，且无需消耗法术位</t>
  </si>
  <si>
    <t>守御之歌</t>
  </si>
  <si>
    <t>第10级起，在剑歌激活期间，如果你受到伤害，你可以用你的反应动作消耗一个法术位，使你受到的伤害数值下降那个法术位环数的五倍</t>
  </si>
  <si>
    <t>第3级起，你能够定制你的奥能装甲。当你这么做时，能够从守护者或渗透者两种型号中选择其一。你选择的型号会在你穿着时提供特殊的好处。每种型号都包括一种特殊武器。当你使用该武器攻击时，你可以使用你的智力调整值，而不是力量或敏捷，来进行攻击和伤害检定。只要你手上有铁匠工具，就可以在完成一次短休或长休后更换你的装甲型号</t>
  </si>
  <si>
    <t>征服之誓</t>
  </si>
  <si>
    <t>神性之怒</t>
  </si>
  <si>
    <t>第3级起，当处于狂暴时，当你处于狂暴中，你在自己回合中用武器攻击命中的第一个生物会受到额外伤害，数值等于1d6+你野蛮人等级的一半。此伤害的类型为黯蚀或光耀；你在你得到此特性时选择它的类型</t>
  </si>
  <si>
    <t>第8级起，你在每个自己回合里有一次机会，可以在用武器攻击命中某生物时，使该攻击额外造成1d8点与该武器伤害类型相同的伤害
第14级起，该伤害提升到2d8</t>
  </si>
  <si>
    <t>精通战争魔法</t>
  </si>
  <si>
    <t>第18级起，你执行施法动作时，可以用附赠动作发动一次武器攻击</t>
  </si>
  <si>
    <t>酒疯沉醉</t>
  </si>
  <si>
    <t>第17级起，每当你使用你的疾风连击时，你可以用它进行最多三次的额外攻击（疾风连击最多可以进行五次攻击），前提是每一次疾风连击都能在本回合中取一个不同生物作为攻击目标</t>
  </si>
  <si>
    <t>轻蔑呵斥</t>
  </si>
  <si>
    <t>第15级起，当一个生物以一次攻击击中你时，若你并未失能，该生物受到等于你魅力调整值（最小为1）的心灵伤害</t>
  </si>
  <si>
    <t>怪物杀手魔法</t>
  </si>
  <si>
    <t>第3级起，你学会以下法术，这些法术不占用你的游侠已知法术且被你视为巡林客法术
第3级时：防护善恶
第5级时：诚实之域
第9级时：防护法阵
第13级时：放逐术
第17级时：怪物定身术</t>
  </si>
  <si>
    <t>心灵低语</t>
  </si>
  <si>
    <t>第3级起，你能够利用灵能力在自己和他人之间建立起基于心灵感应的交流——在需要无声渗透时这堪称完美。以一个动作，掷一个灵能骰，从可见的生物中选择一到至多等同于你熟练加值数量的生物，你和选择的生物获得通过心灵感应进行交流的能力。在等同于灵能骰结果个小时内，你可以和选择生物进行双向的心灵感应交流，但在发送或接收信息时（无需动作），你和选择生物之间的距离不可超过一英里。不会说任何语言的生物无法通过此方法进行交流，而且生物可以随时终止心灵感应的链接（无需动作）。你和链接的生物不需要能说同一种语言也能互相理解话语。你每次长休后的第一次使用这个能力不会消耗你的灵能骰，在其它情况下使用这个能力的话，你会消耗灵能骰</t>
  </si>
  <si>
    <t>律令之壁</t>
  </si>
  <si>
    <t>第6级起，以一个动作，你可以使用1至5术法点创造出一个环绕你或30尺内一个你可见的生物的魔法屏障。此屏障持续存在直到你完成一次长休息或直至你再次使用此能力
屏障具有等同于你所消耗术法点数量的d8骰。当被守护的生物受到伤害时，其可以消耗任意数量的这些d8骰，并使该伤害减少掷出结果的数值</t>
  </si>
  <si>
    <t>一张新的书页出现在你的影之书中。在你的允许之下，一个生物可以使用一个动作来将他的名字写在这一页上，这一页能包括的名字数量等于你的熟练加值
当一个名字在这一页上的生物生命值降为0，但是还没有完全死亡，这个生物的生命值魔法化的变为1点。每当这个魔法效应被触发，没有任何生物可以触发该效应直到你完成一次长休
你可以使用一个动作，以触摸的形式魔法化地消除一个在书页上的名字
先决条件：书之魔契</t>
  </si>
  <si>
    <t>胜利之歌</t>
  </si>
  <si>
    <t>第14级起，在你的剑歌激活期间，你将你的智力调整值（最低+1）加在你的近战武器伤害上</t>
  </si>
  <si>
    <t>雷霆战拳：每一只装甲附带的手套在没有持握任何物品时皆可被视为一件简单近战武器，命中后会造成1d8雷鸣伤害。被战拳击中的生物，会被装甲释放的魔法性干扰脉冲影响，使其对除你之外的目标攻击时有劣势，直到你的下个回合到来
防护场：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t>
  </si>
  <si>
    <t>救赎之誓</t>
  </si>
  <si>
    <t>神之勇者</t>
  </si>
  <si>
    <t>第3级起，若一个法术只具有让你起死回生（但不能是不死生物）的效果，该施法者在对你施展法术时不需要材料成分</t>
  </si>
  <si>
    <t>战斗化身</t>
  </si>
  <si>
    <t>第17级时，你对非魔法武器造成的钝击、穿刺、挥砍伤害具有抗性</t>
  </si>
  <si>
    <t>重整姿态</t>
  </si>
  <si>
    <t>第3级起，当你使用你的回气能力，你可以选择在你60尺范围内最多3个盟友，他们每个人都恢复等同于你的战士等级的生命值。他们必须要能看到或者听到你的声音才能获得这个好处</t>
  </si>
  <si>
    <t>剑圣之途</t>
  </si>
  <si>
    <t>第3级起，你特殊的武术训练使你精通于某些特定武器使用技巧。这一流派同时还包括了对书画艺术的研究。你获得剑圣武器、灵巧格挡、持弓审固、书画之道等好处</t>
  </si>
  <si>
    <t>不移胜者</t>
  </si>
  <si>
    <t>第20级时，以一个动作，你可以魔法性的变成征服的化身，获得下述的好处，持续1分钟：
你对于所有伤害得到抗性
当你在你的回合进行攻击动作时，你可以进行一次额外的攻击，作为该动作的一部分
你的近战武器攻击在掷出19或20时即可造成重击
你必须完成一次长休才能再次使用该特性</t>
  </si>
  <si>
    <t>猎人感知</t>
  </si>
  <si>
    <t>第3级起，以一个动作，选择一名60尺范围内对你可见的角色。你立刻知晓该角色的伤害免疫，抗性和易伤。如果该角色被预言系魔法覆盖，你感觉它没有任何伤害免疫，抗性和易伤
你能使用该特性的次数等同于你的感知调整值（至少为1）。你重新获得所有使用过的次数当你完成一次长休时</t>
  </si>
  <si>
    <t>念刃</t>
  </si>
  <si>
    <t>第3级起，当你准备对一个生物进行近战或远程武器攻击时，你能以空闲的手中塑造灵能之刃，并使用它来进行攻击。念刃是一种简易近战武器，具有灵巧和投掷特性。它的常规射程为60尺，没有最大射程，在命中后造成1d6+你用于攻击的属性调整值的心灵伤害。念刃会在击中或未击中目标后立即消失，如果它造成伤害，其伤害不会在目标上留下痕迹
当你使用念刃攻击后，只要你的另一只手空闲，就能以一个附赠动作塑造第二把念刃再进行一次近战或远程武器攻击。此附赠攻击的伤害骰是1d4，而不是1d6</t>
  </si>
  <si>
    <t>序列意识</t>
  </si>
  <si>
    <t>第14级起，以一个附赠动作，你可以在1分钟内进入意识和机械境无尽的计算达成同步的状态。在此期间，对你进行的攻击免受优势的影响，且每当你进行一次攻击检定、属性检定或豁免检定时，你可以将d20掷出的10以下的数值视为10
一旦你使用了此特性，除非你消耗了一个五环法术位，否则将无法再次使用，直到你完成一次长休</t>
  </si>
  <si>
    <t>玄奥秘法</t>
  </si>
  <si>
    <t>第11级起，你可以选择一个6环的邪术师法术作为你的玄奥秘法
你施展秘法时无需消耗法术位，而消耗掉的秘法可以通过完成一次长休进行恢复
第13级起，再选一个7环法术；第15级起，再选一个8环法术；第17级起，再选一个9环法术</t>
  </si>
  <si>
    <t>奥术偏斜</t>
  </si>
  <si>
    <t>第2级起，当你被一次攻击击中，或未通过一次豁免时，你可以使用你的反应来在对抗那次攻击的AC上获得+2加值，或在那次豁免检定中得到+4加值
当你使用此特性时，你不能施展戏法之外的法术，直到你下个回合结束</t>
  </si>
  <si>
    <t>闪电发射器：你在胸部或复盖装甲的拳头（根据你的选择）上安装了一个宝石状的节点。它被视为一件简单远程武器，它拥有90尺的常规射程和300尺的最大射程，在命中后会造成1d6闪电伤害。每个你的回合一次，你在通过闪电发射器命中一个生物时，能够额外造成1d6闪电伤害。
动力步伐：你的步行速度增加5尺。
减震场：你在敏捷（隐匿）检定中具有优势。如果你的盔甲原本会让你在此检定上具有劣势，优势和劣势将会正常抵消</t>
  </si>
  <si>
    <t>荣耀之誓</t>
  </si>
  <si>
    <t>狂热专注</t>
  </si>
  <si>
    <t>第6级起，若你在狂暴时未通过一次豁免检定，你可以重新投掷该豁免检定，但你必须接受第二次投掷的数值。你每次狂暴只能使用此能力一次</t>
  </si>
  <si>
    <t>死亡领域法术</t>
  </si>
  <si>
    <t>第1级时：虚假生命、致病射线
第3级时：目盲/耳聋术、衰弱射线
第5级时：操纵死尸、吸血鬼之触
第7级时：枯萎术、防死结界
第9级时：防活物护罩、死云术</t>
  </si>
  <si>
    <t>皇家特使</t>
  </si>
  <si>
    <t>第7级起，你熟练于游说技能。如果你已经对这项技能熟练，你可以选择以下列表中的一项技能熟练：驯兽、洞悉、威吓或表演
你在进行魅力（游说）检定时可以将双倍的熟练值加在上面</t>
  </si>
  <si>
    <t>剑圣武器</t>
  </si>
  <si>
    <t>选择一种近战武器和一种远程武器作为你的剑圣武器。这两种武器可以在不带有重型和特殊属性的简易或军用武器中任选，长弓也算在内。你获得所选武器的武器熟练项。所选武器算作你的武僧武器。这一宗派的许多职业特性只有当你使用剑圣武器时才能生效。当你的武僧职业等级分别达到第6级、第11级和第17级时，你可以遵从上述标准，选择另一种武器--近战或远程武器均可--作为你的剑圣武器</t>
  </si>
  <si>
    <t>救赎圣誓法术</t>
  </si>
  <si>
    <t>第3级时：庇护术、睡眠术
第5级时：安定心神、人类定身术
第9级时：法术反制、催眠图纹
第13级时：欧提路克弹力法球、石肤术
第17级时：怪物定身术、力场墙</t>
  </si>
  <si>
    <t>狩猎开始</t>
  </si>
  <si>
    <t>第3级起，以一个附赠动作，你选择一名60尺范围内对你可见角色作为该特性的目标。每回合你以一次武器攻击第一次击中该目标，它额外受到1d6的武器伤害
该收益持续到你完成一次短休或者长休。如果你选择一名不同的目标，它会提前结束</t>
  </si>
  <si>
    <t>灵魂之刃</t>
  </si>
  <si>
    <t>第9级起，你能够更好地控制念刃</t>
  </si>
  <si>
    <t>时械矩阵</t>
  </si>
  <si>
    <t>第18级起，以一个动作，你在以你为中心30尺立方空间的范围内召唤出精魂。这些精魂看起来像是魔冢或你选择的其他构装体，没有实体也不能摧毁，并在消失前使立方范围内产生以下效应：
精魂合计提供至多回复100生命值，由你随意分配给范围内任意数量的生物
范围内受到伤害的物件被立即修复
你选择范围内任意数量的生物或物件，其承受的任何6环或以下的法术结束
一旦你使用了此特性，除非你消耗7术法点，否则将无法再次使用，直到你完成一次长休</t>
  </si>
  <si>
    <t>你使用契约武器命中某个生物时，额外造成相当于你魅力调整值的黯蚀伤害（最少为1）
先决条件：刃之魔契</t>
  </si>
  <si>
    <t>战术思维</t>
  </si>
  <si>
    <t>第2级起，你在先攻检定中获得等于你智力调整值的加值</t>
  </si>
  <si>
    <t>守望之誓</t>
  </si>
  <si>
    <t>狂热存在</t>
  </si>
  <si>
    <t>第10级起，以一个附赠动作，你愤怒的怒吼并释放出一道蕴含神圣能量的战吼。选择至多10个距离你60尺以内并且能听到你吼叫的其他生物，直到你的下个回合开始，在攻击检定和豁免检定中获得优势
你必须完成一次长休才能再次使用该特性</t>
  </si>
  <si>
    <t>第1级时，你获得军用武器的熟练项</t>
  </si>
  <si>
    <t>振奋之潮</t>
  </si>
  <si>
    <t>第10级起，每当你使用你的动作如潮能力时，你可以选择一个在你周围60尺内的盟友，他可以立刻用他的反应进行一次近战或者远程武器攻击。他必须要能看见或者听见你的声音才能获得这个好处
第18级起，你可以选择两个盟友</t>
  </si>
  <si>
    <t>灵巧格挡</t>
  </si>
  <si>
    <t>如果你持握一件近战剑圣武器，并在你的回合中进行了一次徒手攻击作为攻击动作的一部分，则只要武器还在你的手中且你未陷入失能状态，直到你的下回合开始之前你的AC获得+2加值</t>
  </si>
  <si>
    <t>引导神力-和平使节</t>
  </si>
  <si>
    <t>第3级起，以一个附赠动作，你为自己在接下来的10分钟内进行的下次游说检定中提供+5加值</t>
  </si>
  <si>
    <t>卓越防守</t>
  </si>
  <si>
    <t>第7级起，如果你的狩猎开始特性目标要求你进行豁免鉴定，或让你做一次技能检定来脱离目标的擒抱，加1d6到你的那次投掷上</t>
  </si>
  <si>
    <t>寻的攻击</t>
  </si>
  <si>
    <t>第9级起，如果在使用念刃进行的攻击中失手，你能掷灵能骰，将掷骰结果加到这次攻击检定中。如果这会使攻击变为命中，你将消耗一个灵能骰</t>
  </si>
  <si>
    <t>当别人佩戴你的护身符时，只要你们存在于同一位面，你可以用一个标准动作将你传送至靠近他们的空区域。佩戴该护身符的人也能做同样的事，用他们的动作来传送到你身边。该传送能力可使用的次数等于你的熟练加值，且所有已消耗的次数会在你完成一次长休之后完全恢复
先决条件：符之魔契</t>
  </si>
  <si>
    <t>力量涌动</t>
  </si>
  <si>
    <t>第6级起，你可以将魔法能量存于体内并于之后增幅你危险异常的法术。
你不能储存超过你智力调整值（至少1）的力量涌动。当你完成一次长休息，你的力量涌动数重置为1。当你成功用解除魔法或反制法术终结一个法术时，你获得1点力量涌动。当你在没有力量涌动次数时完成一次短休息，你获得1点力量涌动
每回合一次，当你用一个法师法术对一生物或物体造成伤害时，你可以消耗1点力量涌动来对目标造成额外的力场伤害。额外伤害值等于你的法师等级的一半</t>
  </si>
  <si>
    <t>装甲改造</t>
  </si>
  <si>
    <t>第9级起，在你进行注法时，奥能装甲能够被视为下列独立物品：盔甲（胸甲）、靴子、头盔以及装甲的特殊武器。每件物品都能进行一次注法，此外，你的注法物品的上限增加2，但增加的部分只能用于为奥能装甲的一部分注法</t>
  </si>
  <si>
    <t>怒不畏死</t>
  </si>
  <si>
    <t>第14级起，当处于狂暴时，具有0点生命值不会让你昏迷。你仍然必须进行死亡豁免检定，而你在0生命值下受到伤害时承受正常的效果。然而，若你因为未通过死亡豁免检定而即将死去，你拒绝死亡直到你的狂暴结束，如果你那时仍保持0生命值则死亡</t>
  </si>
  <si>
    <t>收割者</t>
  </si>
  <si>
    <t>第1级时，你可以从任意法术列表中选择学习一个死灵戏法。施展一个通常指定一个生物为目标的死灵戏法时，该法术现在可以指定施法距离内两个相互之间距离不超过5尺的生物</t>
  </si>
  <si>
    <t>意志壁垒</t>
  </si>
  <si>
    <t>第15级起，每当你决定用不屈重投智力，感知或者魅力豁免并且你未处于失能状态，你可以选择一个在你60尺距离内对同样的效果豁免失败的盟友。如果他能看见你或者听见你的声音，他可以重投豁免骰。他必须采用新的结果</t>
  </si>
  <si>
    <t>持弓审固</t>
  </si>
  <si>
    <t>你可以在你的回合中使用一次附赠动作，之后你用剑圣武器发动的远程攻击所命中的任何目标将会额外受到1d4点该武器的属性种类的伤害。你保留这一好处直到当前回合结束</t>
  </si>
  <si>
    <t>引导神力-斥喝暴力</t>
  </si>
  <si>
    <t>第3级起，当一个处于你周围30尺内的敌人以一次攻击对一个你之外的生物造成伤害时，以一个反应，你强迫攻击者进行一次感知豁免检定。检定失败则攻击者受到等同于其刚刚造成的伤害的光耀伤害。成功则受到一半伤害
豁免DC等于你的圣武士法术豁免DC</t>
  </si>
  <si>
    <t>魔法克星</t>
  </si>
  <si>
    <t>第11级起，60尺内，当你看到一名角色使用法术或者传送，你可以用你的反应魔法性地来尝试打断它。角色必须成功通过一个难度等同于你的施法DC的感知豁免，否则它的法术和传送失败并浪费
你必须完成一次短休或长休才能再次使用该特性</t>
  </si>
  <si>
    <t>心灵传送</t>
  </si>
  <si>
    <t>第9级起，如果你的灵能天赋骰可用，你能通过投掷念刃来将自己魔法性地传送到其他地方。以一个附赠动作，你塑造一把念刃，消耗并掷一个灵能骰，将念刃投掷到至多距离灵能骰结果数字10倍尺数的可见空闲区域。你传送到目标位置，同时念刃消失</t>
  </si>
  <si>
    <t>你可以随意施展针对于天界生物、邪魔、或元素生物的怪物定身术，且无需消耗法术位和材料成分。你必须完成一次长休才能再次对同一生物使用此祈唤
先决条件：链之魔契</t>
  </si>
  <si>
    <t>耐久魔法</t>
  </si>
  <si>
    <t>第10级起，当你于一个法术上维持专注时，你在AC和所有豁免上获得+2加值</t>
  </si>
  <si>
    <t>完美装甲</t>
  </si>
  <si>
    <t>第15级起，你的奥能装甲根据其型号获得下列额外好处：
守护者：当你可见的一个体型为巨型或更小的生物在距离你30尺内的地方结束其回合时，你能以一个反应迫使该生物对你的法术豁免DC进行一个力量豁免检定，失败将被拉向你最多30尺。如果你将目标拉到距离你5尺的地方，作为此反应的一部分，你能对该生物进行一次近战武器攻击
你每天能够执行此反应的次数等于你的熟练加值。在完成一次长休后将恢复所有可用次数
渗透者：任何被你闪电发射器造成闪电伤害的生物将在你的下个回合到来前发光。发光的生物会放出5尺半径的微光光照，当它试图攻击你时，光芒会突然增强，使其在针对你的攻击检定中具有劣势。另外，下次针对发光生物的攻击检定具有优势。如果那次攻击命中，将额外造成1d6闪电伤害</t>
  </si>
  <si>
    <t>察觉魔法</t>
  </si>
  <si>
    <t>第3级起，以一个动作，直到你的下一个回合结束前，你可以知晓你60尺内任何法术或者魔法物品的位置，除非它们对你有完全掩护。当你察觉到一个法术的存在时，你还能判断这个法术属于哪一个学派
你每天可以使用该能力的次数等于你的熟练加值。每完成一次长休之后你补充齐所有已消耗的使用次数</t>
  </si>
  <si>
    <t>引导神力-死亡之触</t>
  </si>
  <si>
    <t>第2级起，你以近战攻击命中一个生物时，可以使用引导神力对该目标造成额外的黯蚀伤害。该伤害值等于5+其牧师等级两倍的数值</t>
  </si>
  <si>
    <t>魔射手学识</t>
  </si>
  <si>
    <t>第3级时，你从奥秘或者自然中选择一个技能获得熟练，而且从魔法伎俩或者德鲁伊伎俩中选择一个戏法并学会</t>
  </si>
  <si>
    <t>书画之道</t>
  </si>
  <si>
    <t>你在书法工具或画家工具中选择其一，获得熟练项</t>
  </si>
  <si>
    <t>护卫光环</t>
  </si>
  <si>
    <t>第7级起，当一个处于你10尺内的生物受到伤害时，你可以用一个反应动作，魔法性地使你代替该生物承受此伤害。此特性不会传递任何该伤害可能附带的效果，该伤害也无法被任何方式减少
第18级起，光环的作用范围扩展至30尺</t>
  </si>
  <si>
    <t>杀手反制</t>
  </si>
  <si>
    <t>第15级起，如果你的狩猎开始特性目标要求你进行豁免鉴定，你能够使用你的反应来对其做出一次武器攻击。你在进行豁免检定前立刻做出该攻击。一旦你的攻击命中，除了攻击的正常效果外，你的豁免自动成功</t>
  </si>
  <si>
    <t>灵能面纱</t>
  </si>
  <si>
    <t>第13级起，以一个动作，你连同你所穿或携带的任何东西可以魔法性地隐形至多1小时，或直到你主动解除隐形（无需动作）。如果你发动攻击或迫使一个生物进行豁免检定，则此隐身状态结束
一旦你使用了此特性，除非你选择消耗一个灵能骰，否则将无法再次使用，直到你完成一次长休</t>
  </si>
  <si>
    <t>你可以随意施展法术变身术，且无需消耗法术位</t>
  </si>
  <si>
    <t>偏斜罩幕</t>
  </si>
  <si>
    <t>第14级起，当你使用你的奥术偏斜特性时，你可以让至多三个60尺内你能看见的目标受到半数于你法师等级的力场伤害</t>
  </si>
  <si>
    <t>狂野浪潮</t>
  </si>
  <si>
    <t>第3级起，当你进入狂暴状态时，掷D8骰子并根据狂野魔法列表决定所产生的狂野魔法
如果这个狂野魔法需要进行豁免检定，则其DC等于8+你的熟练加值+你的体质调整值
1：阴暗的卷须在你身边疯狂挥舞。在你能看到的30尺内，你选择若干生物，他们都必须进行一次体质豁免，如果失败，则将收到1d12的暗蚀伤害。你获得1d12的临时生命值
2：你可以传送到30尺内的一个未被占据的，你可以看到的地方。直到你的狂暴终止，你的每一个回合都可以消耗一个附赠动作再次发动这个效果
3：一个无形的灵体，看起来像一个呋噜或者皮克精（由你决定），出现在一个你30尺内可以看到的生物的5尺以内。并且在当前回合结束时，这个灵体会爆炸，所有5尺以内的生物必须进行一次敏捷豁免，如果失败，将承受1d6的力场伤害。直到你的狂暴结束前，你每个回合都可以消耗一次附赠动作来再次发动这个效果
4：魔力与牛所选择的一把你正持握着的武器相融在一起。直到你的狂暴结束前，这把武器的伤害类型转变为力场伤害，并且获得轻型和投掷（20尺/60尺）的属性。如果你手中不在持握有这把武器，它会在当前回合结束的时候重新出现在你的手中
5：在你的狂暴结束前，每当一个生物以攻击检定的方式对你进行攻击并命中，你身上的魔力抽打反击对其造成1d6的力场伤害
6：在你的狂暴结束前，你周身围绕着彩色的防护光芒。你的AC加一，并且在你10尺内的伙伴也可以享受到这一加成
7：你身边暂时生长出花朵与藤蔓。在你的狂暴结束前，你周围15尺的地面对你的敌人视作困难地形
8：一束光从你胸膛射出。你所选择的30尺内的你可以看到的另一个生物必须进行一次体质豁免检定，如果失败，将会收到1d6的光耀伤害并且直到你的下一个回合开始前他将一直处于失明状态。直到你的狂暴结束前，你每个回合都可以消耗一次附赠动作来再次发动这个效果</t>
  </si>
  <si>
    <t>命定毁伤</t>
  </si>
  <si>
    <t>第6级起，你的牧师法术与引导神力选项所造成的黯蚀伤害将无视对黯蚀伤害抗性</t>
  </si>
  <si>
    <t>第3级起，你学会两种你选择的奥术射击选项
每回合一次，当你以一个攻击动作的一部分来用短弓或者长弓射出箭矢时，你可以为你的箭矢挑选一个你拥有的奥术射击选项。你在该箭矢命中一名生物时决定使用的选项，除非该选项不包括攻击检定。你拥有两次使用本特性的机会，而且你在完成一次短休或长休后重新获得所有被消耗的的使用次数
在第7、10、15和18级你将分别额外获得一个奥术射击选项</t>
  </si>
  <si>
    <t>人剑合一</t>
  </si>
  <si>
    <t>第6级起，你能将“气”灌注到剑圣武器之中，获得剑气和巧劲的好处</t>
  </si>
  <si>
    <t>守护之魂</t>
  </si>
  <si>
    <t>第15级起，若你在战斗中结束你的回合时，剩余的生命值少于一半，且你未处于失能状态，则你恢复等于1d6+你圣武士等级一半的生命值</t>
  </si>
  <si>
    <t>蜂聚集群</t>
  </si>
  <si>
    <t>第3级起，无形自然精魂形成的集群与你形影不离并会在战斗中对你施以援手。直到你死亡，你决定集群的外观
在你的回合中每回合一次，当你以一次攻击命中一个生物之后，你能让集群以以下一种方式助你一臂之力。
这次攻击的目标因集群受到1d6穿刺伤害
这次攻击的目标必须成功通过对抗你法术DC的力量豁免检定否则被集群朝你选择的方向水平移动最多15尺
你被集群朝着你所选择的方向水平移动5尺</t>
  </si>
  <si>
    <t>撕裂心智</t>
  </si>
  <si>
    <t>第17级起，当你使用念刃对一个生物造成偷袭伤害时，你能迫使其进行一次感知豁免检定（DC=8+你的熟练加值+你的敏捷调整值）。若豁免失败，目标将在一分钟里前陷入震慑。被震慑的目标可以在他的回合结束时重复豁免，如果成功将会移除这个效果在他身上的影响
一旦你使用了此特性，除非你消耗3个灵能骰，否则将无法再次使用，直到你完成一次长休</t>
  </si>
  <si>
    <t>你可以随意施展法术秘法眼，且无需消耗法术位</t>
  </si>
  <si>
    <t>时间变幻</t>
  </si>
  <si>
    <t>第2级起，在你或者30尺内你可以看见的一个生物进行一次攻击检定，属性检定或者豁免检定后，你可以以一个反应迫使该生物重投。你可以在得知该检定是否成功后做出这一反应。该生物必须使用第二次的结果
你可以使用这一特性两次。你在完成一次长休后重获所有已消耗的使用次数</t>
  </si>
  <si>
    <t>幽域追踪者</t>
  </si>
  <si>
    <t>振奋魔法</t>
  </si>
  <si>
    <t>第6级起，以一个动作，你触碰一个生物（也可以是你自己）并且为该生物提供以下增益中你所选择的一种：
1.持续10分钟，该生物在掷攻击骰或者属性检定时可以额外掷一个d3的骰子，将其加到所扔的d20中
2.掷一个d3骰子。这个生物将恢复一个法术位，其环数必须小于等于所掷出骰子的结果（由这个生物决定）。当一个生物享受了这一增益后，直到下一次长休结束前都不能再次从此获益
你每天可以使用该能力的次数等于你的熟练加值。每完成一次长休之后你补充齐所有已消耗的使用次数</t>
  </si>
  <si>
    <t>第8级起，每个自己回合里有一次机会，你可以在用武器攻击命中某生物时额外造成1d8的黯蚀伤害
第14级时，该伤害提升到2d8</t>
  </si>
  <si>
    <t>被这发箭击中的角色必须通过一个魅力豁免或者被放逐。当被这种方式放逐时，目标速度降为0，变为失能。在他的下一个回合结束时，目标在他被放逐前的位置出现。如果该位置被占据，则他在最近的未被占据空间出现
第18级起，目标被箭击中时还会受到2d6的力场伤害
豁免DC＝8+你的熟练调整值+你的智力调整值</t>
  </si>
  <si>
    <t>剑气</t>
  </si>
  <si>
    <t>攻击对非魔法攻击和伤害具有抗性或免疫的目标时，你的剑圣武器攻击视为魔法攻击</t>
  </si>
  <si>
    <t>救赎使节</t>
  </si>
  <si>
    <t>第20级时，使你获得下述好处：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</si>
  <si>
    <t>集群守卫魔法</t>
  </si>
  <si>
    <t>第3级起，你学会戏法法师之手，当你施展它的时候，其形式是聚集在一起的自然精魂
另外你学会以下法术，这些法术不占用你的游侠已知法术且被你视为巡林客法术
第3级时：妖火
第5级时：蛛网术
第9级时：气化形体
第13级时：秘法眼
第17级时：疫病虫群</t>
  </si>
  <si>
    <t>变形生物以及由幻术和变化系魔法变形的生物在你身边30尺视线范围内时，你将直接看出其真实形态</t>
  </si>
  <si>
    <t>现世感知</t>
  </si>
  <si>
    <t>边界行者</t>
  </si>
  <si>
    <t>无常反冲</t>
  </si>
  <si>
    <t>第10级起，每当你在狂暴时受到伤害或者没能通过豁免检定，你可以消耗一次反应动作再次触发狂野魔法浪涌，重新掷骰子并根据狂野魔法列表立刻产生一次新的魔法效果。这个魔法效果将会替代你当前拥有的狂野魔法效果</t>
  </si>
  <si>
    <t>精通收割者</t>
  </si>
  <si>
    <t>第17级时，你施展一个1至五环的死灵法术时，若该法术只指定一个生物为目标，则将其改为指定施法距离内相互之间距离不超过5尺的两个生物。如果该法术消耗其材料耗材，则你必须为每个目标提供一份耗材</t>
  </si>
  <si>
    <t>被这发箭击中的角色会额外受到2d6的精神伤害，而且选择距离目标30尺内的一名队友。目标必须成功通过一个感知豁免，或者被选择的队友魅惑直到你的下一个回合开始。这个效果会提前结束如果被选择的队友攻击，伤害被魅惑的目标或者强迫其投豁免
第18级起，该精神伤害增加到4d6
豁免DC＝8+你的熟练调整值+你的智力调整值</t>
  </si>
  <si>
    <t>巧劲</t>
  </si>
  <si>
    <t>当你使用剑圣武器命中目标时，你可以消耗1点“气”使得该武器对该目标造成额外伤害，数值等于你的“武艺”投骰。该特性你每回合只能使用一次</t>
  </si>
  <si>
    <t>荣耀圣誓法术</t>
  </si>
  <si>
    <t>第3级时：曳光弹、英雄气概
第5级时：强化属性、魔化武器
第9级时：加速术、防护能量伤害
第13级时：强迫术、行动自如
第17级时：通神术、焰击术</t>
  </si>
  <si>
    <t>翻腾浪涌</t>
  </si>
  <si>
    <t>第7级起，以一个附赠动作，你获得10尺飞行速度并且能悬浮在空中。该效应持续1分钟或直到你陷入失能状态
你能使用该特性的次数等于你的熟练加值，而你在结束一次长休后重新获得所有消耗的次数</t>
  </si>
  <si>
    <t>你可以施展法术隐形术，而无需消耗法术位</t>
  </si>
  <si>
    <t>瞬时静止</t>
  </si>
  <si>
    <t>第6级起，以一个动作，你可以魔法地迫使60尺内你可以看见的一个大型或更小的生物进行一次对抗你法术豁免DC的体质豁免检定。若失败，该生物将被禁锢于一个魔法力场中，直至你的下回合结束或者该生物受到任何伤害。当以此法被禁锢时，该生物陷入失能，并且速度被降至0
你可以使用这一特性等同于你智力调整值的次数（至少一次）。你在完成一次长休后重获所有已消耗的使用次数</t>
  </si>
  <si>
    <t>怪物杀手</t>
  </si>
  <si>
    <t>掌控浪潮</t>
  </si>
  <si>
    <t>第14级起，每当你掷骰决定狂野魔法效果时，你可以掷两次骰子并且选择其中之一作为所释放的狂野魔法效果。如果你掷出的两个骰子数值相同，那么你可以无视这个数字，任意选择一个狂野魔法列表里的效果</t>
  </si>
  <si>
    <t>奥秘领域法术</t>
  </si>
  <si>
    <t>第1级时：侦测魔法、魔法飞弹
第3级时：魔化武器、涅斯图魔法灵光
第5级时：解除魔法、防护法阵
第7级时：秘法眼、李欧蒙秘藏箱
第9级时：异界誓缚、传送法阵</t>
  </si>
  <si>
    <t>当箭击中目标后，目标和其10尺内所有的角色都受到2d6的力场伤害
第18级起，该力场伤害增加到4d6</t>
  </si>
  <si>
    <t>锋锐剑影</t>
  </si>
  <si>
    <t>第11级起，你可以用一次附赠动作，消耗最多3点“气”灌注进你接触的一件剑圣武器，在你使用它攻击时获得攻击检定和伤害投骰的加值。加值等于你为此消耗的“气”点数。这一加值效果持续1分钟，除非你再次使用该特性。该特性无法作用于一件已经提供攻击检定与伤害骰加值的魔法武器</t>
  </si>
  <si>
    <t>引导神力-无敌健将</t>
  </si>
  <si>
    <t>第3级起，以一个附赠动作，你可以消耗引导神力增强你的运动能力。之后的十分钟里，你在力量（运动）和敏捷（体操）检定上具有优势，你可以推拉抬两倍重量的重物。并且你的跳高跳远距离增加十尺（这会如常消耗你的移动力）</t>
  </si>
  <si>
    <t>壮大集群</t>
  </si>
  <si>
    <t>第11级起，你的蜂聚集群通过以下方式变得更加强大：
蜂聚集群的伤害提升到d8
如果一个生物在对抗被蜂聚集群移动的豁免检定中失败，你也能让集群将该生物击倒在地
当你被蜂聚集群移动时，直到你下个回合开始它使你获得半身掩护</t>
  </si>
  <si>
    <t>魔能掌控</t>
  </si>
  <si>
    <t>第20级时，你可以利用储备的魔力祈求你的宗主为你恢复已消耗的法术位。你可以花1分钟祈求宗主的帮助，恢复所有你已消耗的契约魔法法术位。使用该特性恢复法术位后，你必须完成一次长休才能再次使用该特性</t>
  </si>
  <si>
    <t>奥法暂滞</t>
  </si>
  <si>
    <t>第10级起，当你消耗一个四环或更低的法术位来施展法术时，你可以将该法术的法力浓缩至一抹微尘中。该法术将冻结在施展的那一刻，并被保存在一个灰色的小珠中，持续一小时。这个小珠是一个拥有15AC和1点生命值的物件，并免疫毒素和心灵伤害。在持续时间结束或者珠子被摧毁时，它会在光芒一闪中消失，而法术将会失去
持握着小珠的生物可以使用他的动作来释放其内的法术，随后小珠将会消失。该法术使用你的法术攻击加值和豁免DC，而在其他方面视为由释放它的生物施展
在你以此特性创造一个小珠后，你在完成一次短休或长休前不能再次这样做</t>
  </si>
  <si>
    <t>集群守卫</t>
  </si>
  <si>
    <t>野兽之形</t>
  </si>
  <si>
    <t>第3级起，每当你进入狂暴时，你将长出一种自选的天生武器，直至狂暴结束，它被视为简易近战武器并正常使用你的力量调整值攻击。每次狂暴时可变的天生武器如下：
1）啃咬。你的嘴变成一张野兽的血盆大口或双颚长得巨大（由你选择）。你的啃咬攻击造成1d8穿刺伤害。每个你的回合一次，当你用啃咬攻击命中一个生物，并且你的HP小于一半时，你能恢复等于你的熟练调整值的HP
2）爪击。你的双手变成利爪，当你空手时可以作为武器，造成1d6挥砍伤害。此外，当你在自己的回合使用攻击动作进行了爪击，你可以追加执行一次爪击作为该攻击动作的一部分（每回合一次）
3）尾击。你长出一条如长鞭般带刺的尾巴，造成1d8穿刺伤害，具有“触及”属性。如果一个你可见距离你10尺以内的生物攻击击中了你，你可以用反应挥起你的尾巴，骰一个d8并将骰值加在你的AC上，可能导致这次攻击打失</t>
  </si>
  <si>
    <t>奥术传承-牧师</t>
  </si>
  <si>
    <t>第1级起，你得到奥秘技能的熟练，并且你可以从法师法术列表选择两个戏法掌握。对于你而言，这些戏法是牧师戏法</t>
  </si>
  <si>
    <t>被这发箭击中的角色会额外受到2d6的黯蚀伤害。目标必须成功通过一个体质豁免，或者他的武器攻击造成的伤害在你的下一个回合开始之前减半
第18级起，该黯蚀伤害增加到4d6
豁免DC＝8+你的熟练调整值+你的智力调整值</t>
  </si>
  <si>
    <t>精妙剑法</t>
  </si>
  <si>
    <t>第17级起，如果你使用武僧武器进行的攻击检定失败了，你可以重新掷骰。该特性你每回合只能使用一次</t>
  </si>
  <si>
    <t>引导神力-鼓舞一击</t>
  </si>
  <si>
    <t>第3级起，在你以至圣斩造成一次伤害后，你可以用附赠动作消耗一次引导神力，给予你周围三十尺任意个你选择的生物（包括你）临时生命。临时生命＝2d8+你的圣武士等级，你可以任意分配这些生命值</t>
  </si>
  <si>
    <t>群逸逃散</t>
  </si>
  <si>
    <t>第15级起，当你受到伤害时，你能使用你的反应动作让自己活得对该次伤害的抗性。你消失在自己的集群之中，然后传送至30尺内一个未被占据的空间，你在那里与自己的集群一同重新出现
你能使用该特性的次数等于你的熟练加值，而你在结束一次长休后重新获得所有消耗的次数</t>
  </si>
  <si>
    <t>至高妖精扩展法术</t>
  </si>
  <si>
    <t>第1级起，在选择已知法术时，你可将以下法术加入邪术师法术列表进行选择
1环：妖火、睡眠术
2环：安定心神、魅影之力
3环：闪现术、植物滋长
4环：支配野兽、高等隐形术
5环：支配人类、伪装术</t>
  </si>
  <si>
    <t>收束未来</t>
  </si>
  <si>
    <t>第14级起，当你或60尺内一个你可以看见的生物进行一次攻击检定，属性检定或者豁免检定时，你可以以你的反应来跳过掷骰，直接决定骰子结果将会是使检定成功的最低骰值，或者比该骰值低出一点（由你选择）
当你使用该特性时，你获得一级力竭。你只能通过长休来移除以此法获取的力竭</t>
  </si>
  <si>
    <t>妖精漫游者</t>
  </si>
  <si>
    <t>第6级起，攻击对非魔法攻击或伤害具有抗性或免疫的目标时，“野兽之形”特性的天生武器视为魔法攻击。
你也可以改变你的形态来适应周遭环境，当你完成一次短休或长休后，选择一项变形的好处，持续到你完成下一次短休或长休</t>
  </si>
  <si>
    <t>引导神力-奥秘阻绝</t>
  </si>
  <si>
    <t>第2级起，以一个动作，你可以展示你的圣徽，同时你选择一个30尺内能看见或者听见你声音的天界，元素，精类或者邪魔类生物进行一次感知豁免。如果他未通过，他在1分钟之内被驱散直到他受到任何伤害
一个被驱散的生物必须使用他的回合尽力远离你，并且无法主动靠近你30尺以内。同时他们无法使用反应。在他们行动中，只能使用疾走或者从任何妨碍他们移动的效果中挣脱出来。如果没有任何地方移动，该生物使用闪避动作
第5级起，如果一个挑战等级小于等于以下数值且不是这个位面原住民的生物在对抗你的奥秘阻绝能力时豁免失败，他将在1分钟之内被放逐（如同驱逐术，但不需要专注）
第5级起，DC½；第8级起，DC1；第11级起，DC2；第14级起，DC3；第17级起，DC4
豁免DC等于你的牧师法术豁免DC</t>
  </si>
  <si>
    <t>被这发箭击中的角色会额外受到2d6的毒性伤害，他的速度减少10尺，当他在每个回合第一次不使用传送移动1尺以上的距离时他会受到2d6的挥砍伤害。这个目标或其他能触碰到荆棘的角色可以使用一个动作，以一个成功对抗你的奥术射击DC的力量（体能）检定来解除荆棘。否则，荆棘会在1分钟后或者你再次使用该选项时结束
第18级起，该毒性和挥砍伤害增加到4d6
豁免DC＝8+你的熟练调整值+你的智力调整值</t>
  </si>
  <si>
    <t>阳光箭</t>
  </si>
  <si>
    <t>第3级起，你可以在攻击动作中使用一种特殊的远程法术攻击（射程30尺）。你熟练于这次攻击，并且在攻击和伤害骰上加上敏捷调整值。它造成光耀伤害，伤害骰使用武艺骰
如果你在自己的回合内用攻击动作使用这种特殊攻击，你可以花费1点气，并且再用附赠动作用阳光箭进行两次额外的攻击
当你得到额外攻击能力时，你可以在作为攻击动作一部分的任意某次攻击中使用这种特殊攻击</t>
  </si>
  <si>
    <t>迅捷灵光</t>
  </si>
  <si>
    <t>第7级起，你的步行速度增加10尺。此外，如果你未失能，则任何在你周围5尺范围内开始其回合的同伴的步行速度将增加10尺，直到回合结束
第18级起，灵光的作用范围扩展至30尺</t>
  </si>
  <si>
    <t>哀惧灵袭</t>
  </si>
  <si>
    <t>第3级起，当你使用武器命中一个生物时，你可以对目标造成额外的1d4心灵伤害，一个目标一回合只能够受到一次这个伤害
第11级起，额外伤害变成1d6</t>
  </si>
  <si>
    <t>妖精仪态</t>
  </si>
  <si>
    <t>第1级起，以一个动作，你可以令以你为原点的10尺立方区域内所有生物进行一次对抗你法术豁免DC的感知豁免，豁免失败者直至你下一回合结束前受你魅惑或陷入对你恐慌（由你选择）
你必须完成一次短休或长休才能再次使用该特性</t>
  </si>
  <si>
    <t>调节密度</t>
  </si>
  <si>
    <t>第2级起，以一个动作，你能魔法地改一个物件或生物的重量，目标必须变位于你30尺内，且你能看见目标。物件和生物必须为大型或更小的。目标的重量减半或者翻倍，持续时间至多一分钟，或在你的专注终止（如同你专注法术一样）时提前结束
当一个生物的重量通过该效果减半时，该生物的移动速度增加10尺，跳跃距离变为正常的两倍，并且在进行力量检定或者力量豁免时具有劣势。当一个生物的重量通过该效果翻倍时，该生物的移动速度减少10尺，并且在进行力量检定或者力量豁免时具有优势
第10级起，你能对一个巨型或更小的物件或生物使用本特性</t>
  </si>
  <si>
    <t>龙兽守卫</t>
  </si>
  <si>
    <t>战技</t>
  </si>
  <si>
    <t>第6级起，你获得等于步行速度的游泳速度，并且能够水下呼吸</t>
  </si>
  <si>
    <t>幻想杀手</t>
  </si>
  <si>
    <t>第6级起，每次你使用1环或者更高环数的法术恢复了一名盟友的生命值，你同时可以选择作用于此生物的一个法术终止。被终止的法术等级不能高于你用来施放恢复法术所占用的法术位</t>
  </si>
  <si>
    <t>当你使用该选项时，你不用为该次攻击投攻击骰，取而代之，这只箭会在消失前划出一条一尺宽30尺长的直线。这只箭会无害地穿过物品且无视遮蔽。每一个在这条直线上的角色都必须通过一个敏捷豁免。如果失败，角色会受到如同被这只箭击中的伤害和额外1d6的穿刺伤害。如果成功，伤害减半
第18级起，该穿刺伤害增加到2d6
豁免DC＝8+你的熟练调整值+你的智力调整值</t>
  </si>
  <si>
    <t>热能袭</t>
  </si>
  <si>
    <t>第6级起，如果你在你的回合内进行了攻击动作，你可以立即消耗2点气来用附赠动作施放一环燃烧之手。你可以花费额外的气来施展更高环的燃烧之手法术，每一点额外的气都使法术等级上升1环。你最多可以在这个法术上花费的气（2+额外的点数）等同你一半的武僧等级（向下取整）</t>
  </si>
  <si>
    <t>神圣防御</t>
  </si>
  <si>
    <t>第15级起，当一次攻击检定命中你或十尺内另一个你可见的生物时，你可以用反应来获得额外AC对抗该次攻击，这可能会导致它打失。加值等于你的魅力调整值(最小值+1)。如果该次攻击失败，作为此反应的一部分，如果攻击者在你的触及内，你可以对攻击者进行一次武器攻击
你能使用的次数等于魅力调整值（至少有一次），你必须完成一次长休才能再次使用该特性</t>
  </si>
  <si>
    <t>妖精漫游者魔法</t>
  </si>
  <si>
    <t>第3级起，你学会以下法术，这些法术不占用你的游侠已知法术且被你视为巡林客法术
第3级时：魅惑人类
第5级时：迷踪步
第9级时：解除魔法
第13级时：任意门
第17级时：假象术
你还获得了来自一位妖精盟友或一处妖精神力的神奇祝福</t>
  </si>
  <si>
    <t>雾遁</t>
  </si>
  <si>
    <t>第6级起，你受到伤害时，可以使用你的反应进入隐形，并传送到60尺内一处你能看见且未被占据的空间。直至你的下一回合开始，或直至你发动攻击或施法，你将维持隐形状态
你必须完成一次短休或长休才能再次使用该特性</t>
  </si>
  <si>
    <t>重力井</t>
  </si>
  <si>
    <t>第6级起，无论何时你对一个生物释放法术，只要该目标自愿被移动，或是法术攻击命中了该目标，亦或是该目标在对抗这道法术的豁免时失败了，你就能让该目标朝着一个由你选择且未被占据的空间移动5尺</t>
  </si>
  <si>
    <t>第6级起，你获得等于步行速度的攀爬速度。你无需进行属性检定也可攀爬于困难表面，包括倒挂天花板</t>
  </si>
  <si>
    <t>第8级起，在你的任何牧师戏法造成的伤害中加上你的感知加值</t>
  </si>
  <si>
    <t>当你使用该选项时，你不用为该次攻击投攻击骰，取而代之，选择一名在过去的1分钟里你见过的角色。如果需要的话，这只箭会立刻掉头飞向那名角色，且忽视四分之三和半遮蔽。如果目标在箭的射程范围内且中间路程适合箭飞行至目标，目标必须做一个敏捷豁免。否则，箭会在飞行到最大距离后消失。如果豁免失败，角色会受到如同被这只箭击中的伤害和额外1d6的穿刺伤害，而且你得知目标的确切位置。如果成功，伤害减半且你无法得知其方位
第18级起，该穿刺伤害增加到2d6
豁免DC＝8+你的熟练调整值+你的智力调整值</t>
  </si>
  <si>
    <t>阳光爆</t>
  </si>
  <si>
    <t>第11级起，以一个动作，你可以魔法般地创造一个球体并且向150尺内的任意一点投掷，在那里瞬间扩张成一个光芒四射的区域。以目标点为中心半径20尺内的所有生物必须立即通过一次体质豁免，若未通过将受到2d6的光耀伤害。若生物处于全掩护环境并且掩体不透光，那么他不需要进行豁免
你可以花费额外的气以提高这个能量球的威力。每花费1点可以使伤害上升2d6，上限3点
豁免DC＝8+你的熟练加值+你的感知调整值</t>
  </si>
  <si>
    <t>在世神话</t>
  </si>
  <si>
    <t>第20级时，以一个附赠动作，你可以在1分钟内获得以下好处：
你被赋予超凡脱俗的表征，在所有魅力属性检定中获得优势
在你的每回合中，当你进行武器攻击而未命中时，你可以将该次攻击改为命中。每回合你只能使用一次此能力
如果你的豁免失败了，你可以用反应重骰，你必须使用新的骰值。
一旦你使用了此特性，除非你消耗一个五环法术位，否则将无法再次使用，直到你完成一次长休</t>
  </si>
  <si>
    <t>妖冶嫺都</t>
  </si>
  <si>
    <t>第3级起，每当你进行一次魅力检定时，你可以在结果中加入等于你的感知调整值的加值(最低为1)。
另外，你从以下技能中选择一项获得熟练项：欺瞒，表演或游说</t>
  </si>
  <si>
    <t>斗转星移</t>
  </si>
  <si>
    <t>第10级起，你获得魅惑状态的免疫，且当其他生物试图魅惑你时，你可以使用你的反应将魅惑效应反施予该生物。该生物必须进行一次对抗你法术豁免DC的感知豁免，豁免失败者将受你魅惑，并持续1分钟。该效应会在其受到任何伤害时终止</t>
  </si>
  <si>
    <t>狂暴牵引</t>
  </si>
  <si>
    <t>第10级起，当一个除你以外，位于你60尺内且你可见的生物被武器攻击命中时，你能用你的反应加快这次攻击的速度，使得被攻击的目标额外受到1d10的该武器类型所造成的伤害
此外，如果一个位于你60尺内的生物遭受了坠落伤害，你能用你的反应来增加这次坠落所造成的伤害，增加值为2d10
你能使用本特性的次数等于你的智力调整值（最少一次）。当你完成一次长休后，你恢复所有的使用次数</t>
  </si>
  <si>
    <t>第6级起，每回合一次，你能在跳跃时进行一次力量（运动）检定，使你的跳跃距离延长等于检定结果的尺数</t>
  </si>
  <si>
    <t>奥术精通</t>
  </si>
  <si>
    <t>第17级起，你从法师的施法列表中选择6环、7环、8环、9环法术各一，并将它们加入自己的领域法术列表。你总是准备了它们，并且对你而言它们被视为牧师法术</t>
  </si>
  <si>
    <t>被这发箭击中的角色会额外受到2d6的精神伤害，而且目标必须成功通过一个感知豁免，或者无法看见5尺之外的任何事物直到你的下一个回合开始
第18级起，该精神伤害增加到4d6
豁免DC＝8+你的熟练调整值+你的智力调整值</t>
  </si>
  <si>
    <t>光辉护盾</t>
  </si>
  <si>
    <t>第17级起，你发散出30尺的明亮照明和额外30尺的昏暗照明。你可以以一个附赠动作将这个光芒熄灭或者恢复
如果一个被光芒照耀的生物对你进行近战攻击并击中了你，你可以用你的反应对这个生物造成5+你的感知调整值的光耀伤害</t>
  </si>
  <si>
    <t>守望圣誓法术</t>
  </si>
  <si>
    <t>第3级时：警报术、侦测魔法
第5级时：月华之光、识破隐形
第9级时：法术反制、回避侦测
第13级时：净化灵光、放逐术
第17级时：怪物定身术、探知</t>
  </si>
  <si>
    <t>妖思魅缕</t>
  </si>
  <si>
    <t>第7级起，你在对抗造成恐惧与魅惑的豁免检定上具有优势
另外，120尺内你可见的一个生物成功地通过了一个对抗魅惑或恐惧的豁免检定时，你可以用你的反应迫使120尺内你可见的另一个生物通过一个DC为你的法术DC的感知豁免。若其豁免失败，则目标会被你魅惑或恐惧(由你选择)一分钟。目标能够在他的每回合结束时重复豁免，若其豁免成功，则效果终止</t>
  </si>
  <si>
    <t>幻影黑幕</t>
  </si>
  <si>
    <t>第14级起，你可以使一个生物陷入虚幻领域中。作为一个动作，你可以指定你周边60尺范围内一个你能看见的生物。目标生物必须进行一次对抗你法术豁免DC的感知豁免。豁免失败者将受你魅惑或因你而陷入恐慌（由你选择），并持续1分钟，或直至你的专注被打断（等同于你专注一个法术）。如果该生物受到伤害，那么该效应提前终止
直至幻象结束前，该生物都会以为自己迷失在了一个迷雾区域中，而区域的形象则由你选择。该生物只看见和听到其自身、你和幻象三者
你必须完成一次短休或长休才能再次使用该特性</t>
  </si>
  <si>
    <t>事件视界</t>
  </si>
  <si>
    <t>第14级起，以一个动作，你能魔法地发散出由重力能量引起的强大力场，把其他生物拖拽至多1分钟，或在你的专注终止（如同你专注法术一样）时结束。在持续时间内，当一个位于你30尺内，且与你敌对的生物开始回合时，该生物必须进行一次力量豁免对抗你的法术DC。当豁免失败时，该生物受到2d10的力场伤害，并且移动速度降低至0尺，减速持续直到该生物的下一个回合开始。当豁免成功时，该生物受到一半的伤害，并且每移动一尺就需要额外花费2尺的移动力
一旦你使用了此特性，除非你消耗一个三环或更高的法术位，否则将无法再次使用，直到你完成一次长休</t>
  </si>
  <si>
    <t>感染之怒</t>
  </si>
  <si>
    <t>第10级起，当你在狂暴时用天生武器命中一个敌人时，使之进行一次感知豁免，DC=8+你的体质调整值+你的熟练值，豁免失败则遭受以下效应之一（由你选择）：
1）目标用反应对一个由你选择且你能看见的生物发动一次近战攻击
2）目标受到2d12心灵伤害
你能使用本特性的次数等于你的熟练调整值，完成一次长休后恢复</t>
  </si>
  <si>
    <t>锻造领域法术</t>
  </si>
  <si>
    <t>第1级时：鉴定术、炽焰斩
第3级时：灼热金属、魔化武器
第5级时：元素武器、防护能量伤害
第7级时：鬼斧神工、火墙术
第9级时：活化物件、造物术</t>
  </si>
  <si>
    <t>魔法箭矢</t>
  </si>
  <si>
    <t>第7级起，无论何时你用短弓或者长弓射出普通箭，你都可以为了让它能够克服对非魔法攻击伤害的抗性和免疫而将其转变为魔法箭矢。这个魔法会在箭击中或未命中目标后立刻消失</t>
  </si>
  <si>
    <t>命流之器</t>
  </si>
  <si>
    <t>第3级时，你获得洞悉和医药技能熟练项，以及你获得草药工具的熟练项
你还可以获得一个特殊的面具，当你使用这个子职的特性时，你通常会戴着它。你可以自由决定它的外观</t>
  </si>
  <si>
    <t>引导神力-守望者的意志</t>
  </si>
  <si>
    <t>第3级起，以一个动作，你可以选择30尺内你可见的生物，数量至多等同于你的魅力调整值（至少为1）。在1分钟内，你和所有被选择的生物在智力、感知和魅力豁免上都获得优势</t>
  </si>
  <si>
    <t>精宸所与</t>
  </si>
  <si>
    <t>第11级起，你习得精类召唤术。这不占用你的已知游侠法术，且你可以施展它而无需材料成分。你可以不消耗法术位而施展这个法术一次，并在你完成一次长休后重获该能力
当你开始施展这个法术时，你可以对其进行调整使其无需专注。若你这么做，那么法术的持续时间会在那一次施展时变为一分钟</t>
  </si>
  <si>
    <t>邪魔宗主扩展法术</t>
  </si>
  <si>
    <t>第1级起，在选择已知法术时，你可将以下法术加入邪术师法术列表进行选择
1环：燃烧之手、命令术
2环：目盲/耳聋术、灼热射线
3环：火球术、臭云术
4环：火焰护盾、火墙术
5环：焰击术、圣居</t>
  </si>
  <si>
    <t>法师之笔</t>
  </si>
  <si>
    <t>第2级起，以一个附赠动作，你能用魔法创造一支微型羽毛笔。这支魔法羽毛笔具有以下特性：
这支毛笔不需要墨水。当你用它书写时，它会在用于书写的表面上自行生成墨水，颜色由你选择
若你使用这根羽毛笔来将法术抄入法术书，你只需花费每个法术等级2分钟的时间
若你用羽毛笔书写的文本在你身边5尺范围之内，你可以用一个附赠动作在文字上方晃动羽毛将其消除
这根羽毛笔将在你创造另一支笔或是死亡时消失</t>
  </si>
  <si>
    <t>狩猎之唤</t>
  </si>
  <si>
    <t>第14级起，你能在进入狂暴时选择30尺内最多等于你可见的体质调整值（至少1）个其他自愿生物，每一个接受狂怒的目标会给予你5点临时生命。直至狂暴结束前，他们可以每轮使用一次以下能力：当攻击命中一个目标并造成伤害时，可以骰一个d6并把骰值加入到伤害中。你能使用本特性的次数等于你的熟练调整值，完成一次长休后恢复</t>
  </si>
  <si>
    <t>额外熟练-牧师</t>
  </si>
  <si>
    <t>第1级时，你获得重甲熟练和铁匠工具熟练</t>
  </si>
  <si>
    <t>曲线射击</t>
  </si>
  <si>
    <t>第7级起，当你使用了魔法箭矢投攻击骰且未命中时，你能够使用一个附赠动作来指定一个距离原本目标60尺内的不同目标重投攻击骰</t>
  </si>
  <si>
    <t>予命之手</t>
  </si>
  <si>
    <t>第3级起，以一个动作，你能花费1点气来接触一个生物，恢复目标1个你的武艺骰+感知调整值数量的生命值
当你使用疾风连击时，你能在不消耗气的情况下用此特性替换一次徒手攻击</t>
  </si>
  <si>
    <t>引导神力-驱散异域</t>
  </si>
  <si>
    <t>第3级起，以一个动作，你展示你的圣徽，你30尺范围内能够听到你祷言的异怪、天界生物、元素、精类或邪魔都必须进行一次感知豁免，豁免失败者将受到驱散，其效应持续1分钟或直至其受到任何伤害。以此方式被驱散的生物必须花费其回合内的所有移动速度尽量远离你，且无法主动靠近你30尺内。被驱散的生物无法执行反应，只能使用既有的疾走动作或从任何妨碍其移动的效应中挣脱。该生物无路可走时将执行回避动作
豁免DC等于你的圣武士法术豁免DC</t>
  </si>
  <si>
    <t>雾行漫游</t>
  </si>
  <si>
    <t>第15级起，你可以施展迷踪步而不需要消耗法术位。你可以这么做的次数等于你的感知调整值(最低一次)，你在完成一次长休后重获所有的使用次数。另外，每当你施展迷踪步时，你可以携带一个五尺以内你看得见的自愿生物与你一起移动。那个生物会被传送到由你选择的，位于你的目标位置五尺以内的未被占据空间</t>
  </si>
  <si>
    <t>黑暗赐福</t>
  </si>
  <si>
    <t>第1级起，每当你把一个敌对生物的生命值降至0，你都会获得等同于你的魅力调整值＋你的邪术师等级的临时生命值（最低为1）</t>
  </si>
  <si>
    <t>觉醒魔典</t>
  </si>
  <si>
    <t>第2级起，当你持握法术书时，它将为你提供以下增益：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当你用仪式施法施展一个法术时，你可以使用法术的正常施法时间，而不用额外增加10分钟。你必须完成一次长休才能再次使用此增益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</si>
  <si>
    <t>审判官</t>
  </si>
  <si>
    <t>巨人之力</t>
  </si>
  <si>
    <t>第3级起，你获得说、读、写巨人语的能力。若你已经习得巨人语，则可以改为自选另一种语言
此外，你从以下戏法选的其一习得： 德鲁伊伎俩、奇术。这个法术的施法属性为感知</t>
  </si>
  <si>
    <t>锻造祝福</t>
  </si>
  <si>
    <t>第1级时，在长休的结束，你可以触摸一件非魔法护甲或者简易或军用武器，直到你下一次长休或者你死亡，若是护甲，其ac获得+1加值；若是武器，其攻击骰和伤害骰获得+1加值
你必须完成一次长休才能再次使用该特性</t>
  </si>
  <si>
    <t>预备射击</t>
  </si>
  <si>
    <t>第15级起，如果你投了先攻骰且没有任何奥术射击使用次数，你重新获得一次使用机会</t>
  </si>
  <si>
    <t>夺命之手</t>
  </si>
  <si>
    <t>第3级起，当你用徒手攻击命中一个生物时，可以花费1点气来额外造成等于1个你的武艺骰+感知调整值的黯蚀伤害。每回合你能使用该特性一次</t>
  </si>
  <si>
    <t>哨卫灵光</t>
  </si>
  <si>
    <t>第7级起，若你未失能，你散发出一道令人保持警觉的灵光。当你和你10尺内由你选择的生物进行一次先攻检定时，获得等同于你熟练加值的加值
第18级起，灵光的作用范围扩展至30尺</t>
  </si>
  <si>
    <t>龙族赠礼</t>
  </si>
  <si>
    <t>第3级起，你习得戏法奇术，这对你而言是一个游侠法术
并学会说，读，写龙语或另一门你选择的语言</t>
  </si>
  <si>
    <t>黑暗强运</t>
  </si>
  <si>
    <t>第6级起，当你进行属性检定或豁免检定时，可以使用该特性为此次掷骰增添一个d10骰。你可在看到掷骰结果后，其结果生效前使用该特性
你必须完成一次短休或长休才能再次使用该特性</t>
  </si>
  <si>
    <t>神识显现</t>
  </si>
  <si>
    <t>第6级起，当你持有觉醒魔典时，你可以以一个附赠动作令书中的意识显现为一个微型的灵体物件，使其悬浮于距离你60尺以内且未被占据的、由你选择的空间中。这一灵体意识是无形的，不会占据其空间，并会在其周围半径10尺范围内发出微光光照。它看上去如同一本灵体卷宗、一摞文字、或是一位历史中的学者（由你选择）
显现时，该灵体意识能够听音视物，并具有60尺的黑暗视觉。它能用心灵感应将它所看见和听到的信息分享给你（无需动作）
每当你在自己的回合内施放法师法术时，你可以使用灵体意识的感官、如同身处它所在的空间一样释放该法术。你能使用该能力的次数等于你的熟练加值，完成一次长休后，你将重获所有消耗掉的使用次数
以一个附赠动作，你可以令灵体意识飘浮到其周围30尺内、你或它可见且未被占据的空间。灵体意识可以穿过生物但不能穿过物件
若遇到以下情况之一，灵体意识的显现将会停止：与你的距离超过300尺，成为解除魔法的目标，觉醒魔法书被摧毁，你死亡时，或是你以一个附赠动作将其驱散
召唤过灵体意识后，你必须完成一次长休、或是消耗一枚任意环位的法术位，才能再次召唤</t>
  </si>
  <si>
    <t>策士</t>
  </si>
  <si>
    <t>巨人之灾</t>
  </si>
  <si>
    <t>第3级起，狂暴期间，你获得以下的增益：
粉碎投掷：当你用力量且用投掷武器发动远程武器攻击，并成功命中时，你可以将你的狂暴伤害加值加到这次攻击的伤害掷骰中
巨人体型：你的触及范围扩大5尺。同时如果你的体型小于大型，你的体型变为大型，你穿戴的所有装备也会一同变大。如果没有足够的空间供你增大体型，你的体型保持不变</t>
  </si>
  <si>
    <t>引导神力-铁匠祝福</t>
  </si>
  <si>
    <t>第2级起，花费一小时来引导仪式，你可以创造包含有金属的非魔法物品:一件护甲，一把简易或军用武器，十份弹药，工具或是其他物品（参考phb的物品章节）。在仪式的结束，物品被创造并且出现在你选择的，一个五尺内未被占据的空间内
你创造的物品的价值必须低于100gp。作为仪式的一部分，你必须提供等同于物品价值的金属物品，比如钱币。在仪式的结束，这些物品会不可逆地变成你创造的物品，魔法会形成非金属的部分
仪式可以创造包括金属的非魔法物品的复制品，但你在仪式过程中必须拥有原件</t>
  </si>
  <si>
    <t>额外熟练-战士</t>
  </si>
  <si>
    <t>第3级时，你选择以下技能中的一个并获得其熟练：驯兽，历史，洞悉，表演和游说。或者你学会一门你选择的语言</t>
  </si>
  <si>
    <t>生死之触</t>
  </si>
  <si>
    <t>第6级起，当你对一个生物使用予命之手时，你还可以结束一种疾病或影响该生物的下列状态之一：目盲、耳聋、麻痹、中毒或震慑
当你对一个生物使用夺命之手时，你可以使该生物处于中毒状态，直到你的下一回合结束</t>
  </si>
  <si>
    <t>警戒呵斥</t>
  </si>
  <si>
    <t>第15级起，当你或你30尺内一个你可见的生物在一次智力、感知或魅力豁免上成功时，你可以用反应对迫使你或该生物进行豁免检定的生物造成力场伤害，数值等同于你的魅力调整值+2d8</t>
  </si>
  <si>
    <t>龙兽伙伴</t>
  </si>
  <si>
    <t>第3级起，以一个动作，你能魔法地召唤与你联结的龙兽。龙兽会出现在你30尺内一处由你选择的未被占据的空间里
龙兽听从你的指令，并且对你和你的同伴友善。当你召唤龙兽时，从强酸、冷冻、闪电、火焰、毒素中选择一项伤害类型决定伤害免疫和注能打击的类型。你能自订龙兽的外观特征，如颜色，鳞片纹理，和龙族精粹的视觉效果；你的外观选择对游戏数据没有影响
战斗中，龙兽与你共享先攻，会在你的回合结束之后立即进行自己的回合。龙兽能自己独自移动和使用反应动作，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龙兽持续直到它的生命值降为0，或你使用本特性召唤另一只龙兽，或你死亡。当龙兽消失时，它穿戴和携带的物品会留在原地
当你召唤龙兽后，你需要完成一次长休才能再次这样做。你也能使用一个一环或更高的法术位来召唤龙兽
龙兽伙伴
小型龙
护甲等级：14+熟练加值(天生护甲)
生命值：5+5×你的游侠等级（龙兽具有你游侠等级数量的生命骰[d10]）
速度：40尺速度
力量16（+3）
敏捷12（+1）
体质15（+2）
智力8（-1）
感知14（+2）
魅力8（-1）
豁免：敏捷：1+熟练加值，感知：2+熟练加值
伤害免疫：召唤时选择
状态免疫：力竭、中毒
感官能力：40尺黑暗视觉，被动察觉12
语言能力：龙语
熟练加值：与你等同
动作：
啃咬：近战武器攻击：命中3+熟练加值，触及5尺，单一目标，造成1d6+熟练加值的穿刺伤害
反应：
注能打击：当龙兽30尺内一个龙兽可见的生物用武器攻击命中一个生物时，龙兽能用它的精粹注能本次打击，使目标额外受到1d6伤害，伤害类型在召唤时选择</t>
  </si>
  <si>
    <t>邪魔体魄</t>
  </si>
  <si>
    <t>第10级起，每当你完成一次短休或长休后你都可以选择一种伤害类型。直到你使用此能力选择另外一种伤害类型之前，你都拥有对于所选伤害类型的抗性。魔法武器或银质武器所造成的伤害无视此抗力</t>
  </si>
  <si>
    <t>书士宗师</t>
  </si>
  <si>
    <t>第10级起，每当你完成一次长休，你可以令你的法师笔触碰一张空白的纸张或是羊皮纸，以将你觉醒魔典中的一个法术并复制到这张纸上、并制造一个魔法卷轴。你制造卷轴时，魔典必须在你5尺之内
被复制的法术必须是1环或2环法术，且施法时间必须为1个动作。卷轴将增强法术的力量，令其视为比平常高1环阶的法术。你可以以一个动作阅读卷轴来施展其中的法术。卷轴对其他任何人都不可理解，且当你施展其中法术、或是完成下次长休后，卷轴上记载的法术将会消失。
你同样熟练于制造城主指南第七章中所描述的法术卷轴。若你使用你的法术笔制造卷轴，所需要花费的金币和时间减半</t>
  </si>
  <si>
    <t>斥候</t>
  </si>
  <si>
    <t>元素战刃</t>
  </si>
  <si>
    <t>第6级起，当你进入狂暴时，你可以选择一件你正持握的武器中，并为它选择并注入以下伤害类型之一：强酸、寒冷、火焰、雷鸣、或闪电
当你在狂暴中挥舞注能的武器时，武器的伤害类型将转变为你选择的伤害类型，并在命中时额外造成1d6点所选类型的伤害
此外它还将获得投掷属性，具有通常射程20尺与最大射程60尺。如果你投掷这把武器，它不论是否击中目标，它都将在那之后立刻重新出现在你的手中
注能武器的增益将在除你以外的其他生物持握它时将被暂时压制
在狂暴期间，若你持握着注能武器，你就可以用一个附赠动作改变其伤害类型为另一项，从前文提到的伤害类型中选择</t>
  </si>
  <si>
    <t>锻造之魂</t>
  </si>
  <si>
    <t>第6级起，你对火焰伤害有抗性
当你穿着重甲，你的ac获得+1加值</t>
  </si>
  <si>
    <t>生而为骑</t>
  </si>
  <si>
    <t>第3级起，在进行避免从你坐骑上摔下的豁免检定中，你获得优势。若你从你的坐骑上摔落时不超过10尺并且你没有失能，你能够双脚着陆。另外，骑上或离开一个角色只需要5尺的移动力，而非你速度的一半</t>
  </si>
  <si>
    <t>活杀自在</t>
  </si>
  <si>
    <t>第11级起，当你使用疾风连击时，你现在可以用你的予命之手代替每一次徒手打击，而不用花费气来治疗
另外，当你进行徒手攻击时，你可以使用夺命之手进行攻击，而不必花费夺命之手所须的气，你仍然在每回合只能使用夺命之手一次</t>
  </si>
  <si>
    <t>尘世壁垒</t>
  </si>
  <si>
    <t>第20级时，以一个附赠动作，你在1分钟内获得以下增益：
你获得120尺的真实视觉。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当你对一个生物进行攻击并击中，并对其造成伤害时，你可以使其进行一次魅力豁免。若其失败且其不属于此位面，其将被魔法性地放逐到其原本的位面。若目标豁免成功，其在24小时内不能再被此能力放逐。
一旦你使用了此特性，除非你消耗一个五环法术位，否则将无法再次使用，直到你完成一次长休</t>
  </si>
  <si>
    <t>牙鳞之联</t>
  </si>
  <si>
    <t>第7级起，当你召唤龙兽时，其获得与步行速度相等的游泳速度，并且能在水里或空气中呼吸，或其获得与步行速度相等的飞行速度（由你选择）
此外，当召唤的龙兽在场时，你和龙兽获得以下增益:
·龙兽坐骑：龙兽成长为中等体型。你能够将龙兽当做坐骑骑乘，即使你的体型也为中型。当你骑乘龙兽时，龙兽不能使用从本特性中获得的飞行速度
·魔法獠牙：龙兽的啃咬攻击额外造成1d6召唤时所选类型的伤害
·抗性：你获得与龙兽召唤时所选免疫伤害类型相同的伤害抗性</t>
  </si>
  <si>
    <t>直坠噩梦</t>
  </si>
  <si>
    <t>第14级起，每当你的攻击成功命中一个生物时，你可以使用此能力将目标瞬间传送并穿越下层位面。该生物立刻消失并前往如同噩梦一般的风景
在你下一回合结束时，目标返回先前所占据的空间、或是最近的未被占据空间。如果目标并非邪魔，则他因这次可怖的经历而受到10d10点心灵伤害
你必须完成一次长休才能再次使用该特性</t>
  </si>
  <si>
    <t>书人合一</t>
  </si>
  <si>
    <t>第14级起，携带觉醒魔典时，你在所有智力（奥秘）检定中具有优势
此外，如果你在法术书的意识处于显现状态时受到伤害，你可以利用你的反应驱散灵体意识、利用其中的魔法来拯救自己，从而避免所有对你的伤害。之后，掷3d6。法术书暂时失去由你自选的法术，其环阶之和必须大于或等于骰值。如果书中没有足够的法术来支付这个代价，你就会降到0点生命。
你必须完成1d6次长休，才能再次施放失去的法术；在此期间，即使你在卷轴上或其他法术书中找到这些法术，也不能施展它们。完成所需的长休次数后，法术会重新出现在法术书中。
用过这个反应之后，你必须完成一次长休才能再次使用</t>
  </si>
  <si>
    <t>游荡剑客</t>
  </si>
  <si>
    <t>伟力推动</t>
  </si>
  <si>
    <t>第10级起，狂暴期间，以一个附赠动作，你可以选择触及范围内的一个不超过中型体型的生物，将其移动到你周围30尺内的一处你可见的、未被占据的空间。非自愿的生物必须成功通过一次力量豁免（DC=8+你的熟练加值+你的力量调整值）才能避免遭受这一效应
若在这次移动结束时，被投掷的生物并未站在一个可以支撑他的固体表面或液体中，该生物将坠落，正常承受摔落伤害并在落地时陷入 倒地</t>
  </si>
  <si>
    <t>第8级起，每个你自己的回合一次，当你的武器攻击命中，你可以对目标额外造成1d8的火焰伤害。第14级起，该伤害提升到2d8</t>
  </si>
  <si>
    <t>坚定之印</t>
  </si>
  <si>
    <t>第3级起，当你以一次近战武器攻击击中一名敌人时，你可以标记他直到你的下一个回合，如果你失能、死亡或者有其他人标记该敌人，这个效果会提前结束
该名被你标记的敌人在你5尺之内并且不以你为目标，他的攻击骰承受劣势。另外，如果该敌人对除你之外的人造成了伤害，在你的下一个回合你可以用一个附赠动作对该敌人进行一次特殊近战攻击，你这次攻击骰有优势，如果击中，对目标额外造成等同于你战士等级一半的伤害
无论你标记了多少名角色，你能够使用的特殊攻击次数等同于你的力量调整值（至少为1），而且你在长休后重新获得所有被消耗的特殊攻击次数</t>
  </si>
  <si>
    <t>命极之手</t>
  </si>
  <si>
    <t>第17级起，以一个动作，你可以接触一个在过去24小时内死亡生物的尸体并消耗5点气，该生物则会复活，恢复相当于4D10+你的感知调整值的生命值。如果该生物是在以下这些状态时死亡，它会在移除这些状态后复活：目盲、耳聋、麻痹、中毒和震慑
你必须完成一次长休才能再次使用该特性</t>
  </si>
  <si>
    <t>龙兽吐息</t>
  </si>
  <si>
    <t>第11级起，以一个动作，你或你的龙兽能喷吐30尺锥形的伤害吐息，伤害类型为强酸、冷冻、闪电、火焰、毒素之一。范围内的生物进行一次敏捷豁免对抗你的法术DC，豁免失败时受到8d6伤害，成功时受到一半的伤害
15级时，伤害增长至10d6
当你使用本特性后，你需要完成一次长休才能再次这样做。你也能使用一个三环或更高的法术位来再次使用</t>
  </si>
  <si>
    <t>旧日支配者扩展法术</t>
  </si>
  <si>
    <t>第1级起，在选择已知法术时，你可将以下法术加入邪术师法术列表进行选择
1环：不谐低语、塔莎狂笑术
2环：侦测思想、魅影之力
3环：鹰眼术、短讯术
4环：支配野兽、艾伐黑触手
5环：支配人类、心灵遥控</t>
  </si>
  <si>
    <t>鬼魅</t>
  </si>
  <si>
    <t>创世巨像</t>
  </si>
  <si>
    <t>第14级起，当你狂暴时，你的触及范围再次提升10尺，而你的体型可以增大为大型或巨型（由你选择），且你还可以用 伟力推动特性投掷不超过大型体型的生物
此外，你的 元素战刃特性造成的额外伤害提升至2d6</t>
  </si>
  <si>
    <t>火与钢的圣徒</t>
  </si>
  <si>
    <t>第17级起，你免疫火焰伤害
当你穿着重甲，你对源于非魔法攻击的钝击，穿刺，挥砍伤害有抗性</t>
  </si>
  <si>
    <t>防护战术</t>
  </si>
  <si>
    <t>第7级起，当你手持一把近战武器或者一面盾牌时，如果你或者在你5尺之内你能看到的一名角色被一次攻击击中，你能以一个反应投一个1d8加入被攻击角色的AC中，如果这次攻击仍然击中，被攻击目标对这次攻击伤害有抗性
你能够使用该特性的次数等同于你的体质调整值（至少为1），而且你在长休后重新获得所有被消耗的使用次数</t>
  </si>
  <si>
    <t>星我之臂</t>
  </si>
  <si>
    <t>第3级起，以一个附赠动作，你可以花费1点气来召唤你的星我之臂，当你这么做时，你选择的每一个你所见的10尺范围内的生物必须进行一次敏捷豁免检定，如果失败则受到相当于你两倍武艺骰的力场伤害
在10分钟内，这些幽光般的手臂会盘旋在你的肩膀附近或环绕着你的手臂（由你选择），你来决定手臂们的外观，如果你失能或死亡，它们就会立即消失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当你在自己回合用星我之臂进行徒手攻击时，你的触及范围增加5尺
当你用星我之臂进行徒手攻击时，可以用感知调整值代替力量或敏捷调整值来进行攻击检定和伤害检定，它们的伤害类型是力场</t>
  </si>
  <si>
    <t>完美联结</t>
  </si>
  <si>
    <t>第15级起，当召唤的龙兽在场时，你和龙兽获得以下增益:
·增强啃咬：龙兽的啃咬攻击额外造成召唤时所选类型的1d6伤害（总共2d6额外伤害）
·大型龙兽：你的龙兽成长为大型。当你骑乘龙兽时，使用飞行速度不再受限于牙鳞之联
·反射抗性：当你与龙兽相距30尺内，你或你的龙兽受到伤害时，你能使用你的反应为你或你的龙兽对这次伤害提供抗性。你能使用本反应的次数与你的熟练值相等，当你完成一次长休后恢复所有的使用次数</t>
  </si>
  <si>
    <t>唤醒心灵</t>
  </si>
  <si>
    <t>第1级起，你可以与身边30尺内任意你能看见的生物通过心灵感应方式进行交流。你不必须懂得该生物的语言也能使其理解你通过心灵感应所传达的话语，但它必须至少能够理解一种语言</t>
  </si>
  <si>
    <t>魂刃</t>
  </si>
  <si>
    <t>坟墓领域法术</t>
  </si>
  <si>
    <t>第1级时：灾祸术、虚假生命
第3级时：遗体防腐、衰弱射线
第5级时：回生术、吸血鬼之触
第7级时：枯萎术、防死结界
第9级时：防活物护罩、死者复活</t>
  </si>
  <si>
    <t>坚守战线</t>
  </si>
  <si>
    <t>第10级起，当敌人在你的攻击范围里移动了5尺以上的距离，你就可以对其进行借机攻击，而且如果你用借机攻击击中敌人，敌人的移动速度降为0直到当前回合结束</t>
  </si>
  <si>
    <t>星我之容</t>
  </si>
  <si>
    <t>第6级起，以一个附赠动作，或者作为你召唤星我之臂时的附赠动作中的一部分，你可以花费1点气来召唤星我之容，持续10分钟，如果你失能或死亡，则它会立即消失
幽光般的头盔或面具遮挡着你的脸，你来决定它的外观
当星我之容存在时，你将获得如下增益：
星之视觉：你在黑暗中拥有120尺的可视距离，而无论其属于魔法黑暗还是非魔法黑暗
灵魂感知：你的感知（洞悉）和魅力（威吓）检定具有优势
灵魂之语：当你说话时，你可以将你的话语指向你选择的一个60尺范围内的可视生物，这种情况下只有这个生物才能听到你的声音。或者你可以放大你的声音，这种情况下600尺内的所有生物都能听到你的声音</t>
  </si>
  <si>
    <t>熵光结界</t>
  </si>
  <si>
    <t>第6级起，当一个生物对你发动攻击检定时，你可以用你的反应迫使该攻击检定具有劣势。如果该攻击检定失败，则你直至你下一回合结束前，下一次对该生物发动攻击检定时具有优势
你必须完成一次短休或长休才能再次使用该特性</t>
  </si>
  <si>
    <t>死之环</t>
  </si>
  <si>
    <t>第1级起，当你使用法术投掷骰子用于恢复生命值为0的生物的生命时，你的每个骰子都可以直接取满
此外，你获得维生术戏法，这不会计入你已知的牧师戏法。对你来说，此法术射程为30尺，并且你可以用附赠动作施展他</t>
  </si>
  <si>
    <t>野蛮冲撞</t>
  </si>
  <si>
    <t>第15级起，无论你是否乘骑，如果你在攻击一名角色前至少直线移动10尺且这次攻击成功，目标必须通过一个力量豁免（DC8+你的熟练调整值+你的力量调整值）或者被击倒，你的每个回合都可以使用一次该特性</t>
  </si>
  <si>
    <t>星我之躯</t>
  </si>
  <si>
    <t>第11级起，当你同时召唤星我之臂和星我之容时，你可以让你的星我之躯出现（不需要任何动作），这个幽光般的躯体如同一件盔甲般复盖着你的身体，与星我之臂和星我之容相连。你来决定它的外观
当星我之躯出现时，你将获得如下增益：
拨挡能量：当你受到强酸、冷冻、火焰、力场、闪电或雷鸣伤害时，你可以用你的反应来偏转它，如果你这么做，则你所受的该次伤害减少1D10+你的感知调整值（最小减少1）
注能之臂：你的每回合中有一次机会，当你用星我之臂攻击命中目标时，你可以对目标造成额外伤害，相当于你的武艺骰</t>
  </si>
  <si>
    <t>思维之盾</t>
  </si>
  <si>
    <t>第10级起，除非获得你的允许，否则你的思维无法被心灵感应或者其他手段阅读。此外你还具有对心灵伤害抗性，且每当一个生物对你造成心灵伤害时，该生物将受到与你相同的伤害</t>
  </si>
  <si>
    <t>坟墓之眼</t>
  </si>
  <si>
    <t>第1级起，以一个动作，你可以伸张意识来魔法性地辨识不死生物。直到你的下回合结束，你可以定位60尺内的没有处于全掩护之下或是没有被预言魔法保护的不死生物，这不会告诉你生物的能力和身份
你可以使用此能力的次数等同于你的感知调整值（至少一次），当你完成长休，你重获使用过的次数</t>
  </si>
  <si>
    <t>警戒守卫</t>
  </si>
  <si>
    <t>第18级起，战斗中，你会得到一个特殊的反应，在除你自己的回合以外的每个回合，你都能用这个特殊反应进行一次借机攻击，你不能在一回合内同时使用特殊反应和普通反应</t>
  </si>
  <si>
    <t>星我觉醒</t>
  </si>
  <si>
    <t>第17级起，以一个附赠动作，你可以花费5点气召唤你的星我之臂、星我之容和星我之躯，这种星我觉醒状态持续10分钟，如果你失能或死亡，这种觉醒状态会提前结束
当你处于星我觉醒时，你将获得如下增益：
灵魂盔甲：你的AC获得+2加值
星之连击：当你使用额外攻击特性进行两次攻击时，可以改为三次攻击，所有的攻击必须都是星我之臂进行的</t>
  </si>
  <si>
    <t>创造奴仆</t>
  </si>
  <si>
    <t>第14级起，你可以用你的动作触碰一个处于失能状态的类人生物。该生物随即陷入受你魅惑的状态，直至被施以法术移除诅咒、其魅惑状态被移除，或直至你再使用此特性。
只要你和你的奴仆处于同一位面，你就可以通过心灵感应与你的奴仆进行交流</t>
  </si>
  <si>
    <t>引导神力-往墓之途</t>
  </si>
  <si>
    <t>第2级起，以一个动作，直到你下回合结束，你诅咒30尺内的一个可视生物。当被诅咒的生物下一次被你或你的盟友的攻击命中，他对此次攻击的所有伤害具有易伤，之后诅咒终止</t>
  </si>
  <si>
    <t>第3级时，你获得以下你选择的技能熟练：历史、洞悉、表演和游说。或者，你学会一门你选择的语言</t>
  </si>
  <si>
    <t>龙之威仪</t>
  </si>
  <si>
    <t>第3级起，如果你在一次威吓或一次游说检定中失败，你可以以一个反应来重骰此检定。一旦此特性将一次检定结果从失败变为成功，直到你完成一次长休息你无法再使用此特性</t>
  </si>
  <si>
    <t>不朽者扩展法术</t>
  </si>
  <si>
    <t>第1级起，在选择已知法术时，你可将以下法术加入邪术师法术列表进行选择
1环：虚假生命、致病射线
2环：目盲/耳聋术、沉默术
3环：假死术、死者交谈
4环：生命灵光、防死结界
5环：疫病术、通晓传奇</t>
  </si>
  <si>
    <t>神性之魂</t>
  </si>
  <si>
    <t>死卫</t>
  </si>
  <si>
    <t>第6级起，以一个反应，当你或你30尺内的可见盟友被重击，你可以将此变为普通命中，所有重击引起的效果无法起效
你可以使用此能力的次数等同于你的感知调整值（至少一次），当你完成长休，你重获使用过的次数</t>
  </si>
  <si>
    <t>战意</t>
  </si>
  <si>
    <t>第3级起，在你的回合以一个附赠动作，直到当前回合结束前你的武器攻击骰有优势。当你这么做时，你还获得5点临时生命
第10级起，临时生命值增加到10点；第15级起，临时生命值增加到15点
你能使用该特性3次，你在完成一次长休后重新获得所有的使用次数</t>
  </si>
  <si>
    <t>龙之打击</t>
  </si>
  <si>
    <t>第3级起，当你以一次徒手攻击对一个目标造成伤害时，你可以将伤害类型改变为强酸，冷冻，火焰，闪电或毒素</t>
  </si>
  <si>
    <t>历经死亡</t>
  </si>
  <si>
    <t>第1级起，你学会戏法维生术，并将它视作一个邪术师戏法。你同时在对任何疾病的豁免上具有优势
此外，若有不死生物直接指定你为攻击或者有害法术的目标，这个生物必须进行一次感知豁免来对抗你的施法DC（但他不需要在使用包括你在内的区域能力时进行豁免）。若失败，这个生物必须选择一个新的目标，如果他没有除你以外的目标可以选择则他失去这次法术或者攻击。若他成功通过了豁免，或者你以他为目标进行攻击或者施放有害法术，那么这个不死生物在接下来24小时里对这个效果免疫</t>
  </si>
  <si>
    <t>幽影魔法</t>
  </si>
  <si>
    <t>第8级起，当你施展牧师戏法，你可以额外造成等同于你感知调整值的伤害</t>
  </si>
  <si>
    <t>雅臣</t>
  </si>
  <si>
    <t>第7级起，当你进行魅力（游说）检定时，你获得等同于你的感知调整值的额外加值
另外你获得了感知豁免的熟练。如果你已经有这项熟练，你获得智力或者魅力的豁免熟练来代替（自选）</t>
  </si>
  <si>
    <t>龙之言语</t>
  </si>
  <si>
    <t>第3级起，你学会说、读、写龙语或其他一种你选择的语言</t>
  </si>
  <si>
    <t>反抗死亡</t>
  </si>
  <si>
    <t>第6级起，当你成功进行一次死亡豁免，或者在你使用维生术帮助其他生物稳定伤势的时候，你可以立即回复1d8+你的体质调整值（最少为1点）的生命值
你必须完成一次长休才能再次使用该特性</t>
  </si>
  <si>
    <t>风暴术法</t>
  </si>
  <si>
    <t>守魂者</t>
  </si>
  <si>
    <t>第17级起，当你60尺内可见的敌人死亡，你或者你选择的60尺内的一个生物恢复等同于死亡敌人生命骰数量的生命。你只有不处于失能状态时才可使用此特性。当你使用了此特性，你下回合开始之后才可以再次使用它</t>
  </si>
  <si>
    <t>不懈</t>
  </si>
  <si>
    <t>第10级起，当你投先攻且没有剩余的战意使用次数时，你重新获得一次使用机会</t>
  </si>
  <si>
    <t>龙之息</t>
  </si>
  <si>
    <t>第3级起，当你在你的回合进行攻击动作，你可以将其中一次攻击替换为喷吐出一团20尺锥状或30尺长5尺宽线状（由你选择）的龙类能量。伤害类型为强酸、冷冻、火焰、闪电、毒素之一。豁免DC＝8+你的熟练加值+你的感知调整值，敏捷豁免失败者将于受到2D4的对应类型的伤害，豁免成功则伤害减半
第5级起，伤害提升至2D6，第11级起，伤害提升至3D8，第17级起，伤害提升至3D10
你可以使用此特性的次数等同于你的熟练加值，且在完成一次长休后恢复所有使用次数。当你没有使用次数时，你可以花费2点气来使用此特性</t>
  </si>
  <si>
    <t>不朽之理</t>
  </si>
  <si>
    <t>第10级起，你可以无限制地屏住呼吸，并且你不再需要食物、水和睡眠，虽然你仍旧需要休息来恢复疲惫并且从长/短休息中获得收益
并且，你的年龄增长速度被放慢。每过去10年，你的身体只会衰老1年，并且你免疫魔法衰老</t>
  </si>
  <si>
    <t>畸变心智</t>
  </si>
  <si>
    <t>秩序领域法术</t>
  </si>
  <si>
    <t>第1级时：命令术、英雄气概
第3级时：人类定身术、诚实之域
第5级时：群体治愈真言、缓慢术
第7级时：强迫术、生物定位术
第9级时：通神术、支配人类</t>
  </si>
  <si>
    <t>燕返</t>
  </si>
  <si>
    <t>第15级起，如果你在这回合进行攻击动作且对目标的一个攻击骰有优势，你可以放弃那个优势骰转而对目标进行一次额外的武器攻击，作为同一个动作的一部分。每个回合你都只能使用一次该特性</t>
  </si>
  <si>
    <t>龙翼翱翔</t>
  </si>
  <si>
    <t>第6级起，当你使用飞檐走壁时，你可以在背后展开虚幻的龙翼，其在你回合结束时消失。当龙翼存在时，你获得与你的步行速度相同的飞行速度。
你可以使用此特性的次数等同于你的熟练加值，且在完成一次长休后恢复所有使用次数</t>
  </si>
  <si>
    <t>永恒生命</t>
  </si>
  <si>
    <t>第14级起，在你的回合，你可以使用一个附赠动作恢复1d8+邪术师等级的生命值。此外，如果你在使用这个能力的同时把自己一部分被切断的躯体放置在断口处，那部分伤口将会愈合
你必须完成一次短休或长休才能再次使用该特性</t>
  </si>
  <si>
    <t>时械之魂</t>
  </si>
  <si>
    <t>第1级时，你获得重甲的熟练项。你还获得由你选择的威吓或游说的熟练项</t>
  </si>
  <si>
    <t>生死流转</t>
  </si>
  <si>
    <t>第18级起，如果你受到会将你的生命值降到0且不会完全杀死你的伤害，你可以使用你的反应来延缓倒地昏迷，而且你立刻获得一个额外的回合并打断当前回合。当你在这个额外回合为0生命值时，承受伤害仍旧如往常一样造成死亡豁免失败，而且失败3个死亡豁免仍旧会杀死你。当这个额外回合结束时，如果你还是0生命值，你倒下并昏迷
你必须完成一次长休才能再次使用该特性</t>
  </si>
  <si>
    <t>古龙姿</t>
  </si>
  <si>
    <t>第11级起，以一个附赠动作，你可以在你身边10尺内具现出一股持续1分钟的龙力灵光。在持续时间内，你获得以下1种好处：
·骇人威仪：当你散发出此灵光时，或在维持此灵光时以一个附赠动作，选择灵光范围内的一个生物。目标必须成功通过DC＝8+你的熟练加值+你的感知调整值的感知豁免，否则对你恐慌1分钟。目标可以在每次自己回合结束时重复一次豁免，豁免成功则效应中止 
·抗性：你启动此灵光时从强酸、冷冻、火焰、闪电、毒素选择一种。你和你灵光内的盟友对所选伤害类型具有抗性
一旦你散发出此灵光，直到你完成一次长休你都无法再这么做，除非你花费3点气来再次使用它</t>
  </si>
  <si>
    <t>天界宗主扩展法术</t>
  </si>
  <si>
    <t>第1级起，在选择已知法术时，你可将以下法术加入邪术师法术列表进行选择
1环：疗伤术、曳光弹
2环：炽焰法球、次级复原术
3环：昼明术、回生术
4环：信仰守卫、火墙术
5环：焰击术、高等复原术</t>
  </si>
  <si>
    <t>权威之音</t>
  </si>
  <si>
    <t>第1级起，如果你施展了一个一环或高于一环并目标是一位盟友的法术，那位盟友可以在法术后立即使用她们的反应来对你指定且能看见的一名目标进行一次武器攻击</t>
  </si>
  <si>
    <t>显现回音</t>
  </si>
  <si>
    <t>第3级起，你能使用一个附赠动作来在你可见的15尺内，一处尚未被占据的空间处，魔法地显现一个你自身的回音。该回音是魔法的，半透明的，形如你的黑白形象，回音持续直到被摧毁、你用一个附赠动作消解、显现另一个回音，或你处于失能状态
你的回音的AC值为14+你的熟练值，生命值为1，并对所有的状态都免疫。如果回音要进行一次豁免，它在这次豁免中使用你的豁免调整值。它的体型和你一样，并且会占据空间。在你的回合时，你能精神地命令回音朝任意方向移动至多30尺（无需动作）。如果你的回音在你的回合结束时远离你超过30尺，那么它会被摧毁
你能按照以下方法使用回音：
使用一个附赠动作，你能消耗15尺的移动力进行传送，魔法地与你的回音交换位置，且无论回音与你之间的距离
当你在你的回合里进行攻击动作时，你用该动作进行的任何攻击可以用你或回音的空间作为源点。每一次攻击的源点都由你决定
当一个位于你的回音5尺内，且你可见的生物远离回音至少5尺时，你能用你的反应动作来对该生物进行一次借机攻击，就如同你位于回音的空间上一样</t>
  </si>
  <si>
    <t>强化吐息</t>
  </si>
  <si>
    <t>第17级起，当你使用你的龙之息时，你可以消耗1点气将其范围增长至60尺锥状或90尺长5尺宽线状（由你选择），且范围内的每个生物豁免失败时受到的伤害提升至4D10，豁免成功则伤害减半</t>
  </si>
  <si>
    <t>额外戏法</t>
  </si>
  <si>
    <t>第1级时，你学会了光亮术和圣火术两个戏法。他们对你而言是邪术师戏法，但并不计入到你的邪术师可知戏法总数中</t>
  </si>
  <si>
    <t>引导神力-秩序之令</t>
  </si>
  <si>
    <t>第2级起，以一个动作，你展示出你的圣徽，30尺内你所指定的每个能看到或听到你的生物必须成功通过一次感知豁免，否则直到你下个回合结束或受到一次伤害，生物将被你魅惑。当生物豁免失败时，你还可以指定任意被你魅惑的生物扔掉手中所持物
豁免DC等于你的牧师法术豁免DC</t>
  </si>
  <si>
    <t>释放化身</t>
  </si>
  <si>
    <t>第3级起，无论何时你进行攻击动作，你能在回音的位置上进行一次额外的近战攻击
你能使用本特性的次数等于你的体质调整值（最少一次）。当你完成一次长休后，你恢复所有的使用次数</t>
  </si>
  <si>
    <t>盲视</t>
  </si>
  <si>
    <t>第17级起，你获得10尺盲视。在盲视范围内，即使你目盲或处于黑暗中，你仍可以清晰地看到任何不处于全身掩护的事物。而且，你可以在盲视范围内看到隐形生物，除非此生物对你躲藏成功</t>
  </si>
  <si>
    <t>治愈之光</t>
  </si>
  <si>
    <t>第1级起，你获得了一个d6骰池，用以使用此治愈能力。骰池的总数等于1+你的邪术师等级
以一个附赠动作，你可以消耗骰池，治疗一个你视线中的、距你60尺以内的生物。单独一次能消耗的最大骰子数量等于你的魅力调整值（最小为1）。投掷你消耗的骰子，将骰值相加来决定所能恢复的生命值总量
当你完成一次长休后，骰池重获所有已消耗的骰子</t>
  </si>
  <si>
    <t>法律化身</t>
  </si>
  <si>
    <t>第6级起，如果你用一个1环或更高的法术位施展一个附魔学派的法术，倘若这个法术的施法时间是1动作，你可以在这次施法时将法术的施法时间改为1附赠动作
你可以使用该特性的次数等于你的感知调整值（最少一次）。完成一次长休后，你将重获其所有消耗掉的使用次数</t>
  </si>
  <si>
    <t>回音化身</t>
  </si>
  <si>
    <t>第7级起，以一个动作，你能用你的回音的双眼和双耳来视物与聆听。在这期间，你本体处于目盲和耳聋状态。你能维持这种效果至多10分钟，并且你能随时终止该效果（无需动作）。当你用这种方法操纵回音时，它能远离你至多1000尺而不被摧毁</t>
  </si>
  <si>
    <t>怒气爆发</t>
  </si>
  <si>
    <t>第17级起，当你使用古龙姿时，选择你灵光内可见的任意数量的生物，每个生物必须通过一次DC＝8+你的熟练加值+你的感知调整值的敏捷豁免，豁免失败者受到3d10伤害，伤害类型为强酸、冷冻、火焰、闪电、毒素之一（由你选择）</t>
  </si>
  <si>
    <t>光耀之魂</t>
  </si>
  <si>
    <t>第6级起，你获得对光耀伤害的抗性，当你施展一个造成光耀或火焰伤害的法术时，你可以将你的魅力调整值加到法术对其中一个目标造成的一次光耀或火焰伤害骰上</t>
  </si>
  <si>
    <t>第8级起，你的每回合一次，在用一次武器攻击命中某一名生物时，你可以使该攻击造成额外的1d8心灵伤害。第14级起，该伤害提升到2d8</t>
  </si>
  <si>
    <t>阴影殉道者</t>
  </si>
  <si>
    <t>第10级起，在一个除你以外的，且你可见的生物受到攻击前，你能让你的回音冲向该生物。在攻击检定投掷前，你能用你的反应动作来传送回音到目标生物周围5尺内，尚未被占据的空间。触发该反应的攻击检定将由你的回音代为承受
你必须完成一次短休或长休才能再次使用该特性</t>
  </si>
  <si>
    <t>天界韧性</t>
  </si>
  <si>
    <t>第10级起，当你完成一次短休或长休后，你会得到临时生命值。得到的临时生命值等于你的邪术师等级+你的魅力调整值。另外，在你完成休息时，你可以选择最多五个视线中的生物。这些生物各自获得等于你的邪术师等级的一半+你的魅力调整值的临时生命值</t>
  </si>
  <si>
    <t>不朽者</t>
  </si>
  <si>
    <t>秩序之怒</t>
  </si>
  <si>
    <t>第17级起，如果在你的回合里你对一名生物造成了你的神圣打击的伤害，你可以诅咒该生物直到你下回合的开始。下一次当你的一名盟友以一次攻击击中被诅咒的生物时，目标将额外受到2d8心灵伤害，随后诅咒结束。你一回合只能以这种方式诅咒一名生物一次</t>
  </si>
  <si>
    <t>回收潜能</t>
  </si>
  <si>
    <t>第15级起，当你的一个回音因承受伤害而被摧毁，而你也没有临时生命值时，你获得相当于2d6+体质调整值点数的临时生命值
你能使用本特性的次数等于你的体质调整值（最少一次）。当你完成一次长休后，你恢复所有的使用次数</t>
  </si>
  <si>
    <t>灼光复仇</t>
  </si>
  <si>
    <t>第14级起，当你在回合开始需要进行一次死亡豁免检定时，你可以选择在一次光耀能量的爆发中一跃而起。你恢复等于你最大生命值一半的生命值，如果你愿意的话可以选择处于站立状态。距你30尺以内的、你所选择的所有生物受到2d8+你的魅力调整值的光耀伤害，并且目盲到你当前回合的结束
你必须完成一次长休才能再次使用该特性</t>
  </si>
  <si>
    <t>天界宗主</t>
  </si>
  <si>
    <t>和平领域法术</t>
  </si>
  <si>
    <t>第1级时：英雄气概、庇护术
第3级时：援助术、守护之链
第5级时：希望信标、短讯术
第7级时：净化灵光、欧提路克弹力法球
第9级时：高等复原术、拉瑞心灵联结</t>
  </si>
  <si>
    <t>一人成军</t>
  </si>
  <si>
    <t>第18级起，当你用一个附赠动作使用显现回音时，你能创造两个回音，并且这些回音能够共存。如果你尝试创造第三个回音，那么前面的两个回音就会被摧毁。你能够在其中一个回音的位置上进行的所有事情都能用另一个回音进行替换
此外，当你投掷先攻时，如果你的释放化身特性没有剩余可用次数，那么你重获一次释放化身的使用次数</t>
  </si>
  <si>
    <t>咒剑士扩展法术</t>
  </si>
  <si>
    <t>第1级起，在选择已知法术时，你可将以下法术加入邪术师法术列表进行选择
1环：护盾术、怒火斩
2环：朦胧术、印记斩
3环：闪现术、元素武器
4环：魅影杀手、惊惧斩
5环：放逐斩、寒冰锥</t>
  </si>
  <si>
    <t>咒剑士</t>
  </si>
  <si>
    <t>和平执行</t>
  </si>
  <si>
    <t>第1级时，你获得洞悉，表演或游说的熟练项（由你选择）</t>
  </si>
  <si>
    <t>额外熟练项-战士</t>
  </si>
  <si>
    <t>第3级时，你获得对于铁匠工具的熟练项，并且你学会了说、读和写巨人语</t>
  </si>
  <si>
    <t>巫咒战士</t>
  </si>
  <si>
    <t>第1级起，你得到对于中甲、盾牌、和军用武器的熟练。此外，当你结束一次长休息，你都能够触摸一把你已经熟练的、非双手武器，你可以在攻击和伤害检定中，使用你的魅力调整值，以代替力量或敏捷。这个好处保留到你再次完成长休息。如果你在后续获得刃之魔契，此好处将扩展到你用这个魔契召唤的每一把契约武器上，没有武器类型的限制</t>
  </si>
  <si>
    <t>巨灵宗主</t>
  </si>
  <si>
    <t>勇气联结</t>
  </si>
  <si>
    <t>第1级起，以一个动作，你可以选择30尺内等同于你熟练加值数量的自愿生物（可以包括你自己）。你在他们之间创造出一条持续10分钟或直到你再次使用该特性的魔法联结。当联结生物在彼此30尺内，其进行攻击检定，属性检定或豁免检定时，可以额外掷一次d4并加在其结果上。每个生物每回合只能加一次d4
你可以使用此特性的次数等同于你的熟练加值，当你完成一次长休时恢复所有使用次数</t>
  </si>
  <si>
    <t>符文雕刻者</t>
  </si>
  <si>
    <t>第3级起，你学会两种你选择的符文选项
每当你在此职业中升一级，你可以从此特性中选择一个不同的符文来替换一个你已知的符文
每当你完成了一次长休，你可以接触数量等于你已知符文数物品，并在每个物品上铭刻不同的符文。符合条件的物品必须为一把武器、一套盔甲、一面盾牌、一件首饰或者任何其他你可以穿着或手持的物品。你的符文会保留在物品上直到你完成一次长休，且一件物品同时只能承载你的一个符文
在第7、10和15级你将分别额外获得一个符文选项</t>
  </si>
  <si>
    <t>咒剑诅咒</t>
  </si>
  <si>
    <t>第1级起，以一个附赠动作，选择一个处于你周围30英尺内，你能看见的生物。该目标被诅咒1分钟。该诅咒将会在目标死亡、你死亡、你陷入失能时提前结束。直到诅咒结束，你得到下述的好处：
你对被诅咒目标的伤害检定中得到加值。加值等于你的熟练加值
你对被诅咒目标的任何攻击检定，若在d20中投出19或20，则形成一次重击
若被诅咒的目标死亡，你恢复等于你邪术师等级+你的魅力调整值（至少为1）的生命值
你必须完成一次短休或长休才能再次使用该特性</t>
  </si>
  <si>
    <t>深海意志</t>
  </si>
  <si>
    <t>引导神力-和平抚慰</t>
  </si>
  <si>
    <t>第2级起，以一个动作，你可以移动等同于你速度的距离，此次移动不会引发借机攻击。当你在此动作期间移动到了任何其他生物5尺内时，你可以恢复其2d6+你的感知调整值（最低1）的生命值。你采取此动作时，一个生物只能被治疗一次</t>
  </si>
  <si>
    <t>当你穿着或持有一个铭刻此符文的物品，你在巧手检定和欺瞒检定上获得优势
此外，当你或一个对你30尺内可视的生物经过攻击检定被击中，你可以使用一个反应动作对此符文激活并选中一个距你30尺内的、除攻击者以外的其他生物。被选中的生物变成该攻击的目标，并适用同样的攻击检定。该异能可转换的攻击效应与攻击距离无关。每当你激活该符文，你无法再次使用该异能直到你完成一次短休或长休
豁免DC＝8+你的熟练加值+你的体质调整值</t>
  </si>
  <si>
    <t>咒缚幽灵</t>
  </si>
  <si>
    <t>第6级起，当你杀死一个类人生物，你可以让它的灵魂从尸体出现，成为一个缚灵，其数据见怪物手册。当缚灵出现时，它获得等同于你邪术师等级一半的临时生命。为缚灵的投掷先攻，它有自己的回合、服从你的口头命令，并获得特殊的命中加值，加值等于你的魅力调整值（最少0）
缚灵一直为你服务中直到你的下一个长休息结束，然后它消失进入来世
一旦你用这个特性唤起了一个缚灵，你就不能再次使用该能力直到你完成一次长休息</t>
  </si>
  <si>
    <t>死灵宗主</t>
  </si>
  <si>
    <t>保护联结</t>
  </si>
  <si>
    <t>第6级起，当一个受到你勇气联结影响的生物即将受到伤害时，30尺内的另一个联结生物可以用它的反应来传送到第一个生物的5尺内，并为其承受所有伤害</t>
  </si>
  <si>
    <t>当你穿着或持有一个铭刻此符文的物品，你在进行使用工具的熟练项进行技能检定时，你的熟练加值翻倍
此外，当你使用一次武器攻击击中了一个生物，你可以激活此符文来召唤炽热镣铐：目标受到额外2d6的火焰伤害，且目标必须通过一次力量豁免检定，如果失败则被束缚1分钟。当目标被炽热镣铐束缚时，目标在它的每回合开始时受到2d6的火焰伤害。目标可以在每个自己回合结束时重复进行此豁免检定，直到成功解除束缚。每当你激活该符文，你无法再次使用该异能直到你完成一次短休或长休
豁免DC＝8+你的熟练加值+你的体质调整值</t>
  </si>
  <si>
    <t>巫咒盔甲</t>
  </si>
  <si>
    <t>第10级起，若你以咒剑诅咒所指定的目标以一次攻击检定击中你，你可以用你的反应投一次d6。在4或更高的结果下，这次攻击改为对你失手，不论骰值是多少</t>
  </si>
  <si>
    <t>当你穿着或持有一个铭刻此符文的物品，你在感知（驯兽）检定和魅力（威吓）检定上获得优势
此外，你可以用一个附赠动作对该符文激活来提高你的体能。十分钟内，你的所有使用力量、体质的能力和相关豁免检定获得+2的加值。每当你激活该符文，你无法再次使用该异能直到你完成一次短休或长休</t>
  </si>
  <si>
    <t>巫咒大师</t>
  </si>
  <si>
    <t>第14级起，你可以转移你的咒剑诅咒，从一个被杀的生物转移到另一个生物。当被你的咒剑诅咒所指定的生物死亡时，假如你并未失能，你可以将诅咒转移到一个距离你30尺内你能看到的其他生物身上。当你以此法转移诅咒，你不再从先前目标的死亡中获得生命值回复</t>
  </si>
  <si>
    <t>增强联结</t>
  </si>
  <si>
    <t>第17级起，你的勇气联结和保护联结的生效范围变为联结生物在彼此60尺内。此外，当生物使用保护联结来为其他人承受伤害时，该生物对那次伤害具有抗性</t>
  </si>
  <si>
    <t>当你穿着或持有一个铭刻此符文的物品，你在感知（洞悉）的检定上获得优势，且你获得120尺的黑暗视觉
此外，当一个30尺内对你可见的生物结束它的回合，你可以使用一个反应动作来对该符文激活，并强迫该生物进行一次感知豁免检定。如果检定失败，该生物被你魅惑一分钟。如果以该形式被魅惑，此生物移动速度降为0且进入失能状态，陷入梦幻般的麻木状态。目标可以在每个自己回合结束时重复进行此豁免检定，直到成功解除该状态。每当你激活该符文，你无法再次使用该异能直到你完成一次短休或长休
豁免DC＝8+你的熟练加值+你的体质调整值</t>
  </si>
  <si>
    <t>巨灵种类</t>
  </si>
  <si>
    <t>第1级时，你可以选择你宗主是土巨灵、气巨灵、火巨灵、水巨灵中的哪一种，并根据你的巨灵宗主类型获得扩展法术列表</t>
  </si>
  <si>
    <t>暮光领域法术</t>
  </si>
  <si>
    <t>第1级时：妖火、睡眠术
第3级时：月华之光、识破隐形
第5级时：活力灵光、李欧蒙小屋
第7级时：生命灵光、高等隐形术
第9级时：原力法阵、假象术</t>
  </si>
  <si>
    <t>第3级起，你可以使用一个附赠动作，魔法性地获得以下能力，持续一分钟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你的每回合内一次，你的武器攻击或徒手打击可以在击中后对目标造成额外1d6的伤害
该特性的可使用次数等于你的熟练加值，且你可以在完成一次长休之后恢复所有已使用的次数</t>
  </si>
  <si>
    <t>第1级起，在选择已知法术时，你可将以下法术加入邪术师法术列表进行选择
1环：侦测善恶、庇护术
2环：魅影之力、荆棘丛生
3环：造粮术、融身入石
4环：魅影杀手、塑石术
5环：造物术、石墙术
9环：祈愿术</t>
  </si>
  <si>
    <t>符文之盾</t>
  </si>
  <si>
    <t>第7级起，当另一个60尺内且对你可见的生物被一次攻击检定命中，你可以使用一个反应动作来强迫攻击者重新投掷d20并采用新的攻击检定结果
该特性的可使用次数等于你的熟练加值，且你可以在完成一次长休之后恢复所有已使用的次数</t>
  </si>
  <si>
    <t>第1级起，在选择已知法术时，你可根据你的巨灵宗主类型将以下法术加入邪术师法术列表进行选择
1环：侦测善恶、雷鸣波
2环：魅影之力、造风术
3环：造粮术、风墙术
4环：魅影杀手、高等隐形术
5环：造物术、伪装术
9环：祈愿术</t>
  </si>
  <si>
    <t>黑夜明目</t>
  </si>
  <si>
    <t>第1级起，你获得300尺的黑暗视觉，在这个范围内，你能够将微光光照视为等同于明亮光照，而在黑暗中则视为等同于微光光照
以一个动作，你可以用魔法将这个特性分享给你10尺内最多等同于你感知调整值数量（最少1名生物）的可见自愿生物。共享的黑暗视觉持续1小时。一旦如此做，你无法再次如此直到你完成一次长休或使用一个任意环阶的法术位来再次分享它</t>
  </si>
  <si>
    <t>当你穿着或持有一个铭刻此符文的物品，你在中毒状态的豁免检定上获得优势，且你对于毒素伤害具有抗性
此外，你可以使用一个附赠动作对该符文激活，获得1分钟的钝击、挥砍和穿刺伤害抗性。每当你激活该符文，你无法再次使用该异能直到你完成一次短休或长休</t>
  </si>
  <si>
    <t>第1级起，在选择已知法术时，你可根据你的巨灵宗主类型将以下法术加入邪术师法术列表进行选择
1环：侦测善恶、燃烧之手
2环：魅影之力、灼热射线
3环：造粮术、火球术
4环：魅影杀手、火焰护盾
5环：造物术、焰击术
9环：祈愿术</t>
  </si>
  <si>
    <t>警觉赐福</t>
  </si>
  <si>
    <t>第1级起，你能用一个动作触碰一个生物（包括你自己），并赋予该生物下次先攻检定优势。此增益在该生物骰先攻检定或你再次使用此特性后立刻结束</t>
  </si>
  <si>
    <t>当你穿着或持有一个铭刻此符文的物品，你在智力（奥秘知识）检定上获得优势，且你不会被突袭只要你没有进入失能状态
此外，你可以使用一个附赠动作对该符文激活来进入先知形态，时间为1分钟或直到你失能。在该形态结束之前，当你或另一个60尺内且对你可见的生物进行一次攻击检定、一次豁免检定或一次能力检定，你可以使用一个反应动作使这次检定获得优势或劣势。每当你激活该符文，你无法再次使用该异能直到你完成一次短休或长休</t>
  </si>
  <si>
    <t>第1级起，在选择已知法术时，你可根据你的巨灵宗主类型将以下法术加入邪术师法术列表进行选择
1环：侦测善恶、云雾术
2环：魅影之力、朦胧术
3环：造粮术、雪雨暴
4环：魅影杀手、操控水体
5环：造物术、寒冰锥
9环：祈愿术</t>
  </si>
  <si>
    <t>引导神力-暮光圣域</t>
  </si>
  <si>
    <t>第2级起，你用一个动作展示圣徽并使自身散发球体范围的暮光。球体以你为源心，具有30尺半径，其范围内被微光光照充斥。除非你失能或死亡，否则球体跟随你移动并持续存在1分钟。当一个生物（包括你）在球体内结束自己回合时，你能给予它以下好处之一：
使目标获得1d6加你牧师等级的临时生命
使目标结束一个正使他魅惑或恐慌的效果</t>
  </si>
  <si>
    <t>奇伟身躯</t>
  </si>
  <si>
    <t>第10级起，你的巨人之力特性造成的额外伤害提高至1d8
此外，获得特性时将你的身高增加3d4英寸</t>
  </si>
  <si>
    <t>巨灵器皿</t>
  </si>
  <si>
    <t>第1级时，你的宗主赐予你一个包含巨灵之力的魔法器皿。该器皿是一个微型物件，你可以将其作为施展你邪术师法术的法器。你决定物件的类别
器皿的AC等同于你的法术豁免DC。它的生命值等于你的邪术师等级加熟练加值，并免疫于毒素和心灵伤害
倘若器皿被摧毁或是丢失，你可以进行一场持续1小时的仪式来从你的宗主处获得一个替代品。这一仪式可于短休或长休时进行，并会摧毁之前仍存在的器皿。当你死亡时，器皿在一阵元素能量的闪耀中消失</t>
  </si>
  <si>
    <t>午夜飞步</t>
  </si>
  <si>
    <t>第6级起，当你处于微光光照或黑暗时，你能以一个附赠动作用魔法使自己获得等于自身步行速度的飞行速度，持续1分钟。你可以使用此特性的次数等同于你的熟练加值，当你完成一次长休时恢复所有使用次数</t>
  </si>
  <si>
    <t>符文大师</t>
  </si>
  <si>
    <t>第15级起，你可以对每个你在符文雕刻者特性中已知的符文激活两次，而不是一次，且你可以在完成一次短休或长休之后恢复所有已使用的次数</t>
  </si>
  <si>
    <t>瓶中小憩</t>
  </si>
  <si>
    <t>第1级起，以一个动作，你可以用魔法消失并进到你的器皿内，器皿将留在你所在的原地。器皿内是与其本身相似的20尺半径，20尺高的圆柱形超维度空间。器皿内部温度适宜，并安放有舒适的垫子和茶几。在器皿之中时，你可以如同身在器皿所在之处一般听到外界的声音。你在器皿内可停留的时间等同于你熟练加值双倍数目的小时。如果你死亡，或是器皿被摧毁，抑或是使用一个附赠动作离开，你将提前从器皿中出来。当你离开器皿时，你出现在距离它最近的不被占据的空间中。在器皿内的一切物件将被留在其中直到被取出，而倘若器皿被摧毁，其中的物品则会完好无损地出现在距离它最近的不被占据的空间中。一旦你进入器皿，直到你完成一次长休后你不能再度进入</t>
  </si>
  <si>
    <t>符文主宰</t>
  </si>
  <si>
    <t>第18级起，你的巨人之力特性造成的额外伤害提高至1d10。此外，当你使用该特性时，你的体型变为巨型，且当你保持该尺寸时，你的触及提高5尺</t>
  </si>
  <si>
    <t>巨灵之怒</t>
  </si>
  <si>
    <t>第1级起，在你的每个回合仅限一次，你可以在你攻击骰命中时对目标造成等同于你熟练加值的额外伤害。伤害类型取决于你的宗主类型：钝击（土巨灵），雷鸣（气巨灵），火焰（火巨灵），冷冻（水巨灵）</t>
  </si>
  <si>
    <t>剑咏者</t>
  </si>
  <si>
    <t>暮光守护</t>
  </si>
  <si>
    <t>第17级起，处于你暮光圣域的球体内的你和你的盟友处于半身掩护</t>
  </si>
  <si>
    <t>灵能力量</t>
  </si>
  <si>
    <t>第3级起，你拥有两倍熟练加值的灵能骰数量，每个灵能骰为D6，且它们为你所拥有的各种心灵异能提供能量
你在使用一些能力时需要消耗灵能骰，如异能描述中所述，如果一些异能在你的灵能骰全部掷完后还需要你使用一个灵能骰，你就不能使用该异能。你可以在完成一次长休后恢复所有已使用的灵能骰。此外，你可以使用一个附赠动作重新获得一个已使用的灵能骰，但你在完成一次短休或长休之前不能再次获得
第5级起，灵能骰变为D8；第11级起，灵能骰变为D10；第17级起，灵能骰变为D12</t>
  </si>
  <si>
    <t>元素赐福</t>
  </si>
  <si>
    <t>第6级起，你对由你的宗主类型决定的一种伤害类型具有抗性：钝击（土巨灵），雷鸣（气巨灵），火焰（火巨灵），冷冻（水巨灵）。同时，以一个附赠动作，你可以获得一个持续10分钟的30尺飞行速度，并且在飞行时你可以悬浮。你可以使用此附赠动作的次数等同于你的熟练加值，并在完成一次长休后恢复所有使用次数</t>
  </si>
  <si>
    <t>战法师</t>
  </si>
  <si>
    <t>团结领域法术</t>
  </si>
  <si>
    <t>第1级时：庇护术、曳光弹
第3级时：援助术、守护之链
第5级时：希望信标、十字军披风
第7级时：生命灵光、信仰守卫
第9级时：原力法阵、群体疗伤术</t>
  </si>
  <si>
    <t>庇护力场</t>
  </si>
  <si>
    <t>第3级起，当你或者另一个对你30尺内可见的生物受到伤害，你可以使用一个反应动作消耗一枚灵能骰，对其降低等同于灵能骰骰出的数值加你的智力调整值的伤害（最小为1）</t>
  </si>
  <si>
    <t>器皿庇护所</t>
  </si>
  <si>
    <t>第10级起，当你使用瓶中小憩特性进入你的巨灵器皿时，你可以选择30尺内最多5个可见自愿生物与你一同进入器皿
以一个附赠动作，你可以将任意数目的生物从器皿中逐出，且如果你离开器皿或是其被摧毁，所有生物都将被逐出
同时，在器皿中停留至少10分钟的任何生物（包括你自己）可视为完成了一次短休，且使用生命骰恢复生命值时的恢复量可以加上你的熟练加值</t>
  </si>
  <si>
    <t>时间魔法</t>
  </si>
  <si>
    <t>灵能击打</t>
  </si>
  <si>
    <t>第3级起，你的每回合一次，当你击中并对30尺以内的目标造成武器伤害，你可以立即消耗一个灵能骰，对目标造成等同于灵能骰骰出的数值加你的智力调整值的力场伤害</t>
  </si>
  <si>
    <t>有限许愿术</t>
  </si>
  <si>
    <t>第14级起，以一个动作，你可以向你的巨灵器皿说出你的愿望，并请求实现一个6环或更低环阶的，且施法时间为1动作的法术效应。这一法术可以来自任何职业的法术列表，且你不需要满足法术材料需求，法术仅仅是作为此动作的一部分生效
你使用此特性后，你直到完成1d4次长休后才能再次使用它</t>
  </si>
  <si>
    <t>重力魔法</t>
  </si>
  <si>
    <t>团结一心</t>
  </si>
  <si>
    <t>第1级时，当你采取协助动作来帮助盟友进攻时，作为你的附赠动作，你可以进行一次武器攻击。你可以使用此能力的次数等于你的感知调整值(至少一次)。直到你重新完成一次长休息</t>
  </si>
  <si>
    <t>念力控物</t>
  </si>
  <si>
    <t>第3级起，你可以用意念移动一个物体或生物。你可以使用一个动作选中一个最多大型的物体或一个除你以外的自愿生物。如果目标在对你30尺内且可视，你可以将其移动至多30尺至一个对你可见的空地。另外，如果目标是一个小物件，你可以从你的手中给出或收回。无论采取哪种方式，你都可以或水平、或垂直、或两者都使用地移动它
当你使用该异能时，你无法再使用该能力直到你完成一次短休或长休，除非你消耗一个灵能骰来再次使用该异能</t>
  </si>
  <si>
    <t>深海意志扩展法术</t>
  </si>
  <si>
    <t>第1级起，在选择已知法术时，你可将以下法术加入邪术师法术列表进行选择
1环：造水/枯水术、雷鸣波
2环：造风术、沉默术
3环：闪电束、雪风暴
4环：操控水体、水元素生物召唤术
5环：毕格比之手(以触手的形式出现)、寒冰锥</t>
  </si>
  <si>
    <t>书士会</t>
  </si>
  <si>
    <t>第2级时，你用一个动作展示圣徽，引导治疗能量来恢复等于你牧师等级五倍的生命值。你指定身边30尺内的任意生物作为该特性的目标，再为其分配从中获得的治疗能量。该特性不能将目标恢复到其生命值上限的一半以上。而且你不能对不死生物或构装生物使用该特性</t>
  </si>
  <si>
    <t>念力擅长</t>
  </si>
  <si>
    <t>第7级起，你掌握了使用念力异能的新方式</t>
  </si>
  <si>
    <t>深海触手</t>
  </si>
  <si>
    <t>第1级起，在你60尺的可视范围内，你可以以一个附赠动作创造一根10尺长的触手。这根触手可以持续一分钟，或于你使用该能力创造另一根触手时终止
当你创造触手后，你可以对其10尺内的目标进行一次近战法术攻击。目标受到1d8寒冷伤害，且直到你的下一回合，目标速度降低10尺。当你达到邪术师10级时，造成的伤害提高至2d8
在你的回合中，你可以使用一个附赠动作将触手移动至多30尺并重复以上攻击
你可召唤的触手的次数等于你的熟练加值，且可以在结束长休之后恢复所有使用次数</t>
  </si>
  <si>
    <t>引导神力-白神赐福</t>
  </si>
  <si>
    <t>第6级时，当一个生物在你30尺范围内进行攻击时，你可以以一反应使该生物的的这次攻击掷骰结果+10。你可以在看到掷骰结果但DM未告知攻击命中与否的阶段做出此选择</t>
  </si>
  <si>
    <t>灵力跃动</t>
  </si>
  <si>
    <t>第7级起，你可以使用一个附赠动作用你的意志来驱使你的身体。你获得等同于两倍步行速度的飞行速度直到该回合结束。每当你使用这个附赠动作，你无法再次使用该异能直到你完成一次短休或长休，除非你消耗一个灵能骰来再次使用该异能</t>
  </si>
  <si>
    <t>海洋馈赠</t>
  </si>
  <si>
    <t>第1级起，你游泳速度为40尺，且可以在水下呼吸</t>
  </si>
  <si>
    <t>第8级起，你在每个自己回合里有一次机会，可以在用武器攻击命中某生物时，使该攻击额外造成1d8点与该武器伤害类型相同的伤害。第14级起，该伤害提升到2d8</t>
  </si>
  <si>
    <t>念力突刺</t>
  </si>
  <si>
    <t>第7级起，当你使用灵能击打对一个目标造成伤害时，你可以使目标进行一次力量豁免来对抗DC等于8+你的熟练加值+你的智力调整值。如果豁免失败，你可以击倒目标或者将其在任意方向水平移动至多10尺</t>
  </si>
  <si>
    <t>海渊魂灵</t>
  </si>
  <si>
    <t>第6级起，你获得对于寒冷伤害的抗性。此外，当你被浸没时，任何完全被浸没的生物都能听懂你的语言，你也能听懂他们的</t>
  </si>
  <si>
    <t>第17级时，当你需要用一个法术来掷一粒或多粒骰子计算你所恢复的生命值时，所有骰子将取其最高值</t>
  </si>
  <si>
    <t>意念守护</t>
  </si>
  <si>
    <t>第10级起，你对于心灵伤害有抗性。此外，如果你在你的回合开始时处于魅惑或者恐慌的状态，你可以消耗一个灵能骰并结束这些状态对你的影响</t>
  </si>
  <si>
    <t>守卫缠绕</t>
  </si>
  <si>
    <t>第6级起，当你或你可以看见的一个位于触手10尺内的生物承受伤害时，你可以使用反应选择这些生物中的一个并使该生物遭受的伤害减少1d8。当你达到邪术师10级时，触手可以抵消的伤害增加到2d8</t>
  </si>
  <si>
    <t>力量领域法术</t>
  </si>
  <si>
    <t>第1级时：神恩、虔诚护盾
第3级时：强化属性、防护能量伤害
第5级时：加速术、防护善恶
第7级时：支配野兽、石肤术
第9级时：湮灭波、疫病虫群</t>
  </si>
  <si>
    <t>壁垒之力</t>
  </si>
  <si>
    <t>第15级起，你可以使用一个附赠动作选择一些可包括你在内且30尺对你可见生物，数量等于你的智力调整值（最少为1）。每个被选中的生物获得一分钟的半掩蔽状态，该状态将会在你失能时提前结束
每当你使用这个附赠动作，你无法再次使用该特性直到你完成一次长休，除非你消耗一个灵能骰来再次使用该特性</t>
  </si>
  <si>
    <t>擒握触手</t>
  </si>
  <si>
    <t>第10级起，你获得法术艾伐黑触手。它对你来说是一个邪术师法术，但是它并不算作你已知的法术数量。你可以在不消耗法术位的情况下使用该法术一次，且该能力于你完成一次长休后恢复
每当你使用这个法术，赐予你和你邪术师等级一致的临时生命值。此外，对你的伤害并不会破坏你对于该法术的专注</t>
  </si>
  <si>
    <t>装甲师</t>
  </si>
  <si>
    <t>念力宗师</t>
  </si>
  <si>
    <t>第18级起，你可以在无需施法材料的情况下使用心灵遥控，此时你的施法关键属性为智力。在每一个你对该法术维持专注的回合，包括你使用它的回合，你可以使用一个附赠动作进行一次武器攻击
每当你使用以特性施放此法术，你无法再次使用该特性直到你完成一次长休，除非你消耗一个灵能骰来再次使用该特性</t>
  </si>
  <si>
    <t>海渊传送</t>
  </si>
  <si>
    <t>第14级起，你可以使用一个标准动作传送自己和最多五个自愿、且在30尺可视范围内的生物。在一团触须的漩涡中，你们全部消失，然后在至多1英里以内的你曾见过的水域（至少为池塘大小）或者它的30尺范围内。你们当中的每一个人都出现在距离其他人30尺以内的一个空的空间内
你必须完成一次短休或长休才能再次使用该特性</t>
  </si>
  <si>
    <t>力量司祭</t>
  </si>
  <si>
    <t>第1级时，你可以获得一个你选择的德鲁伊戏法。另外你从以下技能中选择一项获得熟练项：驯兽、运动、自然或求生</t>
  </si>
  <si>
    <t>扩展法术</t>
  </si>
  <si>
    <t>第1级起，在选择已知法术时，你可将以下法术加入邪术师法术列表进行选择
1环：灾祸术、虚假生命
2环：目盲／耳聋术、魅影之力
3环：魅影驹、死者交谈
4环：防死结界、高等隐形术
5环：防活物护罩、死云术</t>
  </si>
  <si>
    <t>引导神力-伟力壮举</t>
  </si>
  <si>
    <t>第2级起，当你使用力量进行攻击骰、能力检定或豁免检定时，你可以使用你的引导神力来使这次攻击掷骰结果+10。你可以在看到掷骰结果但DM未告知攻击命中与否的阶段做出此选择</t>
  </si>
  <si>
    <t>战栗形态</t>
  </si>
  <si>
    <t>第1级起，以一个附赠动作，你变身持续1分钟。变身时你获得以下好处：
你获得相当于1d10+你的邪术师等级的临时生命
在你的每个回合中只有一次，当你攻击检定命中一个生物时，你可以强迫它进行一次感知豁免。若失败，目标会对你恐慌，直到你的下一个回合结束
你对恐慌状态免疫
你可以变身的次数等于你的熟练值，当你完成长休时，你会恢复所有消耗的次数</t>
  </si>
  <si>
    <t>引导神力-绿神赐福</t>
  </si>
  <si>
    <t>第6级起，当一个生物在你30尺范围内进行进行攻击检定、能力检定或豁免检定时，你可以以一反应使该生物的的这次攻击掷骰结果+10。你可以在看到掷骰结果但DM未告知攻击命中与否的阶段做出此选择</t>
  </si>
  <si>
    <t>坟冢之触</t>
  </si>
  <si>
    <t>第6级起，你不需要吃、喝、呼吸
你的每回合一次，当你用攻击检定命中一个生物并对该生物投掷伤害骰时，你可以将伤害类型替换为暗蚀伤害。当你使用战栗形态时，你可以在确定目标受到该暗蚀伤害的数值时，额外投掷一枚伤害骰</t>
  </si>
  <si>
    <t>死疽躯壳</t>
  </si>
  <si>
    <t>第10级起，你对暗蚀伤害具有抗性。如果你使用战栗形态变身，你会对暗蚀伤害免疫
当你的生命值降低到0时，你可以使用反应，改为将生命值降低到1，并使你的身体爆发出死亡能量。你周围30英尺内的由你选择的生物都会受到相当于2d10+你的邪术师等级的暗蚀伤害。你获得1级的力竭。一旦你使用该反应，你就不能再这样做，直到你完成1d4次长休</t>
  </si>
  <si>
    <t>第17级起，你获得对非魔法攻击造成的钝击，穿刺和挥砍伤害抗性</t>
  </si>
  <si>
    <t>灵魂投射</t>
  </si>
  <si>
    <t>第14级起，以一个动作，你可以从你的身体投射出你的灵魂。你脱离的身体陷入昏迷，并处于人事不省状态
你的灵魂与你的常人形态各个方面高度相似，复制你的游戏数据，但不包括你的携带物。任何对你的灵魂或物理身体造成的伤害或其他效果会传递到另一方。你的灵魂可以在你的身体之外停留长达1小时，或者直到你的专注中断（就像专注于一个法术）。当你的投射结束时，你的灵魂会回到你的身体，或者你的身体会魔法地的传送到你灵魂所在的空间（取决于你的选择）
当投射你的灵魂时，你获得以下好处：
你的灵魂和身体获得对钝击、穿刺和挥砍伤害的抗性
当你施放一个咒法学派或死灵学派的法术时，该法术不需要语言、姿势或不消耗金币的材料成分
你获得等于你步行速度的飞行速度，并且可以盘旋。你可以穿过生物和物体，就像它们是困难地形一样，但如果你在生物或物件内结束自己回合，你会受到1d10的力场伤害
当你使用战栗形态时，在你的每个回合中只有一次，当你对一个生物造成暗蚀伤害时，你会恢复相当于暗蚀伤害量一半的生命值
一旦你使用了这个特性，你就不能再这样做，直到你完成了一次长休</t>
  </si>
  <si>
    <t>野心领域法术</t>
  </si>
  <si>
    <t>第1级时：灾祸术、猎人印记
第3级时：镜影术、衰弱射线
第5级时：降咒、吸血鬼之触
第7级时：防死结界、任意门
第9级时：支配人类、篡改记忆</t>
  </si>
  <si>
    <t>第1级起，当你身边30尺内一个你能看见的生物向你发动攻击时，你可以用你的反应在攻击完成前对攻击者闪出一道光亮,以此迫使该攻击检定具有劣势。不受目盲状态影响的攻击者同样对该特性免疫
你可以使用该特性的次数等于你的感知调整值(至少一次)。而你将在完成一次长休后重新恢复所有的使用次数</t>
  </si>
  <si>
    <t>第2级起，以一个动作，你可以创造一个完美的自身幻象。该幻象持续存在一分钟，或直至你失去对该特性的专注(等同于专注一个法术)。该幻象出现在你身边30尺内一个你能看见且未被占据的空间。你在自己回合内可以用一个附赠动作让该幻象移动至多30尺到一个你能看见的地方，但其必须始终保持离你120尺以内
在幻象持续期间，你可以从幻象所在位置施展法术，但仍必须使用你自己的感官。当你和幻象都在同一个目标身边5尺内，且该目标可以看见幻象时，由于幻象对目标造成的干扰，你对该目标发动攻击而进行的攻击检定具有优势</t>
  </si>
  <si>
    <t>第6级起，作为一个动作，你变成隐形状态，该状态将持续至你的下一回合结束。当你攻击或施法时，将随即显形</t>
  </si>
  <si>
    <t>提升分身</t>
  </si>
  <si>
    <t>第17级起，当你使用召唤分身时，你可以创造最多四个分身而不是一个。以一个附赠动作，你可以在自己的回合移动任何数量的幻象达到至30尺，最大范围120尺</t>
  </si>
  <si>
    <t>热忱领域法术</t>
  </si>
  <si>
    <t>第1级时：炽焰斩、雷鸣斩
第3级时：魔化武器、粉碎音波
第5级时：加速术、火球术
第7级时：温暖护盾、行动自如
第9级时：湮灭波、焰击术</t>
  </si>
  <si>
    <t>狂信侍僧</t>
  </si>
  <si>
    <t>第1级起，作为你的附赠动作，你可以在执行攻击动作时额外再进行一次武器攻击。你可以使用此能力的次数等于你的感知调整值(至少一次)。直到你重新完成一次长休息</t>
  </si>
  <si>
    <t>引导神力-引领热忱</t>
  </si>
  <si>
    <t>第2级起，当你造成火焰或雷鸣伤害时，可以使用引导神力使该伤害的伤害掷骰直接取最高值而无需掷骰</t>
  </si>
  <si>
    <t>轰响打击</t>
  </si>
  <si>
    <t>第6级起，当你对一个更大的或更小体型的生物造成雷鸣伤害时，你可以选择把它推离到离你10尺远的地方</t>
  </si>
  <si>
    <t>荣光之火</t>
  </si>
  <si>
    <t>第17级起，当你被当你被一个你能看到的攻击者降低到0点生命值时，即使你会被直接杀死，你也可以以你的一个反应，以你的移动速度向攻击者迈进并对其进行一次可触及的近战武器攻击。这次最后的攻击具有优势。如果攻击命中，该生物将额外受到武器类型的5D10火焰伤害和5D10武器伤害。然后你就失去意识并照常开始进行死亡豁免，如果遭受的伤害将您完全杀死，您将死亡。直到你重新完成一次长休息</t>
  </si>
  <si>
    <t>负重系数</t>
  </si>
  <si>
    <t>冒险物品</t>
  </si>
  <si>
    <t>身上装备</t>
  </si>
  <si>
    <t>弹药重量</t>
  </si>
  <si>
    <t>集束重量</t>
  </si>
  <si>
    <t>集束数量</t>
  </si>
  <si>
    <t>工具</t>
  </si>
  <si>
    <t>去重</t>
  </si>
  <si>
    <t>备选护甲</t>
  </si>
  <si>
    <t>备选武器</t>
  </si>
  <si>
    <t>力量需求</t>
  </si>
  <si>
    <t>隐匿劣势</t>
  </si>
  <si>
    <t>说明</t>
  </si>
  <si>
    <t>护甲熟练</t>
  </si>
  <si>
    <t>盾牌熟练</t>
  </si>
  <si>
    <t>伤害值</t>
  </si>
  <si>
    <t>伤害类型</t>
  </si>
  <si>
    <t>价格</t>
  </si>
  <si>
    <t>调整</t>
  </si>
  <si>
    <t>版本</t>
  </si>
  <si>
    <t>工匠工具</t>
  </si>
  <si>
    <t>工匠工具-炼金</t>
  </si>
  <si>
    <t>炼金工具可以用来制作有用的化合物，如强酸或炽火胶
奥秘：炼金工具熟练项可以让你在进行鉴定药水或类似物质的奥秘检定中获得更多信息
调查：当你调查一个区域的线索时，如果该区域曾使用过任何化合物或其他物质，炼金工具熟练项将使你对此具有额外的洞察力
道具制作：你可以使用这套工具熟练制作炼金道具。角色可以花钱收集原材料，每磅材料花费50金币。DM可以允许角色使用指定技能进行检定时具有优势。作为长休的一部分，你可以使用炼金工具制作一份剂量的强酸、炽火胶、抗毒剂、油、香水或者香皂。从你所携带的原材料总价值中减去所制作物品价值的一半</t>
  </si>
  <si>
    <t>龟人护甲</t>
  </si>
  <si>
    <t>算盘</t>
  </si>
  <si>
    <t>工匠工具-酿酒</t>
  </si>
  <si>
    <t>酿酒即是酿造酒精饮料。除了酿酒以外，这套程序还能用于蒸馏淡水。麦酒的发酵需要等待好几周时间，但酿造工作只需要几个小时
历史：酿酒工具熟练项能让你在进行与酒大有关联的事件的智力（历史）检定时有更多的了解
医药：当你治疗酒精中毒的病人，或你能使用酒精来减轻疼痛时，酿酒工具熟练项会给你更多的启示
游说：酒逢知己千杯少。酿酒工具熟练项能让你向他人提供私酿的美酒，借此改善关系
饮用水：你的酿造知识允许你用非饮用水蒸馏纯净水。你在一次长休中可以蒸馏出6加仑的淡水，而一次短休则只有1加仑</t>
  </si>
  <si>
    <t>中甲</t>
  </si>
  <si>
    <t>护甲条件</t>
  </si>
  <si>
    <t>装备位置</t>
  </si>
  <si>
    <t>强酸（小瓶）</t>
  </si>
  <si>
    <t>你可以用一个动作将这小瓶液体泼溅到你身边5尺内的一个生物身上，或是将小瓶投到至多20尺远的地方，并利用冲击打破它。两种情况都可以视为对一个生物或物件发动一次远程攻击，并将强酸视为一件临时武器。命中时，目标受到2d6点强酸伤害</t>
  </si>
  <si>
    <t>工匠工具-书法</t>
  </si>
  <si>
    <t>书法将写字升华为富有美感的艺术形式
书法家用独特的风格创作出赏心悦目的文字。他们的工具也提供了验证文稿真伪的能力，前提是书法家要花费数个小时来不断临摹文稿，以掌握其书写风格和结构特征
奥秘：虽然书法对于破解魔法密文来说没什么作用，但是书法工具熟练项至少能让你判断出这堆鬼画符的作者是谁
历史：该工具熟练项可以在进行分析或调查文本内容的成功检定中获得好处，例如古代文稿、卷轴，还有包括石头上的符文、壁画中的内容或者诸如此类的的其他文本
解读藏宝图：该工具熟练项意味着你具有解读地图的专业知识。你可以进行一次智力检定以确定地图的年代，地图是否包含任何隐藏的信息，或类似的内容</t>
  </si>
  <si>
    <t>重甲</t>
  </si>
  <si>
    <t>1D6</t>
  </si>
  <si>
    <t>全头</t>
  </si>
  <si>
    <t>炽火胶（扁瓶）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</si>
  <si>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</si>
  <si>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工匠工具-木匠</t>
  </si>
  <si>
    <t>木工技能允许角色打造木结构的物品。木匠可以建造房屋、棚屋、木制橱柜或类似的物品
历史：该工具熟练项有助于你分辨木结构建筑和其他大型木制品的用途和来历
调查：当你调查木结构建筑时具有额外的洞察力，因为你深谙营造法则，可以发现隐藏的区域
察觉：你可以发现木墙或地板的不自然之处，从而更容易找到陷阱门和秘密通道
隐匿：你可以很快地判断出木地板上的薄弱点，这样就可以更容易地避开，以免发出嘎吱声
加固：消耗原材料并进行1分钟的加工，你可以使一扇门或窗更难强行打开。打开门窗的DC值增加5点
临时住所：作为长休的一部分，你可以建造一个棚屋或类似的遮蔽物，使你的团队能在一个阴凉干燥的环境中休息。因为它只是草草搭建起来的临时住所，所以在1d3天后便会倒塌</t>
  </si>
  <si>
    <t>装备武器</t>
  </si>
  <si>
    <t>命中调整值</t>
  </si>
  <si>
    <t>伤害调整值</t>
  </si>
  <si>
    <t>军用武器熟练</t>
  </si>
  <si>
    <t>力场</t>
  </si>
  <si>
    <t>触及</t>
  </si>
  <si>
    <t>法师护甲</t>
  </si>
  <si>
    <t>头部</t>
  </si>
  <si>
    <t>抗毒剂（小瓶）</t>
  </si>
  <si>
    <t>喝下瓶内液体的生物在1小时内进行对抗对毒素的豁免检定时具有优势。它无法为不死生物或构装生物提供任何增益</t>
  </si>
  <si>
    <t>工匠工具-制图</t>
  </si>
  <si>
    <t>使用制图工具，您可以创建精确的地图做旅行为自己和那些来找你更容易。这些地图可以从山脉的大规模描述到显示地下城平面布局的图表
奥秘、历史、宗教：当你使用这些技能时，你可以利用有关于地图和定位的知识来挖掘更详细的信息
自然：你对自然地理的熟悉使你更容易回答或解释有关于你周遭地形的问题
求生：你拥有的地理知识能帮你找到走出荒野的道路，判断有可能找到村庄或城镇的方向，以避免迷路。你研究过大量具有共通模式的地图，以至于对贸易路线的演变和定居点的分布格局了然于心
绘制地图：旅行时，除了参加其他活动外，你还可以画一张地图</t>
  </si>
  <si>
    <t>武僧武器</t>
  </si>
  <si>
    <t>火焰</t>
  </si>
  <si>
    <t>10尺触及</t>
  </si>
  <si>
    <t>布甲由数层布料与棉料的衬里构成</t>
  </si>
  <si>
    <t>头发</t>
  </si>
  <si>
    <r>
      <rPr>
        <sz val="11"/>
        <color rgb="FF000000"/>
        <rFont val="宋体"/>
        <charset val="134"/>
        <scheme val="minor"/>
      </rPr>
      <t>滚珠（一包1000粒）</t>
    </r>
  </si>
  <si>
    <t>你可以用一个动作将这些小金属珠从袋子中洒出，并覆盖一片边长10尺的方形区域。穿过这片区域的生物必须进行一次DC10的敏捷豁免，豁免失败则摔至倒地。以半速穿过该区域的生物不需要进行该豁免</t>
  </si>
  <si>
    <t>工匠工具-鞋匠</t>
  </si>
  <si>
    <t>虽然鞋匠的生意对冒险者来说似乎太卑微了，但一双好鞋子却能在崎岖的荒野和致命的地牢帮上大忙
奥秘、历史：你对鞋子的知识有助于你识别魔法靴的魔法属性或这些物品的历史
调查：鞋子能透露出的秘密远比你想象的多。你可以通过检查鞋子的磨损和污迹来推断出某人最近到过什么样的地方。你的修鞋经验能让你更好地判断出导致鞋子磨损的原因
修鞋：作为长休的一部分，你可以保养同伴的鞋子。至多六个由你选定的穿着你修补过的鞋子的生物，接下来的24小时内，在需要进行对抗力竭状态的豁免检定前可以旅行至多10小时
秘密夹层：通过8小时的工作，你可以在一双鞋子内做出一个秘密夹层。这个夹层可以容纳一件至多长3寸、宽1寸的物品。你进行一次附带工具熟练加值的智力检定，以确定寻找夹层所需的智力（调查）检定DC值</t>
  </si>
  <si>
    <t>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t>
  </si>
  <si>
    <t>面部</t>
  </si>
  <si>
    <t>铺盖</t>
  </si>
  <si>
    <t>工匠工具-厨师</t>
  </si>
  <si>
    <t>冒险可是个辛苦活儿。如果能和一位厨师一起旅行，你的伙食可比整天啃饼干嚼果脯好多了
历史：你对厨艺的了解允许你品味从餐饮习惯中透露出来的社会模式
医药：进行治疗时，你可以改善药物的口感，使其不那么难以下咽
求生：寻找食物时，你可以把他人认为不能吃的玩意儿处理成可食用的东西
准备饭菜：作为短休的一部分，你可以准备一顿美味的饭菜，帮助同伴恢复体力。在短休时，你和至多五个你所选择的生物每消耗一枚生命骰就可以多恢复1点生命值，只要你有机会使用你的厨师工具并且食材充足</t>
  </si>
  <si>
    <t>咒剑武器</t>
  </si>
  <si>
    <t>穿刺</t>
  </si>
  <si>
    <t>步行速度增加5尺</t>
  </si>
  <si>
    <t>颈部</t>
  </si>
  <si>
    <t>铃铛</t>
  </si>
  <si>
    <t>工匠工具-玻璃匠</t>
  </si>
  <si>
    <t>具有玻璃匠工具熟练项的人不仅知道如何将玻璃吹制成形，还懂得生产玻璃制品的专业知识
奥秘、历史：你的玻璃制造技术有助于检查玻璃制品，例如在藏宝库中发现的药剂瓶或玻璃物品。例如，你可以研究玻璃药瓶受到内容物的影响，以判断药水的效果
调查：当你调查一个拥有碎玻璃或玻璃制品等线索的区域时，你的知识能够提供帮助
发现弱点：通过1分钟的研究，你能找出玻璃制品的薄弱点。击打该物件的薄弱点能够造成双倍的伤害</t>
  </si>
  <si>
    <t>匠师武器</t>
  </si>
  <si>
    <t>该护甲的护胸和护肩由通过油煮硬化的皮子制成。护甲的其余部分则由更软更灵活的材料制作。</t>
  </si>
  <si>
    <t>毯子</t>
  </si>
  <si>
    <t>挥砍</t>
  </si>
  <si>
    <t>工匠工具-珠宝匠</t>
  </si>
  <si>
    <t>珠宝匠工具的培训包括加工珠宝的基本技术，以及鉴定宝石的专业知识
奥秘：珠宝匠工具熟练项让你能够了解各种宝石的魔法用途。这一能力在你对宝石或镶嵌宝石的物品进行奥秘检定时很有用处
调查：当你检查珠宝类物件时，珠宝匠工具熟练项有助于你发现可能存在的线索
鉴定宝石：你能很快鉴定出宝石的种类和价值</t>
  </si>
  <si>
    <t>简易近战</t>
  </si>
  <si>
    <t>短棒</t>
  </si>
  <si>
    <t>轻型</t>
  </si>
  <si>
    <t>肩膀</t>
  </si>
  <si>
    <t>滑轮组</t>
  </si>
  <si>
    <t>一组滑轮组，其中配有一根绳索绕过轮组中，其上还装着一个系物的钩子。滑轮组可以让你提起相当于你正常举重四倍重量的物件</t>
  </si>
  <si>
    <t>强酸</t>
  </si>
  <si>
    <t>工匠工具-皮匠</t>
  </si>
  <si>
    <t>皮革加工的知识还包括兽皮特性、皮革盔甲和类似物品的学识
奥秘：皮匠工具熟练项在你检查皮制魔法物品，如鞋子和部分斗篷时提供额外的洞察力
调查：当你研究皮制物品或与之相关的线索时，你具有额外的洞察力，因为你对于皮革的专业知识能够发现他人忽略的细节
皮革鉴定：当你检查皮革物品时，你能分辨出皮料的种类以及运用的特殊工艺</t>
  </si>
  <si>
    <t>步行速度增加5尺，你在敏捷（隐匿）检定中具有优势</t>
  </si>
  <si>
    <t>胸前</t>
  </si>
  <si>
    <t>书本</t>
  </si>
  <si>
    <t>一本书可能写着诗歌、故事或是其他的内容。里面可能有关于某个特定地区的学识信息，也可能有侏儒语记载的机械图和笔记，或者任何其它能够用文字或图形表达的内容。一本载有法术的书则是一本法术书</t>
  </si>
  <si>
    <t>冷冻</t>
  </si>
  <si>
    <t>工匠工具-泥瓦匠</t>
  </si>
  <si>
    <t>泥瓦匠工具允许你制造石质或砖制建筑
历史：你的专业知识有助于你确定一座石质建筑的建造日期和用途，以及可能是谁建造了它
调查：当你检查石质建筑中的区域时，你具有额外的洞察力
察觉：你可以在石墙或地板上发现不规则的地方，从而更容易找到陷阱门和秘密通道
拆迁：你对砖石结构的知识可以让你发现墙壁的薄弱点。你的武器攻击会对这种建筑造成双倍伤害</t>
  </si>
  <si>
    <t>该护甲由坚固而柔韧的皮革制成，其表面由紧密的铆钉和尖刺进行加固。</t>
  </si>
  <si>
    <t>背后</t>
  </si>
  <si>
    <r>
      <rPr>
        <sz val="11"/>
        <color rgb="FF000000"/>
        <rFont val="宋体"/>
        <charset val="134"/>
        <scheme val="minor"/>
      </rPr>
      <t>铁蒺藜（一包20枚）</t>
    </r>
  </si>
  <si>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</si>
  <si>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工匠工具-画家</t>
  </si>
  <si>
    <t>画家工具熟练项代表了你的素描和绘画能力。你也会对艺术史有所了解，这有助于你鉴赏艺术作品
奥秘、历史、宗教：你的专业知识有助于你了解任何与艺术有关的知识，比如一幅画作的魔法属性或在地下城中发现的奇怪壁画的来历
调查、察觉：当你检查一幅画作或类似的图画类艺术作品时，你的绘画功底可以给你额外的洞察力
作画：作为短休或长休的一部分，你可以创作一件简单的艺术品。虽然你的画作可能不够精细，但你可以展现出一副图像或场景，或者快速还原出你所见过的一幅艺术品</t>
  </si>
  <si>
    <t>腰部</t>
  </si>
  <si>
    <t>蜡烛</t>
  </si>
  <si>
    <t>一只蜡烛可以为其身边5尺半径范围提供明亮光照，以及该范围外5尺的微光光照。蜡烛的照明效果可以持续1小时</t>
  </si>
  <si>
    <t>工匠工具-陶匠</t>
  </si>
  <si>
    <t>陶匠工具用于制造各种各样的陶器，最典型的是陶罐和类似的器皿
历史：你的专业知识有助于你鉴定陶器，包括生产时间，以及它们可能的产地或产地文化
调查、察觉：你在检查陶器时具有额外的洞察力，通过一些小细节来发现他人忽略的线索
复原：通过检查陶器碎片，你可以推断出该物件原本、完整的形状及其可能的用途</t>
  </si>
  <si>
    <t>胯间</t>
  </si>
  <si>
    <r>
      <rPr>
        <sz val="11"/>
        <color rgb="FF000000"/>
        <rFont val="宋体"/>
        <charset val="134"/>
        <scheme val="minor"/>
      </rPr>
      <t>链条（10尺）</t>
    </r>
  </si>
  <si>
    <t>一根链条有10点生命值。它可以被一次成功的DC20力量检定挣断</t>
  </si>
  <si>
    <t>闪电</t>
  </si>
  <si>
    <t>工匠工具-铁匠</t>
  </si>
  <si>
    <t>铁匠工具允许你加工金属，加热它来塑性变形、修复损坏，或者把钢锭加工成有用的物品
奥秘、历史：当你检查金属物体，比如武器时，你的专业知识会给你额外的洞察力
调查：在调查护甲、武器或其他金属制品时，你可以发现他人可能会忽略的线索并作出推论
修复：当你能够使用工具并且具备一处足以使金属热塑变形的明火时，你每花费1个小时的工作时间，就能为一件损坏的金属制品恢复10点生命值</t>
  </si>
  <si>
    <t>匕首</t>
  </si>
  <si>
    <t>灵巧，轻型，投掷（射程20/60）</t>
  </si>
  <si>
    <t>一种由厚毛皮制作的粗糙护甲。</t>
  </si>
  <si>
    <t>左脚</t>
  </si>
  <si>
    <t>粉笔（1块）</t>
  </si>
  <si>
    <t>黯蚀</t>
  </si>
  <si>
    <t>工匠工具-修补</t>
  </si>
  <si>
    <t>修补工具用于修复各种普通物件。虽然你不能用修补工具制造很多东西，但你可以缝补衣服、磨砺锋刃，或是修补好破掉的链甲
历史：你可以确定物件的年龄和来历，即使你只剩下几块原件的碎片
调查：当你检查一个损坏的物件时，你能推测出损坏的原因及时间
修复：你每花费1个小时的工作时间，就能为一件损坏的物件恢复10点生命值。你必须具有与之对应的修补材料。对于金属制品，你还需要具备一处足以使金属热塑变形的明火</t>
  </si>
  <si>
    <t>右脚</t>
  </si>
  <si>
    <t>攀爬工具</t>
  </si>
  <si>
    <t>一套攀爬工具包括特制的岩钉，靴子包头，手套和系带。你可以用一个动作来运用攀爬工具锚定自己；此时你不会从锚定处摔落超过25尺，且在解除锚定前无法从锚定处向外攀爬超过25尺</t>
  </si>
  <si>
    <t>毒素</t>
  </si>
  <si>
    <t>工匠工具-织布</t>
  </si>
  <si>
    <t>织布工具可以让你织布，并把它做成衣服
奥秘、历史：你的专业知识会让你在检查纺织品时具有额外的洞察力，包括斗篷和长袍
调查：当你检查挂毯、布饰、服装或其他纺织品时，你的专业知识能让你发现他人可能会忽略的线索并作出推论
缝补：你可以在短休中修复一件损坏的纺织品
制衣：如果你有足够的布匹和线，你可以在长休中为一个生物制作一套服装</t>
  </si>
  <si>
    <t>双脚</t>
  </si>
  <si>
    <t>材料包</t>
  </si>
  <si>
    <t>材料包是一个防水的皮质小腰包，其内有间格用以放置各种材料成分以及其它你需要用以施展法术的特殊物品。某些有着特定价格的材料不包含在材料包中</t>
  </si>
  <si>
    <t>心灵</t>
  </si>
  <si>
    <t>工匠工具-木雕</t>
  </si>
  <si>
    <t>木雕工具允许你加工负责的木制品，如木制令牌或箭杆
奥秘、历史：当你检查木制品，如雕像或箭时，你的专业知识让你具有额外的洞察力
自然：当你检查树木时，你的知识让你具有额外的洞察力
修复：你可以在短休中修复一件损坏的木制品
制箭：你可以在短休中制作至多五支箭。在长休中你能做二十支。前提是你必须有足够的木料</t>
  </si>
  <si>
    <t>该护甲由互相锁接的金属环组成，通常着装于布衣或皮衣的夹层之间。这种护甲为着装者的上半身提供了适中的保护，且锁环间相互碰撞的声音也可以被外层衣服减弱。</t>
  </si>
  <si>
    <t>左腿</t>
  </si>
  <si>
    <t>撬棍</t>
  </si>
  <si>
    <t>在适当的地方使用撬棍时，可以让相应的力量检定具有优势</t>
  </si>
  <si>
    <t>光耀</t>
  </si>
  <si>
    <t>易容工具</t>
  </si>
  <si>
    <t>对于伪装者来说，易容工具是必不可少的，它可以让使用者轻易地改头换面
欺瞒：在某些情况下，一副伪装可以提高你撒谎的能力
恐吓：合适的伪装会让你看起来更可怕，不管你是想假扮成瘟疫患者来吓跑路人或是装成暴徒以恐吓一帮恶棍
表演：巧妙的化妆可以提升观众的体验，前提是化妆要设计得当，能够唤起想要的反应
说服：人们往往会信任穿制服的人。如果你伪装成一个权威人物，你与他人的交涉会更有说服力
易容：你可以在长休中制造一套伪装物品。完成后你可以花费1分钟时间来变装。为了避免过度的关注，你一次只能携带一套伪装，除非你有一个背包或类似的方法来隐藏它们。每套伪装重1磅。在其他时候，需要10分钟来制作一套适当修改外观的的伪装，而大幅改变外观则需要30分钟</t>
  </si>
  <si>
    <t>巨棒</t>
  </si>
  <si>
    <t>1D8</t>
  </si>
  <si>
    <t>双手</t>
  </si>
  <si>
    <t>右腿</t>
  </si>
  <si>
    <t>渔具</t>
  </si>
  <si>
    <t>一套渔具工具包中，装有一根长杆、丝线、软木转轴、铅坠、天鹅绒饵以及窄眼网</t>
  </si>
  <si>
    <t>雷呜</t>
  </si>
  <si>
    <t>文书伪造工具</t>
  </si>
  <si>
    <t>文书伪造工具通常用于伪造一份信用文书和模仿某人的印章或签名
奥秘：文书伪造工具与奥秘技能搭配可以鉴定一件魔法物品的真伪
欺瞒：一份精心伪造的文书，比如贵族血统证明或管制区通行证，可以让你的谎言更有可信度
历史：文书伪造工具与你的历史知识相结合，可以让你更轻易地伪造历史文献或鉴定文献的真伪
调查：当你检查一个物件时，文书伪造工具熟练项有助于你判断该物件是如何制成的，以及它的真伪
其他工具：掌握其他工具的用法可以提高你所制赝品的可信度
快速伪造：你在一次短休中可以伪造篇幅不超过1页的假文书。而一次长休中，你至多可以制造4页的文书。你进行一次附带文书伪造工具熟练加值的智力检定，以决定他人识破赝品的智力（调查）检定DC值</t>
  </si>
  <si>
    <t>双腿</t>
  </si>
  <si>
    <t>爪钩</t>
  </si>
  <si>
    <t>赌具</t>
  </si>
  <si>
    <t>赌具-骰子</t>
  </si>
  <si>
    <t>历史：你对赌博的掌握包括对它历史的了解，以及与它有关的重要事件或与之相关的历史名人的知识
洞悉：和某人赌上一把是了解他们个性的好方法，可以让你更好地分辨他们的谎言，了解他们的情绪
巧手：想出老千的话，巧手是个很有用的技能，比如你可以棋子换位、掌中藏牌、控制骰点。亦或者，对沉浸于赌局的目标进行扒窃也是不错的选择</t>
  </si>
  <si>
    <t>重复选择</t>
  </si>
  <si>
    <t>该护甲由一件皮外套和护胫（可能附有护裙）组合而成，其防护部分由相叠的铁片覆盖，结构有如鱼的鳞片。此护甲同时还附有护手。</t>
  </si>
  <si>
    <t>左手</t>
  </si>
  <si>
    <t>锤子</t>
  </si>
  <si>
    <t>赌具-龙棋</t>
  </si>
  <si>
    <t>右手</t>
  </si>
  <si>
    <t>大锤</t>
  </si>
  <si>
    <t>赌具-纸牌</t>
  </si>
  <si>
    <t>手斧</t>
  </si>
  <si>
    <t>轻型，投掷（射程20/60）</t>
  </si>
  <si>
    <t>医疗包</t>
  </si>
  <si>
    <t>一个医疗用小皮包中，装有绷带、药膏和夹板。医疗包可以使用十次。你可以使用一个动作，并花费一次使用次数来为一个生命值为0的生物稳定伤势，而无需进行相应的感知（医药）检定</t>
  </si>
  <si>
    <t>赌具-三龙牌</t>
  </si>
  <si>
    <t>该护甲主要由皮条固定的金属护胸组成。尽管它并没有为四肢提供额外的防护，但其在保证着装者活动自由度的同时，为其生命器官提供了十分有效的保护效果。</t>
  </si>
  <si>
    <t>左臂</t>
  </si>
  <si>
    <t>圣水（扁瓶）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</si>
  <si>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</si>
  <si>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草药工具熟练项允许你辨认植物并安全地提取有效成分
奥秘：你对药材的性味归经和功能主治的了解，使你在对植物进行魔法研究或试图鉴定药剂时具有额外的洞察力
调查：当你调查一个长有植物的区域时，草药工具熟练项能帮助你发现那些其他人可能会忽视的细节或线索
医药：你对草药医学的掌握有助于提高你使用药用植物治疗疾病和创伤的水平
自然、求生：当你在野外旅行时，你的草药技能有助于辨认植物和找到一般人不知道的食物来源
辨认植物：仅仅通过外观和气味，你就能快速辨认出大部分植物</t>
  </si>
  <si>
    <t>右臂</t>
  </si>
  <si>
    <t>沙漏</t>
  </si>
  <si>
    <t>乐器</t>
  </si>
  <si>
    <t>乐器-风笛</t>
  </si>
  <si>
    <t>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t>
  </si>
  <si>
    <t>双臂</t>
  </si>
  <si>
    <t>狩猎陷阱</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</si>
  <si>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</si>
  <si>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乐器-鼓</t>
  </si>
  <si>
    <t>标枪</t>
  </si>
  <si>
    <t>投掷（射程30/120）</t>
  </si>
  <si>
    <t>半身板甲主要由覆盖着装者身体大部分的铸模金属板组成。不过，其腿部防护则只有由皮条系住的简单护胫。</t>
  </si>
  <si>
    <t>全身</t>
  </si>
  <si>
    <r>
      <rPr>
        <sz val="11"/>
        <color rgb="FF000000"/>
        <rFont val="宋体"/>
        <charset val="134"/>
        <scheme val="minor"/>
      </rPr>
      <t>墨水（1盎司瓶）</t>
    </r>
  </si>
  <si>
    <t>乐器-扬琴</t>
  </si>
  <si>
    <t>墨水笔</t>
  </si>
  <si>
    <t>乐器-长笛</t>
  </si>
  <si>
    <t>爬梯（10尺）</t>
  </si>
  <si>
    <t>乐器-鲁特琴</t>
  </si>
  <si>
    <t>它们出自矮人工匠之手，造型看上去像是覆盖了金属尖刺的皮革外套和护腿。</t>
  </si>
  <si>
    <t>一只油灯可以为其身边15尺半径范围提供明亮光照，以及该范围外30尺的微光光照。点亮的油灯每6小时消耗一扁瓶灯油（1品脱）</t>
  </si>
  <si>
    <t>乐器-里拉琴</t>
  </si>
  <si>
    <t>轻锤</t>
  </si>
  <si>
    <t>牛眼提灯</t>
  </si>
  <si>
    <t>一盏牛眼提灯可以为前方60尺的锥状区域提供明亮光照，以及该范围外60尺的微光光照。点亮的牛眼提灯每6小时消耗一扁瓶的灯油（1品脱）</t>
  </si>
  <si>
    <t>乐器-角号</t>
  </si>
  <si>
    <t>附盖提灯</t>
  </si>
  <si>
    <t>一盏附盖提灯可以为其身边30尺半径范围提供明亮光照，以及该范围外30尺的微光光照。点亮的提灯每6小时消耗一扁瓶的灯油（1品脱）。你可以使用一个动作放下盖子，使其光照减弱为5尺范围的微光照明</t>
  </si>
  <si>
    <t>乐器-排箫</t>
  </si>
  <si>
    <t>该护甲是将重金属环扣缝进内层的特殊皮甲。金属环可以加强护甲对剑斧挥击的抵抗力。环甲比链甲低一级，而通常只被那些无力支付更好护甲的人所使用。</t>
  </si>
  <si>
    <t>锁</t>
  </si>
  <si>
    <t>每把锁与一把钥匙相配套。不使用钥匙时，一个具有盗贼工具熟练项的生物可以通过一次成功的DC15敏捷检定撬开这把锁。DM可决定是否能够用更高的价格买到更好的锁</t>
  </si>
  <si>
    <t>乐器-芦笛</t>
  </si>
  <si>
    <t>放大镜</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</si>
  <si>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</si>
  <si>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乐器-提琴</t>
  </si>
  <si>
    <t>硬头锤</t>
  </si>
  <si>
    <t>-</t>
  </si>
  <si>
    <t>镣铐</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</si>
  <si>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</si>
  <si>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领航工具</t>
  </si>
  <si>
    <t>领航工具熟练项可以帮助你根据星象来导航。它还帮助你研究海图和地图，同时增强你的方向感
生存：领航工具的知识有助于避免迷路，也能让你推断最有可能出现道路和定居点的位置
观测：通过仔细测量，你可以确定你在航海图上的位置以及当前的时间</t>
  </si>
  <si>
    <t>该护甲由互相锁接的金属环编成。链甲还包括在甲胄下面穿戴的一层织物衬里，用以阻止擦伤并减缓挥击的冲击。此护甲同时还附有护手。</t>
  </si>
  <si>
    <t>野炊工具</t>
  </si>
  <si>
    <t>一个野炊工具锡盒包括一只茶杯和一些简易餐具。盒子被夹在一起，并且其中一面能够被用作一只煎锅而另一面则可以作为一只碟子或是浅碗</t>
  </si>
  <si>
    <t>制毒工具</t>
  </si>
  <si>
    <t>它允许你利用各种材料制取毒素并使用它们。你的毒药学知识也有助于解毒
调查、察觉：你的毒药学知识教会了你如何小心地处理这些物质，当你检查有毒物品或搜索与毒药有关的事件线索时具有优势
医药：当你医治中毒的患者时，你的知识会让你知道如何为病人提供最好的处理
自然、求生：你能分辨有毒的动植物
操作毒药：你的熟练项允许你安全地操作或使用毒药，而不会令你自身暴露在毒素环境中</t>
  </si>
  <si>
    <t>钢面镜</t>
  </si>
  <si>
    <t>盗贼工具</t>
  </si>
  <si>
    <t>熟练掌握这些工具可以了解陷阱和锁的基本知识
历史：你对陷阱的知识能让你在回答关于以陷阱出名的名胜的问题具有额外的洞察力
调查、察觉：你在搜索陷阱时具有额外的洞察力，因为你已熟知各类陷阱的外在迹象
设置陷阱：如同你可以解除陷阱一样，你也可以设置陷阱。你可以在短休中使用手头上的物品制造陷阱。你进行一次检定，检定的最终结果将作为他人发现或解除该陷阱的DC值。陷阱造成的伤害值取决于制造它所用的材料（例如毒药或武器），或等同于你检定结果的一半，这将由DM决定</t>
  </si>
  <si>
    <t>灯油（扁瓶）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</si>
  <si>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</si>
  <si>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载具（水运）</t>
  </si>
  <si>
    <t>载具熟练项提供了掌控对应载具的能力，以及修理、维护载具的知识
此外，具有水运载具熟练项的角色还具备了职业水手的专业知识，比如海洋与岛屿的信息、打水手结、预测天气和海况
奥秘：当你研究魔法载具时，载具熟练项有助于你想起有关传说或搞懂该载具的用法
调查、察觉：当你检查载具上的线索或隐藏信息时，你的载具熟练项有助于发现他人忽略的信息
载具掌控：当你驾驶载具时，可以将你的熟练加值加到该载具的AC值和豁免检定上</t>
  </si>
  <si>
    <t>长棍</t>
  </si>
  <si>
    <t>两用（1d8）</t>
  </si>
  <si>
    <t>该护甲主要由铆接着竖直金属窄条的皮革内里组成，其整体覆盖在布料衣物外，而关节部位则由灵活的链甲部件提供保护。</t>
  </si>
  <si>
    <t>纸（每张）</t>
  </si>
  <si>
    <t>载具（陆运）</t>
  </si>
  <si>
    <t>载具熟练项提供了掌控对应载具的能力，以及修理、维护载具的知识
奥秘：当你研究魔法载具时，载具熟练项有助于你想起有关传说或搞懂该载具的用法
调查、察觉：当你检查载具上的线索或隐藏信息时，你的载具熟练项有助于发现他人忽略的信息
载具掌控：当你驾驶载具时，可以将你的熟练加值加到该载具的AC值和豁免检定上</t>
  </si>
  <si>
    <t>羊皮纸（每张）</t>
  </si>
  <si>
    <t>香水（小瓶）</t>
  </si>
  <si>
    <t>板甲由覆盖全身，且相互连接的模铸金属板组成。一套板甲包括护手、重皮靴、一顶附面甲的头盔以及在护甲底层的厚重的布甲。其锁扣和皮带结构可以将护甲重量分配到身体各处。</t>
  </si>
  <si>
    <t>矿工镐</t>
  </si>
  <si>
    <t>岩钉</t>
  </si>
  <si>
    <t>镰刀</t>
  </si>
  <si>
    <t>基础毒药（小瓶）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</si>
  <si>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</si>
  <si>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同调上限</t>
  </si>
  <si>
    <t>长杆（10尺）</t>
  </si>
  <si>
    <t>治疗药水</t>
  </si>
  <si>
    <t>一种红色的魔力药剂，可以使饮用者恢复2d4+2的生命值。喝药或者喂人喝药需要使用一个动作</t>
  </si>
  <si>
    <t>便携式攻城锤</t>
  </si>
  <si>
    <t>你可以使用一具便携式攻城锤破门。此时你破门的力量检定具有+4加值。如果另一名角色从旁协助，则你破门的力量检定因此而具有优势</t>
  </si>
  <si>
    <t>矛</t>
  </si>
  <si>
    <t>投掷（射程20/60），两用（1d8）</t>
  </si>
  <si>
    <t>口粮（1日份）</t>
  </si>
  <si>
    <t>适合长途旅行携带的高能量干粮，包括牛肉干、干果、饼干和坚果等</t>
  </si>
  <si>
    <t>麻绳（50尺）</t>
  </si>
  <si>
    <t>麻质的绳索，拥有2点生命值，且可以通过一次成功的DC17力量检定扯断</t>
  </si>
  <si>
    <r>
      <rPr>
        <sz val="11"/>
        <color rgb="FF000000"/>
        <rFont val="宋体"/>
        <charset val="134"/>
        <scheme val="minor"/>
      </rPr>
      <t>丝绳（50尺）</t>
    </r>
  </si>
  <si>
    <t>丝质的绳索，拥有2点生命值，且可以通过一次成功的DC17力量检定扯断</t>
  </si>
  <si>
    <t>商用天平</t>
  </si>
  <si>
    <t>一架天平包括一个小的衡平、一对托盘和一套共重2磅的砝码。它可以用来称量小物件的精细重量，以便估价</t>
  </si>
  <si>
    <t>封蜡</t>
  </si>
  <si>
    <t>窃贼套组</t>
  </si>
  <si>
    <t>包括一个背包、一包1000粒的滚珠、10尺弦线、一个铃铛、五支蜡烛、一根撬棍、一把锤子、十支岩钉、一盏附盖提灯、两支扁瓶灯油、五天份口粮、一个火绒盒、和一个水袋。背包外还挂着50尺麻绳</t>
  </si>
  <si>
    <t>铲子</t>
  </si>
  <si>
    <t>大使套组</t>
  </si>
  <si>
    <t>包括一个箱子、两个地图或卷轴匣、一套高档服装、一瓶墨水、一支墨水笔、一盏油灯、两支扁瓶灯油、五张纸、一支小瓶香水、一块封蜡和一块肥皂</t>
  </si>
  <si>
    <t>信号笛</t>
  </si>
  <si>
    <t>地城套组</t>
  </si>
  <si>
    <t>包括一个背包、一根撬棍、一把锤子、十支岩钉、十支火把、一个火绒盒、十天份口粮和一只水袋。背包外还挂着50尺麻绳</t>
  </si>
  <si>
    <t>灵巧、投掷（射程60/∞）</t>
  </si>
  <si>
    <t>玺戒</t>
  </si>
  <si>
    <t>艺人套组</t>
  </si>
  <si>
    <t>包括一个背包、一卷铺盖、两套表演服装、五支蜡烛、五天份口粮、一个水袋和一套易容工具</t>
  </si>
  <si>
    <t>雷鸣</t>
  </si>
  <si>
    <t>肥皂</t>
  </si>
  <si>
    <t>探索套组</t>
  </si>
  <si>
    <t>包括一个背包、一卷铺盖、一套野炊工具、一个火绒盒、十支火把、十天份口粮和一个水袋。背包外还挂着50尺麻绳</t>
  </si>
  <si>
    <t>硬皮封面的法术书是法师们的必须品，为方便记录法术，其通常都留有100张羊皮纸空书页</t>
  </si>
  <si>
    <t>祭司套组</t>
  </si>
  <si>
    <t>包括一个背包、一条毯子、十支蜡烛、一个火绒盒、一个募捐盒、两块熏香、一个香炉、祭袍、两天份口粮和一只水袋</t>
  </si>
  <si>
    <t>简易远程</t>
  </si>
  <si>
    <t>轻弩</t>
  </si>
  <si>
    <t>弹药（射程80/320），装填，双手</t>
  </si>
  <si>
    <t>长铁钉（10根）</t>
  </si>
  <si>
    <t>学者套组</t>
  </si>
  <si>
    <t>包括一个背包、一本学科书、一瓶墨水，一只墨水笔，十张羊皮纸，一小袋沙和一把小刀</t>
  </si>
  <si>
    <t>望远镜</t>
  </si>
  <si>
    <t>从望远镜中观察到的物品能放大两倍</t>
  </si>
  <si>
    <t>双人帐篷</t>
  </si>
  <si>
    <t>一个简单轻便的双人帆布帐篷</t>
  </si>
  <si>
    <t>火绒盒</t>
  </si>
  <si>
    <t>一个小巧的盒子里装有燧石，铁片和火绒（通常是在轻油中浸过的干布），是一种常用的生火工具。使用火绒盒点燃一支火把（或其他燃料物质外露的物件）需要使用一个动作，而用来点燃其他物品则需要花费1分钟</t>
  </si>
  <si>
    <t>飞镖</t>
  </si>
  <si>
    <t>1D4</t>
  </si>
  <si>
    <t>灵巧，投掷（射程20/60）</t>
  </si>
  <si>
    <t>火把</t>
  </si>
  <si>
    <t>一支火把可以为其身边20尺半径范围提供明亮光照，以及其外20尺范围的微光光照。火把的照明效果可以持续1小时。你还可以使用一支燃烧的火把发动一次近战攻击，命中时，该攻击可以造成1点火焰伤害</t>
  </si>
  <si>
    <t>磨刀石</t>
  </si>
  <si>
    <t>箭（20）</t>
  </si>
  <si>
    <t>吹矢（50）</t>
  </si>
  <si>
    <t>短弓</t>
  </si>
  <si>
    <t>弹药（射程80/320），双手</t>
  </si>
  <si>
    <t>弩矢（20）</t>
  </si>
  <si>
    <t>投石索弹丸（20）</t>
  </si>
  <si>
    <t>子弹（10）</t>
  </si>
  <si>
    <t>水晶</t>
  </si>
  <si>
    <t>投石索</t>
  </si>
  <si>
    <t>弹药（射程30/120）</t>
  </si>
  <si>
    <t>法球</t>
  </si>
  <si>
    <t>权杖</t>
  </si>
  <si>
    <t>法杖</t>
  </si>
  <si>
    <t>魔杖</t>
  </si>
  <si>
    <t>（射程90/300）</t>
  </si>
  <si>
    <t>槲寄生枝条</t>
  </si>
  <si>
    <t>一枝槲寄生或冬青。德鲁伊能将这样的物品用作其施法的法器</t>
  </si>
  <si>
    <t>图腾</t>
  </si>
  <si>
    <t>一个包含神圣动物身上的羽毛、毛皮、骨头和牙齿组合成的图腾。德鲁伊能将这样的物品用作其施法的法器</t>
  </si>
  <si>
    <t>木质法杖</t>
  </si>
  <si>
    <t>一根从活树上折下的法杖。德鲁伊能将这样的物品用作其施法的法器</t>
  </si>
  <si>
    <t>军用近战</t>
  </si>
  <si>
    <t>战斧</t>
  </si>
  <si>
    <t>两用（1d10）</t>
  </si>
  <si>
    <t>紫杉魔杖</t>
  </si>
  <si>
    <t>一根用紫杉木或其它特殊木材制作的魔杖或节杖，。德鲁伊能将这样的物品用作其施法的法器</t>
  </si>
  <si>
    <t>护符</t>
  </si>
  <si>
    <t>一个描绘有代表一个神袛符号的护身符。使用时，施法者必须将其握在手中，戴在身上可见处，或者将其装在盾上使用</t>
  </si>
  <si>
    <t>徽章</t>
  </si>
  <si>
    <t>一个徽章被仔细地雕刻或镶嵌在一面盾牌上。使用时，施法者必须将其握在手中，戴在身上可见处，或者将其装在盾上使用</t>
  </si>
  <si>
    <t>圣物匣</t>
  </si>
  <si>
    <t>一个盛有一块神圣遗物碎片的小盒。使用时，施法者必须将其握在手中，戴在身上可见处，或者将其装在盾上使用</t>
  </si>
  <si>
    <t>链枷</t>
  </si>
  <si>
    <t>炸弹</t>
  </si>
  <si>
    <t>以一个动作，一名角色可以点燃炸弹，并将它扔到至多60尺远的一点。该点周边5尺范围内的每个生物都必须进行一次DC 12的敏捷豁免，豁免失败者将受到3d6的火焰伤</t>
  </si>
  <si>
    <t>火药，小桶</t>
  </si>
  <si>
    <t>给填满火药的容器点火引燃就会使其爆炸，对其周边10尺范围内的每个生物造成7d6伤害。一次成功通过DC 12敏捷豁免者伤害减半。点燃一盎司的火药会使它在1轮里闪耀出火花，向周围30尺半径范围散发明亮光照，以及其外30尺范围的昏暗光照</t>
  </si>
  <si>
    <t>火药，角瓶</t>
  </si>
  <si>
    <t>给填满火药的容器点火引燃就会使其爆炸，对其周边10尺范围内的每个生物造成3d6伤害。一次成功通过DC 12敏捷豁免者伤害减半。点燃一盎司的火药会使它在1轮里闪耀出火花，向周围30尺半径范围散发明亮光照，以及其外30尺范围的昏暗光照</t>
  </si>
  <si>
    <t>长柄刀</t>
  </si>
  <si>
    <t>1D10</t>
  </si>
  <si>
    <t>重型，触及，双手</t>
  </si>
  <si>
    <t>表演服装</t>
  </si>
  <si>
    <t>高档服装</t>
  </si>
  <si>
    <t>旅行者服装</t>
  </si>
  <si>
    <t>巨斧</t>
  </si>
  <si>
    <t>1D12</t>
  </si>
  <si>
    <t>重型，双手</t>
  </si>
  <si>
    <t>长袍</t>
  </si>
  <si>
    <t>弩矢匣</t>
  </si>
  <si>
    <t>一只木匣能装二十支弩矢</t>
  </si>
  <si>
    <t>地图或卷轴匣</t>
  </si>
  <si>
    <t>一个圆柱形皮匣能够装上十张卷起的纸或是五张卷起的羊皮纸</t>
  </si>
  <si>
    <t>巨剑</t>
  </si>
  <si>
    <t>2D6</t>
  </si>
  <si>
    <t>箭袋</t>
  </si>
  <si>
    <t>一只箭袋可以盛装20支箭</t>
  </si>
  <si>
    <t>炼金工具</t>
  </si>
  <si>
    <t>包括两只玻璃烧杯、一个铁架台、一根玻璃搅拌棒、一个小研钵和药杵，以及一袋常用炼金术材料，包括盐、铁粉、纯净水</t>
  </si>
  <si>
    <t>酿酒工具</t>
  </si>
  <si>
    <t>包括一个大玻璃罐、一些酵母、一根虹吸管，以及几尺长的管子</t>
  </si>
  <si>
    <t>戟</t>
  </si>
  <si>
    <t>书法工具</t>
  </si>
  <si>
    <t>包括墨水、一打羊皮纸，以及三支羽毛笔</t>
  </si>
  <si>
    <t>木匠工具</t>
  </si>
  <si>
    <t>包括一把锯子、一把锤子、一些钉子、一把短斧、一把角尺、一把直尺，一把扁斧，一具木工刨和一把凿子</t>
  </si>
  <si>
    <t>制图工具</t>
  </si>
  <si>
    <t>包括一支鹅毛笔、墨水、羊皮纸，一副圆规、卡尺，和一把直尺</t>
  </si>
  <si>
    <t>骑枪</t>
  </si>
  <si>
    <t>触及，特殊</t>
  </si>
  <si>
    <t>鞋匠工具</t>
  </si>
  <si>
    <t>包括一把锤子、一支锥子、一柄小刀、一个鞋架、一把切刀、备用皮革和线</t>
  </si>
  <si>
    <t>厨师工具</t>
  </si>
  <si>
    <t>包括一个金属锅、餐刀、餐叉、一柄搅拌勺，和一柄长柄勺</t>
  </si>
  <si>
    <t>玻璃匠工具</t>
  </si>
  <si>
    <t>包括一支吹管、一个小搓板、一些模具，和几把工钳。此外你还需要一个热源才能吹制玻璃</t>
  </si>
  <si>
    <t>长剑</t>
  </si>
  <si>
    <t>珠宝匠工具</t>
  </si>
  <si>
    <t>包括一把小锯、小锤、锉刀、钳子，和镊子</t>
  </si>
  <si>
    <t>皮匠工具</t>
  </si>
  <si>
    <t>包括一把小刀、一柄小木槌、一台磨边机、一个打孔器、一个纺锤，以及一些皮革碎料</t>
  </si>
  <si>
    <t>泥瓦匠工具</t>
  </si>
  <si>
    <t>包括泥刀、锤子、凿子、刷子、和角尺</t>
  </si>
  <si>
    <t>画家工具</t>
  </si>
  <si>
    <t>包括画架、画布、颜料、画笔、炭笔，还有调色板</t>
  </si>
  <si>
    <t>巨锤</t>
  </si>
  <si>
    <t>陶匠工具</t>
  </si>
  <si>
    <t>包括穿刺针、骨架刀、刮刀、小刀，以及卡尺</t>
  </si>
  <si>
    <t>铁匠工具</t>
  </si>
  <si>
    <t>包括锤子、钳子、木炭、破布和磨刀石</t>
  </si>
  <si>
    <t>修补工具</t>
  </si>
  <si>
    <t>包括各种手工用品、针线、磨刀石、一些零碎的布料和皮料，以及一小壶胶</t>
  </si>
  <si>
    <t>钉头锤</t>
  </si>
  <si>
    <t>织布工具</t>
  </si>
  <si>
    <t>包括针线和一些碎布。你知道怎么操作织布机，但这种设备太大了，你无法携带</t>
  </si>
  <si>
    <t>木雕工具</t>
  </si>
  <si>
    <t>包括是一把小刀、一把凿子，以及一把小锯子</t>
  </si>
  <si>
    <t>包括化妆品、染发剂、小道具，以及几套衣服</t>
  </si>
  <si>
    <t>包括几种不同类型的墨水、各种羊皮纸和普通纸、几支鹅毛笔、印章和封蜡、金银叶饰，以及伪造蜡封的小型雕刻工具</t>
  </si>
  <si>
    <t>长矛</t>
  </si>
  <si>
    <t>整副骰子</t>
  </si>
  <si>
    <t>包含进行对应赌博游戏的全套赌具</t>
  </si>
  <si>
    <t>整套龙棋</t>
  </si>
  <si>
    <t>整副纸牌</t>
  </si>
  <si>
    <t>刺剑</t>
  </si>
  <si>
    <t>灵巧</t>
  </si>
  <si>
    <t>整副三龙牌</t>
  </si>
  <si>
    <t>包括装药材的袋子、采集草药的剪钳和皮手套、研钵和药杵，以及几个玻璃瓶</t>
  </si>
  <si>
    <t>风笛</t>
  </si>
  <si>
    <t>鼓</t>
  </si>
  <si>
    <t>弯刀</t>
  </si>
  <si>
    <t>灵巧，轻型</t>
  </si>
  <si>
    <t>扬琴</t>
  </si>
  <si>
    <t>长笛</t>
  </si>
  <si>
    <t>鲁特琴</t>
  </si>
  <si>
    <t>里拉琴</t>
  </si>
  <si>
    <t>短剑</t>
  </si>
  <si>
    <t>角号</t>
  </si>
  <si>
    <t>排箫</t>
  </si>
  <si>
    <t>芦笛</t>
  </si>
  <si>
    <t>提琴</t>
  </si>
  <si>
    <t>三叉戟</t>
  </si>
  <si>
    <t>包括六分仪、罗盘、卡尺、直尺、羊皮纸、墨水和鹅毛笔</t>
  </si>
  <si>
    <t>包括玻璃瓶、研钵和杵、一些化学制剂，和一根玻璃搅拌棒</t>
  </si>
  <si>
    <t>包括一把小锉刀、一套开锁器、一面安装在金属柄上的小镜子、一把窄刃剪刀和一把镊子</t>
  </si>
  <si>
    <t>粗腰桶</t>
  </si>
  <si>
    <t>40加仑液体，4立方尺固体</t>
  </si>
  <si>
    <t>战镐</t>
  </si>
  <si>
    <t>玻璃瓶</t>
  </si>
  <si>
    <t>1.5品脱液体</t>
  </si>
  <si>
    <t>吊桶</t>
  </si>
  <si>
    <t>3加仑液体，0.5立方尺固体</t>
  </si>
  <si>
    <t>扁瓶或大杯</t>
  </si>
  <si>
    <t>1品脱液体</t>
  </si>
  <si>
    <t>壶或罐</t>
  </si>
  <si>
    <t>1加仑液体</t>
  </si>
  <si>
    <t>战锤</t>
  </si>
  <si>
    <t>铁壶</t>
  </si>
  <si>
    <t>小瓶</t>
  </si>
  <si>
    <t>4盎司液体</t>
  </si>
  <si>
    <t>水袋</t>
  </si>
  <si>
    <t>4品脱液体</t>
  </si>
  <si>
    <t>1立方尺／30磅物品</t>
  </si>
  <si>
    <t>鞭</t>
  </si>
  <si>
    <t>灵巧，触及</t>
  </si>
  <si>
    <t>篮子</t>
  </si>
  <si>
    <t>2立方尺／40磅物品</t>
  </si>
  <si>
    <t>箱子</t>
  </si>
  <si>
    <t>12立方尺／300磅物品</t>
  </si>
  <si>
    <t>0.2立方尺／6磅物品
一个布料或皮革制成的小包可以装20发弹丸或50发吹矢，或者其他东西。用来装施法材料成分的小包则成为材料包</t>
  </si>
  <si>
    <t>大袋子</t>
  </si>
  <si>
    <t>2D4</t>
  </si>
  <si>
    <t>双手,特殊</t>
  </si>
  <si>
    <t>军用远程</t>
  </si>
  <si>
    <t>吹箭筒</t>
  </si>
  <si>
    <t>弹药（射程25/100），装填</t>
  </si>
  <si>
    <t>手弩</t>
  </si>
  <si>
    <t>弹药（射程30/120），轻型，装填</t>
  </si>
  <si>
    <t>重弩</t>
  </si>
  <si>
    <t>弹药（射程100/400），重型，装填，双手</t>
  </si>
  <si>
    <t>长弓</t>
  </si>
  <si>
    <t>弹药（射程150/600），重型，双手</t>
  </si>
  <si>
    <t>捕网</t>
  </si>
  <si>
    <t>特殊，投掷（射程5/15）</t>
  </si>
  <si>
    <t>弹药（射程20/90），装填</t>
  </si>
  <si>
    <t>弹药（射程40/120），装填，双手</t>
  </si>
  <si>
    <t>动力手套</t>
  </si>
  <si>
    <t>投掷（射程20/60）</t>
  </si>
  <si>
    <t>（射程30）</t>
  </si>
  <si>
    <t>备选背景</t>
  </si>
  <si>
    <t>技能熟练</t>
  </si>
  <si>
    <t>工具熟练</t>
  </si>
  <si>
    <t>背景语言</t>
  </si>
  <si>
    <t>特性名称</t>
  </si>
  <si>
    <t>特性描述</t>
  </si>
  <si>
    <t>额外法术</t>
  </si>
  <si>
    <t>个性特点</t>
  </si>
  <si>
    <t>个人决定</t>
  </si>
  <si>
    <t>特殊选项名称</t>
  </si>
  <si>
    <t>特殊选项内容</t>
  </si>
  <si>
    <t>男</t>
  </si>
  <si>
    <t>守序善良</t>
  </si>
  <si>
    <t>通用语</t>
  </si>
  <si>
    <t>原因</t>
  </si>
  <si>
    <t>侍僧</t>
  </si>
  <si>
    <t>洞悉、宗教</t>
  </si>
  <si>
    <t>任选两门语言</t>
  </si>
  <si>
    <t>信仰庇护</t>
  </si>
  <si>
    <t>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
你可能还会与信仰相同的某神庙保持联系，并在该处留有一住宿地。这里可能是你曾服务过的神庙，而你仍与其团体关系良好；又或者可能是一座你在其中找到新归宿的神庙。靠近这座神庙时，你可以召来祭司提供帮助，而只要你所要求的协助风险不高，你就能一直与该神庙保持良好的关系。</t>
  </si>
  <si>
    <t>我崇拜某个英雄，并时刻以其事迹作为榜样。</t>
  </si>
  <si>
    <t>我能在最狂乱的敌人间寻找共鸣，然后感化他们一同为和平而努力。</t>
  </si>
  <si>
    <t>我在每个事件和行动中看到预兆。神试图对我们说话，我们只需要听即可。</t>
  </si>
  <si>
    <t>没有什么能动摇我的乐观态度。</t>
  </si>
  <si>
    <t>我任何情况下都喜欢引用（或错引）圣典和格言。</t>
  </si>
  <si>
    <t>我能容忍（或无法容忍）其它信仰并且尊重（或谴责）对其他神祇的崇拜。</t>
  </si>
  <si>
    <t>我喜爱美食、饮料以及同信仰神庙中的精英分子们的高层圈子。粗野的生活令我烦躁。</t>
  </si>
  <si>
    <t>我在神庙中生活的太久了，以至于我在与外面世界的人们打交道时缺乏实际经验。</t>
  </si>
  <si>
    <t>传统：古代崇拜与献祭的传统必须被保护并维持。</t>
  </si>
  <si>
    <t>仁爱：我总是试图帮助那些需要帮助的人，无论个人的花费如何。</t>
  </si>
  <si>
    <t>改变：我们必须协助引发神在世界中一直为之工作的改变。</t>
  </si>
  <si>
    <t>权力：我希望有一天能够升格到所信仰宗教中等级的最高点。</t>
  </si>
  <si>
    <t>信仰：我信任神祇能指引我的行为。我信奉如果自己努力工作，事情就会变得顺利。</t>
  </si>
  <si>
    <t>抱负：我将自己的行动与他或她的教导相较，求证明自己配得上吾主的喜爱。</t>
  </si>
  <si>
    <t>为了找回很久前丢失的与我信仰相关的一件古代遗物，我可以付出生命。</t>
  </si>
  <si>
    <t>终有一天我会对谴责我为异端的罪恶神庙组织复仇。</t>
  </si>
  <si>
    <t>我欠那位在我的双亲死亡时收养我的教士一条命。</t>
  </si>
  <si>
    <t>我做的每一件事情都是为了普罗大众。</t>
  </si>
  <si>
    <t>为了保卫我曾服务的神庙我可以做任何事情。</t>
  </si>
  <si>
    <t>我试图去保护一部神圣典籍，而我的敌人认为它是异端的并寻求摧毁它。</t>
  </si>
  <si>
    <t>我评价他人十分严苛，并且对自己更加苛刻。</t>
  </si>
  <si>
    <t>我过于信任那些在我神庙的阶级中控制权势的人。</t>
  </si>
  <si>
    <t>我的虔诚有时令我盲目信任那些声称与我信仰相同的人。</t>
  </si>
  <si>
    <t>我思想呆板僵化，不懂变通。</t>
  </si>
  <si>
    <t>我会怀疑陌生人并将他们想成最坏的情况。</t>
  </si>
  <si>
    <t>一旦我选择了一个目标，就会变得执迷于它以至于因此损害自己生命中的所有其它事物。</t>
  </si>
  <si>
    <t>我小时候从家里跑了出来，在神殿找到了庇护。</t>
  </si>
  <si>
    <t>我的家族无法或者不愿抚养我，把我交给了神殿。</t>
  </si>
  <si>
    <t>我整个家庭都有非常坚定的信仰，我自然而然地走上了侍奉一位或多位神明的道路。</t>
  </si>
  <si>
    <t>一场慷慨激昂的布道将信仰之音深深注入我的灵魂，使我侍奉于信仰。</t>
  </si>
  <si>
    <t>我追随一位童年玩伴/尊敬的知己或者其他我爱的人走上了侍奉信仰的道路。</t>
  </si>
  <si>
    <t>我遇到了一位真正的信徒，他使我深受鼓舞，我立刻加入了宗教团体。</t>
  </si>
  <si>
    <t>中立善良</t>
  </si>
  <si>
    <t>矮人语</t>
  </si>
  <si>
    <t>骗子</t>
  </si>
  <si>
    <t>欺瞒、巧手</t>
  </si>
  <si>
    <t>易容工具、文书伪造工具</t>
  </si>
  <si>
    <t>假身份</t>
  </si>
  <si>
    <t>你可以伪装成另一个身份，还附带关于该身份的相关的人证物证，并且必须先乔装打扮来让你进入角色。此外，你还可以伪造含有官方格式和私人笔迹的文书，前提是你必须曾见过此类文件以及目标的笔迹以作范本。</t>
  </si>
  <si>
    <t>我容易招蜂引蝶，爱情生活是也不断的离离合合。</t>
  </si>
  <si>
    <t>我在什么情境下都会说笑，尤其在不合时宜时更是如此。</t>
  </si>
  <si>
    <t>我爱用逢迎的手段获取所求之物。</t>
  </si>
  <si>
    <t>我是天生的赌徒，一旦有回报的可能，我就会不顾风险。</t>
  </si>
  <si>
    <t>我什么时候都爱说点谎话，而不论是否有必要。</t>
  </si>
  <si>
    <t>讽刺和挖苦是我的首选武器。</t>
  </si>
  <si>
    <t>我身上挂着一排圣徽，随时随地都可以祈祷随便哪位神祇保佑。</t>
  </si>
  <si>
    <t>我会把任何可能有点价值的玩意儿都收集起来。</t>
  </si>
  <si>
    <t>自主：我的灵魂自由自在——没人能对我指手画脚。</t>
  </si>
  <si>
    <t>公平：我从不在那些穷得失不起钱的人身上捞钱。</t>
  </si>
  <si>
    <t>仁爱：我把赚来的钱分给真正需要的人。</t>
  </si>
  <si>
    <t>创新：我从不玩两次同样的把戏。</t>
  </si>
  <si>
    <t>友谊：钱财来去如流水，友情长存如青山。</t>
  </si>
  <si>
    <t>抱负：我决心走向成功。</t>
  </si>
  <si>
    <t>我敲诈错了人，所以必须确保那家伙不和我或者任何我在意的人再度打上交道。</t>
  </si>
  <si>
    <t>我的导师是个可能正在某个监牢里面烂着的糟糕人物，然而我欠他很多很多。</t>
  </si>
  <si>
    <t>我在某个地方有个未曾见过我的孩子。我正为他改变这个世界。</t>
  </si>
  <si>
    <t>我是贵族出身，我早晚一天会从剽窃我领地和头衔的人身上把一切都抢回来。</t>
  </si>
  <si>
    <t>一个大人物杀了我的爱人。要不了多久，我就会向他复仇。</t>
  </si>
  <si>
    <t>我毁了一个不该被骗的人。我试图弥补我的过失，但是可能永远不会原谅自己。</t>
  </si>
  <si>
    <t>我对漂亮脸蛋没有抵抗力。</t>
  </si>
  <si>
    <t>我总是欠债，并且把不义之财花在奢侈品上，还花得比赚得快。</t>
  </si>
  <si>
    <t>我确信没人能用我骗人的方式骗到我。</t>
  </si>
  <si>
    <t>我从不满足于现有的财产，而一旦涉及钱财我就会不畏风险。</t>
  </si>
  <si>
    <t>我会按捺不住冲动去欺骗远比自己强的人。</t>
  </si>
  <si>
    <t>尽管我难以启齿且痛恨不已，但是见势不妙我会转身就逃，并且只顾把自己藏好。</t>
  </si>
  <si>
    <t>我曾自生自灭，那些操纵他人的技巧让我幸存了下来。</t>
  </si>
  <si>
    <t>我很早就明白了人们既容易被骗，也容易盘剥。</t>
  </si>
  <si>
    <t>我总是陷入麻烦，但每次都可以凭着口才脱身。</t>
  </si>
  <si>
    <t>有人教导我学会了这门拿手好戏。</t>
  </si>
  <si>
    <t>一个骗子敲诈了我的家族，我立志要学会骗术伎俩以免悲剧重演。</t>
  </si>
  <si>
    <t>我曾经很穷或者害怕变得很穷，所以学习骗术以保证自己有钱可花。</t>
  </si>
  <si>
    <t>偏好骗局</t>
  </si>
  <si>
    <t>我在博弈游戏中作弊。</t>
  </si>
  <si>
    <t>我造假币或者伪造文件。</t>
  </si>
  <si>
    <t>我渗透进他人生活中，掌握其把柄，夺取他其财产。</t>
  </si>
  <si>
    <t>我像换衣服一样换身份。</t>
  </si>
  <si>
    <t>我在街角靠巧手耍把戏。</t>
  </si>
  <si>
    <t>我说服别人花一大笔辛苦钱买不值钱的垃圾。</t>
  </si>
  <si>
    <t>混乱善良</t>
  </si>
  <si>
    <t>精灵语</t>
  </si>
  <si>
    <t>罪犯</t>
  </si>
  <si>
    <t>欺瞒、隐匿</t>
  </si>
  <si>
    <t>一种赌具、盗贼工具</t>
  </si>
  <si>
    <t>罪犯接头人</t>
  </si>
  <si>
    <t>你有一个可靠可信的接头人，来帮你组织进罪犯们组成的联系网中。即使遥隔千里你也知道如何从接头人处收发信息。此外，你还知道哪些人能为你捎信，他们可能是本地的信使，可贿赂的商队主管，或是衣衫褴褛的水手。</t>
  </si>
  <si>
    <t>我总是计划好事情变糟时的应对方法。</t>
  </si>
  <si>
    <t>无论情形如何我总能保持冷静。我从不会忽然提高音调或是让情绪影响自己。</t>
  </si>
  <si>
    <t>我每到一个新地方做的第一件事就是记下每个有价值之物的位置——或是可能藏有类似东西的地点。</t>
  </si>
  <si>
    <t>比起制造一个新敌人，我宁可交一个新朋友。</t>
  </si>
  <si>
    <t>我极端的不易信任他人。表面上看上去越公正的人通常都藏着越多见不得光的事。</t>
  </si>
  <si>
    <t>我不会考虑某个情形中的风险。永远别跟我谈几率。</t>
  </si>
  <si>
    <t>令我做某件事的最好手段就是跟我说不能那样做。</t>
  </si>
  <si>
    <t>最轻微的侮辱也能把我气炸了。</t>
  </si>
  <si>
    <t>荣誉：我不会偷行家的东西。</t>
  </si>
  <si>
    <t>自由：枷锁的存在以及即是被打破，而那些铸造枷锁的人也该受同样对待。</t>
  </si>
  <si>
    <t>仁爱：我从富人处窃取财富然后帮助有需要的人。</t>
  </si>
  <si>
    <t>贪婪：为了致富我愿意做任何事。</t>
  </si>
  <si>
    <t>人民：我忠于我的朋友而非任何理想，此外的其他人就算下到冥河里也与我无关。</t>
  </si>
  <si>
    <t>救赎：人人心中有善念。</t>
  </si>
  <si>
    <t>我试图偿还一个慷慨的资助者的老债务。</t>
  </si>
  <si>
    <t>我的非法所得是为了支持我的家庭。</t>
  </si>
  <si>
    <t>我有一件重要的东西被夺走了，并且我想要把它偷回来。</t>
  </si>
  <si>
    <t>我会成为有史以来最伟大的盗贼。</t>
  </si>
  <si>
    <t>我因一桩严重罪行而内疚。并希望从中寻求自我救赎。</t>
  </si>
  <si>
    <t>我深爱的某人因我犯下的错误而死。而我决不会让这种事情再发生了。</t>
  </si>
  <si>
    <t>当我看到一些有价值的东西时，就会一心只想如何偷到它。</t>
  </si>
  <si>
    <t>在面对金钱与朋友间的抉择时，我通常都选择金钱。</t>
  </si>
  <si>
    <t>每当要记住某个计划时，我总会忘掉。就是无法忘掉，我也会选择性无视它。</t>
  </si>
  <si>
    <t>我撒谎时会故意作出某些习惯动作。</t>
  </si>
  <si>
    <t>当事情看起来似乎开始糟糕时，我会转身掉头就跑。</t>
  </si>
  <si>
    <t>一名无辜者因我犯下的某桩罪行而进了监狱。这事我觉得挺好</t>
  </si>
  <si>
    <t>我早年痛恨当局权威，并且认为当一个罪犯是对抗暴政和压迫的最好方式。</t>
  </si>
  <si>
    <t>我被迫走上犯罪的道路，这是我唯一能活下来的方法。</t>
  </si>
  <si>
    <t>我和一群无赖与废柴们混在一起，从他们那儿学到了我的罪犯专业。</t>
  </si>
  <si>
    <t>父亲/母亲或者某位亲戚教会了我这项罪犯专业，好让我加入家族的生意。</t>
  </si>
  <si>
    <t>我离开了家，在盗贼行会或者其他犯罪组织里找到了一席之地。</t>
  </si>
  <si>
    <t>我总是觉得无聊，所以转向犯罪来打发时间，并且发现我挺擅长干这个。</t>
  </si>
  <si>
    <t>作案手法</t>
  </si>
  <si>
    <t>敲诈犯</t>
  </si>
  <si>
    <t>盗窃犯</t>
  </si>
  <si>
    <t>斗殴犯</t>
  </si>
  <si>
    <t>销赃犯</t>
  </si>
  <si>
    <t>路匪</t>
  </si>
  <si>
    <t>职业杀手</t>
  </si>
  <si>
    <t>扒窃犯</t>
  </si>
  <si>
    <t>走私犯</t>
  </si>
  <si>
    <t>守序中立</t>
  </si>
  <si>
    <t>巨人语</t>
  </si>
  <si>
    <t>密探</t>
  </si>
  <si>
    <t>谍报活动</t>
  </si>
  <si>
    <t>皇家密探</t>
  </si>
  <si>
    <t>情报贩卖者</t>
  </si>
  <si>
    <t>绝对中立</t>
  </si>
  <si>
    <t>侏儒语</t>
  </si>
  <si>
    <t>祖先或导师的事迹为他们在传说中占据了一席之地，现在则轮到你上场了。先辈们留给你的著名遗产——图章戒指、特征鲜明的衣物、或引人注目的武器——证明着你是他们的后继者。
因此，每当你公开展示出这件物品，都能立刻感受到当地人对先辈的态度。
如果当地人没有听说过你的先辈，那什么都不会发生。但如果他们知道，关于你们之间关系的传言就会迅速扩散，紧接着他们就会开始将你视为英雄或者威胁。如果他们觉得你是前者，就会非常欢迎你的到来，当地的领导者也乐于接见你，反之则会被劝告在引起麻烦之前离开。</t>
  </si>
  <si>
    <t>艺人</t>
  </si>
  <si>
    <t>体操、表演</t>
  </si>
  <si>
    <t>易容工具、一种乐器</t>
  </si>
  <si>
    <t>人见人爱</t>
  </si>
  <si>
    <t>你总是能找到表演场地，通常是某个斗剑场，或是黑拳俱乐部，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</si>
  <si>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我知道一个几乎适合所有情况的故事。</t>
  </si>
  <si>
    <t>我到一个新地方后就会着手收集当地的流言和小道消息。</t>
  </si>
  <si>
    <t>我是无可救药的浪漫病，总是在找“有缘人”。</t>
  </si>
  <si>
    <t>我周围的人都不会生气太久，因为我总能缓和紧张的气氛。</t>
  </si>
  <si>
    <t>我喜欢精妙的讽刺，即使那是对我的讽刺也一样。</t>
  </si>
  <si>
    <t>我一旦不能成为众人焦点就会很难受。</t>
  </si>
  <si>
    <t>我是完美主义者。</t>
  </si>
  <si>
    <t>我的情绪和思想变得和弹琴轮指一样快。</t>
  </si>
  <si>
    <t>美好：我表演时的世界会显得更美好。</t>
  </si>
  <si>
    <t>传统：过去的故事、史诗以及歌谣塑造了我们，因而他们不该被遗忘。</t>
  </si>
  <si>
    <t>创新：世界需要崭新的创意和大胆的行动。</t>
  </si>
  <si>
    <t>贪婪：我只是为名为利罢了。</t>
  </si>
  <si>
    <t>人民：我喜欢表演时人们脸上的笑容。那就是我想要的。</t>
  </si>
  <si>
    <t>正直：艺术展现灵魂。它应当发自内心，揭露本我。</t>
  </si>
  <si>
    <t>我的乐器是我最宝贵的财富，它纪念着某个我所爱之人。</t>
  </si>
  <si>
    <t>有人偷走了我珍爱的乐器，而我一定要夺回来。</t>
  </si>
  <si>
    <t>我要不惜一切代价让自己出名。</t>
  </si>
  <si>
    <t>我崇拜古老传奇中的某位英雄，并时时以他作榜样。</t>
  </si>
  <si>
    <t>只要能证明我比那个可恨的对手强，我愿意做任何事情。</t>
  </si>
  <si>
    <t>我可以为老剧团的同伴做任何事。</t>
  </si>
  <si>
    <t>我会不择手段的去获取声誉和名望。</t>
  </si>
  <si>
    <t>我对漂亮脸蛋非常着迷。</t>
  </si>
  <si>
    <t>某个丑闻让我背井离乡。而这麻烦依然如影随形。</t>
  </si>
  <si>
    <t>我曾经讽刺过一个贵族，现在他仍然想要我的脑袋。而这错误我可能还会再犯。</t>
  </si>
  <si>
    <t>我总是忍不住道出自己的真实感受。而我的刻薄言辞也经常带给我麻烦。</t>
  </si>
  <si>
    <t>就算我尽了全力，我的朋友们还是认为我靠不住。</t>
  </si>
  <si>
    <t>我的家族就靠表演这一行糊口，我顺理成章地选择了相同的行当。</t>
  </si>
  <si>
    <t>我总是能敏锐地洞悉他人，所以可以用歌曲或故事让他们或大笑或者痛哭。</t>
  </si>
  <si>
    <t>我离家出走追随一个艺人剧团。</t>
  </si>
  <si>
    <t>我曾经看过一次吟游诗人演出，在那一刹那我就明白，我生来就是做这个的。</t>
  </si>
  <si>
    <t>我在街角演出赚取硬币，最终打拼出了自己的名声。</t>
  </si>
  <si>
    <t>一位旅行艺人收留了我，教会了我这门营生。</t>
  </si>
  <si>
    <t>演艺方向</t>
  </si>
  <si>
    <t>演员</t>
  </si>
  <si>
    <t>舞者</t>
  </si>
  <si>
    <t>吞火艺人</t>
  </si>
  <si>
    <t>小丑</t>
  </si>
  <si>
    <t>魔术师</t>
  </si>
  <si>
    <t>乐师</t>
  </si>
  <si>
    <t>诗人</t>
  </si>
  <si>
    <t>歌手</t>
  </si>
  <si>
    <t>说书人</t>
  </si>
  <si>
    <t>杂技演员</t>
  </si>
  <si>
    <t>混乱中立</t>
  </si>
  <si>
    <t>地精语</t>
  </si>
  <si>
    <t>迷雾在你耳畔低语，指引你穿过它们神秘的漩涡。你不但只需通过触碰就能马上辨别出迷雾护符（详见第3章），而且如果你曾经去过护符的发源地还能立刻意识到它产自那里。</t>
  </si>
  <si>
    <t>角斗士</t>
  </si>
  <si>
    <t>易容工具、三叉戟或捕网</t>
  </si>
  <si>
    <t>守序邪恶</t>
  </si>
  <si>
    <t>半身人语</t>
  </si>
  <si>
    <t>在一次宿命般的经历之后，你相信自己和精魂联系在了一起，可以作为他们的洞察世界和实现目标的媒介。你在进行任何关于回忆和调查精魂与往生相关的神秘或宗教鉴定中具有优势。
此外，你在开始冒险时可以定制一个用来与超凡力量沟通的装置：例如灵乩板、塔罗卡、笔仙、地灵尺、茶叶、或是你自己设计的其他占卜道具。你在使用这类占卜工具进行属性鉴定时获得熟练加值。</t>
  </si>
  <si>
    <t>平民英雄</t>
  </si>
  <si>
    <t>驯兽、求生</t>
  </si>
  <si>
    <t>一种工匠工具，载具（陆运）</t>
  </si>
  <si>
    <t>好客乡民</t>
  </si>
  <si>
    <t>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</si>
  <si>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我以人的行为而非言辞对其做判断。</t>
  </si>
  <si>
    <t>我总是会去帮助遇到麻烦的人。</t>
  </si>
  <si>
    <t>我在专注于某件事时，会排除一切障碍坚持到底。</t>
  </si>
  <si>
    <t>我对公平有着强烈的执着，并且总是试图为争端寻找最公正的解决方案。</t>
  </si>
  <si>
    <t>我信任自己的能力，并且会做任何力所能及的事以获得他人的信任。</t>
  </si>
  <si>
    <t>其他人负责思考。我只负责行动。</t>
  </si>
  <si>
    <t>我会错用长单词以试图显得更聪明些。</t>
  </si>
  <si>
    <t>我时常感到厌烦。我的天命之旅什么时候才有进展呢？</t>
  </si>
  <si>
    <t>尊敬：民众应该受到体面而尊敬的对待。</t>
  </si>
  <si>
    <t>公平：没人可以在法律中得到优待，并且没人能凌驾于法律之上。</t>
  </si>
  <si>
    <t>自由：压迫人民的暴君绝不能被容忍。</t>
  </si>
  <si>
    <t>力量：如果我变得强大，我就可以理所当然的随心所欲。</t>
  </si>
  <si>
    <t>诚实：假装自己是另一种人不会有什么好处。</t>
  </si>
  <si>
    <t>命运：任何人或事情都无法让我偏离我那崇高的感召。</t>
  </si>
  <si>
    <t>我有一个家庭，但我现在不知道他们身处何处。我希望终有一日能够再次见到他们。</t>
  </si>
  <si>
    <t>我劳作于这片土地，我热爱这片土地，而且我将保卫这片土地。</t>
  </si>
  <si>
    <t>一名傲慢的贵族曾经死命痛打了我一顿，故而我将报复任何我遇到的恃强凌弱者。</t>
  </si>
  <si>
    <t>我的工具是我以往生活的符号，因而我随身携带着它们以便永远记住我的根。</t>
  </si>
  <si>
    <t>我保护那些无力自我保护的人。</t>
  </si>
  <si>
    <t>我希望我的青梅竹马能伴着我一起追寻我的命运。</t>
  </si>
  <si>
    <t>统治我故乡的暴君会一直追杀我。</t>
  </si>
  <si>
    <t>我深信命运的征兆，以至于看不清自己的不足或是失败的可能性。</t>
  </si>
  <si>
    <t>自幼认识我的人知道我羞耻的秘密，所以我再也不能回家了。</t>
  </si>
  <si>
    <t>我对一些城里的恶习没有抵抗力，尤其是酗酒。</t>
  </si>
  <si>
    <t>我暗地里会觉得，如果我是那个统领这片土地的暴君所有事情肯定会更好。</t>
  </si>
  <si>
    <t>我难以信任我的盟友。</t>
  </si>
  <si>
    <t>家人教会了我什么是对什么是错。</t>
  </si>
  <si>
    <t>我总是倾心于英雄传说，渴望成为不平凡的人物。</t>
  </si>
  <si>
    <t>我讨厌自己平凡乏味的生活，所以当需要有人挺身而出做正确的事时，我把握住了这个机会。</t>
  </si>
  <si>
    <t>我的父亲/母亲或者某位亲人曾是一名冒险者，他的勇气鼓舞了我。</t>
  </si>
  <si>
    <t>有一位疯疯癫癫的老隐者在我出生时曾预言我会完成伟业。</t>
  </si>
  <si>
    <t>我总是会维护那些比我弱的人。</t>
  </si>
  <si>
    <t>命定事件</t>
  </si>
  <si>
    <t>我挺身而出反抗某位暴君的代理人。</t>
  </si>
  <si>
    <t>我在一起自然灾害中救了人。</t>
  </si>
  <si>
    <t>我独自一人对抗一只可怕的怪物。</t>
  </si>
  <si>
    <t>我偷窃了一名腐败商人的钱财再用来帮助穷人。</t>
  </si>
  <si>
    <t>我领导一支民兵击退了一支入侵的军队。</t>
  </si>
  <si>
    <t>我闯进某位暴君的城堡，并从中偷取武器武装民众。</t>
  </si>
  <si>
    <t>我训练农民们以农具作武器抵抗某位暴君的士兵们。</t>
  </si>
  <si>
    <t>为反对一项不公法令，我发起了一场象征性的抗议活动，随后当地领主就将其废止了。</t>
  </si>
  <si>
    <t>一只天界生物，精类生物或是类似的其他生物赐我予祝福，或是揭示了我的秘密血统。</t>
  </si>
  <si>
    <t>我被招募进一位领主的军队，期间我因自己的英雄气概而受到称赞，并被提升为领导者。</t>
  </si>
  <si>
    <t>中立邪恶</t>
  </si>
  <si>
    <t>兽人语</t>
  </si>
  <si>
    <t>不管当初是怎样的灾难，总之你挺过来了，你还从中总结出了能帮助别人也熬过去本领。无论面对严重的暴力、病痛、亦或是其他情况，你都是人们心目中对付灾难的专家。你了解非魔法的恢复手段、大自然中的资源、以及误导的信息。你知道如何有效的与善良的医生、神职人员、当地领导者们沟通，并说服他们资助一个人（除了你自己）在最长一个月内享有朴素的生活方式。</t>
  </si>
  <si>
    <t>公会工匠</t>
  </si>
  <si>
    <t>洞悉、游说</t>
  </si>
  <si>
    <t>一种工匠工具</t>
  </si>
  <si>
    <t>任选一门语言</t>
  </si>
  <si>
    <t>公会成员</t>
  </si>
  <si>
    <t>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
公会常常掌握着庞大的政治资源。当你被指控某项罪名时，公会可以为你提供全面的支持，前提是你必须为自己的清白做出举证，或是你的罪名必须仍可接受辩护。倘若你身处公会高层，甚至可以藉由公会获取有力的政治地位。而这些人脉资源都需要你为公会捐赠金钱或魔法物品来维持。
你每个月必须上交5gp作为会费。若你因故未缴这笔费用，则必须在补齐后才能重获公会的青睐。</t>
  </si>
  <si>
    <t>我确信能做的事就要做到最好。而我必须要做到最好——我是完美主义者。</t>
  </si>
  <si>
    <t>我瞧不起那些不懂审美的家伙。</t>
  </si>
  <si>
    <t>我总是想搞清楚事物如何运作，人们为何奔波。</t>
  </si>
  <si>
    <t>我有一肚子格言警句，总是能恰到好处地掉书袋。</t>
  </si>
  <si>
    <t>我对那些不像我那样努力工作、公平竞争的人并不会以礼相待。</t>
  </si>
  <si>
    <t>我喜欢对我的行当高谈阔论。</t>
  </si>
  <si>
    <t>我不会轻易花钱，砍价也总是砍到最低。</t>
  </si>
  <si>
    <t>我在我这行鼎鼎有名，而我要确保所有人都认同这点。如果人们没听说过我，就会让我大吃一惊。</t>
  </si>
  <si>
    <t>团结：加强集体团结，保卫社区安全，是文明人应尽的义务。</t>
  </si>
  <si>
    <t>慷慨：既然我有天赋，我就要造福世界。</t>
  </si>
  <si>
    <t>自由：任何人都有选择营生方式的自由。</t>
  </si>
  <si>
    <t>贪婪：我干这行就只为钱。</t>
  </si>
  <si>
    <t>人民：我为我在乎的人奋斗，而不是为了什么理想。</t>
  </si>
  <si>
    <t>抱负：我努力钻研是为了成为本行中的翘楚。</t>
  </si>
  <si>
    <t>我学习技艺的厂房对我来说是世界上最重要的地方。</t>
  </si>
  <si>
    <t>我为某人造出了一件绝世珍品，却发现对方根本配不上它。而我仍在找配得上它的人。</t>
  </si>
  <si>
    <t>公会造就了今天的我，因此我仍欠公会良多。</t>
  </si>
  <si>
    <t>我为了向某人求爱而攒钱。</t>
  </si>
  <si>
    <t>终有一天，我会回到公会，然后证明我是其中最厉害的工匠。</t>
  </si>
  <si>
    <t>我要向那个破坏我工坊，毁掉我生活的邪恶势力复仇。</t>
  </si>
  <si>
    <t>我会为了获得某些珍贵无价之物做任何事。</t>
  </si>
  <si>
    <t>我常常很急躁地认定某人正在骗我。</t>
  </si>
  <si>
    <t>应当没人知道我曾经从公会金库里偷过钱。</t>
  </si>
  <si>
    <t>我从未知足于自己所有之物，而总是欲壑难填。</t>
  </si>
  <si>
    <t>我极度渴望贵族头衔。</t>
  </si>
  <si>
    <t>我妒忌任何手艺胜我一筹的人。而我无论走到哪里却都是对手环绕。</t>
  </si>
  <si>
    <t xml:space="preserve">我曾是一位大师的学徒，他教导了我行会生意。 </t>
  </si>
  <si>
    <t>我曾帮一名行会工匠保守秘密或者完成某个任务，作为回报，他收我为徒。</t>
  </si>
  <si>
    <t>我家族里有一个人是行会成员，他为我谋了个位置。</t>
  </si>
  <si>
    <t>我的手艺很好，所以抓住机会学了一门生意。</t>
  </si>
  <si>
    <t>我想要离家独立，开始新的人生。</t>
  </si>
  <si>
    <t>我从一个导师那里学了些基础，但需要加入行会才能完成所有的训练。</t>
  </si>
  <si>
    <t>公会行当</t>
  </si>
  <si>
    <t>炼金师、药剂师</t>
  </si>
  <si>
    <t>盔甲工匠、锁匠、镀金师</t>
  </si>
  <si>
    <t>酿酒师、蒸馏师、葡萄酒商</t>
  </si>
  <si>
    <t>抄写员、书记员、公证人</t>
  </si>
  <si>
    <t>木匠、盖顶匠、泥水匠</t>
  </si>
  <si>
    <t>绘图员、测量员、制表员</t>
  </si>
  <si>
    <t>补鞋匠、制鞋匠</t>
  </si>
  <si>
    <t>厨师、烘焙师</t>
  </si>
  <si>
    <t>玻璃吹制师、玻璃装配师</t>
  </si>
  <si>
    <t>珠宝匠、宝石切割师</t>
  </si>
  <si>
    <t>皮匠、剥皮师、制革师</t>
  </si>
  <si>
    <t>泥瓦匠、石匠</t>
  </si>
  <si>
    <t>漆匠、画师、纹章师</t>
  </si>
  <si>
    <t>陶工、瓦匠</t>
  </si>
  <si>
    <t>船木工、修帆匠</t>
  </si>
  <si>
    <t>铁匠、冶炼匠</t>
  </si>
  <si>
    <t>修补匠、锡匠、铸造师</t>
  </si>
  <si>
    <t>车厢工匠、轮匠</t>
  </si>
  <si>
    <t>织布师、染布师</t>
  </si>
  <si>
    <t>木雕师、桶匠、弓匠</t>
  </si>
  <si>
    <t>混乱邪恶</t>
  </si>
  <si>
    <t>深渊语</t>
  </si>
  <si>
    <t>你来自其他人无法理解的异乡，也许你住在迷雾之地的一个独特角落或者干脆在另一个世界，总之，同在异乡的经历将你和其他旅行者的关系轻松拉近了，只要你不表现得像个危险人物，善良的贸易车队、流动家庭、或是被放逐者都愿意为你提供能够藏身休息或是养伤的地方。他们愿意为你在法律或追踪者面前打个掩护，但并不会为你冒生命危险。
另外你还能几乎百分百准确地判断出你摸到或者看到的东西是不是来自你的家乡。</t>
  </si>
  <si>
    <t>公会商人</t>
  </si>
  <si>
    <t>领航工具（或自选一门语言）</t>
  </si>
  <si>
    <t>无阵营</t>
  </si>
  <si>
    <t>天界语</t>
  </si>
  <si>
    <t>隐士</t>
  </si>
  <si>
    <t>医药、宗教</t>
  </si>
  <si>
    <t>研究发现</t>
  </si>
  <si>
    <t>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</si>
  <si>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由于在隐居生活中鲜少说话，现在的我更偏好用肢体语言交流，或者偶尔咕哝几声。</t>
  </si>
  <si>
    <t>即使泰山崩于眼前，我依然心如止水。</t>
  </si>
  <si>
    <t>修会的主持无论何时都能说出至理哲言，而我也想分享得此等睿智。</t>
  </si>
  <si>
    <t>我对受难者抱有强烈的同情心。</t>
  </si>
  <si>
    <t>我对于礼仪和社会常识一无所知。</t>
  </si>
  <si>
    <t>我将周遭发生的一切视作冥冥天意的一部分。</t>
  </si>
  <si>
    <t>我时常陷入自我冥思中无法自拔，丝毫不顾周围的事物。</t>
  </si>
  <si>
    <t>我正致力完成一套哲学理论，且乐于与人分享其理念。</t>
  </si>
  <si>
    <t>大义：我的天赋注定要为所有人谋利，而非为一己之私。</t>
  </si>
  <si>
    <t>逻辑：绝对不能让情绪干扰我们对正确、真实和理智的思考。</t>
  </si>
  <si>
    <t>解放思想：探究精神和好奇心是学术进步的支柱。</t>
  </si>
  <si>
    <t>力量：清修和冥想是通往神秘力量或魔法之力的道途。</t>
  </si>
  <si>
    <t>自持自重：胡乱插手他人事务只会造成麻烦。</t>
  </si>
  <si>
    <t>自知：如果你能自知，那么就无所不知。</t>
  </si>
  <si>
    <t>任何事物不比我的修行同伴、修行戒律或修会本身那么重要。</t>
  </si>
  <si>
    <t>我隐居是为了躲避那些仍在搜捕我的人。而我早晚必须直接面对他们。</t>
  </si>
  <si>
    <t>我一直在隐居生活中寻找启迪，然而至今仍然一无所获。</t>
  </si>
  <si>
    <t>我隐居是因为无法得到所爱之人。</t>
  </si>
  <si>
    <t>倘若我的发现公诸于众，世界必将天翻地覆。</t>
  </si>
  <si>
    <t>我的苦修向我揭示了只有我能摧毁的可怖邪恶。</t>
  </si>
  <si>
    <t>我现在重返文明世界，却有点过度沉溺于享乐。</t>
  </si>
  <si>
    <t>我怀有即使是苦修和冥想也无法抹消的阴暗、嗜血之心。</t>
  </si>
  <si>
    <t>我的想法和哲学观非常死板。</t>
  </si>
  <si>
    <t>我对争论的求胜之心胜过了友谊与和睦之心。</t>
  </si>
  <si>
    <t>我为了追求失落的知识而不顾任何风险。</t>
  </si>
  <si>
    <t>我喜欢对一切保密，不爱与他人分享所知。</t>
  </si>
  <si>
    <t>我的敌人毁了我的名誉，我逃到荒野里来躲避进一步的中伤。</t>
  </si>
  <si>
    <t>我寻求内在的平和，独处的时候十分舒适。</t>
  </si>
  <si>
    <t>我从没有喜欢过那些我称之为朋友的人，所以我一个人出来单干也挺好。</t>
  </si>
  <si>
    <t>虽然极不情愿，但我不得不抛弃自己的过去，有我会对这个决定感到后悔。</t>
  </si>
  <si>
    <t>我失去了一切——家、亲人、朋友——只能够孤身一人活下去了。</t>
  </si>
  <si>
    <t>社会让我恶心、使我堕落，我抛弃了社会。</t>
  </si>
  <si>
    <t>隐居生活</t>
  </si>
  <si>
    <t>我正在寻求灵魂的启迪。</t>
  </si>
  <si>
    <t>我遵守修会教规，参与集体清修。</t>
  </si>
  <si>
    <t>我因不白之冤而被流放。</t>
  </si>
  <si>
    <t>某件事情改变我人生的大事使我弃世而去。</t>
  </si>
  <si>
    <t>我为了能潜心于艺术、文字或音乐而去寻找一处僻静之地。</t>
  </si>
  <si>
    <t>我要与自然沟通而远离文明世界。</t>
  </si>
  <si>
    <t>我是一座古代遗迹或一件古代遗物的看守人。</t>
  </si>
  <si>
    <t>我是一名追寻圣人，圣地或圣遗物的朝圣者。</t>
  </si>
  <si>
    <t>龙语</t>
  </si>
  <si>
    <t>贵族</t>
  </si>
  <si>
    <t>历史、游说</t>
  </si>
  <si>
    <t>一种赌具</t>
  </si>
  <si>
    <t>特权地位</t>
  </si>
  <si>
    <t>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</si>
  <si>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我的阿谀奉承能让其他人觉得自己举世无双。</t>
  </si>
  <si>
    <t>平民们因我的仁慈和慷慨而喜爱我。</t>
  </si>
  <si>
    <t>众所周知只要看一眼我威严的仪态，就能明白我和下层民众截然不同。</t>
  </si>
  <si>
    <t>我为了时尚和美貌忍受了很大痛苦。</t>
  </si>
  <si>
    <t>我不喜欢干脏活，更不会因不舒适的食宿勉强自己。</t>
  </si>
  <si>
    <t>我拥有贵族的血统，但并不认为自己比平民百姓更高贵。我们流的血是相同的。</t>
  </si>
  <si>
    <t>一旦辜负我的期待，就将永远失去我的青睐。</t>
  </si>
  <si>
    <t>我一受到伤害就要碾碎对方，乃至辱其名声毁其土地。</t>
  </si>
  <si>
    <t>尊重：人们尊敬我是因为我的地位，但任何人无论地位高低，都应该被体面地对待。</t>
  </si>
  <si>
    <t>责任：我将服从上级视为责任，正如我的下属也必须要服从我一样。</t>
  </si>
  <si>
    <t>独立：我必须证明自己即使不借助家族的力量也仍可以自食其力。</t>
  </si>
  <si>
    <t>权力：只要我掌握了更大的权力，就没人能对我指手画脚了。</t>
  </si>
  <si>
    <t>家族：血浓于水。</t>
  </si>
  <si>
    <t>贵族义务：保护依附我的人们，是我的责任。</t>
  </si>
  <si>
    <t>为了获得家族的认可，我可以面对任何挑战。</t>
  </si>
  <si>
    <t>我必须不惜代价的维持住两个家族之间的联姻关系。</t>
  </si>
  <si>
    <t>任何事物都不如家族血亲更重要。</t>
  </si>
  <si>
    <t>我爱上了家族所不齿的另一个家族的子嗣。</t>
  </si>
  <si>
    <t>我对主君的忠诚固若泰山。</t>
  </si>
  <si>
    <t>平民们将我视作人民的英雄。</t>
  </si>
  <si>
    <t>我暗自认为自己比所有人都高贵。</t>
  </si>
  <si>
    <t>我努力遮掩一个会永远摧毁家族的可耻秘密。</t>
  </si>
  <si>
    <t>我总会听到针对我的隐晦侮辱与威胁，且轻易就会因此而发怒。</t>
  </si>
  <si>
    <t>我总是放纵自己的肉体欲望。</t>
  </si>
  <si>
    <t>事实上，世界就是围着我转的。</t>
  </si>
  <si>
    <t>我的言行总会为家族带来耻辱。</t>
  </si>
  <si>
    <t>我来自一个古老而显赫的家族，我必须要对得起家族的名誉。</t>
  </si>
  <si>
    <t>我的家族已经蒙羞，我打算挽回它的名誉。</t>
  </si>
  <si>
    <t>我的家族刚刚获得贵族头衔，这项拔擢把我们陡然推进了一个全新而奇异的世界。</t>
  </si>
  <si>
    <t>我的家族空有贵族头衔，祖上从没出过一个有名望的人。</t>
  </si>
  <si>
    <t>我的家族里人才济济，我希望自己不辜负这些榜样。</t>
  </si>
  <si>
    <t>我希望增加我家族的权利和影响力。</t>
  </si>
  <si>
    <t>备选特性</t>
  </si>
  <si>
    <t>深潜语</t>
  </si>
  <si>
    <t>骑士</t>
  </si>
  <si>
    <t>家仆</t>
  </si>
  <si>
    <t>你将获得三名忠于你所在家族的家仆。这些家仆可以担任随从或者信使的工作，而其中一位还可以是一名管家。你的家仆都是平民，可以为你完成一些俗务工作，不过无法为你战斗，且不能跟随你进入明显危险的地域（比如地下城），而你一旦经常对其施虐或威胁，他们也会离你而去。</t>
  </si>
  <si>
    <t>炼狱语</t>
  </si>
  <si>
    <t>化外之民</t>
  </si>
  <si>
    <t>运动、求生</t>
  </si>
  <si>
    <t>一种乐器</t>
  </si>
  <si>
    <t>漂泊者</t>
  </si>
  <si>
    <t>你对记忆地图和地形时能力惊人，且你总能回想起地形、定居点或者其他环境特征的大致布局。此外，你每天可以为自己以及至多五名队友获取食物和饮水，前提是你们身处的土地可以提供浆果、小野兽、水源等资源。</t>
  </si>
  <si>
    <t>我因旅行欲望的驱使而背井离乡。</t>
  </si>
  <si>
    <t>我像照顾新生儿般照顾同伴。</t>
  </si>
  <si>
    <t>我曾马不停蹄地跑了二十五里以警告氏族有兽人来袭。如果有必要，我还会这么干。</t>
  </si>
  <si>
    <t>我善于观察自然，并从中获得应对任何境况的经验。</t>
  </si>
  <si>
    <t>财富和礼貌无法帮你对抗一头饥饿枭熊，而我对看重这些东西的家伙不屑一顾。</t>
  </si>
  <si>
    <t>我习惯偶尔从地上捡起些东西再漫不经心地摆弄，有的时候还会弄坏它们。</t>
  </si>
  <si>
    <t>相对于与人相处，和动物在一起会让我更自在。</t>
  </si>
  <si>
    <t>我实际上是个由狼养大的孩子。</t>
  </si>
  <si>
    <t>改变：生活如四季流转，变化不止，而我们必须与之一道改变。</t>
  </si>
  <si>
    <t>大义：部族整体的幸福，是每个成员的义务。</t>
  </si>
  <si>
    <t>荣誉：我若玷污荣誉，便是给整个氏族蒙羞。</t>
  </si>
  <si>
    <t>力量：最强者即是规矩本身。</t>
  </si>
  <si>
    <t>自然：大自然比任何文明造物都重要。</t>
  </si>
  <si>
    <t>光荣：我必须在战斗中赢得荣耀，既为自己也为氏族。</t>
  </si>
  <si>
    <t>即使与其异地相隔，我的家族，氏族或部族是我生命中最重要的事物。</t>
  </si>
  <si>
    <t>破坏家园的原始风貌即是对我的伤害。</t>
  </si>
  <si>
    <t>我会让那些摧毁我家乡的恶徒见识什么叫狂怒。</t>
  </si>
  <si>
    <t>我是部族最后的遗孤，因而只剩我可以让部族的威名成为传奇。</t>
  </si>
  <si>
    <t>我眼前时常浮现灾难将至的幻景，我要尽全力阻止其发生。</t>
  </si>
  <si>
    <t>抚养幼童继承部族是我的责任。</t>
  </si>
  <si>
    <t>我过度痴迷于麦酒、葡萄酒等醉人之物。</t>
  </si>
  <si>
    <t>繁忙充实的生活里没有谨慎的余地。</t>
  </si>
  <si>
    <t>我会记住每次侮辱，并对委屈我的人抱以无声的怨恨。</t>
  </si>
  <si>
    <t>我容易信任对那些来自其他种族，部族或社群的人。</t>
  </si>
  <si>
    <t>大多时候我会选择用暴力克服难题。</t>
  </si>
  <si>
    <t>我不会救那些无法自救者。物竞天择，强者生存。</t>
  </si>
  <si>
    <t>我早年在野外度过了许多时间，喜欢上了这种生活方式。</t>
  </si>
  <si>
    <t>从以前开始我就无法忍受臭烘烘的城市，宁愿待在大自然中。</t>
  </si>
  <si>
    <t>我了解到那些潜伏在野外的黑暗，发誓要与之战斗。</t>
  </si>
  <si>
    <t>我的族群生活在文明的边沿，我从家人那里学到了在野外生存的技巧。</t>
  </si>
  <si>
    <t>在一次悲惨的遭遇之后，我抛下了原来的生活，退到了荒野中。</t>
  </si>
  <si>
    <t>我的家庭从文明社会中迁离了，我学会了适应新环境。</t>
  </si>
  <si>
    <t>出身</t>
  </si>
  <si>
    <t>护林员</t>
  </si>
  <si>
    <t>设阱捕兽者</t>
  </si>
  <si>
    <t>自耕农</t>
  </si>
  <si>
    <t>向导</t>
  </si>
  <si>
    <t>流放者</t>
  </si>
  <si>
    <t>赏金猎人</t>
  </si>
  <si>
    <t>朝圣者</t>
  </si>
  <si>
    <t>游牧蛮族</t>
  </si>
  <si>
    <t>狩猎采集者</t>
  </si>
  <si>
    <t>劫掠蛮族</t>
  </si>
  <si>
    <t>原初语</t>
  </si>
  <si>
    <t>智者</t>
  </si>
  <si>
    <t>奥秘、历史</t>
  </si>
  <si>
    <t>研究员</t>
  </si>
  <si>
    <t>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</si>
  <si>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我会用一些让人觉得非常博学的长词。</t>
  </si>
  <si>
    <t>我读过世上最大图书馆中的每一本书——或者我喜欢自夸我读过。</t>
  </si>
  <si>
    <t>我习惯帮助那些不像我这么聪明的人，而我有耐心对其他人解释任何事和每件事。</t>
  </si>
  <si>
    <t>没有什么能比一个有趣的谜团更令我欢心。</t>
  </si>
  <si>
    <t>我作出自己的判断前，总会乐意倾听争论双方的论点。</t>
  </si>
  <si>
    <t>我~跟~白痴们~讲话~时~会~放慢~语速，别~误会~我~是指~所有人~都是~白痴。</t>
  </si>
  <si>
    <t>我在社交场合尴尬得特别特别厉害。</t>
  </si>
  <si>
    <t>我确信人们始终在试着偷取我的秘密。</t>
  </si>
  <si>
    <t>知识：知识是通往力量和自我发展的必经之路。</t>
  </si>
  <si>
    <t>美丽：美丽的事物指引我们想着其所在的方向继续向前即是真实。</t>
  </si>
  <si>
    <t>逻辑：情绪绝不能蒙蔽逻辑思考。</t>
  </si>
  <si>
    <t>无拘无束：任何东西都不该束缚所有存在中潜在的无限可能。</t>
  </si>
  <si>
    <t>权力：知识是通往权力与统治的捷径。</t>
  </si>
  <si>
    <t>提升自我：终生学习为的正是让人变得更好。</t>
  </si>
  <si>
    <t>保护我的学生是我的责任。</t>
  </si>
  <si>
    <t>我有一份载有可怕秘密的远古文献，而它绝不能落入错误的人手中。</t>
  </si>
  <si>
    <t>我为保护一个图书馆，学院，抄写室或修道院而工作。</t>
  </si>
  <si>
    <t>我一生的作品就是关于某项特定学识领域的一系列书典。</t>
  </si>
  <si>
    <t>我终生寻求某个特定问题的解答。</t>
  </si>
  <si>
    <t>我出卖了自己的灵魂以获得知识。并希望做一些大事将其赢回来。</t>
  </si>
  <si>
    <t>以知识许诺很容易打动我。</t>
  </si>
  <si>
    <t>一般人看到恶魔时会尖叫着逃跑，而我则会停下来对它作解剖和记录。</t>
  </si>
  <si>
    <t>揭示一项远古奥秘值得以一整个文明作代价。</t>
  </si>
  <si>
    <t>我总是拿出极度复杂的解决方案，却忽视了那些简单易行的方法。</t>
  </si>
  <si>
    <t>我说话时未真正考虑过自己的措辞，因而老是冒犯到他人。</t>
  </si>
  <si>
    <t>我无法保守关乎自己或其它性命的秘密。</t>
  </si>
  <si>
    <t>我天性好奇，充满求知欲，所以我收拾东西去读大学，学习关于大千世界的更多东西。</t>
  </si>
  <si>
    <t>导师的教诲启发了我的心智，让我在这个研究领域看到了全新的可能性。</t>
  </si>
  <si>
    <t>我一直是个如饥似渴的书痴，自学了许多最感兴趣的领域的知识。</t>
  </si>
  <si>
    <t>我发现了一个古老的图书馆，熟读了在里面找到的文献，这唤起了我的渴望，使我迫切地想要学习更多知识。</t>
  </si>
  <si>
    <t>一位法师告诉我，我正在浪费自己的才华，我应该去接受教育，好让自己的天赋之才得以发挥，我被他打动了。</t>
  </si>
  <si>
    <t>我的父亲/母亲或者某位亲戚给了我基础教育，这激发了我求学的欲望，所以我离开家进一步深造。</t>
  </si>
  <si>
    <t>专业</t>
  </si>
  <si>
    <t>占星师</t>
  </si>
  <si>
    <t>失权威学者</t>
  </si>
  <si>
    <t>图书馆员</t>
  </si>
  <si>
    <t>教授</t>
  </si>
  <si>
    <t>法师学徒</t>
  </si>
  <si>
    <t>书记员</t>
  </si>
  <si>
    <t>木族语</t>
  </si>
  <si>
    <t>水手</t>
  </si>
  <si>
    <t>运动、察觉</t>
  </si>
  <si>
    <t>领航工具、载具（水运）</t>
  </si>
  <si>
    <t>船家路子</t>
  </si>
  <si>
    <t>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</si>
  <si>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朋友们知道无论出现什么困难，我都值得依赖。</t>
  </si>
  <si>
    <t>我努力工作，然后休闲时就可以尽情玩乐。</t>
  </si>
  <si>
    <t>我喜欢航行到新港口，然后在那里以酒会友。</t>
  </si>
  <si>
    <t>我常常会为了讲述一个好故事而夸大其词。</t>
  </si>
  <si>
    <t>我就觉得酒馆是了解一座陌生城市的好地方。</t>
  </si>
  <si>
    <t>我从不会放弃友好的赌局。</t>
  </si>
  <si>
    <t>我的言辞脏污得好比食腐兽的窝。</t>
  </si>
  <si>
    <t>我喜欢工作都好好完成的样子，如果整个过程都让别人来干就更好了。</t>
  </si>
  <si>
    <t>尊重：只有船长和船员相互尊重，船才能乘风破浪。</t>
  </si>
  <si>
    <t>公正：一起干的活工钱一起分。</t>
  </si>
  <si>
    <t>自由：大海即是自由——随你去哪儿，随你干什么。</t>
  </si>
  <si>
    <t>统治：我是个掠夺者，海上其他船都是我的猎物。</t>
  </si>
  <si>
    <t>人民：我只为同伴们出力，而不是为了什么理想。</t>
  </si>
  <si>
    <t>抱负：早晚有一天，我会拥有自己的船，掌握自己的命运。</t>
  </si>
  <si>
    <t>我首先忠于我的船长，任何事物都要排在后头。</t>
  </si>
  <si>
    <t>船才是最重要的，无论船员还是船长都是过客。</t>
  </si>
  <si>
    <t>我总是会怀念我上过的第一艘船。</t>
  </si>
  <si>
    <t>在一个港口里住着我的情人，她的魅力几乎能让我抛弃海上生活和她在一起。</t>
  </si>
  <si>
    <t>我平分财宝时见到有人作弊，而我要夺回我应得的那份。</t>
  </si>
  <si>
    <t>残忍的海盗杀了我的船长和兄弟，抢走了我的船，只留下濒死的我。而我一定要复仇。</t>
  </si>
  <si>
    <t>我遵守命令，哪怕是那些并不正确的命令。</t>
  </si>
  <si>
    <t>我会绞尽脑汁避免额外劳动。</t>
  </si>
  <si>
    <t>一旦有人质疑我的勇气，我就什么都敢干。</t>
  </si>
  <si>
    <t>我一旦开始喝酒，就根本停不下来。</t>
  </si>
  <si>
    <t>我会忍不住收集遇到的各种硬币或小饰品等玩意儿。</t>
  </si>
  <si>
    <t>我的骄傲可能会毁了自己。</t>
  </si>
  <si>
    <t>我曾被海盗强抓壮丁上船，被迫干活，直到最后逃了出来。</t>
  </si>
  <si>
    <t>我想要见识世界，所以签约成为一艘商船的下级水手。</t>
  </si>
  <si>
    <t>我有一个亲戚是水手，他把我带到了海上。</t>
  </si>
  <si>
    <t>我需要尽快离开目前的社群，所以我偷偷溜上了一艘船，等到船员们发现了我，我不得不在船上工作为自己的偷渡买单。</t>
  </si>
  <si>
    <t>掠夺者们袭击了我的社群，我隐姓埋名地在一艘船上避风头，等待复仇的机会。</t>
  </si>
  <si>
    <t>在之前居住的地方我没什么前景，所以离开那里去别处寻找财富。</t>
  </si>
  <si>
    <t>地底通用语</t>
  </si>
  <si>
    <t>海盗</t>
  </si>
  <si>
    <t>恶名</t>
  </si>
  <si>
    <t>无论你走到哪里，人们都会因你的恶名而恐惧。你在身处文明社区时，可以免受一些细微的犯罪指控（例如在酒馆吃霸王餐或者踢坏商店的大门等），只因人们不敢冒险向当局告发你的劣行。</t>
  </si>
  <si>
    <t>水族语</t>
  </si>
  <si>
    <t>士兵</t>
  </si>
  <si>
    <t>运动、威吓</t>
  </si>
  <si>
    <t>一种赌具、载具（陆运）</t>
  </si>
  <si>
    <t>军衔</t>
  </si>
  <si>
    <t>你作为士兵时曾获得过军衔。那些忠于你之前所在组织的士兵仍会承认你的权威与影响，而其中军衔比你低的人甚至依然会遵从你的命令。凭借军衔的影响，你可以向其他士兵临时征用简单的装备或马匹。并且还可以凭此随意通过那些承认你军衔的友方军队大营和堡垒。</t>
  </si>
  <si>
    <t>我总是表现的恭敬有礼。</t>
  </si>
  <si>
    <t>我的心中总是萦绕着战争时的记忆，那些残暴的画面总是挥之不去。</t>
  </si>
  <si>
    <t>我曾失去太多的朋友，而现在已经很难交个新的朋友了。</t>
  </si>
  <si>
    <t>我的军事生涯曾经历过各种情况，所以我能以此讲出许多鼓舞人心而又发人深省的故事。</t>
  </si>
  <si>
    <t>我能盯着一只地狱犬看而毫不畏缩。</t>
  </si>
  <si>
    <t>我喜欢强壮的感觉并且乐于打坏东西。</t>
  </si>
  <si>
    <t>我有着粗俗的幽默感。</t>
  </si>
  <si>
    <t>我迎难而上直面问题。一个简单直接的解决方案是通往成功的最佳路径。</t>
  </si>
  <si>
    <t>大义：我们的使命即是为保卫他人而献出自己的生命。</t>
  </si>
  <si>
    <t>责任：我服从权力，并且只做必须做的事。</t>
  </si>
  <si>
    <t>独立：盲目的服从命令，某种意义上就相当于接受暴君统治。</t>
  </si>
  <si>
    <t>力量：生活与战争一样，只有更强大的一方才能获胜。</t>
  </si>
  <si>
    <t>自持自重：不该以理想之名行杀戮之事，或是以其名义发动战争。</t>
  </si>
  <si>
    <t>国家：我的城市、国家和人民是最重要的事。</t>
  </si>
  <si>
    <t>我依然会以性命保护曾一起共事之人。</t>
  </si>
  <si>
    <t>有人在战场上救过我的命。因而现在我也不会丢下任何一个朋友。</t>
  </si>
  <si>
    <t>荣誉即吾命。</t>
  </si>
  <si>
    <t>我永远不会忘记队伍曾遭受到的惨败，以及当时的敌人。</t>
  </si>
  <si>
    <t>那些与我同袍的人值得为之豁出性命。</t>
  </si>
  <si>
    <t>我为那些无法为他们自己战斗的人而战。</t>
  </si>
  <si>
    <t>我们曾在战场上面对的凶暴的敌人依然会令我恐惧的发抖。</t>
  </si>
  <si>
    <t>除那些久经沙场的武士外，任何人都不值得我尊重。</t>
  </si>
  <si>
    <t>我曾在战场上犯了一个严重的错并为此伤害了许多生命——而我为了能守住这个秘密愿意做任何事。</t>
  </si>
  <si>
    <t>我对敌人的仇恨盲目而缺乏理性。</t>
  </si>
  <si>
    <t>我遵从法律，而不管其律条是否会招致不幸。</t>
  </si>
  <si>
    <t>我在犯错时宁可吞掉自己的护甲也不愿承认。</t>
  </si>
  <si>
    <t>我加入了民兵队，抵御怪物，保护我的社群</t>
  </si>
  <si>
    <t>我家有亲人是士兵，我希望继承这个传统。</t>
  </si>
  <si>
    <t>我被本地领主强征入伍。</t>
  </si>
  <si>
    <t>在我成长的过程中，故乡一直战火纷飞，满目疮痍。战斗是我唯一所知的生活方式。</t>
  </si>
  <si>
    <t>我想要出名和发财，所以加入了一伙雇佣兵集团，为出开价最高的人战斗。</t>
  </si>
  <si>
    <t>侵略者袭击了我的家乡，拿起武器保卫人民是我的使命。</t>
  </si>
  <si>
    <t>专职</t>
  </si>
  <si>
    <t>军官</t>
  </si>
  <si>
    <t>侦察兵</t>
  </si>
  <si>
    <t>步兵</t>
  </si>
  <si>
    <t>医疗师</t>
  </si>
  <si>
    <t>军需官</t>
  </si>
  <si>
    <t>旗手</t>
  </si>
  <si>
    <t>后勤人员</t>
  </si>
  <si>
    <t>气族语</t>
  </si>
  <si>
    <t>流浪儿</t>
  </si>
  <si>
    <t>巧手、隐匿</t>
  </si>
  <si>
    <t>易容工具、盗贼工具</t>
  </si>
  <si>
    <t>城中秘密</t>
  </si>
  <si>
    <t>你熟知城市中的秘密小路和胡同，能够在其他人容易迷失的混乱街区中寻路。如果你们并非身处战斗状态，则你还可以在市区内引导同伴以两倍的平时速度在两个地点间穿行。</t>
  </si>
  <si>
    <t>我把食物碎屑和饰品深深地藏在口袋里。</t>
  </si>
  <si>
    <t>我会常常发问。</t>
  </si>
  <si>
    <t>我喜欢钻进别人找不到我的地方。</t>
  </si>
  <si>
    <t>我习惯靠着墙或树睡觉，睡时把自己的东西都捆成一捆抱在怀里。</t>
  </si>
  <si>
    <t>我的吃相像猪一样，十分没有礼数。</t>
  </si>
  <si>
    <t>我认为任何对我假仁假义的人都不安好心。</t>
  </si>
  <si>
    <t>我不喜欢洗澡。</t>
  </si>
  <si>
    <t>我总是直接说出其他人暗示或者想遮掩的事情。</t>
  </si>
  <si>
    <t>尊重：所有人，不论贫富都应受到尊重。</t>
  </si>
  <si>
    <t>团结：外人不会帮我们，因此我们必须同舟共济。</t>
  </si>
  <si>
    <t>改变：下等人可能发迹，上等人可能落马，变化才是万物的本质。</t>
  </si>
  <si>
    <t>报应：富人们应该被按在水沟里尝尝濒死的感觉。</t>
  </si>
  <si>
    <t>人民：我帮助那些帮了我的人——这正是我们生存的根本。</t>
  </si>
  <si>
    <t>抱负：我会证明我值得拥有更好的生活。</t>
  </si>
  <si>
    <t>这城镇就是我的家，而我必须保卫它。</t>
  </si>
  <si>
    <t>我资助了一所孤儿院，以免其他人再遭受我的厄运。</t>
  </si>
  <si>
    <t>我的幸存应归功于那位曾教会我如何在街头生存的另一位流浪儿。</t>
  </si>
  <si>
    <t>我欠某位同情我的绅士一笔我还不起的债。</t>
  </si>
  <si>
    <t>我通过抢劫一位大人物而脱贫致富，但是也因此而遭到通缉。</t>
  </si>
  <si>
    <t>不该再有人遭受我曾经的苦难了。</t>
  </si>
  <si>
    <t>如果敌人人多势众，我就会在打斗时溜走。</t>
  </si>
  <si>
    <t>我觉得金子很值钱，因此我会不择手段赚很多金子。</t>
  </si>
  <si>
    <t>我从不会完全信任别人，而只相信我自己。</t>
  </si>
  <si>
    <t>与其公平决斗，我更喜欢趁人之危偷袭。</t>
  </si>
  <si>
    <t>如果我比原主人更需要某物，那我拿走就不算偷。</t>
  </si>
  <si>
    <t>自己顾不好自己的家伙，只能算活该。</t>
  </si>
  <si>
    <t>漫游欲让我离开了家庭去见识世界，我能照顾好自己。</t>
  </si>
  <si>
    <t>我在家中的处境很不好，所以我逃跑了，并开拓出自己的道路。</t>
  </si>
  <si>
    <t>怪物屠戮了我的村子，我是唯一的幸存者，我得想办法活下去。</t>
  </si>
  <si>
    <t>一个臭名昭著的盗贼收养了我和其他的孤儿们，我们必须去做间谍或者偷窃，不然就会失去容身之所。</t>
  </si>
  <si>
    <t>某天，还是孩子的我孤零零地在街头醒来，饿得不行，并且毫无之前的记忆。</t>
  </si>
  <si>
    <t>爸爸妈妈都死了，再也没人抚养我，我自力更生地长大了。</t>
  </si>
  <si>
    <t>刻洛语</t>
  </si>
  <si>
    <t>运动、洞悉</t>
  </si>
  <si>
    <t>守护者之眼</t>
  </si>
  <si>
    <t>你对执行法律、处理犯法者有着丰富的经验，这给了你对法律和犯罪异常敏感的感觉。你能很容易的找到守卫的哨站或是一些类似的组织，也能轻易的发现犯罪者们活动的窝点，同时你也在前者更容易受到欢迎。</t>
  </si>
  <si>
    <t>人鱼语</t>
  </si>
  <si>
    <t>调查、洞悉</t>
  </si>
  <si>
    <t>牛头人语</t>
  </si>
  <si>
    <t>历史、洞悉</t>
  </si>
  <si>
    <t>矮人语或任选一门语言（如已会矮人语）</t>
  </si>
  <si>
    <t>矮人的尊敬</t>
  </si>
  <si>
    <t>没有人会像矮人们一样对作为宗族工匠的外来者一样高度尊重。你通常能在盾矮人或者金矮人居住的地方免费获得食宿，矮人们还可能会彼此竞争来决定谁提供给你（也可能是你的同胞）最好的食宿和帮助。</t>
  </si>
  <si>
    <t>斯芬克斯语</t>
  </si>
  <si>
    <t>历史、另外从奥秘、自然、宗教中选择一个</t>
  </si>
  <si>
    <t>图书馆使用权</t>
  </si>
  <si>
    <t>尽管在你的图书馆中其他人们需要经常忍受大量的面试和缴纳一定的费用来获得通用档案室的资料，你将能免费并且能进入图书馆的大部分区域，即使是那些不对外人开放的有着太多价值的知识，魔力，或是秘密的区域。
你有着你学院人员和机构的应用知识，你知道如何将两者轻松的联系起来。
此外，你作为一个专业礼貌的学者，在世界上其他的图书馆中也可能获得优惠待遇。</t>
  </si>
  <si>
    <t>吉斯语</t>
  </si>
  <si>
    <t>官员</t>
  </si>
  <si>
    <t>你拥有的对官场如何运作的知识让你获得你所遇到过的贵族政议院和政府中访问档案和内部运作的能力。你了解是谁在背后操纵着神秘，你知道需要支持时应该去找谁，目前这些组织感兴趣的阴谋又是哪些。</t>
  </si>
  <si>
    <t>象族语</t>
  </si>
  <si>
    <t>洞悉、另外自选一种作为适合你组织的智力、感知、魅力技能</t>
  </si>
  <si>
    <t>避风港</t>
  </si>
  <si>
    <t>作为一个组织的代理人，你可以组织秘密联络网中那些可以给你在冒险生涯中提供援助的支援者和工作人员。你知道那些可以用来识别这些秘密人员的记号和密语，这些人可以为你提供一个有免费食宿的隐秘安全屋，或是能够协助寻找你需要的讯息。但是这些家伙并不会为了你冒着暴露自己身份或者生命安全的危险来帮你做事。</t>
  </si>
  <si>
    <t>维多肯语</t>
  </si>
  <si>
    <t>洞悉、察觉</t>
  </si>
  <si>
    <t>一种乐器或一种赌具</t>
  </si>
  <si>
    <t>众目焦点</t>
  </si>
  <si>
    <t>你的口音，言谈举止，措辞风格甚至你的外表都标记着你是一个异乡人。无论你走到哪里，好奇的目光总会伴随着你。虽然这有些令人讨厌，但是也让你获得那些感兴趣的学者们和那些对其他遥远地方好奇希望听到你家乡故事的人们的好感。
你独特于其他普通大众，你可以运用这种关注力为自己或者旅行的伙伴们接近想要接触的人们。那些贵族领主，学者，贸易亲王以及其他人可能会感兴趣听听你那些有关远方故乡和人民的故事。</t>
  </si>
  <si>
    <t>我有着与周围人关于私人空间的不同想法，并不觉得进入到别人私人空间是什么犯罪行为，而且也不觉得我的私人空间被别人进入也豪无所谓。</t>
  </si>
  <si>
    <t>我对哪些是或不是食物有着自己的看法，并且我觉得我周围那些人的饮食习惯真是让我向往，让人恶心或是混乱不堪。</t>
  </si>
  <si>
    <t>我有着非常强烈的荣誉准则或规范，这让一些人无法理解。</t>
  </si>
  <si>
    <t>我表达喜爱和厌恶的方式和其他人不一样。</t>
  </si>
  <si>
    <t>我通过在这片土地上实践来敬仰我的神灵。</t>
  </si>
  <si>
    <t>我通过一种通常和周围人不一样的小型的仪式来开始或结束我一天的生活。</t>
  </si>
  <si>
    <t>开放：那些在我旅程路上遇到的人，我有很多需要向他们学习。</t>
  </si>
  <si>
    <t>保守：作为这个奇怪地方的新来者，我在日常交易之中保持谨慎和礼貌的态度。</t>
  </si>
  <si>
    <t>冒险：我远离了我的家乡，这所有的一切真是奇怪，太棒啦！</t>
  </si>
  <si>
    <t>狡猾：虽然我不了解他们的处事方式，但是他们也不了解我的，这可以成为我的优势。</t>
  </si>
  <si>
    <t>好奇：所有的一切都没见过，但是我渴望了解这些。</t>
  </si>
  <si>
    <t>疑心：我必须要小心，我没有办法告诉朋友们敌人是谁。</t>
  </si>
  <si>
    <t>只要我有从家乡培养出的品质，我就可以在这片陌生的土地上面对任何逆境。</t>
  </si>
  <si>
    <t>我的人民信仰的上神是对于远离家乡的我的一种安慰。</t>
  </si>
  <si>
    <t>没有比为我的人民服务更伟大的事业。</t>
  </si>
  <si>
    <t>我的自由是我最珍贵的财宝。我不会再让任何人从我手中多去它。</t>
  </si>
  <si>
    <t>我为这片美丽而神器的新土地而着迷。</t>
  </si>
  <si>
    <t>虽然我没有选择，但我还是为之前必须离开所爱之人感到悲哀。我希望在未来某一天能再次见到他们。</t>
  </si>
  <si>
    <t>我背地里（或者明面上就）觉得我家乡的文化风俗比这片外国土地要好的多。</t>
  </si>
  <si>
    <t>为了不想和这些当地人交流，我假装不懂这些人当地的语言。</t>
  </si>
  <si>
    <t>我对这片土地上的新奇的令人沉醉的事物和其他趣事无法抗拒。</t>
  </si>
  <si>
    <t>我并不会对这片土地上的人们抱有友善的态度，因为这帮家伙与我大不相同。</t>
  </si>
  <si>
    <t>我认为其他神的信徒们都是一些被欺骗蒙蔽的无辜百姓/愚蠢无知的白痴。</t>
  </si>
  <si>
    <t>我对这片土地上的异国美人们无法抗拒。</t>
  </si>
  <si>
    <t>为何来此</t>
  </si>
  <si>
    <t>使者，密使</t>
  </si>
  <si>
    <t>逃亡者</t>
  </si>
  <si>
    <t>游客</t>
  </si>
  <si>
    <t>流浪汉</t>
  </si>
  <si>
    <t>梦族语</t>
  </si>
  <si>
    <t>求生、另外从奥秘、历史、宗教中选择一个</t>
  </si>
  <si>
    <t>继承</t>
  </si>
  <si>
    <t>从列表中选择或者随机一个你继承的遗产，和你的DM一起讨论决定出细节：你的遗产为何那么重要，它拥有的故事是什么？你可以让DM把这部分内容加入到整个游戏故事中，通过剧情让你和你的角色更多的了解这份遗产的故事。</t>
  </si>
  <si>
    <t>遗产列表</t>
  </si>
  <si>
    <t>一份例如地图，信件或是日记的文档</t>
  </si>
  <si>
    <t>一个小饰品</t>
  </si>
  <si>
    <t>一件衣物</t>
  </si>
  <si>
    <t>一件首饰</t>
  </si>
  <si>
    <t>一本奇怪的书或是字条</t>
  </si>
  <si>
    <t>一本手写的故事，歌曲，诗歌，或是一个秘密</t>
  </si>
  <si>
    <t>狮族语</t>
  </si>
  <si>
    <t>游说、另外从奥秘、历史、宗教中选择一个</t>
  </si>
  <si>
    <t>骑士的敬重</t>
  </si>
  <si>
    <t>你会获得来自你的骑士团其他成员和那些与骑士团有着相同目标的人们的救助和避难。如果你的教团是一个宗教骑士团，你可以从信仰的神的神殿和其他宗教团体中获得帮助。服务人民的骑士团可以从某些为自己目标服务或是为整个国家服务的团体们寻求帮助。服务于某种理念的骑士团可以从曾近帮助过追寻理念的人们和那些与骑士团分享理念的人们获得帮助。
这些帮助的方式来自他们提供的避难和食物，在适当之时为你治疗。偶尔也会有些危险，比如一群本地居民一同帮助一位在战斗中严重受伤的骑士，或是帮助一名受到不公正追捕的骑士秘密走私出城。</t>
  </si>
  <si>
    <t>阿兰寇拉语</t>
  </si>
  <si>
    <t>运动、游说</t>
  </si>
  <si>
    <t>佣兵生涯</t>
  </si>
  <si>
    <t>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t>
  </si>
  <si>
    <t>哈多兹鼯猴人语</t>
  </si>
  <si>
    <t>从欺瞒、洞悉、游说、隐匿中选择两项</t>
  </si>
  <si>
    <t>从一种赌具、一种乐器、盗贼工具中选择两项</t>
  </si>
  <si>
    <t>耳目众多</t>
  </si>
  <si>
    <t>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</si>
  <si>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斯里克林语</t>
  </si>
  <si>
    <t>一种乐器或一种工匠工具</t>
  </si>
  <si>
    <t>乌斯伽之传承</t>
  </si>
  <si>
    <t>你不仅彻底了解自己部族之领地，还清楚北地其他地区的地形和自然资源。你熟悉所有的野外地区，而你在那里找到的食物和水的数量是平时的两倍。
另外，你可以唤起他人的好客之道。受你该影响的对象包括你的同胞，以及那些与你部族结盟之人，通常包括有德鲁伊结社、精灵游牧部族、竖琴手同盟等团体的成员，以及那些献身于“第一结社”众神的祭祀者。</t>
  </si>
  <si>
    <t>娜伽语</t>
  </si>
  <si>
    <t>一种赌具或一种乐器</t>
  </si>
  <si>
    <t>保持风度</t>
  </si>
  <si>
    <t>在深水城或北地其他地方时，你的家族会确保你的每日的日常用度。你的名字与玺印就足以支付大部分的费用，而你经常光顾的旅店、酒馆和餐馆都很乐于记下你的债务，并将账单寄给你的家人以解决你欠下的债务。
这种优势使你能过上舒适的生活，而不必每天支付2gp的费用，也可以减少富裕或奢华程度生活的成本。你不能以更低价的生活方式来将这只生活费当做收入——这种得益属于信用体系，而不是明确的货币奖励。</t>
  </si>
  <si>
    <t>吸血鬼语</t>
  </si>
  <si>
    <t>洞悉、威吓</t>
  </si>
  <si>
    <t>法律权威</t>
  </si>
  <si>
    <t>你有权在拉尼卡进行执法活动，这种权利通常会激起民众的尊重以及一定程度上的恐惧。在你面前，任何人都会下意识的注意自己的举止，并避免引起你的注意。同时，民众们也认为你有权出现在任何地方。
出示你的俄佐立徽记，你可以要求任何一位平民接受你的询问（尽管当你在处理无可救药的违法者时，这么做通常会引发更多的麻烦）。如果你滥用这项权利，你有可能被上级申斥，甚至被剥夺职务。</t>
  </si>
  <si>
    <t>戏法：交友术、传讯术
1环：命令术、诱捕打击
2环：秘法锁、安定心神、人类定身术
3环：鹰眼术、法术反制
4环：强迫术、预言术
5环：支配人类</t>
  </si>
  <si>
    <t>我尽力保证我的判决不会受到感情的影响。</t>
  </si>
  <si>
    <t>对于我必须要面对的糊涂蛋和莽夫们，我有着无穷无尽的耐心。</t>
  </si>
  <si>
    <t>当我下达命令时，我希望它能够被遵守。</t>
  </si>
  <si>
    <t>我只按照我喜欢的方式——整洁，有序，干净——来处理事情。</t>
  </si>
  <si>
    <t>没有任何坏事能逃过我的眼睛。</t>
  </si>
  <si>
    <t>我说的话永远是我想表达的意思，无论这需要浪费多少口舌，来交流以表述清楚任何我想表达的细节。</t>
  </si>
  <si>
    <t>我喜欢开门见山，并不喜欢隐喻或是讽刺。</t>
  </si>
  <si>
    <t>当我下定决心后，便绝不动摇。</t>
  </si>
  <si>
    <t>公会：我的公会是我的一切。</t>
  </si>
  <si>
    <t>秩序：法律旨在确保社会平稳而安定地运转。</t>
  </si>
  <si>
    <t>和平：法律的终极目标是将暴力从社会中移除。</t>
  </si>
  <si>
    <t>守法：强制力是确保法律得以遵守的好办法。</t>
  </si>
  <si>
    <t>立法：法律因其精确和细致而完美。</t>
  </si>
  <si>
    <t>惩戒：公开处刑可以有效的威慑其他罪犯。</t>
  </si>
  <si>
    <t>我非常感激一位俄佐立逮捕人，他抓住了杀死我父母的凶手，救了我一命。</t>
  </si>
  <si>
    <t>我希望有一天能够参与立法而不仅仅是执法。</t>
  </si>
  <si>
    <t>我曾试图阻止一起谋杀，但是失败了。我立誓要抓住那个凶手。</t>
  </si>
  <si>
    <t>我成功的阻止了一起谋杀，那个未遂犯现在想要我死掉。</t>
  </si>
  <si>
    <t>我的父亲/母亲在公会中非常著名，我也以他/她作为我的榜样。</t>
  </si>
  <si>
    <t>我以一位备受尊敬的律法师/逮捕人作为榜样来规划我的职业生涯，但我担心，我的榜样似乎卷入了某些非法的事情。</t>
  </si>
  <si>
    <t>我无法鉴别法律条文和其内在的精神。</t>
  </si>
  <si>
    <t>对别人来说我是一个过于严苛的法官，但我评判自己最为严苛。</t>
  </si>
  <si>
    <t>我有一个小秘密，非法的那种。</t>
  </si>
  <si>
    <t>我幼时曾目睹过一场犯罪，这给我的内心留下了阴影。</t>
  </si>
  <si>
    <t>面对骗局我无能为力。</t>
  </si>
  <si>
    <t>我希望能够加入波洛斯，但我担心他们永远不会接纳我。</t>
  </si>
  <si>
    <t>颅骨座</t>
  </si>
  <si>
    <t>塞连语</t>
  </si>
  <si>
    <t>运动、恐吓</t>
  </si>
  <si>
    <t>从天界语、龙语、地精语、牛头人语中选择一项</t>
  </si>
  <si>
    <t>波洛斯据点</t>
  </si>
  <si>
    <t>你被派往波洛斯教团的一处据点服役。你可以向任意一处波洛斯的要塞驻军临时借用简易武器，同时，你有进入拉尼卡任意一座波洛斯要塞进行休息的权限。在要塞中休息时，你会受到安全的保护以及医疗照顾。此外，你每周可以收到1gp以及一间位于你驻扎的要塞中的宿舍来维持至少【穷困】的生活水平。</t>
  </si>
  <si>
    <t>戏法：火焰箭、圣火术
1环：曳光弹、英雄气概
2环：援助术、灼热射线
3环：希望信标、致盲斩
4环：防死结界、火墙术
5环：焰击术</t>
  </si>
  <si>
    <t>我对于每项任务都会全身心投入，精益求精。</t>
  </si>
  <si>
    <t>我永远身先士卒，第一个投入战斗。</t>
  </si>
  <si>
    <t>我永远遵守纪律，即使受到伤害或者侮辱。</t>
  </si>
  <si>
    <t>最轻微的罪行也会引燃我心中正义的怒火。</t>
  </si>
  <si>
    <t>荣耀高于生命。</t>
  </si>
  <si>
    <t>团结一致是完成危险任务的最佳途径。</t>
  </si>
  <si>
    <t>我的武器，制服，和徽记是来自天使的礼物，我会以最高的敬意来维护它们。</t>
  </si>
  <si>
    <t>我永远躁动不安。</t>
  </si>
  <si>
    <t>正义：实践正义需要在社会中建立公正，平等，以及友善的关系。</t>
  </si>
  <si>
    <t>守护：力量与强权不可欺压无辜的平民。</t>
  </si>
  <si>
    <t>团结：展现个体意志的最佳途径是并肩作战。</t>
  </si>
  <si>
    <t>秩序：人们必须履行义务，服从指挥，社会才能高效运转。</t>
  </si>
  <si>
    <t>信念：世上无难事，只怕有心人。</t>
  </si>
  <si>
    <t>我的生命献给欧瑞梨和天使们。</t>
  </si>
  <si>
    <t>我欠那个将我带离拉尼卡混乱街道的波洛斯长官一条命</t>
  </si>
  <si>
    <t>我的部下们就是我的家人</t>
  </si>
  <si>
    <t>我挥舞着祖传的武器，我的行为将荣耀我的家族</t>
  </si>
  <si>
    <t>我曾加入拉铎斯，如今我致力于为我的所作所为赎罪</t>
  </si>
  <si>
    <t>我会尽我所能帮助那些牺牲的战友的家人。</t>
  </si>
  <si>
    <t>人多势众的时候我很大胆，落单时我就是个懦夫</t>
  </si>
  <si>
    <t>我信奉简单的非黑即白</t>
  </si>
  <si>
    <t>我感觉古鲁之道有点诱人</t>
  </si>
  <si>
    <t>我对于上级的信任超过一切，甚至超过我的密友们</t>
  </si>
  <si>
    <t>我很难信任其他公会的人</t>
  </si>
  <si>
    <t>我曾因受贿而对不义之事视而不见</t>
  </si>
  <si>
    <t>天秤座</t>
  </si>
  <si>
    <t>虚假身份</t>
  </si>
  <si>
    <t>你拥有多个身份，你大多数时间里披着的外衣让你看起来似乎是底密尔之外的其他公会的一名成员。你具有的文件，人际关系和伪装让你能够担任这个角色并融入到你的第二个公会里。
你也可以在任何时候抛弃掉这层身份并融入到城市的无属者群体里。
想想你为什么被安插在第二个公会里。按照下表投骰决定或选择一个适合你的，然后与你的DM创造一个故事。</t>
  </si>
  <si>
    <t>戏法：思想编码、法师之手
1环：易容术、睡眠术
2环：侦测思想、行动无踪
3环：气化形体、融身入石、回避侦测
4环：秘法眼、行动自如
5环：篡改记忆</t>
  </si>
  <si>
    <t>我很擅长隐藏自己的真实想法与感受。</t>
  </si>
  <si>
    <t>当我怀疑自己是否要揭露某件事情的时候，我会认定这是个秘密而拒绝与他人分享。</t>
  </si>
  <si>
    <t>我说话总是喜欢故弄玄虚，毕竟随着阅历增长智慧也会隐藏的更深。</t>
  </si>
  <si>
    <t>我对于碍我事的人没有半点耐心。</t>
  </si>
  <si>
    <t>我喜欢听别人谈论他们的可怕经历。</t>
  </si>
  <si>
    <t>战斗，注定是干净、利落、单方面的。</t>
  </si>
  <si>
    <t>我喜欢站在阴影里。</t>
  </si>
  <si>
    <t>我从不当面生气，我只背后报复。</t>
  </si>
  <si>
    <t>公会：我的公会就是我的一切。</t>
  </si>
  <si>
    <t>控制：我喜欢在幕后操纵一切。</t>
  </si>
  <si>
    <t>秘密：我收集秘密而且从不泄露出来。</t>
  </si>
  <si>
    <t>知识：我想要尽我所能地了解这座城市以及它运作的方式。</t>
  </si>
  <si>
    <t>自主：毫无干扰地追求自己的目标就是我所珍视的自由。</t>
  </si>
  <si>
    <t>虚无主义：我不相信任何东西，任何试图去相信什么的人都是蠢货。</t>
  </si>
  <si>
    <t>我发现了一个不能让包括我的公会上级在内的任何人知道的秘密。</t>
  </si>
  <si>
    <t>我与自己所潜伏的公会里的某人建立了亲密的友谊或爱情。</t>
  </si>
  <si>
    <t>招募了我的底密尔密探被人揭发并杀害了。我对凶手的报复将是彻底而充满痛苦。</t>
  </si>
  <si>
    <t>我尽可能地把我的时间消磨在依梅里图书馆里，因为我确定有个信息中心正在图书馆的幕后运作，而我想要知道这个秘密。</t>
  </si>
  <si>
    <t>我完全地效忠于我的公会上级，甚至超过了对公会本身和公会会长的忠诚。</t>
  </si>
  <si>
    <t>某人已经发现了我的真实身份</t>
  </si>
  <si>
    <t>我是如此地喜欢秘密以至于即使某些人有必要知晓计划的细节我也不愿意与他们分享。</t>
  </si>
  <si>
    <t>我宁愿杀死我的朋友们也不能让他们知道我的真实身份。</t>
  </si>
  <si>
    <t>我除了自己之外很难去相信任何人。</t>
  </si>
  <si>
    <t>我有一个特别的恶习，如果我不小心谨慎一点就有把我的所有秘密和盘托出的风险。</t>
  </si>
  <si>
    <t>我很确定我做过一件非常可怕的事情，但是公会的心灵魔法让我不记得这件事了。</t>
  </si>
  <si>
    <t>我过于相信那个给我指令的人了。</t>
  </si>
  <si>
    <t>渗透原因</t>
  </si>
  <si>
    <t>我的父母属于这个公会，而我想要让他们认为我依旧跟随着他们的道路。</t>
  </si>
  <si>
    <t>我被指派追踪这个公会的行动。</t>
  </si>
  <si>
    <t>我被指派接近这个公会里的一个人来获取他们的秘密。</t>
  </si>
  <si>
    <t>我被指派从这个公会的阶层中新招募一位底密尔间谍。</t>
  </si>
  <si>
    <t>在底密尔招募我之前我就是这个公会的成员。</t>
  </si>
  <si>
    <t>我不喜欢这个公会所代表的一切并想从内部毁灭它。</t>
  </si>
  <si>
    <t>我私底下希望能离开底密尔并加入这个公会，但是在底密尔，没有“逃离”这个词。</t>
  </si>
  <si>
    <t>我只是随便选了一个公会或者根本没想过为什么。</t>
  </si>
  <si>
    <t>慧贤座</t>
  </si>
  <si>
    <t>自然、求生</t>
  </si>
  <si>
    <t>从精灵语、巨人语、刻洛语中选择一项</t>
  </si>
  <si>
    <t>地底城通路</t>
  </si>
  <si>
    <t>你通晓地下的道路，他们能帮你绕开人群，障碍和监视，走遍全城。当你不在战斗中时，你和你带领的伙伴可以以比平时两倍的速度从城内的任意地点到达另一地点。这些地底城通路中潜伏着不会在地表世界的阳光下出现的各种危险，你们的旅途不一定一帆风顺。</t>
  </si>
  <si>
    <r>
      <rPr>
        <sz val="11"/>
        <color theme="1"/>
        <rFont val="宋体"/>
        <charset val="134"/>
        <scheme val="minor"/>
      </rPr>
      <t>戏法：</t>
    </r>
    <r>
      <rPr>
        <sz val="11"/>
        <color theme="1"/>
        <rFont val="MS Gothic"/>
        <charset val="128"/>
      </rPr>
      <t>​</t>
    </r>
    <r>
      <rPr>
        <sz val="11"/>
        <color theme="1"/>
        <rFont val="宋体"/>
        <charset val="134"/>
        <scheme val="minor"/>
      </rPr>
      <t>舞光术、维生术
1环：</t>
    </r>
    <r>
      <rPr>
        <sz val="11"/>
        <color theme="1"/>
        <rFont val="MS Gothic"/>
        <charset val="128"/>
      </rPr>
      <t>​</t>
    </r>
    <r>
      <rPr>
        <sz val="11"/>
        <color theme="1"/>
        <rFont val="宋体"/>
        <charset val="134"/>
        <scheme val="minor"/>
      </rPr>
      <t>纠缠术、致病射线
2环：</t>
    </r>
    <r>
      <rPr>
        <sz val="11"/>
        <color theme="1"/>
        <rFont val="MS Gothic"/>
        <charset val="128"/>
      </rPr>
      <t>​</t>
    </r>
    <r>
      <rPr>
        <sz val="11"/>
        <color theme="1"/>
        <rFont val="宋体"/>
        <charset val="134"/>
        <scheme val="minor"/>
      </rPr>
      <t>防护毒素、衰弱射线、蛛行术
3环：</t>
    </r>
    <r>
      <rPr>
        <sz val="11"/>
        <color theme="1"/>
        <rFont val="MS Gothic"/>
        <charset val="128"/>
      </rPr>
      <t>​</t>
    </r>
    <r>
      <rPr>
        <sz val="11"/>
        <color theme="1"/>
        <rFont val="宋体"/>
        <charset val="134"/>
        <scheme val="minor"/>
      </rPr>
      <t>操纵死尸、植物滋长
4环：</t>
    </r>
    <r>
      <rPr>
        <sz val="11"/>
        <color theme="1"/>
        <rFont val="MS Gothic"/>
        <charset val="128"/>
      </rPr>
      <t>​</t>
    </r>
    <r>
      <rPr>
        <sz val="11"/>
        <color theme="1"/>
        <rFont val="宋体"/>
        <charset val="134"/>
        <scheme val="minor"/>
      </rPr>
      <t>巨虫术、擒抱藤
5环</t>
    </r>
    <r>
      <rPr>
        <sz val="11"/>
        <color theme="1"/>
        <rFont val="MS Gothic"/>
        <charset val="128"/>
      </rPr>
      <t>​</t>
    </r>
    <r>
      <rPr>
        <sz val="11"/>
        <color theme="1"/>
        <rFont val="宋体"/>
        <charset val="134"/>
        <scheme val="minor"/>
      </rPr>
      <t>：死云术、疫病虫群</t>
    </r>
  </si>
  <si>
    <t>记住，我可以在你睡着后杀了你，或者在你的铺盖里放点蜈蚣。</t>
  </si>
  <si>
    <t>​我喜欢提醒人们他们终将死去</t>
  </si>
  <si>
    <t>有时我会回应腐烂中的低于，除了我之外别人都听不见</t>
  </si>
  <si>
    <t>我尽力阻止别人靠近我或者与我交谈</t>
  </si>
  <si>
    <t>我接受我的死亡，因此，我不惧怕死亡。</t>
  </si>
  <si>
    <t>​树根在岩石中生长，我的行动就像树根一样坚毅固执。</t>
  </si>
  <si>
    <t>​我用解剖学的知识来营造恐怖的氛围，详细地描述我的敌人遭受的重创。</t>
  </si>
  <si>
    <t>我就像野兽一样，谁惹我了我就会狠狠回击——而我很容易被惹怒。</t>
  </si>
  <si>
    <t>公会：我的公会高于一切。</t>
  </si>
  <si>
    <t>斯多葛主义：我们都是自然循环的一部分，有没有我们自然都会循环下去。</t>
  </si>
  <si>
    <t>自然：大自然可比城市和文明中的高楼大厦重要得多。</t>
  </si>
  <si>
    <t>互相依存：我们都是自然之网的一部分。</t>
  </si>
  <si>
    <t>野心勃勃：葛加理登顶的时代即将来临，我希望在新世界的序列中取得崇高的地位。</t>
  </si>
  <si>
    <t>互相忍让，互不干涉：插手其他公会的事务会让你像个臭虫一样被碾死。</t>
  </si>
  <si>
    <t>我珍藏着一节被美杜莎石化的家族成员的手指。</t>
  </si>
  <si>
    <t>我有一个和我完全不一样，跟路人似的同卵双胞胎兄弟姐妹</t>
  </si>
  <si>
    <t>我希望带领一个族群在公会内取得新的地位。</t>
  </si>
  <si>
    <t>我喜欢在我初次完成开垦任务的建筑里打发时间，那里苔藓遍布。</t>
  </si>
  <si>
    <t>我找到了下水道里某样绝对不能见光的东西。</t>
  </si>
  <si>
    <t>我对那位在下水道里发现面朝下，飘在污水上处于生死之间的我的回收人员深表感谢。</t>
  </si>
  <si>
    <t>死亡都会降临在我们身上，所以别指望我在乎那些不能战胜死亡的人。</t>
  </si>
  <si>
    <t>我觉得每个葛加理之外的人都轻视我。</t>
  </si>
  <si>
    <t>我有必要向那些享有住在地面上特权的人复仇。</t>
  </si>
  <si>
    <t>我不会用献媚的语句来表达我的观点。</t>
  </si>
  <si>
    <t>无论多廉价，我都管不住自己的手，想把所有见到的小饰品和硬币装进我的口袋里。</t>
  </si>
  <si>
    <t>其他公会的成员都不明白生和死的本质，因此我觉得我比他们都要更强更棒。</t>
  </si>
  <si>
    <t>王权座</t>
  </si>
  <si>
    <t>驯兽、运动</t>
  </si>
  <si>
    <t>从龙语、巨人语、地精语、木族语中选择一项</t>
  </si>
  <si>
    <t>瓦砾区难民</t>
  </si>
  <si>
    <t>你十分熟悉那些城市中大多数人通常会回避的区域：亚龙暴乱导致荒废的临近街区，数十年中从未有人照料导致过度生长的公园，文明种族废弃长久的，广阔的，不断蔓延的，充斥着破碎地形的瓦砾区。你可以找到一个适合你和你队友的地方来隐藏或休息在这些区域。额外的，你每天可以在这些区域为你自己和至多五个人找到食物和新鲜的水源。</t>
  </si>
  <si>
    <r>
      <rPr>
        <sz val="11"/>
        <color theme="1"/>
        <rFont val="宋体"/>
        <charset val="134"/>
        <scheme val="minor"/>
      </rPr>
      <t>戏法：</t>
    </r>
    <r>
      <rPr>
        <sz val="11"/>
        <color theme="1"/>
        <rFont val="MS Gothic"/>
        <charset val="128"/>
      </rPr>
      <t>​</t>
    </r>
    <r>
      <rPr>
        <sz val="11"/>
        <color theme="1"/>
        <rFont val="宋体"/>
        <charset val="134"/>
        <scheme val="minor"/>
      </rPr>
      <t>火焰箭、燃火术
1环：强令对决、动物交谈、雷鸣波
2环：</t>
    </r>
    <r>
      <rPr>
        <sz val="11"/>
        <color theme="1"/>
        <rFont val="MS Gothic"/>
        <charset val="128"/>
      </rPr>
      <t>​</t>
    </r>
    <r>
      <rPr>
        <sz val="11"/>
        <color theme="1"/>
        <rFont val="宋体"/>
        <charset val="134"/>
        <scheme val="minor"/>
      </rPr>
      <t>野兽知觉、粉碎音波
3环：</t>
    </r>
    <r>
      <rPr>
        <sz val="11"/>
        <color theme="1"/>
        <rFont val="MS Gothic"/>
        <charset val="128"/>
      </rPr>
      <t>​</t>
    </r>
    <r>
      <rPr>
        <sz val="11"/>
        <color theme="1"/>
        <rFont val="宋体"/>
        <charset val="134"/>
        <scheme val="minor"/>
      </rPr>
      <t>召唤动物、召唤箭雨
4环：支配野兽、石肤术
5环</t>
    </r>
    <r>
      <rPr>
        <sz val="11"/>
        <color theme="1"/>
        <rFont val="MS Gothic"/>
        <charset val="128"/>
      </rPr>
      <t>​</t>
    </r>
    <r>
      <rPr>
        <sz val="11"/>
        <color theme="1"/>
        <rFont val="宋体"/>
        <charset val="134"/>
        <scheme val="minor"/>
      </rPr>
      <t>：湮灭波</t>
    </r>
  </si>
  <si>
    <t>不喜欢人群，对我而言荒野中的野兽是不会背叛我的朋友（狗比人更忠诚）</t>
  </si>
  <si>
    <t>继续，侮辱我——我赌你不敢（？？？）</t>
  </si>
  <si>
    <t>我蔑视那些脱离了城市的舒适生活就生存不下来的人（城市乐色！）</t>
  </si>
  <si>
    <t>别告诉我我不被允许做某事（我命由我不由你！）</t>
  </si>
  <si>
    <t>规则是那些不敢直面自己内心中的野兽的人准备的（直面本我，实现超我）</t>
  </si>
  <si>
    <t>我用我敌人的鲜血涂抹我的皮肤（为了剥皮双子！）</t>
  </si>
  <si>
    <t>事实上我是被马卡兽养大的（狼孩）</t>
  </si>
  <si>
    <t>HarrRRAAGGHH！[我几乎不能说连贯的句子并且乐意用砸东西来表达自己的情绪]</t>
  </si>
  <si>
    <t>部族：我的部族胜于一切。</t>
  </si>
  <si>
    <t>无序：没有人或法律或习俗可以强迫他人做事。</t>
  </si>
  <si>
    <t>中立：我们生而自由，故活仍应自由。</t>
  </si>
  <si>
    <t>力量：强者统治弱者，此乃自然之理。</t>
  </si>
  <si>
    <t>愤怒：AAAAARRRRggggh！[生活就是感受胃中愤怒的燃烧！]</t>
  </si>
  <si>
    <t>传统：古神之路必将延续与信仰。</t>
  </si>
  <si>
    <t>我认定我必将引领我自己的部族或者一个新的部族。</t>
  </si>
  <si>
    <t>我将会为我部落的酋长奉献生命。</t>
  </si>
  <si>
    <t>其他部族的酋长嫉恨我。</t>
  </si>
  <si>
    <t>我忠诚于瓦砾区中的一片神圣的区域。</t>
  </si>
  <si>
    <t>我的武器是由我第一个猎到的锐牙兽制成的。</t>
  </si>
  <si>
    <t>GrrrRRAAAAGGHH！[我将会做任何事来变得比我的兄弟姐妹或我的祖先更加强大！]</t>
  </si>
  <si>
    <t>如果你质疑我的勇气，我绝不拒绝挑战！</t>
  </si>
  <si>
    <t>HrrrGGGAAAARRuuuh！[我在战斗中的怒火致使了我挚爱的死亡。]</t>
  </si>
  <si>
    <t>我就像一只冲击野猪一般顽固。</t>
  </si>
  <si>
    <t>我非常确信我的远胜于柔弱的文明佬，我将不遗余力的证明这件事。</t>
  </si>
  <si>
    <t>我很容易被我认为很有魅力的人控制。</t>
  </si>
  <si>
    <t>我没有实际上的那么愤怒。</t>
  </si>
  <si>
    <t>部族</t>
  </si>
  <si>
    <t>火树部族</t>
  </si>
  <si>
    <t>高尔族</t>
  </si>
  <si>
    <t>司凯族</t>
  </si>
  <si>
    <t>司立族</t>
  </si>
  <si>
    <t>砾藏族</t>
  </si>
  <si>
    <t>筑塔族</t>
  </si>
  <si>
    <t>未成年人或一个新的部族</t>
  </si>
  <si>
    <t>特罗戈</t>
  </si>
  <si>
    <t>宝钥座</t>
  </si>
  <si>
    <t>奥秘、调查</t>
  </si>
  <si>
    <t>在龙语、地精语、维多肯语中任选一项</t>
  </si>
  <si>
    <t>城市基建</t>
  </si>
  <si>
    <t>伊捷联盟的流行概念基于疯狂的发明、危险的实验和剧烈的爆炸。这个观点大部分是准确的，但是联盟也会参与到建设和建造的世俗任务中，主要是修建基础设施，让拉尼卡人享受自来水、悬浮平台，以及其他魔法的又科技的奇迹。 
你对建筑物的结构，包括墙后的材质有基本的了解。您还可以找到某栋建筑的蓝图，以便了解其构造的细节。这样的蓝图可以为你提供切入点、结构弱点或秘密空间等知识。你获得这些信息的途径不是毫无限制的。如果获得或使用这些信息使你陷入法律困境，公会也不能保护你免受影响。</t>
  </si>
  <si>
    <t>戏法：燃火术、电爪
1环：混乱箭、造水/枯水术
2环：灼热金属、魔绳术
3环：召雷术、元素武器、守卫刻文
4环：召唤次级元素生物、预言术、欧提路克弹力法球
5环：活化物件、召唤元素生物</t>
  </si>
  <si>
    <t xml:space="preserve">我很难把注意力集中……噢，我的思维又跳跃到另一个方向了……我刚刚提到集中了吗？ </t>
  </si>
  <si>
    <t xml:space="preserve">我的想法让我非常兴奋，我迫不及待地想找人讨论这些想法并开始将它们付诸实践，我要让你们知道一切是多么令人兴奋！ </t>
  </si>
  <si>
    <t xml:space="preserve">这并不是魔法或别的什么东西，真的。完全是因为你半途而废了。而我无论做什么都会全力以赴。 </t>
  </si>
  <si>
    <t>我做事全凭直觉。</t>
  </si>
  <si>
    <t>生活就是一场实验，我已经迫不及待地想看看会发生什么了。</t>
  </si>
  <si>
    <t>我说话总是夹杂着令人费解的行业术语，例如“将米捷液滴插入到怪奇力场悬浮系统中”。</t>
  </si>
  <si>
    <t xml:space="preserve">伟大的想法是好的，但是伟大的结果才是重要的。 </t>
  </si>
  <si>
    <t>如果你能猜到我要干什么，那就意味着我的想象力已经枯竭了。</t>
  </si>
  <si>
    <t>创造力：世界上一半的麻烦来自停留在过去的古板想法。我们需要全新的解决方案。</t>
  </si>
  <si>
    <t>发现：每个实验都有可能揭开多重宇宙的更多奥秘。</t>
  </si>
  <si>
    <t>科学：严格应用符合逻辑的准则和草案将比任何信任系统更可靠地引导我们前进。</t>
  </si>
  <si>
    <t>乐趣：我喜欢我的工作！尽管工作的条件很危险，但除此之外我什么都不想做。</t>
  </si>
  <si>
    <t>权力：总有一天我发现或创造出魔法会让我成为拉尼卡最强大的存在。</t>
  </si>
  <si>
    <t xml:space="preserve">我毕生致力于寻找解决一个科研难题的方法。 </t>
  </si>
  <si>
    <t xml:space="preserve">我永远不会忘记那个让我能够学习技艺的实验室，或者和我一起学习的其他侍从。 </t>
  </si>
  <si>
    <t>我确信是一起蓄意破坏行为摧毁了我的第一个实验室，害死了我许多朋友。我寻找凶手并试图报复。</t>
  </si>
  <si>
    <t xml:space="preserve">我有一个发明的构思蓝图，而一旦我有了必要的资源，就有希望完成它。 </t>
  </si>
  <si>
    <t xml:space="preserve">我和我的同窗同学正在争先恐后地试图攻克同一个科研难题。 </t>
  </si>
  <si>
    <t xml:space="preserve">公会会长让我做什么，我就做什么。 </t>
  </si>
  <si>
    <t>如果有计划，我就会忘记它；如果我忘不掉，我就会忽略它。</t>
  </si>
  <si>
    <t>我很容易感到无聊，如果没什么事情发生，我就会创造一些事情。</t>
  </si>
  <si>
    <t xml:space="preserve">没有任何事情是简单的，如果它确实看起来简单，我会想办法让它变得复杂。 </t>
  </si>
  <si>
    <t xml:space="preserve">在进行研究时，我往往会好几天不休不眠，这经常会以牺牲我自己的健康和安全为代价。 </t>
  </si>
  <si>
    <t xml:space="preserve">我相信，除了伟大的尼米捷之外，拉尼卡没有灵魂能比得上我无穷的智慧。 </t>
  </si>
  <si>
    <t>我绝不会承认我的逻辑有缺陷。</t>
  </si>
  <si>
    <t>热焰座</t>
  </si>
  <si>
    <t>威吓、宗教</t>
  </si>
  <si>
    <t>利用</t>
  </si>
  <si>
    <t>你可以在公会的层级中对低于您的一个或多个个人施加影响，并根据需要请求他们的帮助。例如，你可以让人带着信息穿过一个街区，免费搭乘一辆短途马车，或者让别人帮你清理在小巷里留下的血迹。DM决定你的要求是否合理，是否有下级成员可以满足它们。随着你在公会中地位的提高，你会对更多的人产生影响，包括那些拥有更大权力的人。</t>
  </si>
  <si>
    <t>戏法：交友术、神导术
1环：命令术、迷幻手稿
2环：注目术、衰弱射线、诚实之域
3环：降咒、死者交谈、灵体卫士
4环：枯萎术、防死结界、李欧蒙秘藏箱
5环：指使术</t>
  </si>
  <si>
    <t>我总是愿意按照提供的钱财，干相应的活儿。</t>
  </si>
  <si>
    <t>债务永远不会被宽恕。</t>
  </si>
  <si>
    <t>我习惯于享受金钱可以买到的最好的乐趣。</t>
  </si>
  <si>
    <t>没有人会怀疑，我比城里那些可怜的农民群众高一等。</t>
  </si>
  <si>
    <t>除了必要的东西，我不能忍受再多花一分钱。</t>
  </si>
  <si>
    <t>我讨厌人们试图弄清楚一个严肃的事情。</t>
  </si>
  <si>
    <t>我想确保每个人都知道我是多么富有，强大和重要。</t>
  </si>
  <si>
    <t>我不认为有什么事情值得被期待。</t>
  </si>
  <si>
    <t>公会：我的公会真的很重要。</t>
  </si>
  <si>
    <t>财富：我会尽一切努力变得富有</t>
  </si>
  <si>
    <t>力量：总有一天，我将成为下达命令的人。</t>
  </si>
  <si>
    <t>威望：我希望吸引周围人的目光，钦佩，尊重，恐惧，或者甚至讨厌我。</t>
  </si>
  <si>
    <t>稳定性：混乱发生的时候，只要能控制好经济的规划，那么每个人都会守好他们的位置。</t>
  </si>
  <si>
    <t>永恒：我希望永远活着 - 哪怕肉体消亡，成为精怪也要长存。</t>
  </si>
  <si>
    <t>我因难以承受债务的重压而深陷绝望之中。</t>
  </si>
  <si>
    <t>我有义务遵守鬼影议会的祖先们的指令。</t>
  </si>
  <si>
    <t>我把我的世俗的财物看得比我的生命还重要。</t>
  </si>
  <si>
    <t>一个高层公开羞辱了我，我将对整个家庭进行报复。</t>
  </si>
  <si>
    <t>我对欧节达的信仰从不动摇。</t>
  </si>
  <si>
    <t>我想证明自己比兄长更有价值，从而确保我能继承父母财富的更大份额。</t>
  </si>
  <si>
    <t>我持有一个可能毁了我家人的可耻秘密 - 但也可以赢得鬼影议会的青睐。</t>
  </si>
  <si>
    <t>我确信我认识的每个人都在密谋反对我。</t>
  </si>
  <si>
    <t>如果有足够多的金钱回报，我会冒任何风险。</t>
  </si>
  <si>
    <t>我坚信自己比任何人都要重要得多。</t>
  </si>
  <si>
    <t>我不尊重任何不富裕的人。</t>
  </si>
  <si>
    <t>我会抓住任何机会从富裕的人那里偷窃，即使对于毫无价值的小装饰品也是如此。</t>
  </si>
  <si>
    <t>表演类型</t>
  </si>
  <si>
    <t>钉轮杂技演员</t>
  </si>
  <si>
    <t>讽刺演员</t>
  </si>
  <si>
    <t>戏火者</t>
  </si>
  <si>
    <t>木偶戏演员</t>
  </si>
  <si>
    <t>痛苦艺术家</t>
  </si>
  <si>
    <t>噪音音乐家</t>
  </si>
  <si>
    <t>梦魇骑士</t>
  </si>
  <si>
    <t>祭祀大师</t>
  </si>
  <si>
    <t>英骑座</t>
  </si>
  <si>
    <t>从深渊语、巨人语中选择一项</t>
  </si>
  <si>
    <t>劣迹昭著</t>
  </si>
  <si>
    <t>人们把你定义为拉铎斯的信徒，他们小心翼翼的，来不引起你的怒火或嘲弄。如果没有被法律权威目击，你可以不受轻
微犯罪的影响，比如在餐馆拒绝付餐费，或者在当地商店破门而入。大多数人被你吓得不敢向俄佐立人报告你的罪行。</t>
  </si>
  <si>
    <t>戏法：火焰箭、恶言相加
1环：燃烧之手、不谐低语、炼狱叱喝
2环：疯狂冠冕、注目术、炽焰法球
3环：恐惧术、加速术
4环：困惑术、火墙术
5环：支配人类</t>
  </si>
  <si>
    <t>我于毁灭之中汲取快乐，他们越痛苦，我就越快乐。</t>
  </si>
  <si>
    <t>我于暴力之中释放本我，在愤怒中迷失，无法停止。</t>
  </si>
  <si>
    <t>我于凡事之中悟得欢笑，为其滑稽而笑，以其酷虐而乐。</t>
  </si>
  <si>
    <t>我于痛苦之中获取欢愉，痛在他身，乐在我心。</t>
  </si>
  <si>
    <t>我乐于挑战别人的耐心，</t>
  </si>
  <si>
    <t>我无法忍受预言，既然说已被预言，那我就要在其中加入混乱，看看着预言是否成真。</t>
  </si>
  <si>
    <t>我施以权力来保证我得到我所要的。</t>
  </si>
  <si>
    <t>我乐于打碎那些精美的艺术品，手指也是一样的，他们同样是精美的艺术品。</t>
  </si>
  <si>
    <t>公会：我的公会重于一切</t>
  </si>
  <si>
    <t>享乐：死亡终将到来，故而及时行乐。</t>
  </si>
  <si>
    <t>创造：我努力的寻找各式各样的形式来从痛苦之中展现我的艺术，不论是我的痛苦还是他人的</t>
  </si>
  <si>
    <t>自由：没人能告诉我该做什么，不该做什么。</t>
  </si>
  <si>
    <t>平等：我希望看到一个没有阶级区分，没有公会限制的新拉尼卡。</t>
  </si>
  <si>
    <t>奇观：人们因他们所见艺术品中的伟大而鼓舞。</t>
  </si>
  <si>
    <t>我是某个剧团中的一员，这些人对我来说就是一切。</t>
  </si>
  <si>
    <t>一个血祭司告诉我，我有一个特殊的命运要完成，我正在试图弄明白它是什么。</t>
  </si>
  <si>
    <t>我私下里认为我能从内部改变邪教，利用我的影响力来帮助控制肆意的暴力。</t>
  </si>
  <si>
    <t>我拥有拉铎斯曾经触碰过的东西(当场被烧焦)，我很珍惜。</t>
  </si>
  <si>
    <t>我想在我选择的表演形式上比我剧团的其他成员做得更好。</t>
  </si>
  <si>
    <t>我热爱拉铎斯，我活着就是为了给他留下深刻的印象。</t>
  </si>
  <si>
    <t>我的家庭是其他公会的杰出成员，虽然我享受我狂野的生活但是我不想让他们难堪。</t>
  </si>
  <si>
    <t>我难以掩饰自己的情感与意愿，即便我想要主动掩饰也无法做到。</t>
  </si>
  <si>
    <t>我忽视了他人的警告。</t>
  </si>
  <si>
    <t>我憎恨那些富有的或者有权力的人。</t>
  </si>
  <si>
    <t>当我愤怒时，我将以暴力的形式将其发泄出来。</t>
  </si>
  <si>
    <t>世上没有太多的快乐。</t>
  </si>
  <si>
    <t>尤瑞艾莉座</t>
  </si>
  <si>
    <t>自然、游说</t>
  </si>
  <si>
    <t>一种工匠工具或一种乐器</t>
  </si>
  <si>
    <t>从精灵语、象族语、木族语中选择一项</t>
  </si>
  <si>
    <t>盟会庇护所</t>
  </si>
  <si>
    <t>作为瑟雷尼亚盟会的成员，你可以向公会中的同伴们请求庇护与援助。你和你的同伴可以进入拉尼卡的任意一处瑟雷尼亚盟地休息和躲藏——除非你被证明对该盟地产生了威胁。盟地成员将会保护你免受法律或是任何其他找麻烦的人的伤害，尽管他们不会冒生命危险做这些事。
此外，作为公会成员，你可以在瑟雷尼亚盟地获得免费的治疗和护理，但你必须提供法术所必需的材料。</t>
  </si>
  <si>
    <t>戏法：德鲁伊伎俩、交友术
1环：援助术、化兽为友、魅惑人类
2环：动物信使、安定心神、守护之链
3环：植物滋长、植物交谈
4环：生命灵光、召唤次级元素生物
5环：启蒙术、问道自然</t>
  </si>
  <si>
    <t>我从不声音过高或情绪失控。</t>
  </si>
  <si>
    <t>我能体会到我周围每个人的喜悦和痛苦，无论敌友。</t>
  </si>
  <si>
    <t>比起树敌，我更爱交友。</t>
  </si>
  <si>
    <t>我总是喜欢尽力探寻稍稍超出我感知的存在。</t>
  </si>
  <si>
    <t>如果我不能看到正在生长的植物或是感受到脚下的泥土，我会非常不安。</t>
  </si>
  <si>
    <t>看到任何生物生病或是受伤都会令我难过。</t>
  </si>
  <si>
    <t>我有很多值得骄傲的事情，但这都只是编织成生活这张华丽挂毯的一条丝线。</t>
  </si>
  <si>
    <t>想要理解复杂的生活，大自然教会了我们很多。</t>
  </si>
  <si>
    <t>公会：我的公会是我的一切</t>
  </si>
  <si>
    <t>和谐：没有什么能够比为了共同目标而发出的声音和行动更美好了。</t>
  </si>
  <si>
    <t>秩序：如同一颗经过精心修剪的树，社会的蓬勃发展源自一切事物各归其位。</t>
  </si>
  <si>
    <t>生命：保护生命和自然永远值得我们去努力。</t>
  </si>
  <si>
    <t>谦卑：野心和骄傲是冲突的根源。</t>
  </si>
  <si>
    <t>福音：当所有人都加入瑟雷尼亚盟会，拉尼卡才能明白什么是和平。</t>
  </si>
  <si>
    <t>我愿用生命守护那个我第一次接触到太瑟雷尼亚时所在的盟地。</t>
  </si>
  <si>
    <t>我喜欢所有的植物和动物，厌恶伤害它们的行为。</t>
  </si>
  <si>
    <t>多亏了一位治疗师照顾我，我才能从一场致命的疾病中恢复过来。</t>
  </si>
  <si>
    <t>我会吟唱太瑟雷尼亚的邀请作为我的遗言。</t>
  </si>
  <si>
    <t>我收藏有一片维图加基的树叶——它会随着季节改变颜色，即使已经离开了树枝。</t>
  </si>
  <si>
    <t>每位盟会的成员都是我的亲人，我愿为任何一位盟会成员而战。</t>
  </si>
  <si>
    <t>在战斗中，如果我们寡不敌众，我会感到恐慌。</t>
  </si>
  <si>
    <t>我倾向于认为每个人都是好人，除非他们证明自己不是好人。</t>
  </si>
  <si>
    <t>我喜欢舒适和宁静，宁愿避免花费额外的力气。</t>
  </si>
  <si>
    <t>我脾气比较暴躁，而不是我内心中追寻的平静。</t>
  </si>
  <si>
    <t>我感觉盟会中的任何人与世界之魂的联系都比我要更深刻。</t>
  </si>
  <si>
    <t>我希望能为我加入瑟雷尼亚之前的犯罪生活赎罪，但我发现旧习很难改正。</t>
  </si>
  <si>
    <t>盲盗座</t>
  </si>
  <si>
    <t>奥秘、医药</t>
  </si>
  <si>
    <t>研究者</t>
  </si>
  <si>
    <t>当你需要学习或是记起某段魔法或科学的学识时，就算你并不清楚其具体信息，也总能知道从何处或何人身上着手获取。这些情报通常来自析米克实验室，有时也会来自伊捷设施、图书馆、大学、甚至是其他某个智者或某个知道相关知识的人或生物。知道哪里可以找到信息并不会自动让你学会它;你可能需要贿赂、恩惠或其他激励来诱使人们透露他们的秘密。
鉴于发掘多元宇宙最深的秘密有时会需要整趟的冒险甚至是整个战役，你的 DM可能会设定这段情报的所在是一个遥不可及的地方，或者直接将其定义为无法找到。</t>
  </si>
  <si>
    <t>戏法：酸液飞溅、德鲁伊伎俩
1环：侦测毒性和疾病、脚底抹油、跳跃术
2环：变身术、强化属性、变巨/缩小术
3环：气化形体、水下呼吸、风墙术
4环：行动自如、变形术
5环：造物术</t>
  </si>
  <si>
    <t>我迫不及待地想看看我接下来会变成什么样子！</t>
  </si>
  <si>
    <t>我相信一切都有不断改进的趋势。</t>
  </si>
  <si>
    <t>我渴望向那些对我最复杂的实验和理论不感兴趣的人解释每一个细节。</t>
  </si>
  <si>
    <t>我认为需要向每个人解释最基本的概念。</t>
  </si>
  <si>
    <t>我描述的每一件事都像是在写我的研究笔记（事实往往如此）。</t>
  </si>
  <si>
    <t>我对生活中似乎无尽的状态和变化充满了的好奇。</t>
  </si>
  <si>
    <t>我忍不住要窥探任何被禁止的东西，因为那一定非常有趣。</t>
  </si>
  <si>
    <t>我使用非常专业的词汇来避免交流中的不精确和模糊。</t>
  </si>
  <si>
    <t>公会：我的公会才是最重要的。</t>
  </si>
  <si>
    <t>改变：所有的生命都是为了追求完美，而我们的工作就是要让它快点完成——不管过程中会发生什么。</t>
  </si>
  <si>
    <t>知识：理解这个世界比你用你的知识做什么更重要。</t>
  </si>
  <si>
    <t>进步：我想把这个世界改造成更高级的生命形式，让所有人都能享受进化。</t>
  </si>
  <si>
    <t>逻辑：让感情和原则干扰逻辑的结论是愚蠢的。</t>
  </si>
  <si>
    <t>傲慢：我巨大的智慧和力量使我能轻易对他人施加影响。</t>
  </si>
  <si>
    <t>我协助创造了一个融合体，我像爱宠物一样爱它，它会带我去任何地方……但它有一栋楼那么大，甚至可能会吃掉我。</t>
  </si>
  <si>
    <t>在我的实验室里，我发现了一种东西，我觉得它可以消灭拉尼卡一半的生物。</t>
  </si>
  <si>
    <t>我分支中的其他研究人员是我的家人——一个古怪的大家庭，包括许多公会成员和其他物种。</t>
  </si>
  <si>
    <t>我曾经的实验室包含了对我来说珍贵的一切。</t>
  </si>
  <si>
    <t>我要报复那个杀了我宝贵的融合体造物的目光短浅的傻瓜。</t>
  </si>
  <si>
    <t>我做的每件事都是为了给我爱的人留下深刻的印象。</t>
  </si>
  <si>
    <t>我有一个相当尴尬的突变，我会尽我所能不让别人发现它。</t>
  </si>
  <si>
    <t>比起和怪兽战斗，我更感兴趣的是记录怪兽的解剖结构。</t>
  </si>
  <si>
    <t>我似乎会在每一个社交场合问一些粗鲁的私人问题。</t>
  </si>
  <si>
    <t>我坚信我有能力适应任何情况和处理任何危险。</t>
  </si>
  <si>
    <t>为获得对我的科学才华的肯定我愿意冒任何风险。</t>
  </si>
  <si>
    <t>在我的研究和其他必须完成的任务中，我倾向于寻找捷径。</t>
  </si>
  <si>
    <t>分支项目</t>
  </si>
  <si>
    <t>甲壳分支：注重保护与耐用性</t>
  </si>
  <si>
    <t>鳍类分支：注重移动力</t>
  </si>
  <si>
    <t>涡流分支：注重周期性变化与超魔</t>
  </si>
  <si>
    <t>守护者项目：注重创造守卫怪物和超级士兵</t>
  </si>
  <si>
    <t>隐匿项目：情报与反情报</t>
  </si>
  <si>
    <t>新领域的独立研究</t>
  </si>
  <si>
    <t>宝石座</t>
  </si>
  <si>
    <t>调查、游说</t>
  </si>
  <si>
    <t>两种，视家族决定：
卡尼斯：炼金工具和修补工具
邓奈斯：一种赌博工具和载具（陆运）
伽兰达：酿酒工具和厨师工具
乔拉斯克：炼金工具和草药工具
昆达拉克：修理工具和盗贼工具
林兰德：载具（空运/海运）和领航工具
梅丹尼：盗贼工具和易容工具
欧瑞恩：载具（陆运）和一种赌具
费奥兰：易容工具和一种乐器
西维斯：书法工具和文书伪造工具
萨拉释克：领航工具和一种赌具
索兰尼：制毒工具和一种乐器
瓦塔利斯：载具（陆运）和草药工具</t>
  </si>
  <si>
    <t>家族背景</t>
  </si>
  <si>
    <t>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</si>
  <si>
    <t>我从不让感情复杂化。</t>
  </si>
  <si>
    <t>我总是想提高效率。</t>
  </si>
  <si>
    <t>我会告诉别人一些和自己家族业务有关的琐事。</t>
  </si>
  <si>
    <t>我对自己和任何共事者都有极高的要求。</t>
  </si>
  <si>
    <t>我永远不会忘记对我自己或家族的侮辱。</t>
  </si>
  <si>
    <t>我对我家族达成的每一件事都感到激动和兴奋。</t>
  </si>
  <si>
    <t>我是家族的颜面，同时对自己的外表拥有很高的自信。</t>
  </si>
  <si>
    <t>我对君主制和任何针对家族的限制都感到不满。</t>
  </si>
  <si>
    <t>共同利益：我的龙纹家族在世界上举足轻重，它的繁荣能够让所有人得利。</t>
  </si>
  <si>
    <t>传统：我恪守家族传统，为家庭争取荣耀。</t>
  </si>
  <si>
    <t>创新：抛弃旧的传统，找到更好的做事方法。</t>
  </si>
  <si>
    <t>权力：我想确保家族的繁荣昌盛，以便利用家族在世间的权势。</t>
  </si>
  <si>
    <t>发现：为了我的家族和满足好奇心，我想尽我所能地学习。</t>
  </si>
  <si>
    <t>舒适：我想要确保我的我的爱人能够享受生活中最美好的东西。</t>
  </si>
  <si>
    <t>我的龙纹家族就是我的家人，我愿意为我的家人做任何事。</t>
  </si>
  <si>
    <t>我爱上了另一个龙纹家族的人，但是这种关系是禁忌的。</t>
  </si>
  <si>
    <t>我爱的人被自己家族中的敌对派别杀害了，我决心报仇。</t>
  </si>
  <si>
    <t>我并不关心家族整体如何，但我愿意为我的老导师做任何事。</t>
  </si>
  <si>
    <t>我相信我的家族需要进化才能生存，而我需要引领这个变化。</t>
  </si>
  <si>
    <t>我决心给家族中的领导留下深刻的印象，并借此上位。</t>
  </si>
  <si>
    <t>职责</t>
  </si>
  <si>
    <t>采购</t>
  </si>
  <si>
    <t>研发</t>
  </si>
  <si>
    <t>安保</t>
  </si>
  <si>
    <t>恐吓</t>
  </si>
  <si>
    <t>探索</t>
  </si>
  <si>
    <t>谈判</t>
  </si>
  <si>
    <t>地下活动</t>
  </si>
  <si>
    <t>利爪座</t>
  </si>
  <si>
    <t>欺瞒、表演</t>
  </si>
  <si>
    <t>一种乐器、盗贼工具</t>
  </si>
  <si>
    <t>傻笑歌谣</t>
  </si>
  <si>
    <t>像其他自由斗士一样，你知道如何找到藏身之处。在集会海岸或敦达里安帝国中任何人口过万的城市中，你都可以在当地最大的酒馆或旅店中演奏傻笑歌谣暗示自己的身份，之后将有当地金色笑脸的同志联络你并为你和你愿意信任的同伴提供庇护所。如果DM认为隐藏你过于危险也可以决定废弃庇护所。这个特性使用时必须谨慎，因为知道这首歌曲的人除了你的战友，还可能会是叛徒、特务、或是其他独裁者的走狗。</t>
  </si>
  <si>
    <t>我喜欢聚光灯，大家快看我！</t>
  </si>
  <si>
    <t>请我一杯，咱俩就是朋友了。</t>
  </si>
  <si>
    <t>多讲讲你自己，我是最棒的倾听者。</t>
  </si>
  <si>
    <t>我讨厌开战，我只喜欢停止它们。</t>
  </si>
  <si>
    <t>我很难坐的住。</t>
  </si>
  <si>
    <t>我总是哼着我过去的老歌。</t>
  </si>
  <si>
    <t>当我没有遇到好事时就会很难过。</t>
  </si>
  <si>
    <t>我幸运到你不敢相信。</t>
  </si>
  <si>
    <t>革命：推翻暴政，不论代价。</t>
  </si>
  <si>
    <t>同情：勿以善小而不为，小善积而为大善。</t>
  </si>
  <si>
    <t>正义：建立在正义基础上的国家将维护所有人的自由。</t>
  </si>
  <si>
    <t>表达：音乐、欢乐、以及笑容是通往自由的钥匙。</t>
  </si>
  <si>
    <t>自主：人们应该随心所欲。</t>
  </si>
  <si>
    <t>警惕：自由的人民需要认真的教导，以免走上歧路。</t>
  </si>
  <si>
    <t>敦达里安帝国的特工害我失去了重要的人，那个政权必须被摧毁。</t>
  </si>
  <si>
    <t>最先受到这场战争伤害的将会是普通民众，我需要保护他们。</t>
  </si>
  <si>
    <t>音乐帮我度过了人生中的黑暗时期，现在该是我用音乐改变世界了。</t>
  </si>
  <si>
    <t>我将被称为有史以来最伟大的谍报员。</t>
  </si>
  <si>
    <t>我认为每个人的生命都是宝贵的，所以我在改变世界的过程中不会去制造伤亡。</t>
  </si>
  <si>
    <t>象牙塔里的精英并不理解我们的苦难，我会让他们明白的。</t>
  </si>
  <si>
    <t>我这辈子从不撒谎，这句当然也不是，我才没心虚！</t>
  </si>
  <si>
    <t>成大事者不拘小节！这话有问题吗？</t>
  </si>
  <si>
    <t>在战争中当一名地下工作者非常难过，我见识了太多的苦难，已经快被折磨疯了。</t>
  </si>
  <si>
    <t>我难以专注于任务，随时都想畅饮、高歌、玩个痛快！</t>
  </si>
  <si>
    <t>对，这是我的真名，我还是金色笑脸的卧底，谁在乎什么潜伏不潜伏的？</t>
  </si>
  <si>
    <t>我不相信任何人，任·何·人。</t>
  </si>
  <si>
    <t>偏好乐曲</t>
  </si>
  <si>
    <t>赞斯归来：一首描绘正直统治者终将出现的充满希望的塔尔多雷民谣，可以用来寻找潜在的盟友</t>
  </si>
  <si>
    <t>大火烧遍海岸：一首讲述炸沉海盗船的喧闹的克洛维斯联会战斗小调，可以用来激励战斗</t>
  </si>
  <si>
    <t>嘘！前方有龙：一首回忆红龙“灰烬王”入侵后恐怖日子的塔尔多雷民歌，可以用来提醒谨言慎行</t>
  </si>
  <si>
    <t>让剑生锈吧：一首传唱故事已无法确定的反战的马奎特颂歌，可以用来平息暴力冲突</t>
  </si>
  <si>
    <t>李哥继续喝：一首嘲笑喝高的少年们在断片后偷渡上船的集会海岸轮舞曲，可以用来劝告在交际时保持清醒</t>
  </si>
  <si>
    <t>翡翠火焰的挽歌：一首据称包含众多晦涩诗句的精灵歌曲，可以用前两节来传播死亡或失败的信息</t>
  </si>
  <si>
    <t>弄臣座</t>
  </si>
  <si>
    <t>影子网络</t>
  </si>
  <si>
    <t>你可以通过使用影子网络与其他成员进行远距离的通信，如果你用一种特殊的奥术墨水书写信件和地址，并将信投入火中，它将会在烧尽后直接出现在收件特工的身上。
类似法师们抄写魔法书时的墨水成本，通过这种墨水所写的每封信也需要花费10GP。</t>
  </si>
  <si>
    <t>我不愿向他人透露心事。</t>
  </si>
  <si>
    <t>我沉迷恶习，自我麻痹。</t>
  </si>
  <si>
    <t>我抛弃所有情感来获得平静。</t>
  </si>
  <si>
    <t>往事不断在我的脑海中徘徊，让我不得安宁。</t>
  </si>
  <si>
    <t>我总是说话算话，除非我受命违背承诺。</t>
  </si>
  <si>
    <t>我从不把冒犯当回事，总是一笑了之。</t>
  </si>
  <si>
    <t>命令：国王的意志是绝对的。</t>
  </si>
  <si>
    <t>真正的忠诚：三头犬密会至高无上，国王也无法与之相比。</t>
  </si>
  <si>
    <t>死亡：背叛者死。</t>
  </si>
  <si>
    <t>坚定：我永远不可以失败。</t>
  </si>
  <si>
    <t>恐惧：权利是用来让人恐惧的而不是尊重的。</t>
  </si>
  <si>
    <t>逃避：我为这个邪恶的组织犯下了无法弥补的罪行，只为了逃避自己的生活。</t>
  </si>
  <si>
    <t>工作是我的一切，我会奋斗到底。</t>
  </si>
  <si>
    <t>我把同袍看的比命令和一切都更重要，我愿意为他们赴汤蹈火。</t>
  </si>
  <si>
    <t>我做的一切都是为了保护身边的某个人。</t>
  </si>
  <si>
    <t>帝国的崩溃将导致整个文明社会堕入混乱和野蛮，我要不惜任何代价阻止这种事。</t>
  </si>
  <si>
    <t>为了减轻后脑的疼痛我一直喝酒。</t>
  </si>
  <si>
    <t>一旦见血我就会变得有点疯狂。</t>
  </si>
  <si>
    <t>被我杀害的人的脸和声音总会在我身边出现，我无法摆脱他们的冤魂。</t>
  </si>
  <si>
    <t>我会尽一切努力让隐瞒自己的身份，避免任何人从我的失误中看出，或从我在乎的人身上知道。</t>
  </si>
  <si>
    <t>悲剧</t>
  </si>
  <si>
    <t>弑亲：通过欺骗或操纵，伏击者让你杀害了自己的至亲。</t>
  </si>
  <si>
    <t>失忆：你被迫学习有害身心的魔法，以致在走火入魔之后失去了过去的记忆。</t>
  </si>
  <si>
    <t>被俘：你被克灵王朝俘虏并残遭折磨，勉强才逃了出来。</t>
  </si>
  <si>
    <t>饥荒：一场使植物全部枯萎的可怕疫病席卷了你的家乡，你的亲人朋友大多没有活下来，你也仅仅是勉强没有饿死。</t>
  </si>
  <si>
    <t>毁容：你的样貌在一场出了大错的复杂实验中遭到了严重的伤害，在那之后，除了伏击者之外的其他人都对你避之不及。</t>
  </si>
  <si>
    <t>变故：你原本是个富家子弟，但仿佛一刹那间，家里就已经破产了。</t>
  </si>
  <si>
    <t>察觉、表演</t>
  </si>
  <si>
    <t>攀亲带故</t>
  </si>
  <si>
    <t>你曾被引荐给许多有权势的人，其中一部分人可能还对你有些印象。如果你的DM同意，你可以从战役的主要人物那里争取到一些额外的协助。另外普通人也会敬重你，你也许可以用家族的故事交换免费的一餐或一宿免费的住宿。</t>
  </si>
  <si>
    <t>我永远无法摆脱父母的名气，没人理解我的负担。</t>
  </si>
  <si>
    <t>我已经见识了很多的冒险生活，对同龄人有更合理的预期和共鸣。</t>
  </si>
  <si>
    <t>实现家族的期待很困难，但我会为之努力。</t>
  </si>
  <si>
    <t>我已经习惯了最好的生活，很难打破这种舒适圈。</t>
  </si>
  <si>
    <t>父母教育我要有责任感，即使会对我不利的情况下我也努力坚持这一点。</t>
  </si>
  <si>
    <t>没人能像我一样擅长虚伪的客套。</t>
  </si>
  <si>
    <t>从我学会走路起，我就一直被父母带着冒险，所以让我来给你解释一些常识。</t>
  </si>
  <si>
    <t>击败敌人（并拿走战利品）值得冐任何风险。</t>
  </si>
  <si>
    <t>权力：取得成功的唯一方法就是紧抓权力绝不松手。</t>
  </si>
  <si>
    <t>和平：那些能在乱世中寻得或是创造和平的人已经有了一切。</t>
  </si>
  <si>
    <t>名声：我已经看到了名声可能带来什么，我会尽一切努力去争取这些。</t>
  </si>
  <si>
    <t>训练：努力工作、自我牺牲、以及坚持训练将会带来成功，并最终臻于化境。</t>
  </si>
  <si>
    <t>低调：我想在成功之后归隐故园，将自己与整个世界隔离开来。</t>
  </si>
  <si>
    <t>智慧：物质财富如过眼云烟，只有智慧才是真正的财富。</t>
  </si>
  <si>
    <t>当父母在外冒险时，是奶妈养大了我，对我来说她比任何人更重要。</t>
  </si>
  <si>
    <t>父母昔日冒险团队中的每个人都像我的家人一样。</t>
  </si>
  <si>
    <t>尽管缺席了我的成长，但我依然爱着善良和蔼的父母，我希望让他们以我为傲。</t>
  </si>
  <si>
    <t>父母曾经将一个被诅咒的魔法道具带回家，我一直希望找到解除方法。</t>
  </si>
  <si>
    <t>我童年居住的家中有我一切的美好回忆，对它的维护是我最重视的事情。</t>
  </si>
  <si>
    <t>从幼时起，我一直有个可以永远信赖的幻想朋友，到现在它依然陪伴着我。</t>
  </si>
  <si>
    <t>你根本不知道我经历了什么，你也永远体验不到。</t>
  </si>
  <si>
    <t>嘿，把我的斗篷拿过来，顺便给我揉揉脚。</t>
  </si>
  <si>
    <t>我的战友很勇敢，但只有独自战胜威胁才能证明我的价值。</t>
  </si>
  <si>
    <t>那个咒语啊，是用我父母最好的朋友命名的，要不要我给你讲讲他们的故事啊？</t>
  </si>
  <si>
    <t>美好的生活已停留在过去，前方的道路只剩下辛劳、痛苦、以及死亡。</t>
  </si>
  <si>
    <t>你要自己照顾好自己，其他人都指望不上。</t>
  </si>
  <si>
    <t>供应链</t>
  </si>
  <si>
    <t>从你开始经商起，你就一直与贸易伙伴们保持着联系，当你需要获取某些信息或物品时他们可能会助你一臂之力。</t>
  </si>
  <si>
    <t>过去的我没有成功所需的铁石心肠，但将来的我不会再心慈手软了。</t>
  </si>
  <si>
    <t>即使我的对手都认为我又聪明又善良，这些特质应该会有利于我。</t>
  </si>
  <si>
    <t>有自制力才能成功。</t>
  </si>
  <si>
    <t>客户永远是对的。</t>
  </si>
  <si>
    <t>我曾经为了利益不择手段，偷工减料或者不遵守交易条款，所以我才失败了。</t>
  </si>
  <si>
    <t>每当我想到一个主意，就会一门心思的实现它，哪怕这个主意很糟糕。</t>
  </si>
  <si>
    <t>如果我能和所有人做朋友，就会永远有人帮助我。</t>
  </si>
  <si>
    <t>我既不适合做商人也不愿意冒险，所以之前才会失败，但我还是为了钱不得不继续。</t>
  </si>
  <si>
    <t>生存：活着就有希望，只要我能活下来并保持变通的心态，我就会成功。</t>
  </si>
  <si>
    <t>慷慨：我失意的时候人们帮助了我，现在我已经重新站起来了，该我帮助别人了。</t>
  </si>
  <si>
    <t>激进：谨慎曾经让我在事业上一事无成，以后我不会再让它阻碍我了。</t>
  </si>
  <si>
    <t>财富：只要有足够的钱我就可以买到一切：不管是舒适的生活、还是权力和知识、甚至是永恒的生命，所以我不会让任何事物阻止我去赚钱。</t>
  </si>
  <si>
    <t>稳定：商业贸易对我来说太混乱了，我需要一个类似冒险家一样的稳定职业。</t>
  </si>
  <si>
    <t>救赎：很多人觉得我已经是个失败者了，我要证明他们是错的。</t>
  </si>
  <si>
    <t>家人是我的一切。我之前对不起他们，以后我再也不会失败了。</t>
  </si>
  <si>
    <t>我的教会提供了我与神的联系，所以我必须确保它受到保护和资助。</t>
  </si>
  <si>
    <t>我之前的生意伙伴生病了，然后我们的生意也失败了，我需要从新事业的收益中拿出一部分去照顾他的家庭。</t>
  </si>
  <si>
    <t>没有人会跟我一辈子，只有武器或魔杖永远陪伴着我，所以我要好好保养我的装备。</t>
  </si>
  <si>
    <t>虽然我的生意失败了，但社区里的同胞还是对我很好，所以我将竭尽全力保护他们。</t>
  </si>
  <si>
    <t>我欠了一个危险的人一大笔债，只有哄他高兴我才不用立刻还款。</t>
  </si>
  <si>
    <t>下个城镇我就能用铜板买的东西为什么要现在就用金币买？</t>
  </si>
  <si>
    <t>我必须拥有最好的一切，现在就要。</t>
  </si>
  <si>
    <t>你连我都没听说过？那一定是因为你是个无知的下等人。</t>
  </si>
  <si>
    <t>虽然我失败了，但我还是最棒的，别人之所以成功只是因为靠不正当竞争或者该死的运气而已。</t>
  </si>
  <si>
    <t>我觉得大多数人都是值得信赖的，唉？谁把我的小包偷走了？</t>
  </si>
  <si>
    <t>只有同伴能帮我抵挡危险，所以我要把他们推到前面。</t>
  </si>
  <si>
    <t>欺瞒、洞悉</t>
  </si>
  <si>
    <t>永远不要告诉我赔率</t>
  </si>
  <si>
    <t>胜算和概率是你的谋生之道。在修整期活动中，如果DM同意，你可以知道哪种选择是最好的，或者哪些选择好过头了。</t>
  </si>
  <si>
    <t>我为一切情况都做好预案，算无遗策。</t>
  </si>
  <si>
    <t>每一分钱都希望身价倍增，每次下注都是一个机会。</t>
  </si>
  <si>
    <t>我是幸运女神的宠儿，我做什么都注定成功。</t>
  </si>
  <si>
    <t>我在赌博中输了太多，以致我不敢再在其他任何事情上花钱。</t>
  </si>
  <si>
    <t>世事无常，懦夫才会提前计划。</t>
  </si>
  <si>
    <t>我已经记不清欺骗过哪些人或击败过哪些人，所以我在公共场所都会保持低调。</t>
  </si>
  <si>
    <t>完美的赌注就在某个地方，我只需要发现它。</t>
  </si>
  <si>
    <t>我已经戒赌了，但只要有诱惑我就可能又会回到赌桌上。</t>
  </si>
  <si>
    <t>知识：知识就是力量，知道什么东西赢面大是最重要的。</t>
  </si>
  <si>
    <t>命运：命里有时终须有，命里无时莫强求。</t>
  </si>
  <si>
    <t>勇敢：想成功必须要冒险。</t>
  </si>
  <si>
    <t>生存：活着才有机会胜利，所以运气不好的时候可以先退避。</t>
  </si>
  <si>
    <t>可靠：过去我曾依赖别人，将来我希望可以成为别人的依靠。</t>
  </si>
  <si>
    <t>胜利：胜负是衡量一个人的唯一标准。</t>
  </si>
  <si>
    <t>有个人欠我很多钱，为了收回债务我得确保他活着。</t>
  </si>
  <si>
    <t>我对教会我赌博的家人/朋友忠心耿耿。</t>
  </si>
  <si>
    <t>救我脱离赌瘾的人是我的再生父母。</t>
  </si>
  <si>
    <t>之前有人赞助我一笔启动资金，现在我欠他一个人情，还有一笔说好分给他的利润。</t>
  </si>
  <si>
    <t>我之前效力的犯罪组织对我的离开很不满意，现在他们的打手正在找我。</t>
  </si>
  <si>
    <t>流浪儿曾经帮助我获得胜利，现在我希望能帮助他们不要再流落街头。</t>
  </si>
  <si>
    <t>我做不到及时收手，哪怕是其他人都警告了我之后。</t>
  </si>
  <si>
    <t>我只会同情我的朋友，但我不觉得谁是朋友。</t>
  </si>
  <si>
    <t>你觉得我们有麻烦了么？要不是我本来事情还会更糟糕的。</t>
  </si>
  <si>
    <t>你会借我一点钱吧？我会保证双倍还你的！</t>
  </si>
  <si>
    <t>我过去跟你一样也有缺点，现在我来告诉你怎么改善自己吧。</t>
  </si>
  <si>
    <t>我其实很善于赌博，只是逻辑和数学思维有点欠缺罢了。</t>
  </si>
  <si>
    <t>医药、游说</t>
  </si>
  <si>
    <t>法律术语</t>
  </si>
  <si>
    <t>你在当地的法律实践经验使你对法律制度的来龙去脉有了清晰的认识。即使法律实际对你不利，你也可以通过使用一些晦涩的措辞（比如“不法行为不产生权利”或是“任何人不因思想受处罚”）来吓唬对方，让他们以为你很懂行。对于那些不懂法律的普通人，你可以通过威吓或欺瞒来获得帮助或特殊待遇。</t>
  </si>
  <si>
    <t>我简直不敢相信我能有机会加入艾奎兹玄有限责任公司，我将享受这种乐趣！</t>
  </si>
  <si>
    <t>我一直受到不公平的对待，我觉得全世界都欠我的。</t>
  </si>
  <si>
    <t>我总是尽人事以听天命。</t>
  </si>
  <si>
    <t>法律不保护诚实和勤奋的人，我要尽我所能的去纠正它。</t>
  </si>
  <si>
    <t>我总在错误的时间出现在错误的地点。</t>
  </si>
  <si>
    <t>我的上司比我更聪明更机灵，所以他让我做什么我就做什么。</t>
  </si>
  <si>
    <t>我的座右铭是“不要错过任何赚快钱的机会”</t>
  </si>
  <si>
    <t>我觉得众神不再眷顾我了。</t>
  </si>
  <si>
    <t>公正：违法的人都需要为自己的罪行负责。</t>
  </si>
  <si>
    <t>自由：每个人都有做自己想做的事和追求自己想达成的梦想的自由。</t>
  </si>
  <si>
    <t>贪婪：我看到每个人都得到了他们想要的，所以我无疑也会得到我想要的。</t>
  </si>
  <si>
    <t>混乱：你违反了规章！你们也违反了规章！全世界都违反了规章！</t>
  </si>
  <si>
    <t>谦逊：我只是集体中的一份子，大家都是。</t>
  </si>
  <si>
    <t>责任：我们都有自己需要扮演的角色，我会坚持到底。</t>
  </si>
  <si>
    <t>我将同一场事故中的其他受害者视为家人，我会确保他们得到照料。</t>
  </si>
  <si>
    <t>这地方的统治者对我很好，我将终生效忠于他。</t>
  </si>
  <si>
    <t>父母一直为我操心，但我会让他们以我为傲。</t>
  </si>
  <si>
    <t>唯一重要的人是付我工资的那个。</t>
  </si>
  <si>
    <t>公司的其他新员工是我的盟友，我们互相支持。</t>
  </si>
  <si>
    <t>我的法律顾问是我最好的朋友，他们辛勤的工作才为我争取到这个机会。</t>
  </si>
  <si>
    <t>不劳而获才是最好的。</t>
  </si>
  <si>
    <t>一头牛就可以换来三颗魔豆，听起来很值呀！</t>
  </si>
  <si>
    <t>我只有一个恶习，但它已经控制了我的生活。</t>
  </si>
  <si>
    <t>弱者才需要休息，为了准备好迎接未来的挑战，我们需要不断的精进自己的能力。</t>
  </si>
  <si>
    <t>除非我的事迹在全国每个酒馆都被传唱，否则我都无法满足。</t>
  </si>
  <si>
    <t>如果谁让我不快，那一定是对方的错。</t>
  </si>
  <si>
    <t>历史、调查</t>
  </si>
  <si>
    <t>内部线人</t>
  </si>
  <si>
    <t>你和前雇主或过去的工作伙伴还保持着联系，如果DM同意，你可以和他们交流一些信息。</t>
  </si>
  <si>
    <t>前雇主不把我当回事，现在我会尽我所能来赢得重视。</t>
  </si>
  <si>
    <t>工作固然重要，但与同事建立人际关系更为重要。</t>
  </si>
  <si>
    <t>工作是我的全部，我才不需要放松、爱好、或者社交生活。</t>
  </si>
  <si>
    <t>我不是最优秀或最有前途的，但如果我把自己的潜力发挥到极致，依然能克服任何困难。</t>
  </si>
  <si>
    <t>我之前的老板是个白痴，上一个也是，再上一个还是，我相信这肯定是个巧合。</t>
  </si>
  <si>
    <t>这家公司比我之前那家好多了，只要我还在这任职，我会一直觉得这里是最好的。</t>
  </si>
  <si>
    <t>我知道这把匕首是公司财产，但我相信没人在意它还在不在，这个烧瓶也是，还有这件盔甲。</t>
  </si>
  <si>
    <t>我升职加薪只是时间问题，我只需要上恭下倨就行。</t>
  </si>
  <si>
    <t>晋升：在组织里可以更容易地获得金钱和权力。我计划尽可能多地获益。</t>
  </si>
  <si>
    <t>体系：当你在一个系统里循规蹈矩的工作时，生活将会更加稳定。</t>
  </si>
  <si>
    <t>不确定性：我周围越混乱，我就能找到越多的获利机会。</t>
  </si>
  <si>
    <t>公正：我无法忍受人们被不公正地对待，我会采取一切措施来阻止不公正的现象和那些藐视法律的人。</t>
  </si>
  <si>
    <t>知足：如果你不能享受生活中的美好，那么拼命工作赚钱又有什么用呢？</t>
  </si>
  <si>
    <t>权力：有钱是不错，但有权意味着你永远不用为失误道歉。</t>
  </si>
  <si>
    <t>我有一位需要帮助的家庭成员，我做什么之前都会先替他考虑。</t>
  </si>
  <si>
    <t>我的同龄人让我脚踏实地。</t>
  </si>
  <si>
    <t>我过去的错误让某人损失惨重，我必须要纠正回来。</t>
  </si>
  <si>
    <t>我的童年导师让我走上了现在的人生道路，如果我成功了，我想用某种方式回报他。</t>
  </si>
  <si>
    <t>我珍视对一群朋友的忠诚誓言，胜过我生命中的一切。</t>
  </si>
  <si>
    <t>我不善与人交往，我的宠物就是我的全世界。</t>
  </si>
  <si>
    <t>我知道什么最好，相信我。</t>
  </si>
  <si>
    <t>缺点？我没有缺点，我是完美的。</t>
  </si>
  <si>
    <t>我的忠诚是……很善变的。</t>
  </si>
  <si>
    <t>如果有任何错误，那肯定是别人犯的，听我详细的解释一下。</t>
  </si>
  <si>
    <t>对就是对，错就是错，没有中间地带。</t>
  </si>
  <si>
    <t>我的上级可能不喜欢你做的事，我将不得不把它写进我的报告。</t>
  </si>
  <si>
    <t>体操、运动</t>
  </si>
  <si>
    <t>胜利回响</t>
  </si>
  <si>
    <t>你过去的辉煌胜利使你赢得了教练、队友以及观众们的爱戴，当你访问主场周边100里内的任何社区时，都有50%的几率找到愿意为你提供情报或临时住所的粉丝。
你可以在冒险以外的时间参加比赛，使你得以维持舒适的生活而不需要付每日2GP的开销，可参考玩家手册第八章中的“专业实践”活动。</t>
  </si>
  <si>
    <t>不管是竞技还是搏斗，都能让我进入放空状态。</t>
  </si>
  <si>
    <t>我闲不住。</t>
  </si>
  <si>
    <t>我每天的训练雷打不动。</t>
  </si>
  <si>
    <t>有需要克服的障碍。</t>
  </si>
  <si>
    <t>我会主动帮助那些在奋斗的人。</t>
  </si>
  <si>
    <t>我喜欢和人交流笑话。</t>
  </si>
  <si>
    <t>只要去做，就要做到最好。</t>
  </si>
  <si>
    <t>我讨厌别人在我面前夸其他人。</t>
  </si>
  <si>
    <t>竞争：我在每件事上都会挑战自我。</t>
  </si>
  <si>
    <t>战胜：击倒对手是胜利中最爽的地方。</t>
  </si>
  <si>
    <t>友谊：竞争中建立的情谊是最坚固的。</t>
  </si>
  <si>
    <t>民众：我努力激励我的观众们。</t>
  </si>
  <si>
    <t>传统：所有比赛都要有规则，场地也必须合乎要求。</t>
  </si>
  <si>
    <t>成长：无论成败都会带来收获。</t>
  </si>
  <si>
    <t>队友就是我的家人。</t>
  </si>
  <si>
    <t>我要战胜对手来证明我才是更强的那个。</t>
  </si>
  <si>
    <t>我的失误害别人受了伤，我再也不会重复相同的错误。</t>
  </si>
  <si>
    <t>为了家族的荣耀，我要成为第一。</t>
  </si>
  <si>
    <t>教练是我最重要的人。</t>
  </si>
  <si>
    <t>我努力让自己符合楷模应有的形象。</t>
  </si>
  <si>
    <t>我沉溺于某种威胁到我名誉或健康的恶习。</t>
  </si>
  <si>
    <t>我为了胜利不择手段。</t>
  </si>
  <si>
    <t>我对任何输给我或不敢和我比的人不屑一顾。</t>
  </si>
  <si>
    <t>旧伤的疼痛挥之不去。</t>
  </si>
  <si>
    <t>我觉得对手的胜利都是因为作弊。</t>
  </si>
  <si>
    <t>我参加任何队伍都必须当队长。</t>
  </si>
  <si>
    <t>擅长项目</t>
  </si>
  <si>
    <t>马拉松</t>
  </si>
  <si>
    <t>长跑</t>
  </si>
  <si>
    <t>摔跤</t>
  </si>
  <si>
    <t>拳击</t>
  </si>
  <si>
    <t>赛马或赛车</t>
  </si>
  <si>
    <t>古希腊式搏击</t>
  </si>
  <si>
    <t>武装赛跑</t>
  </si>
  <si>
    <t>五项全能</t>
  </si>
  <si>
    <t>从奥秘、调查、宗教、求生中选择两项</t>
  </si>
  <si>
    <t>任选一门语言，另外从深渊语、天界语、深潜语、龙语、炼狱语、原初语、木族语、地底通用语中选择一项</t>
  </si>
  <si>
    <t>黑暗之心</t>
  </si>
  <si>
    <t>那些直视你的人将从你面对黑暗时波澜不惊的眼中看出你见识过多么难以想象的恐怖，尽管他们会感到害怕，但平民还是会对你表现出最大的善意并竭尽全力地帮助你，除非你显露出对他们有所威胁，否则民众甚至会在你独自面对敌人时拿起武器与你并肩作战。</t>
  </si>
  <si>
    <t>苦难事件</t>
  </si>
  <si>
    <t>一只怪物屠杀了数十名无辜者，却唯独留了你一命，而你也不知道是为什么。</t>
  </si>
  <si>
    <t>你出生时的主星是一颗黑暗星，你能感到它在悠远而冷漠的注视着你，甚至有时还会在午夜召唤着你。</t>
  </si>
  <si>
    <t>一个已经纠缠了你家过去数代人的鬼魂现在又找上了你，你不知道它的诉求，只知道它会一只跟着你。</t>
  </si>
  <si>
    <t>你的家族有练习黑魔法的传统，你却在第一次尝试时就觉得灵魂好像被什么恐怖的东西攫住了，于是立刻就惊恐的放弃了。</t>
  </si>
  <si>
    <t>在一个漆黑寒冷的夜晚中，一只恶鬼抓走了你的兄弟姐妹，而你却没能阻止它。</t>
  </si>
  <si>
    <t>你曾被诅咒变成狼人，之后又被治愈，但现在那些被你屠杀的无辜者却仍萦绕在你的脑海。</t>
  </si>
  <si>
    <t>一位鬼婆绑架了你并将你养大，虽然你后来逃了出来，但鬼婆仍在通过魔法控制着你并向你的头脑中灌输各种邪恶思想。</t>
  </si>
  <si>
    <t>你翻阅过一本写满诡异内容的鸿篇巨著，虽然事后你烧毁了它，但书中的图文仍在摧毁着你的神智。</t>
  </si>
  <si>
    <t>你在孩童时期被一个邪魔附身了，其他人将你锁了起来，你却逃了出来，现在邪魔仍寄生在你体内，而你则在努力封印它。</t>
  </si>
  <si>
    <t>为了对谋杀你爱人的凶手复仇，你做出了可怕的事情，你变成了一个怪物，而且它还一直出现在你的幻觉中。</t>
  </si>
  <si>
    <t>从洞悉、调查、察觉中选择两项</t>
  </si>
  <si>
    <t>官方调查</t>
  </si>
  <si>
    <t>你对于从人物和场景中获取有用情报有丰富的经验，通过花言巧语、不屈不挠、以及一些看起来像官方发布的文件的配合，你可以搞到与正在调查的罪案相关的地点或人员的访问许可，那些不参与你调查的人会避免对你或你的请求造成阻碍。此外地方执法机构也对你有坚定的看法，无论他们视你为麻烦精还是自己人。</t>
  </si>
  <si>
    <t>最初案例</t>
  </si>
  <si>
    <t>你的一位朋友被错误的指控谋杀，而你找到了真凶并证明了朋友的清白，也借此开启了你的侦探生涯。</t>
  </si>
  <si>
    <t>你被告知自己曾失踪了数周，但你被发现时并没有自己走失的记忆，所以现在你正在努力查明自己身上发生了什么。</t>
  </si>
  <si>
    <t>你帮助一个精魂找到它失踪的尸体并获得了安宁，从那以后，其他鬼魂也会慕名而来委托你协助他们获得安息。</t>
  </si>
  <si>
    <t>你发现了那些威胁你家的怪物是一位残忍的施法者的骗局，在那位施法者逃跑之后，你选择将揭露魔法骗局作为自己的事业。</t>
  </si>
  <si>
    <t>你曾遭遇诬告，在设法越狱之后，即使仍在遭到追捕，你也尽力尝试帮助其他人避免蒙受与你一样的遭遇。</t>
  </si>
  <si>
    <t>从一场因滥用魔法装置导致你家被摧毁的灾难中，你幸存了下来，一个秘密组织的成员发现了你，现在你加入了他们，一同追踪危险的超自然现象，并阻止它们造成损害。</t>
  </si>
  <si>
    <t>你发现了可以揭露某个神秘的阴谋集团的证据，但没有被任何人采信，你还在努力证明你获取的信息是真实的。</t>
  </si>
  <si>
    <t>你在一间专司调查地方执法机构无法解决的罪案的机构工作，你时常琢磨到底是真相还是工资更吸引你。</t>
  </si>
  <si>
    <t>历史、宗教</t>
  </si>
  <si>
    <t>衡鉴学徒</t>
  </si>
  <si>
    <t>你获得斯翠海文学徒专长，你必须选择衡鉴学院。</t>
  </si>
  <si>
    <t>1环：通晓语言、鉴定术
2环：借鉴才学、物件定位术
3环：死者交谈、灵体卫士
4环：秘法眼、塑石术
5环：焰击术、通晓传奇</t>
  </si>
  <si>
    <t>我靠着深奥的学问过活。我在日常对话中引用的历史典故越晦涩约好。</t>
  </si>
  <si>
    <t>我希望能在搜寻这些失落的神器的旅途上发现真正的自己。</t>
  </si>
  <si>
    <t>我每时每刻都在讨论我的研究。我脑子里装了那么多知识，得有地方倾泻出来。</t>
  </si>
  <si>
    <t>和死去的魂灵交谈比起和活人同学讲话有意思多啦。</t>
  </si>
  <si>
    <t>我说起历史的影响时雄辩有力。但是问我两位数的加法我头就晕了。</t>
  </si>
  <si>
    <t>到最后，只会剩下混乱无序。事物终有一天溃灭。</t>
  </si>
  <si>
    <t>粹丽学徒</t>
  </si>
  <si>
    <t>你获得斯翠海文学徒专长，你必须选择粹丽学院。</t>
  </si>
  <si>
    <t>1环：繁彩球、雷鸣波
2环：炽焰法球、动力短行
3环：加速术、水上行走
4环：行动自如、火墙术
5环：寒冰锥、召唤元素生物</t>
  </si>
  <si>
    <t>我是派对的中心人物，我希望当我踏进房门时，每个人的注意力都在我身上。</t>
  </si>
  <si>
    <t>两个星期前我被我最新的课题给迷住了。现在，我认为那是一堆垃圾，理当摧毁。</t>
  </si>
  <si>
    <t>我坚信每个人都有通过艺术表达他们真实自我的能力，我乐于暗中促使他们走上正确的方向。</t>
  </si>
  <si>
    <t>每个人都是评论家，我会努力让他们倾心于我。</t>
  </si>
  <si>
    <t>我对自己的艺术充满了强烈的厌倦感。没有东西能再提起我的兴趣了。</t>
  </si>
  <si>
    <t>与其安抚我的负面情绪，我更喜欢将它们变成艺术性的爆炸表演释放出来。</t>
  </si>
  <si>
    <t>奥秘、自然</t>
  </si>
  <si>
    <t>量析学徒</t>
  </si>
  <si>
    <t>你获得斯翠海文学徒专长，你必须选择量析学院。</t>
  </si>
  <si>
    <t>1环：纠缠术、曳光弹
2环：变巨/缩小术、涡旋翘曲
3环：活力灵光、加速术
4环：操控水体、行动自如
5环：原力法阵、穿墙术</t>
  </si>
  <si>
    <t>当我发现一门我感兴趣的课程时，在我彻底理解它之前，我是不会停止学习的。这让我彻夜不眠。</t>
  </si>
  <si>
    <t>我希望有一天我能搞懂这一切。在那天到来之前，我会继续假装我懂了。</t>
  </si>
  <si>
    <t>方程式和模式自然而然的就流进我的脑海。要是交朋友有这么简单就好了。</t>
  </si>
  <si>
    <t>我坚信我就是屋子里最聪明的人。即使没人要求，我也会证明给大家看。</t>
  </si>
  <si>
    <t>如果说这些课程教会了我什么，那就是现实是谎言，什么事情都无所谓。所以还费什么劲呢？</t>
  </si>
  <si>
    <t>在我毕业之前，我希望做到些数学上不可能的事情。我必须留下一件遗产。</t>
  </si>
  <si>
    <t>威吓、游说</t>
  </si>
  <si>
    <t>银毫学徒</t>
  </si>
  <si>
    <t>你获得斯翠海文学徒专长，你必须选择银毫学院。</t>
  </si>
  <si>
    <t>1环：不谐低语、银光锐语
2环：安定心神、黑暗术
3环：希望信标、昼明术
4环：强迫术、困惑术
5环：支配人类、拉瑞心灵联结</t>
  </si>
  <si>
    <t>为了维持我的高端社交地位，我什么都能说。</t>
  </si>
  <si>
    <t>比起善意的谎言我更喜欢直言不讳，而且我也不怎么在乎伤到谁的感情。</t>
  </si>
  <si>
    <t>我相信提升我的地位是通往成功的最佳道路。</t>
  </si>
  <si>
    <t>我已经掌握了用幽默来防御的艺术，并且时时刻刻都准备着一个迷人的笑话。</t>
  </si>
  <si>
    <t>说话前我会先等等，分析当前情况我从何种角度展开对实现我的目标最有优势。</t>
  </si>
  <si>
    <t>没有人知道我为了让我的施法看起来易如反掌而通宵达旦了多少次，而且我将保持这种状态。</t>
  </si>
  <si>
    <t>靡华学徒</t>
  </si>
  <si>
    <t>你获得斯翠海文学徒专长，你必须选择靡华学院。</t>
  </si>
  <si>
    <t>1环：疗伤术、致伤术
2环：次级复原术、靡叶生华
3环：回生术、吸血鬼之触
4环：枯萎术、防死结界
5环：防活物护罩、高等复原术</t>
  </si>
  <si>
    <t>我喜欢配制新的配方，仅管有人可能接受不了我选择的材料。或是最终产品。或者两样都是。</t>
  </si>
  <si>
    <t>我的时尚感就如同我的花园：披靡，漆黑，怪异。</t>
  </si>
  <si>
    <t>如果我死前还能做最后一件事，那就是和这片沼泽里的每一个怪兽都交上朋友。</t>
  </si>
  <si>
    <t>万物终有一死，关键在于那天到来之前你做了什么。</t>
  </si>
  <si>
    <t>我知道我们才刚认识，但是，如果你死了，我可以拿走你的骨头吗？为了研究。</t>
  </si>
  <si>
    <t>别打搅我；我正在忧思。</t>
  </si>
  <si>
    <t>神性之遇</t>
  </si>
  <si>
    <t>你获得来自玩家手册中的魔法学徒专长，且在选择该专长中的职业时，你必须选择“牧师”一项
在星界海，你与一位流浪的神祇道路相会。这次相遇简短且友善，但仍给你留下了长久的影响。这位神祇觉得适合同你分享一个秘密或一点晦涩的宇宙知识。与你的DM合作，确定这些知识的细节及其对战役的影响
投掷神性之遇表来决定你遇见了哪一位神祇，或和你的DM合作选取一个更恰当的选项</t>
  </si>
  <si>
    <t>流浪神祇</t>
  </si>
  <si>
    <t>柯瑞隆：艺术和魔法之神（混乱善良）</t>
  </si>
  <si>
    <t>泰摩拉：幸运之神（混乱善良）</t>
  </si>
  <si>
    <t>法兰恩：视野和旅行之神（中立善良）</t>
  </si>
  <si>
    <t>伊斯图丝：命运与宿命之神（绝对中立）</t>
  </si>
  <si>
    <t>努阿达：战争与战士之神（绝对中立）</t>
  </si>
  <si>
    <t>亦为林：睿智之神（绝对中立）</t>
  </si>
  <si>
    <t>安雯：生命与死亡之神（中立邪恶）</t>
  </si>
  <si>
    <t>赫卡忒：魔法与月亮之神（混乱邪恶）</t>
  </si>
  <si>
    <t>塞莱斯坦：繁星与流浪之神（绝对中立）</t>
  </si>
  <si>
    <t>布塔：知识与秘密之神（守序中立）</t>
  </si>
  <si>
    <t>领航工具、载具（宙运）</t>
  </si>
  <si>
    <t>荒宇适性</t>
  </si>
  <si>
    <t>你获得健壮专长。此外，你学会了如何适应失重。你的近战攻击检定不会因失重状态而具有的劣势</t>
  </si>
  <si>
    <t>近距离遭遇</t>
  </si>
  <si>
    <t>眼魔</t>
  </si>
  <si>
    <t>宇宙恐怪</t>
  </si>
  <si>
    <t>惊怖魔</t>
  </si>
  <si>
    <t>月亮龙</t>
  </si>
  <si>
    <t>夺心魔</t>
  </si>
  <si>
    <t>纳-萨古</t>
  </si>
  <si>
    <t>纽吉怪</t>
  </si>
  <si>
    <t>太空小丑</t>
  </si>
  <si>
    <t>吸血骇盗</t>
  </si>
  <si>
    <t>虚空独眼</t>
  </si>
  <si>
    <t>威吓、求生</t>
  </si>
  <si>
    <t>巨人语，另外任选一门语言</t>
  </si>
  <si>
    <t>巨人打击</t>
  </si>
  <si>
    <t>你获得巨人打击专长</t>
  </si>
  <si>
    <t>和比那些巨人相比，我比他们矮了多少，我就有多少嫉妒。</t>
  </si>
  <si>
    <t>我真想被当做一个已经成熟的成年人对待。但没人喜欢低着头对我说话！</t>
  </si>
  <si>
    <t>人来人往的地方令我不自在。比起什么小酒馆，我更喜欢居住在开阔的区域。</t>
  </si>
  <si>
    <t>我欣然接受了我体型矮小的事实。这能让我被人忽视——以及，被低估。</t>
  </si>
  <si>
    <t>任何雪崩都自一次微小的颤动。</t>
  </si>
  <si>
    <t>这个世界总是让我觉得一切都很大，这让我害怕我找不到我的位置。</t>
  </si>
  <si>
    <t>养子起源</t>
  </si>
  <si>
    <t>你在还是婴儿的时候就被一群游牧巨人收养，他们将你当做他们的同族孩童抚养。</t>
  </si>
  <si>
    <t>在你落下山崖断口时，一个石巨人家庭救下了你。自那以后，你便与它们一同居住在地下了。</t>
  </si>
  <si>
    <t>在你孩童时期，你曾在一个四处都是饥饿恐龙的密林中走丢（或被抛弃了）。在那，你遇到了一名与你有着相同遭遇的落单霜巨人。你们俩一起，在这座密林中活了下来。</t>
  </si>
  <si>
    <t>在一场巨人族群与族群之间的战斗中，你的农场被摧毁了，你的家人们也被杀死了。出于对破坏行为的内疚，一名富有同情心的巨人战士向你承诺会照顾你。</t>
  </si>
  <si>
    <t>在你孩童时期，你曾有过一系列的奇怪梦境。那之后，你那无比迷信的家长送你去跟一名强大但离群的风暴巨人圣贤一同学习。</t>
  </si>
  <si>
    <t>在你与朋友玩躲猫猫期间，你无意间闯入了一座云巨人的城堡。他二话不说的就领养了你。</t>
  </si>
  <si>
    <t>历史、察觉</t>
  </si>
  <si>
    <t>符文塑形者</t>
  </si>
  <si>
    <t>你获得符文塑形者专长</t>
  </si>
  <si>
    <t>学习这种几乎用不上的古老语言有用么？没。但这很有趣是吧？那当然。</t>
  </si>
  <si>
    <t>我发现我有一位祖先其实是一名名声远扬的符文雕刻者，但它的故事遗失在了漫长时间的长河中。我试图让这段传奇故事重现在当下。</t>
  </si>
  <si>
    <t>那些古老的、传统的符文工艺符号看上去是那么的无聊，为什么我不能给我的符文加点时髦的设计呢？</t>
  </si>
  <si>
    <t>在我研习符文期间，我时常在探寻伟大文明衰落的原因，以此预防悲剧再次发生在现在的人，与现在的社会上。</t>
  </si>
  <si>
    <t>生活也许就像一团混沌的狂风乱雨，但当我创造出我的符文后，那一切都无所谓了。</t>
  </si>
  <si>
    <t>我的大脑过载运转才能勉强挤出几个用墨水写的单词，但雕刻符文不一样，它让我感觉我的思想在唱歌。</t>
  </si>
  <si>
    <t>符文风格</t>
  </si>
  <si>
    <t>你用一根精致的金属针在蜡上、或在黏土上铭刻你的符文。</t>
  </si>
  <si>
    <t>你将小块的木头切削成木雕以用于承载你的符文。</t>
  </si>
  <si>
    <t>你将符文雕刻在玻璃珠子上，并将他们串成项链或是手镯。</t>
  </si>
  <si>
    <t>你将符文缝在衣物的褶边上。</t>
  </si>
  <si>
    <t>你在可以投掷的、形状大小一组骨头上刻下你的符文。</t>
  </si>
  <si>
    <t>你在蜡烛上绘出符文，再将蜡融化，填平蜡烛上的刻痕。</t>
  </si>
  <si>
    <t>游说、求生</t>
  </si>
  <si>
    <t>位面注能</t>
  </si>
  <si>
    <t>居住在门镇或类似门镇的地方使你长期浸泡在位面能量之下。你获得专长 外层位面后裔。此外，你熟知你成长的这座社区里哪里能找乐子，哪里有实惠的住宿，以及哪里有美食</t>
  </si>
  <si>
    <t>我对那些稀奇古怪的事件与异界生物见怪不怪。</t>
  </si>
  <si>
    <t>我觉得这才叫交易：一物换一物，空手换空手。</t>
  </si>
  <si>
    <t>我以一种罕见的腔调说话。</t>
  </si>
  <si>
    <t>我说话时总是带点其他位面的其他语言的单词或脏话。</t>
  </si>
  <si>
    <t>我已经见过太多次了，以至于我明白靠脸看人靠不住，所以我会仔细端详每一个人。</t>
  </si>
  <si>
    <t>我因我成长的门镇而获得了一项奇特的习性，像是在紧张的时候我会去摸摸铁器，或是非要把某些东西排顺不然就不舒服之类的。</t>
  </si>
  <si>
    <t>饰品</t>
  </si>
  <si>
    <t>一个小瓶子挂坠，里面装有一滴熠熠生辉的蜂蜜。</t>
  </si>
  <si>
    <t>一块小铅锭，但把手指按上去会留下奇怪的指纹，要是紧紧握住还会听到耳语。</t>
  </si>
  <si>
    <t>两块石灰岩小球，当它们互相靠近时会互相发出响声。</t>
  </si>
  <si>
    <t>一块烧红的煤块，它很烫，永远很烫，但也不会点燃皮肤、毛皮、兽皮、与衣物。</t>
  </si>
  <si>
    <t>一根散发着5尺半径微光光照的羽毛。</t>
  </si>
  <si>
    <t>一枚由锁链的一环制成的戒指，它——我是说，戴上后——几乎怎么扯都摘不下来。</t>
  </si>
  <si>
    <t>奥秘、宗教</t>
  </si>
  <si>
    <t>信念之力</t>
  </si>
  <si>
    <t>你获得专长 外层位面后裔。此外，你组织的成员会保证你在任何其他成员的房屋或组织的设施中的自由、住宿、与饮食。</t>
  </si>
  <si>
    <t>我可不信任何一个神。只要时间够，我也能和它们一样强大，或者比它们更强大。</t>
  </si>
  <si>
    <t>经验学识便是一切；活在当下。</t>
  </si>
  <si>
    <t>我能从任何东西崩坏后留下的尘埃中悟出新的哲理。</t>
  </si>
  <si>
    <t>生活井然有序，而我正在保持这种秩序。</t>
  </si>
  <si>
    <t>当别人搞什么大计划时，多元宇宙估计会笑话他们，当然，我也笑。</t>
  </si>
  <si>
    <t>我知道什么是正确的，但没有人站在我这边！</t>
  </si>
  <si>
    <t>装有我导师照片与一段我无法理解的铭文的吊坠小盒</t>
  </si>
  <si>
    <t>漂白的颅鼠头骨，它的眼眶内还被镶嵌了彩色的玻璃珠</t>
  </si>
  <si>
    <t>一大叠画有半套画谜的羊皮纸</t>
  </si>
  <si>
    <t>扭曲的刃藤编制而成的手镯</t>
  </si>
  <si>
    <t>锈迹斑斑的青铜刀剑的一块碎片</t>
  </si>
  <si>
    <t>一枚被遗忘的神明的损坏圣徽</t>
  </si>
  <si>
    <t>奥秘、洞悉</t>
  </si>
  <si>
    <t>奥秘、威吓</t>
  </si>
  <si>
    <t>奥秘、隐匿</t>
  </si>
  <si>
    <t>奥秘、察觉</t>
  </si>
  <si>
    <t>奥秘、求生</t>
  </si>
  <si>
    <t>奥秘、游说</t>
  </si>
  <si>
    <t>奥秘、表演</t>
  </si>
  <si>
    <t>奥秘、运动</t>
  </si>
  <si>
    <t>任选一项语言</t>
  </si>
  <si>
    <t>命运宠幸</t>
  </si>
  <si>
    <t>一个微小的益处反映出你那出人意料的好运。你获得幸运，魔法学徒，或者熟习专长（由你选择）。你所选择的专长即反映了改变了你生活的变化。与某位给予你三个愿望的巨灵的邂逅可能导致了由魔法学徒专长所展现的魔法力量。如果你以一次偶然的三龙牌局偿清了你所有的家庭债务，则可能代之以幸运专长。要不然就是，你可以用熟习专长来反映出你为争取到崭新命运，以及塑造由改变了你生活的力量所赐予的知识与能力而经受的各种考验。</t>
  </si>
  <si>
    <t>一个安全的家是其他任何事物得以建立的基础。（钥匙，王座）</t>
  </si>
  <si>
    <t>我被提升到了我以其他任何方式都无法达到的高度，而我不会滥用自己的运气（星辰，太阳）</t>
  </si>
  <si>
    <t>我试图成为他人的激励与快乐源泉。生活永远不会像你想的那么糟糕！（尤瑞艾莉，小丑）</t>
  </si>
  <si>
    <t>当其他的一切都失败了的那天，勇气与魄力仍可挑起大梁。（彗星，骑士）</t>
  </si>
  <si>
    <t>我的好运意味着我也还可以帮助其他人。（宝石，月亮）</t>
  </si>
  <si>
    <t>解决问题的第一步便是拥有正确答案，无论问题多么可怕。（命运，贤者）</t>
  </si>
  <si>
    <t>一个来自仰慕者的带香味的丝质头巾</t>
  </si>
  <si>
    <t>像蜡烛一样在黑暗中发光的水晶宝珠</t>
  </si>
  <si>
    <t>来自远方城市一位有影响力的人物的一封介绍与邀请函</t>
  </si>
  <si>
    <t>你未能恪守的一条格言或一个标志，刻在你装备的某处。</t>
  </si>
  <si>
    <t>一张平展的未见撕破与染污的纸牌，其上描绘着影响了你的那张卡牌。</t>
  </si>
  <si>
    <t>一个被设计为能与其另一半重新拼合的奖章的一半。</t>
  </si>
  <si>
    <t>隐匿、求生</t>
  </si>
  <si>
    <t>屹立不倒</t>
  </si>
  <si>
    <t>你已经受住了难以忍受的不幸，而你拥有着他人想象不到的隐藏储备。你获得警觉，熟习或健壮专长（由你选择）。你所选择的专长反映了你是如何处理永久改变了你命运的可怕损失。如果你对每个机会都保持着敏锐的感官并通过抓住最微小的希望以逃离痛苦深渊，则选择警觉专长。如果你加倍努力以夺回曾属于你的东西，则选择熟习专长。如果你硬生生地挺过了自己的厄运，则选择健壮专长。</t>
  </si>
  <si>
    <t>我已从过往中转变，而我努力在自己的新道路上过上好日子。（平衡，王座）</t>
  </si>
  <si>
    <t>每一寸光阴我都拒绝浪费。（尤瑞艾莉，头骨）</t>
  </si>
  <si>
    <t>既然我已战胜了一无所有，那我便可以从任何困境中存活。（愚者，废墟，鹰爪）</t>
  </si>
  <si>
    <t>我明白敌人们在与我抗衡，而我总是做好了最坏的准备。（火焰，浪客）</t>
  </si>
  <si>
    <t>我将每件事情都理解为我仍未弄清的一个更大的谜图的其中一部分。（谜题，星辰）</t>
  </si>
  <si>
    <t>我必须加倍弥补我已失去的如此多的时间。（城堡，虚空）</t>
  </si>
  <si>
    <t>一块曾受宠爱的传家宝的生锈碎片</t>
  </si>
  <si>
    <t>一张地契，但所有能够把它和你联系起来的所有名字及记录皆已模糊褪色。</t>
  </si>
  <si>
    <t>一个曾经充满了强大魔法的小玩意</t>
  </si>
  <si>
    <t>一张破损的有穿洞的卡牌，其正面描绘着影响了你的那张卡牌。</t>
  </si>
  <si>
    <t>一颗发黄的类人生物的牙齿，当其放置于枕头底下时，会发出神秘而恐惧的低语。</t>
  </si>
  <si>
    <t>一个来自曾经亲密但现在是敌人的某人的纪念品</t>
  </si>
  <si>
    <t>调查、宗教</t>
  </si>
  <si>
    <t>盗贼工具、一种工匠工具</t>
  </si>
  <si>
    <t>作为一个教会的审判官,你有权逮捕罪犯。如果没有其他当权者,你有权进行审判,甚至执行判决。然而，如果你滥用这种力量,你教会的上司可能剥夺你的权利。</t>
  </si>
  <si>
    <t>如果所有人都按照我说的做那么一切都能顺利度过。</t>
  </si>
  <si>
    <t>绝望是种我等不可承受的奢侈品。</t>
  </si>
  <si>
    <t>我已经前前后后读了圣拉班文本。</t>
  </si>
  <si>
    <t>在十分糟糕的情况下我也会努力往好的一面看。</t>
  </si>
  <si>
    <t>别人对我所忍受的惊惧表示认同或者感谢，那会让我感觉好些。</t>
  </si>
  <si>
    <t>我喜欢和一群强有力的朋友一起面对眼前的邪恶。</t>
  </si>
  <si>
    <t>我想看看恶徒因他们的邪恶引火烧身。</t>
  </si>
  <si>
    <t>当我清理世界的时候，我感觉罪恶也从我身上被净化。</t>
  </si>
  <si>
    <t>诚实：小小的欺骗铺平了通往大罪之路。</t>
  </si>
  <si>
    <t>虔诚：对天使的奉献和教会的仪式就是保护世界免受破坏的一切。</t>
  </si>
  <si>
    <t>秩序：艾维欣的法律是为了维护社会秩序——一切都各得其所。</t>
  </si>
  <si>
    <t>人道：人的生命应该被珍爱被保护以防夜之惊惧。</t>
  </si>
  <si>
    <t>知识：朝圣之路必经了解世界。</t>
  </si>
  <si>
    <t>惩罚：令无辜者受罚比令有罪者逃离他们应得之惩戒要好。</t>
  </si>
  <si>
    <t>瑟班是世界的心脏，就算内陆沦陷大教堂也必须屹立不倒。</t>
  </si>
  <si>
    <t>总有一天，我会对把我家人从我身边带走的怪物宣誓复仇。</t>
  </si>
  <si>
    <t>我的武器是我对我挚爱导师的全部回忆。</t>
  </si>
  <si>
    <t>我爱人的灵魂有时会对我说些什么</t>
  </si>
  <si>
    <t>我亲密的兄弟现在是个狼人</t>
  </si>
  <si>
    <t>一个路口教堂是我的精神家园。</t>
  </si>
  <si>
    <t>我因潜藏在我内心的狂野愤怒和嗜血欲望而陷入困境。</t>
  </si>
  <si>
    <t>我已经开始逐渐相信我处决过一个无辜的人。</t>
  </si>
  <si>
    <t>我享受我的声望地位胜过侍奉天使。</t>
  </si>
  <si>
    <t>我酗酒以忘掉我所见过的惊惧。</t>
  </si>
  <si>
    <t>我可能已经向恶魔许下了一个我不可能完成的诺言。</t>
  </si>
  <si>
    <t>无论要完成什么样的严峻任务我都会去做，因为我的灵魂已经迷失。</t>
  </si>
  <si>
    <t>问题1</t>
  </si>
  <si>
    <t>问题2</t>
  </si>
  <si>
    <t>问题3</t>
  </si>
  <si>
    <t>问题4</t>
  </si>
  <si>
    <t>问题5</t>
  </si>
  <si>
    <t>问题6</t>
  </si>
  <si>
    <t>对自己族人的忠诚驱使我投身战斗，让我变得强大而危险。</t>
  </si>
  <si>
    <t>先祖的精魂们呼唤我去执行一项重大的使命。</t>
  </si>
  <si>
    <t>某一天，我在战斗中失控了，就好像是有别的东西操纵着我的身体，迫使我杀掉每一个够得着的敌人。</t>
  </si>
  <si>
    <t>我曾踏上一趟灵魂之旅寻找自我，却找到了一个兽魂来引导、保护和激励我。</t>
  </si>
  <si>
    <t>我曾被闪电击中但活了下来，自那以后，体内涌现出一股崭新的力量，使我能够超越自己的极限。</t>
  </si>
  <si>
    <t>我必须用战斗来发泄自己的怒火，否则就有可能成为一个无差别的杀手。</t>
  </si>
  <si>
    <t>一条独狼身上的一簇毛，你在一次捕猎中和它成了朋友。</t>
  </si>
  <si>
    <t>智慧的萨满给你了三只鹰的羽毛，告诉你它们将决定你的命运。</t>
  </si>
  <si>
    <t>用年轻穴熊的爪子做成的项链，你还是个孩子的时候单杀了它。</t>
  </si>
  <si>
    <t>装着三块石头的小皮袋，代表了你的祖先。</t>
  </si>
  <si>
    <t>你杀死的第一只野兽的几块骨头，用彩色毛绳绑在一起。</t>
  </si>
  <si>
    <t>你的动物精魂形状的一块鸡蛋大小的石头，有一天出现在你的腰袋里。</t>
  </si>
  <si>
    <t>纹身</t>
  </si>
  <si>
    <t>纹在背肌上的展翅雄鹰。</t>
  </si>
  <si>
    <t>纹在手背上的洞熊之掌。</t>
  </si>
  <si>
    <t>纹在手臂上的族谱。</t>
  </si>
  <si>
    <t>纹在背上的麋鹿角。</t>
  </si>
  <si>
    <t>纹满整个手臂的动物精魂图案。</t>
  </si>
  <si>
    <t>纹在背上的狼的眼睛，可以帮助你看到并抵御邪恶的灵魂。</t>
  </si>
  <si>
    <t>迷信</t>
  </si>
  <si>
    <t>如果你搅扰死者的遗骸，就要再次承受他们一生的苦难。</t>
  </si>
  <si>
    <t>永远不要相信法师，尤其看起来友善的那些，他们都是伪装的魔鬼。</t>
  </si>
  <si>
    <t>矮人都是失去魂魄的行尸走肉，所以和其他不死生物一样生活在地底。</t>
  </si>
  <si>
    <t>神奇的东西都会带来麻烦，在魔法物品旁边一定不能放松警惕。</t>
  </si>
  <si>
    <t>穿越墓地时一定要穿银白色的衣服，以免遇到鬼上身。</t>
  </si>
  <si>
    <t>如果有精灵看着你的眼睛，她一定在试图读取你的内心。</t>
  </si>
  <si>
    <t>标记</t>
  </si>
  <si>
    <t>用丝巾包裹的一颗你之前受害者的牙齿。</t>
  </si>
  <si>
    <t>一张带有你签名的名片。</t>
  </si>
  <si>
    <t>你亲手绘制的受害者的炭笔素描。</t>
  </si>
  <si>
    <t>你最喜欢的花的花瓣。</t>
  </si>
  <si>
    <t>六滴血，要么是你的，要么是别人的。</t>
  </si>
  <si>
    <t>一个象牙雕刻模具，有一面上的点被换成了眼睛。</t>
  </si>
  <si>
    <t>刻有死神画像的铜币。</t>
  </si>
  <si>
    <t>一个小瓶子，里面装着几滴你引以为豪的自制啤酒。</t>
  </si>
  <si>
    <t>一句谜语、笑话、或是诗句。</t>
  </si>
  <si>
    <t>一张写着你从受害者身上取走的东西的借条。</t>
  </si>
  <si>
    <t>风格</t>
  </si>
  <si>
    <t>带毛皮衬里的双排扣西装，胸前还印有公司的商标。</t>
  </si>
  <si>
    <t>卡林珊顶级裁缝手工缝制的头巾。</t>
  </si>
  <si>
    <t>侧面刻有明显个人标志的软皮靴。</t>
  </si>
  <si>
    <t>用移位兽皮制成的西裤背带。</t>
  </si>
  <si>
    <t>金质的皮带扣，上面杂乱的画着矮人符文。</t>
  </si>
  <si>
    <t>定制的腰包挂在你的腰背部。</t>
  </si>
  <si>
    <t>造型时髦的眼镜。</t>
  </si>
  <si>
    <t>特殊染色的束腰外衣，展现出七彩缤纷的螺旋图案。</t>
  </si>
  <si>
    <t>有许多口袋的长大衣，肘部还用皮革打了补丁。</t>
  </si>
  <si>
    <t>金镶钻的牙套，钻石上还用古文雕有“盈利”两个字。</t>
  </si>
  <si>
    <t>反复尝试和汲取教训，唤醒了我潜在的吟游诗人能力。</t>
  </si>
  <si>
    <t>我颇有表演天赋，一位大师级的吟游诗人看中了我并以传统的方式训练了我。</t>
  </si>
  <si>
    <t>我加入了一个由学者和演说家组成的松散社团来学习新的表演技巧和魔法技巧。</t>
  </si>
  <si>
    <t>我感受到一种召唤，要去讲述勇士和英雄们的事迹，让他们在歌曲和故事中栩栩如生。</t>
  </si>
  <si>
    <t>我进入了最伟大的学院中的一所，学习古老的传闻、魔法的奥秘以及表演的艺术。</t>
  </si>
  <si>
    <t>某天我接触到了一件乐器，我马上就发现我能演奏它。</t>
  </si>
  <si>
    <t>拿手作品</t>
  </si>
  <si>
    <t>“三个弗拉宾尼斯”：一首关于身份错位和不受约束的欲望的下流歌曲。</t>
  </si>
  <si>
    <t>“蕈人圆舞曲”：孩子们特别喜欢的欢快调子。</t>
  </si>
  <si>
    <t>“阿斯摩蒂斯的黄金屁股”：一首戏剧性的诗，你声称灵感来源于你在地狱的私人拜访。</t>
  </si>
  <si>
    <t>“路斯坎海盗”：你在小时候被海盗劫持的第一手记录。</t>
  </si>
  <si>
    <t>“一个箍，两只鸽子，以及一头地狱猎犬”：一首恶搞某个无能贵族的滑稽诗。</t>
  </si>
  <si>
    <t>“蠢货在深渊”：一首关于一个小丑在恶魔间旅行的喜剧诗。</t>
  </si>
  <si>
    <t>一把大师手工制作的半身人小提琴。</t>
  </si>
  <si>
    <t>一把精灵制作的秘银号角。</t>
  </si>
  <si>
    <t>一把卓尔蜘蛛丝制成的齐特琴*（一种类似筝的乐器）。</t>
  </si>
  <si>
    <t>一面兽人鼓。</t>
  </si>
  <si>
    <t>一个木制的狂蛙人呱声盒。</t>
  </si>
  <si>
    <t>一把侏儒设计的竖琴。</t>
  </si>
  <si>
    <t>窘迫</t>
  </si>
  <si>
    <t>当你表演喜剧歌“大汤姆的狂欢”时--尽管你觉得发挥得很好--你和大汤姆引来一阵嘘声。</t>
  </si>
  <si>
    <t>日场演出时，马戏团的枭熊吓散了惊恐的人群。</t>
  </si>
  <si>
    <t>你的开场歌是你热衷的“沼喉怪之歌”，但这对普通人来说是场噩梦。</t>
  </si>
  <si>
    <t>你第一次也是最后一次公开演出是“纨绔子弟米尔特”。</t>
  </si>
  <si>
    <t>在舞台上你的假发着火了，你扔下了它--然后它点燃了舞台。</t>
  </si>
  <si>
    <t>在你演奏“星光小夜曲”的最后一节时，你因为失误坐在了你的鲁特琴上。</t>
  </si>
  <si>
    <t>辱骂</t>
  </si>
  <si>
    <t>你妈当初是不是把你扔了把胎盘养大了？</t>
  </si>
  <si>
    <t>谁给你选的衣服？石蛮盲族？</t>
  </si>
  <si>
    <t>你闻起来跟地狱犬的屁股似的。</t>
  </si>
  <si>
    <t>你差不多能派上半个人的用途。</t>
  </si>
  <si>
    <t>你们法术课是不是体育老师都没来直接改自习了？</t>
  </si>
  <si>
    <t>你性格差不多像冬狼一样温柔。</t>
  </si>
  <si>
    <t>你是我认识的老妖婆里最可爱的。</t>
  </si>
  <si>
    <t>把你扔穿刺者堆里你都不是最聪明的。</t>
  </si>
  <si>
    <t>你这身材我还以为是个小号的巨人。</t>
  </si>
  <si>
    <t>你的智慧浅薄到像个谭森浮碟。</t>
  </si>
  <si>
    <t>昨晚你是睡在战蜥人的窝里了么，还是说你身上平时就这味？</t>
  </si>
  <si>
    <t>我猜你是在战士学校学的法术，而且还经常缺课。</t>
  </si>
  <si>
    <t>格乌什创造你的时候闭着眼瞎捏的吧。</t>
  </si>
  <si>
    <t>我能看见你，但那头把你排泄出来的龙去哪了？</t>
  </si>
  <si>
    <t>你像被夺心魔采完脑之后一样聪明。</t>
  </si>
  <si>
    <t>眼魔和毒气孢子放一块你都分不出来。</t>
  </si>
  <si>
    <t>我估计你是白痴树上长出来的，但我还拿不准你是不是又被拖进过傻子林。</t>
  </si>
  <si>
    <t>你的长相问题不大，盖上全脸头盔就还能看。</t>
  </si>
  <si>
    <t>你对世界的助益跟茶话会上的兽人一样。</t>
  </si>
  <si>
    <t>我觉得你脸长的还没惧噬体好看。</t>
  </si>
  <si>
    <t>敌人</t>
  </si>
  <si>
    <t>一名在你违法后因为没抓住你而被解雇的前警卫队长。</t>
  </si>
  <si>
    <t>一名被你剽窃了歌曲和故事的前著名吟游诗人。</t>
  </si>
  <si>
    <t>一名被你绝妙骗术所欺骗的低级贵族</t>
  </si>
  <si>
    <t>一名受你欺骗而打破誓言的堕落圣武士。</t>
  </si>
  <si>
    <t>一名认为被你所害而失败的冒险队长。</t>
  </si>
  <si>
    <t>一位被你嫌弃没用而抛弃的原冒险同伴。</t>
  </si>
  <si>
    <t>一位你曾经伙同他人偷窃过的强大公会的会长。</t>
  </si>
  <si>
    <t>一位被你骗得泄露机密的政府官员。</t>
  </si>
  <si>
    <t>一位无辜被你卷入计划导致失去自己酒馆的前老板。</t>
  </si>
  <si>
    <t>一位无意中被你害到破产的高利贷者。</t>
  </si>
  <si>
    <t>一位侍奉神祇的超自然存在感召我成为神圣力量在世间的代行人。</t>
  </si>
  <si>
    <t>我见识了世上的恐怖和不公，为之深深触动而挺身与其对抗。</t>
  </si>
  <si>
    <t>我的神祇给我降下了明确无误的神迹，我抛弃一切侍奉祂。</t>
  </si>
  <si>
    <t>尽管一直虔诚，但我必须在完成巡礼之后才能理解对我的呼召真义为何。</t>
  </si>
  <si>
    <t>我曾在宗教机构服务，但我发现自己必须入世，将我信仰的声音传播到地上最黑暗的角落。</t>
  </si>
  <si>
    <t>我认识到我的神祇通过我来完成祂的工作，我服从祂，尽管我不知道为什么神祇选择了我。</t>
  </si>
  <si>
    <t>神庙</t>
  </si>
  <si>
    <t>你的神庙据说是你侍奉的神的神庙中现存最古老的。</t>
  </si>
  <si>
    <t>几名同盟的神明的侍奉者们都在此接受神明的引导。</t>
  </si>
  <si>
    <t>你来自一个以酿酒闻名的神庙。有的人说你闻起来就像是那里产的酒。</t>
  </si>
  <si>
    <t>你的神庙是一座堡垒，一个战斗祭祀的训练场。</t>
  </si>
  <si>
    <t>你的神庙和平而简朴，充满了菜园和朴素的牧师。</t>
  </si>
  <si>
    <t>你来自外层位面的神庙。</t>
  </si>
  <si>
    <t>纪念品</t>
  </si>
  <si>
    <t>圣徒的手指骨。</t>
  </si>
  <si>
    <t>金属装订的，讲述如何狩猎和毁灭地狱生物的书。</t>
  </si>
  <si>
    <t>猪哨子，可以让你回忆起你谦虚而被敬爱的老师。</t>
  </si>
  <si>
    <t>独角兽尾巴毛辫。</t>
  </si>
  <si>
    <t>讲述如何最好地消灭亡灵巫师的书。</t>
  </si>
  <si>
    <t>据说被神祝福的符文石。</t>
  </si>
  <si>
    <t>秘密</t>
  </si>
  <si>
    <t>一个小恶魔给你提供“忠告”，你试图无视它，但有时它的建议的确有用。</t>
  </si>
  <si>
    <t>你相信，归根结底，神明只是有超强力量的凡物。</t>
  </si>
  <si>
    <t>你承认神的力量，但是你认为大多数事情都纯属偶然。</t>
  </si>
  <si>
    <t>即使你可以使用神术，你从未真正感到自己内心圣洁本质的存在。</t>
  </si>
  <si>
    <t>神明因为你某些未知的错误而驱逐你的噩梦折磨着你。</t>
  </si>
  <si>
    <t>在绝望时，你认为你不过是诸神的玩物，你憎恨他们的高高在上。</t>
  </si>
  <si>
    <t>圣人腿骨制成的手杖。</t>
  </si>
  <si>
    <t>自助放纵工具包。</t>
  </si>
  <si>
    <t>圣水酿造啤酒。</t>
  </si>
  <si>
    <t>梵天神侍羽翼制作的书签。</t>
  </si>
  <si>
    <t>神灵亲笔签名的圣徽。</t>
  </si>
  <si>
    <t>摩擦生香的圣象。</t>
  </si>
  <si>
    <t>异界神侍剃须刀。</t>
  </si>
  <si>
    <t>下流话未经删减的原版圣经。</t>
  </si>
  <si>
    <t>仪式</t>
  </si>
  <si>
    <t>15分钟的神圣健美操。</t>
  </si>
  <si>
    <t>手写未来24小时的详细日程表。</t>
  </si>
  <si>
    <t>静坐15分钟，并对所有发出噪音的人大喊“闭嘴！”</t>
  </si>
  <si>
    <t>睡一小时回笼觉，你的神告诉这你没问题。</t>
  </si>
  <si>
    <t>在临时祭坛上烧香点烛，同时背诵你的誓言。</t>
  </si>
  <si>
    <t>温习战斗时的形态和姿势。</t>
  </si>
  <si>
    <t>用你手头的随便什么材料制造一个你所信奉的新的神像。</t>
  </si>
  <si>
    <t>狂饮葡萄酒。（并坚称这是圣餐）</t>
  </si>
  <si>
    <t>关系</t>
  </si>
  <si>
    <t>你的神附身了你并通过你的嘴来说话，所以你需要其他人来记笔记。</t>
  </si>
  <si>
    <t>你能从生物的运动、天气的变化、建筑物的形状等各种小事中看到神的预兆。</t>
  </si>
  <si>
    <t>在私底下，你对神强加给你的重担抱怨不休。</t>
  </si>
  <si>
    <t>你时常怀疑自己是否配得上神的恩赐。</t>
  </si>
  <si>
    <t>你确定你的神并非全知，毕竟他们显然不知道你到底在干嘛。</t>
  </si>
  <si>
    <t>你的神赐给你力量，于是你愿以一切换得他的荣耀。</t>
  </si>
  <si>
    <t>其他牧师对你的神的爱都比不上你。</t>
  </si>
  <si>
    <t>你从小信教，但你只在节假日才去教堂。</t>
  </si>
  <si>
    <t>你和你的神同喜同悲。</t>
  </si>
  <si>
    <t>你陷入了买家懊悔，你一直想搞清你到底有没有选对神。</t>
  </si>
  <si>
    <t>我见到荒野遍体鳞伤，美丽的自然被掠夺殆尽。我加入了德鲁伊结社，对大自然的敌人以牙还牙。</t>
  </si>
  <si>
    <t>我逃离了一场大劫，在德鲁伊中找到了安身立命的地方。</t>
  </si>
  <si>
    <t>我与动物之间总是很亲近，所以我继续探寻自己的天赋，看如何才能最好的使用它。</t>
  </si>
  <si>
    <t>我有个德鲁伊朋友，我被其德鲁伊教义触动，打算跟随朋友的指引，回馈这个世界。</t>
  </si>
  <si>
    <t>从小我就能看到四周的精魂，但没有其他人能感受到这些东西的存在。我找到德鲁伊们来帮我理解这些景象并与这些存在交流。</t>
  </si>
  <si>
    <t>我一直对那些非自然的生物感到厌恶。因此我潜心学习德鲁伊教的奥秘，成为了一名自然秩序的捍卫者。</t>
  </si>
  <si>
    <t>物品</t>
  </si>
  <si>
    <t>矗立在你村子中心的相遇树上的一条枝丫。</t>
  </si>
  <si>
    <t>从神圣之河的源头采集的一小瓶河水。</t>
  </si>
  <si>
    <t>被捆束在一起的特殊草木。</t>
  </si>
  <si>
    <t>一个刻画着动物图案的青铜碗。</t>
  </si>
  <si>
    <t>由干葫芦和冬青浆果做成的拨浪鼓。</t>
  </si>
  <si>
    <t>由你的导师亲手继承给你的一把小小的金色镰刀。</t>
  </si>
  <si>
    <t>精神向导</t>
  </si>
  <si>
    <t>紫杉树提醒着你不断更新自己的思想和灵魂，让旧的死去，新的生长。</t>
  </si>
  <si>
    <t>橡树象征了力量和活力。在橡树之下冥想让你的身体和心灵重新坚韧且不被动摇。</t>
  </si>
  <si>
    <t>河流的永恒流动让你联想到世界的伟大跨度。你提醒自己在行动时要考虑到自然的长远利益。</t>
  </si>
  <si>
    <t>海洋仿佛一个持续搅动着混沌力量的锅炉。它令你接受，变化是维持自我在世界中继续存在的必要因素。</t>
  </si>
  <si>
    <t>飞鸟是最好的证明，即使最渺小的生物也能存活下来，只要它们远离争端。</t>
  </si>
  <si>
    <t>狼的习性展示了个人力量在集群面前的微不足道。</t>
  </si>
  <si>
    <t>导师</t>
  </si>
  <si>
    <t>你的导师是一个智慧的树人，它在以年为单位的时间跨度中教育着你，而非几天或几个月。</t>
  </si>
  <si>
    <t>你被一个树妖所教导，她同时也是一扇通往无底深渊的休眠传送门的守望者。在训练期间，你被托付了从隐藏的威胁中守卫这个世界的责任。</t>
  </si>
  <si>
    <t>你的导师总是用猎鹰的形态与你交流。你从来没见过导师的人形样貌。</t>
  </si>
  <si>
    <t>你和其他几个年轻人被同一个老德鲁伊教导，直到其中有一个人背叛了你的小组并且杀死了你的导师。</t>
  </si>
  <si>
    <t>你的导师只用幻象与你见面。你从来没有见过这个人，你甚至不能确定是否它真的以凡人的形态存在过。</t>
  </si>
  <si>
    <t>你的导师是一个熊人，他教导你要对所有活物一视同仁。</t>
  </si>
  <si>
    <t>特征</t>
  </si>
  <si>
    <t>你的皮毛中到处都是金色和银色的，明亮到能够反光。</t>
  </si>
  <si>
    <t>你变形过程中会发出刺耳的嘎吱声，让你的同伴感觉非常难受。</t>
  </si>
  <si>
    <t>你的荒野形态都会在某一肢体戴上同一个装饰着牙齿的仪式手镯。</t>
  </si>
  <si>
    <t>你身上的一块黑斑一眼就能看出是公司总裁欧米·德兰的剪影。</t>
  </si>
  <si>
    <t>总有枝叶或其他东西缠在你的毛发里。</t>
  </si>
  <si>
    <t>当你变回普通的形态时，有一只手上的皮毛或羽毛总会再继续保留一段时间。</t>
  </si>
  <si>
    <t>一座用来展示进口珍稀动植物的博物馆。</t>
  </si>
  <si>
    <t>生物</t>
  </si>
  <si>
    <t>一颗挑食的食肉植物。</t>
  </si>
  <si>
    <t>一窝曾经在你家乡的树上筑巢的蜂群。</t>
  </si>
  <si>
    <t>一只只剩7条腿的迷你巨蜘蛛，曾经给皮克精当过坐骑。</t>
  </si>
  <si>
    <t>一条没有显出邪恶倾向（截止目前）的亡命恶犬幼崽。</t>
  </si>
  <si>
    <t>一头在漫长严寒中成为孤儿的枭熊幼崽。</t>
  </si>
  <si>
    <t>一枚摸上去冰冷的未孵化银蛋</t>
  </si>
  <si>
    <t>一颗很小但很古老的启蒙灌木。</t>
  </si>
  <si>
    <t>一只住在你床底下的脾气恶劣的獾。</t>
  </si>
  <si>
    <t>一只自以为强大的野猫。</t>
  </si>
  <si>
    <t>一只拿你背包当巢穴的粘人的蚊蝠，只喝果汁。</t>
  </si>
  <si>
    <t>我希望精进自己的战斗技巧，所以进入了一所军事学院。</t>
  </si>
  <si>
    <t>我曾经是一位骑士的随从，这位骑士教会了我战斗方法、照料坐骑以及遵循荣誉行事。我也决定走上这条道路。</t>
  </si>
  <si>
    <t>恐怖的怪物们袭击了我居住的地方，杀害了我所爱的人。我拿起武器去毁灭这些生物，以及其它任何与之本性相似的生物。</t>
  </si>
  <si>
    <t>我加入了军队，并且学会了作为团体的一份子来作战。</t>
  </si>
  <si>
    <t>我在战斗中长大，我在从那些与我作对的人手中保护自己的过程中完善了战斗才能。</t>
  </si>
  <si>
    <t>我就是能够拿起任何武器并且知道如何有效地使用它。</t>
  </si>
  <si>
    <t>标志</t>
  </si>
  <si>
    <t>一条伫立于绿野上的狂躁金龙：象征着勇猛和对财富的追求。</t>
  </si>
  <si>
    <t>于云端紧握闪电的风暴巨人之拳：象征着愤怒与力量。</t>
  </si>
  <si>
    <t>在城堡门前交叉的绿色对剑：象征着城市或者王国的守卫。</t>
  </si>
  <si>
    <t>一颗被匕首刺穿的颅骨：象征着你为你的敌人带来的毁灭。</t>
  </si>
  <si>
    <t>火环里的凤凰：象征着不屈的灵魂。</t>
  </si>
  <si>
    <t>在黑幕中从卧刃落下的三滴血：象征着三名你发誓要铲除的敌人。</t>
  </si>
  <si>
    <t>角斗士：你的导师是一个在某个地区为了自由而战的，或者为了获取钱财和名望甘愿成为角斗士的奴隶。</t>
  </si>
  <si>
    <t>军人：你的导师在一队士兵中工作且了解团队合作。</t>
  </si>
  <si>
    <t>城市守卫：把控群众和保卫和平是你的导师的强项。</t>
  </si>
  <si>
    <t>部落勇士：你的导师成长于一个为某人干架是家常便饭的部落</t>
  </si>
  <si>
    <t>街头打手：你的导师擅长城市作战，沉默且高效的近身战斗。</t>
  </si>
  <si>
    <t>武器大师：你的导师会帮助你，告诉你如何高效的使用你选择的武器。</t>
  </si>
  <si>
    <t>简练：你的行动精准优雅，收放自如，从没有多余的动作。</t>
  </si>
  <si>
    <t>野蛮：你的攻击犹如呼呼作响的锤子，要别人粉身碎骨血沫横飞。</t>
  </si>
  <si>
    <t>狡猾：你能够在一瞬间做出攻击，喜欢用小计谋获得优势。</t>
  </si>
  <si>
    <t>从容：你在战斗中很少出汗且喜欢及时行乐。</t>
  </si>
  <si>
    <t>活力：你在战斗中又唱又笑仿佛你的灵魂都在高涨，手握武器，面对强敌是你最快乐的时刻。</t>
  </si>
  <si>
    <t>阴险：你在战斗中会怒视和讥讽对手，你尤其享受在击败对手后羞辱他们的感觉。</t>
  </si>
  <si>
    <t>手工打造的箭，箭头上刻有闪电的符号并会在射击时发出独特的哨声。</t>
  </si>
  <si>
    <t>一面用巨龟壳打造的盾牌。</t>
  </si>
  <si>
    <t>一对短剑和匕首，分别装饰的像食肉恐龙的上下牙。</t>
  </si>
  <si>
    <t>一把头部造型类似矮人勇士飘逸长发的战斧。</t>
  </si>
  <si>
    <t>一套由巨型节肢动物蜕下的几丁质外壳打造的护甲。</t>
  </si>
  <si>
    <t>一双模仿大型猫科动物爪子造型的靴子。</t>
  </si>
  <si>
    <t>一把将配重球做成手形状的剑，当你挥剑的时候看起来就像在和它握手。</t>
  </si>
  <si>
    <t>一把看起来一头像巨人之拳、另一头像巨龙之颅的锤子。</t>
  </si>
  <si>
    <t>一顶造型类似野兔脑袋的头盔，眼睛部位还镶有小钻石。</t>
  </si>
  <si>
    <t>一张刻有月相图案的弓。</t>
  </si>
  <si>
    <t>一把骨质刀柄的匕首，上面刻有磨损到无法辨认的神秘符号。</t>
  </si>
  <si>
    <t>一个用臭鼬皮毛制成的背包。</t>
  </si>
  <si>
    <t>一支精心准备、用心编排的舞蹈。</t>
  </si>
  <si>
    <t>啤酒！以及更多的啤酒！</t>
  </si>
  <si>
    <t>从战败的敌人手里抢夺战利品。</t>
  </si>
  <si>
    <t>创作一首颂扬你英勇的战斗技巧的诗。</t>
  </si>
  <si>
    <t>在你的战绩毛毯上新增一格纪念图案。</t>
  </si>
  <si>
    <t>在你最喜欢的武器或护甲上增添一个装饰图案。</t>
  </si>
  <si>
    <t>付钱让镇上的公告员宣布你的胜利。</t>
  </si>
  <si>
    <t>委托绘制一副纪念战斗场面的画作。</t>
  </si>
  <si>
    <t>不带恶意的夸赞幸存的敌人做的不错。</t>
  </si>
  <si>
    <t>没时间庆祝，你的战争是永恒的！</t>
  </si>
  <si>
    <t>我被选中去一所隐秘的修道院学习，在此，我被传授了掌握某个宗派所必须的基本技巧。</t>
  </si>
  <si>
    <t>我寻求指引，以更深地理解何为存在，以及我在这个世界上的位置。</t>
  </si>
  <si>
    <t>我偶然进入了一个通往堕影冥界的传送门，并逃到了一所奇怪的修道院避难，在那里我学会了如何在黑暗的力量面前保护自己。</t>
  </si>
  <si>
    <t>在失去了十分亲近的某人后，我不胜悲痛，便向哲人们寻求建议，以抚慰我的失落。</t>
  </si>
  <si>
    <t>我感到自身存有一种特殊的力量，所以我找到了能帮助我唤起并控制它的人。</t>
  </si>
  <si>
    <t>我在年轻时放浪不羁，但现在我认识到自己走错了路。我申请进入一所修道院，成为了一名武僧，以此来过一种严守戒律的生活。</t>
  </si>
  <si>
    <t>修道院</t>
  </si>
  <si>
    <t>你的修道院是从山腰上被雕刻成型的，它位于一个若隐若现的危险道路。</t>
  </si>
  <si>
    <t>你的修道院在一片浩瀚无边的参天大树群的树枝高处，它位于妖精荒野。</t>
  </si>
  <si>
    <t>你的修道院很早以前由一个云巨人建立，它位于一座只能通过飞行才能抵达的云城堡内。</t>
  </si>
  <si>
    <t>你的修道院建在温泉，间歇泉和硫磺池的火山旁边。你经常会收到来自火矮人贸易商的访问。</t>
  </si>
  <si>
    <t>你的修道院是由侏儒建立的，如地下迷宫般充斥着大量隧道和房间。</t>
  </si>
  <si>
    <t>你的修道院是在冰山之上，从冰块之中雕琢而出的。</t>
  </si>
  <si>
    <t>修道院标识</t>
  </si>
  <si>
    <t>猴子：你的戒律欣赏猴子的快速反应及穿越林木的迅捷。</t>
  </si>
  <si>
    <t>龙龟：你的修道院位置在海边，他们通过背诵古代的祈祷和提供鲜花花环来纪念龙龟，这种海洋中生活的精魂。</t>
  </si>
  <si>
    <t>麒麟：你的修道院认为他们存在的意义是如同麒麟一样守望和保护这片土地。</t>
  </si>
  <si>
    <t>枭熊：你的修道院敬仰一群枭熊家族，并已与它们一起共存了好几个世代。</t>
  </si>
  <si>
    <t>九头蛇：你的戒律向往九头蛇那样在瞬间打出复数次攻击的能力。</t>
  </si>
  <si>
    <t>龙：一条龙曾存在于你的修道院中，它所带来的影响在它离开之后仍然长久。</t>
  </si>
  <si>
    <t>师傅</t>
  </si>
  <si>
    <t>你的师傅是一个专横的人，你必须在单人战斗中击败他才算是完成他对你的授业。</t>
  </si>
  <si>
    <t>你的师傅很和善，他教导你去追求和平的事业。</t>
  </si>
  <si>
    <t>你的师傅总是严厉地将你逼向极限。在一次极其残酷的试炼中你差点失去你的一只眼睛。</t>
  </si>
  <si>
    <t>你的师傅在教导你时看起来很善良，但最后却背叛了你的修道院。</t>
  </si>
  <si>
    <t>你的师傅总是对你冷漠而疏远。你经常怀疑你俩之间的关系。</t>
  </si>
  <si>
    <t>你的师傅是善良和慷慨的，从不挑剔你的进步。然而你觉得你从来没有满足他对你的期望。</t>
  </si>
  <si>
    <t>6 吵闹酒仙式：伸直一只手做出敬酒的动作。（对于防止被掌掴特别实用）</t>
  </si>
  <si>
    <t>著作</t>
  </si>
  <si>
    <t>《与神对赌》</t>
  </si>
  <si>
    <t>《铸剑为犁》</t>
  </si>
  <si>
    <t>《呋噜流诗集》</t>
  </si>
  <si>
    <t>《妖怪也是人》</t>
  </si>
  <si>
    <t>《未来预言》</t>
  </si>
  <si>
    <t>《爱交际的隐士》</t>
  </si>
  <si>
    <t>《公开发表的机密》</t>
  </si>
  <si>
    <t>《无尽空白的摘要》</t>
  </si>
  <si>
    <t>《有机日月食谱》</t>
  </si>
  <si>
    <t>《生活是无尽的灾难，你打算怎么办？》</t>
  </si>
  <si>
    <t>永恒之灵修道院（在蒸馏酒界久负盛名）</t>
  </si>
  <si>
    <t>垂直拱门之家（制造上乘鞋类）</t>
  </si>
  <si>
    <t>奇翎穹顶（羊皮纸、墨水、以及羽毛笔的制造商）</t>
  </si>
  <si>
    <t>水晶堡垒（水晶杯和水晶饰品的制造商）</t>
  </si>
  <si>
    <t>精算修道院（销售价格合理的保单的保险人）</t>
  </si>
  <si>
    <t>热气之家（美味烧烤外卖）</t>
  </si>
  <si>
    <t>圣人静修（定制研究服务）</t>
  </si>
  <si>
    <t>任性葡萄修道院（葡萄酒酿造商）</t>
  </si>
  <si>
    <t>蜘蛛之家静修（由黑暗精灵训练巨蜘蛛作为坐骑和伙伴）</t>
  </si>
  <si>
    <t>神秘大厅（可以雇佣调查员）</t>
  </si>
  <si>
    <t>一个幻想中的存在出现在我面前，召唤我承担一项神圣的使命。</t>
  </si>
  <si>
    <t>我的一位祖先留下了一项未完成的神圣使命，我打算把它完成。</t>
  </si>
  <si>
    <t>这世界上充满了黑暗和恐惧。我打算献身成为一座光明的灯塔，对抗那群聚的阴影。</t>
  </si>
  <si>
    <t>我曾是一名圣武士的随从，学会了我立下自己神圣誓言所需的一切。</t>
  </si>
  <si>
    <t>邪恶必须被全面击败，我必须找出邪恶，并且将之从世上净化。</t>
  </si>
  <si>
    <t>成为一名圣武士是我明确无误的信念的自然结果。通过立下誓言，我成为我宗教的圣剑。</t>
  </si>
  <si>
    <t>个人目标</t>
  </si>
  <si>
    <t>和平：你为之奋斗，而后代不必。</t>
  </si>
  <si>
    <t>复仇：你的誓言是你纠正一个过往错误的工具。</t>
  </si>
  <si>
    <t>职责：你不会辜负你的诺言，至少你拼死确保如此。</t>
  </si>
  <si>
    <t>领导：你将赢得一场为人传诵的大战，以此成为激励他人的榜样。</t>
  </si>
  <si>
    <t>信念：你知道你的道路是正义的，否则众神不会让你踏入其中。</t>
  </si>
  <si>
    <t>荣耀：你将引领世界进入一个新时代，它必被冠以你的名字。</t>
  </si>
  <si>
    <t>符号</t>
  </si>
  <si>
    <t>一条龙：象征你平和的高贵和激烈的奋斗。</t>
  </si>
  <si>
    <t>握紧的拳头：因为你随时准备为信仰而战。</t>
  </si>
  <si>
    <t>张开的手掌：表明你比起争斗更偏好外交。</t>
  </si>
  <si>
    <t>红色的心：向世人展现你对正义的承诺。</t>
  </si>
  <si>
    <t>黑色的心：表示怜悯之类的情绪不会影响你对誓言的奉献。</t>
  </si>
  <si>
    <t>不眨的眼珠：你对所有可能危害到你的事业的潜在威胁永远保持警惕。</t>
  </si>
  <si>
    <t>克星</t>
  </si>
  <si>
    <t>惑念</t>
  </si>
  <si>
    <t>暴怒：当你被惹火，你就难以冷静思考，甚至可能会做一些日后将会为之懊恼的事情。</t>
  </si>
  <si>
    <t>骄傲：你的行径值得注意，没有人比你更注意它们。</t>
  </si>
  <si>
    <t>色欲：你无法抗拒一张诱人的脸和一个愉快的笑容。</t>
  </si>
  <si>
    <t>嫉妒：你注意到一些著名人士。当你的行为不足以与他们比肩，你就感到不爽。</t>
  </si>
  <si>
    <t>绝望：你认识到你需要打败的敌人拥有的强大力量，而有时你感觉无法看到哪怕一丝胜利的希望。</t>
  </si>
  <si>
    <t>贪婪：无论是多少荣耀与财富，都无法满足你的贪欲。</t>
  </si>
  <si>
    <t>在你立下神圣誓言之前，你无意中公然羞辱了一位好朋友，尽管他再也不愿意理你，你也依然发誓要想办法补偿他。</t>
  </si>
  <si>
    <t>你年轻时曾使用别人的身份逃避法律的制裁，但很快就意识到这个身份比你本人要酷的多，如果任何人发现了你的真实身份，你将身败名裂。</t>
  </si>
  <si>
    <t>你是一位因从领主手里偷了一大笔钱而被判有罪的贵族的孩子，如果你的身份被发现一定会被捕，但如果没有被发现则你将会继承一大笔遗产。</t>
  </si>
  <si>
    <t>你曾加入一个因名称看起来像叛乱团伙而被查禁的组织，如果有人发现这件事，你就可能被误认为王国的公敌。</t>
  </si>
  <si>
    <t>你曾与炼狱中的生物进行过一笔交易来避免麻烦或挽救另一位角色的性命，虽然关于你的欠债有关的资料暂时丢失了，但炼狱方面的代理人时不时会来告知你他们依然在积极处理当中。</t>
  </si>
  <si>
    <t>你欠了一位健忘又迷糊的人一大笔钱，到目前为止他都没有要求你还钱，你也没想好自己到底该怎么办。</t>
  </si>
  <si>
    <t>名言</t>
  </si>
  <si>
    <t>看来就这样了，让我们从头再来一遍。</t>
  </si>
  <si>
    <t>想摆脱这群小菜我们只需要打破几个罐子就成！</t>
  </si>
  <si>
    <t>看来麻烦快解决完了，我们先想想之后去哪度个假吧。</t>
  </si>
  <si>
    <t>不过就是一场猫和老鼠的游戏罢了，我们把奶酪吃了去。</t>
  </si>
  <si>
    <t>我们只需要打这点敌人？！</t>
  </si>
  <si>
    <t>黎明前总是黑暗的，除非有满月，所以让我们来当这个满月吧！</t>
  </si>
  <si>
    <t>我们可能打败，但我们不会打败！因为我说的第一个打败不是被动式！</t>
  </si>
  <si>
    <t>“投降”是我的中间名，但那只是个小名而我则从来没使用过它！</t>
  </si>
  <si>
    <t>当我在文明的边缘地带打倒那些危险的动物磨练自己的狩猎技巧时找到了自己的目标。</t>
  </si>
  <si>
    <t>我对待动物很有一套，总能用触摸和宽慰的话语来使它们平静下来。</t>
  </si>
  <si>
    <t>我深受漫游欲的折磨，当个游侠能让我不用在一个地方停留太久。</t>
  </si>
  <si>
    <t>我见过怪物们从黑暗中出现时会发生什么。我担起了责任，成为第一道防线，抵御文明边界之外的邪恶。</t>
  </si>
  <si>
    <t>我遇到了一位头发花白的老游侠，他教导了我森林的知识和野地的奥秘。</t>
  </si>
  <si>
    <t>我曾于军中服役，在开辟小径和侦察敌营中学到了我的职业技巧。</t>
  </si>
  <si>
    <t>世界观</t>
  </si>
  <si>
    <t>城镇和城市是那些无法自我生存的人最好的去处。</t>
  </si>
  <si>
    <t>文明进步的最好办法就是阻止混乱，但它的范围必须被监视。</t>
  </si>
  <si>
    <t>城镇和城市是必要的，可一旦荒野的超自然威胁解除了，我们将不再需要他们。</t>
  </si>
  <si>
    <t>城墙是为那些当别人还在为和平奋斗自己却躲在后面的懦夫准备的。</t>
  </si>
  <si>
    <t>刚开始拜访一处城镇还不错，但没过几天我就会因感受到不可抗拒的呼唤而回归山野。</t>
  </si>
  <si>
    <t>城市会因将族群从野外的艰难挑战中隔离开来而产生弱点。</t>
  </si>
  <si>
    <t>家乡</t>
  </si>
  <si>
    <t>你曾巡逻过一片被些许穿插于其中的暗影堕界所污染和毁坏的远古森林。</t>
  </si>
  <si>
    <t>作为游牧族群的一份子，你的荒野生存技艺炉火纯青。</t>
  </si>
  <si>
    <t>你的早期在幽暗地区的生活让你对殴打别人有了充足的准备。</t>
  </si>
  <si>
    <t>你居住在一片澡泽的边缘，那里被一种水生的存在所威胁。</t>
  </si>
  <si>
    <t>因为你成长于山顶，寻找最好的路来穿山越岭是你的本能。</t>
  </si>
  <si>
    <t>你漫游过北境，知道如何保护自己并在冰天雪地里生存。</t>
  </si>
  <si>
    <t>为了你的敌人曾犯下的大罪，你在自然的支持下需求复仇。</t>
  </si>
  <si>
    <t>你的祖先或者前辈曾和某种生物作战过，现在轮到你了。</t>
  </si>
  <si>
    <t>你对你的敌人没有丝毫恨意。你只是像一个猎人追踪猎物一样靠近别人。</t>
  </si>
  <si>
    <t>你沉迷于搜寻你对敌人，你还搜集与它相关的传说和历史书籍。</t>
  </si>
  <si>
    <t>你从你的敌人身上搜集标志以来纪念你的每一次屠杀。</t>
  </si>
  <si>
    <t>你尊重你所选择的敌人，而且你视你的战斗为各项技巧的测试。</t>
  </si>
  <si>
    <t>老鼠。</t>
  </si>
  <si>
    <t>鸽子。</t>
  </si>
  <si>
    <t>臭鼬。</t>
  </si>
  <si>
    <t>乌鸦。</t>
  </si>
  <si>
    <t>浣熊。</t>
  </si>
  <si>
    <t>负鼠。</t>
  </si>
  <si>
    <t>蛇。</t>
  </si>
  <si>
    <t>蟾蜍。</t>
  </si>
  <si>
    <t>巨甲虫。</t>
  </si>
  <si>
    <t>蜥蜴。</t>
  </si>
  <si>
    <t>关注点</t>
  </si>
  <si>
    <t>小镇以北几小时路程的一个秘密海湾，你知道那是海盗们的聚集地。</t>
  </si>
  <si>
    <t>警卫室下面的下水道系统。</t>
  </si>
  <si>
    <t>你的家乡，一个古朴的定居点，你把冒险获得的东西大部分都送回了那里。</t>
  </si>
  <si>
    <t>一只由商人和雇佣兵组成的不断沿固定路线在大陆中穿行的大篷车队。</t>
  </si>
  <si>
    <t>一座曾为黑暗神而建造，现在却已长期荒废的神庙。</t>
  </si>
  <si>
    <t>你的游侠导师的长眠之处。</t>
  </si>
  <si>
    <t>一家名为“戈特·乔克尔的痛苦服饰”的黑市，毫不避讳的出售你能想到的最不合法的商品。</t>
  </si>
  <si>
    <t>一座无名的山丘，山里有一座会在午夜出现而又在黎明消失的坍塌的塔。</t>
  </si>
  <si>
    <t>我总是才思敏捷机智过人，我打算用这些才能来在世上立足。</t>
  </si>
  <si>
    <t>一个刺客或盗贼误会并盯上了我，所以我专注于训练自己掌握他们的技巧来对付他们。</t>
  </si>
  <si>
    <t>一名老练的盗贼看到了我身上的潜力并且教了我几招挺有用的把戏。</t>
  </si>
  <si>
    <t>我决定把自己天生的好运作为职业的基础，尽管我依然知道精进技巧是不可或缺的。</t>
  </si>
  <si>
    <t>我加入了一群流氓无赖，他们教会了我如何不用正面强取，而是偷偷摸摸拿到我想要的东西。</t>
  </si>
  <si>
    <t>我是个闪亮小玩意痴迷者和搜刮钱币狂热者，只要我能弄到它们而不会丢了手脚或者性命。</t>
  </si>
  <si>
    <t>罪乐感</t>
  </si>
  <si>
    <t>大宝石。</t>
  </si>
  <si>
    <t>美丽的脸庞上的微笑。</t>
  </si>
  <si>
    <t>你手指上的一个新戒指。</t>
  </si>
  <si>
    <t>有机会压制某人的自尊心。</t>
  </si>
  <si>
    <t>最好的食物和饮料。</t>
  </si>
  <si>
    <t>添加异国情调的硬币到您的收集。</t>
  </si>
  <si>
    <t>对手</t>
  </si>
  <si>
    <t>海盗船长站在你曾经的船上，对于你所说的前进，他称做叛变。</t>
  </si>
  <si>
    <t>一个间谍大师因为你给的错误信息，导致了错误的目标被暗杀</t>
  </si>
  <si>
    <t>当地盗贼工会的主人，他想要你加入组织或离开城镇</t>
  </si>
  <si>
    <t>用非法手段获得杰作的艺术品收藏家</t>
  </si>
  <si>
    <t>一个销赃犯用你们当信使来发起违法聚会</t>
  </si>
  <si>
    <t>你曾经投注的非法格斗场的老板</t>
  </si>
  <si>
    <t>恩人</t>
  </si>
  <si>
    <t>一个走私犯阻止你被捉，但这样做的时候损失了一批贵重货物。</t>
  </si>
  <si>
    <t>乞丐王多次把你从追踪者身上隐藏起来，在为未来考虑回报。</t>
  </si>
  <si>
    <t>一个地方法官曾把你关在监狱里，以获取关于一个强大的犯罪领主的信息。</t>
  </si>
  <si>
    <t>你的父母用他们的积蓄在你年轻的时候救了你，现在穷困潦倒了。</t>
  </si>
  <si>
    <t>一条龙在有机会的时候没有吃掉你，作为回报，你答应为它预留一些宝贵的财富。</t>
  </si>
  <si>
    <t>德鲁伊曾经帮助你走出困境，现在你看到的任何随机的动物都可能是捐助者，也许是来要求回报的。</t>
  </si>
  <si>
    <t>战利品</t>
  </si>
  <si>
    <t>一条贵族情妇的手帕，上面绣有两人的姓名及约会的时间地点，完美的敲诈素材。</t>
  </si>
  <si>
    <t>你从富裕地区的城堡厨房中偷来的一只银质高脚杯，上面依然散发着你偷它时盛放的葡萄酒的香味。</t>
  </si>
  <si>
    <t>从皇家法师胸前口袋中偷出的一支金色钢笔。</t>
  </si>
  <si>
    <t>当你从市长的庄园中偷窃完贵重物品准备撤离时被迫剪下的一块编织复杂的窗帘。</t>
  </si>
  <si>
    <t>一只白爪灰猫，它曾经是富商家孩子的宠物并差点破坏了你的伪装，现在它已经学会了在需要的时候保持安静，并且非常善于捕鼠。</t>
  </si>
  <si>
    <t>从城中大理石喷泉上掉下来的一尊芭蕾舞演员雕像，你因为这件事被永久禁止进入那座城市。</t>
  </si>
  <si>
    <t>一枚钻石装饰的蛇形翻领别针，是你精心潜入一场游园会之后从一位贵族的胸前悄悄摘走的。</t>
  </si>
  <si>
    <t>从一名拒绝为你修理宝剑的粗鲁铁匠手里偷来的纯金圣锤。</t>
  </si>
  <si>
    <t>欧格玛神庙中偷出的满满一瓶魔药，上面还写着“紧急情况饮用”，到目前为止你还没遇上过这么紧急的时候。</t>
  </si>
  <si>
    <t>秘术师之塔中的一面破碎的镜子，有时它的碎片中会显示出来自另一个地方的光芒。</t>
  </si>
  <si>
    <t>行会</t>
  </si>
  <si>
    <t>翻滚饺子：全部由半身人组成的行会，掩护身份是杂技演员。</t>
  </si>
  <si>
    <t>焦黑的鹰：公开的经营范围是一家知名的清洁服务公司。</t>
  </si>
  <si>
    <t>奉承屠夫：以出售来源不明的特价肉而闻名。</t>
  </si>
  <si>
    <t>亵渎盗贼：会在犯罪现场留下猥亵的名片。</t>
  </si>
  <si>
    <t>不死游侠：虽然打着这个名号但其中既没有不死生物也没有游侠。</t>
  </si>
  <si>
    <t>忠诚者：非常讽刺的是这里以惊人的违约率闻名。</t>
  </si>
  <si>
    <t>强壮秃鹫：利用飞行魔法从事特殊工作。</t>
  </si>
  <si>
    <t>奎克&amp;佛瑞德：所有人的化名都是佛瑞德。</t>
  </si>
  <si>
    <t>我出生的时候，屋子里所有的水都冻成了冰，牛奶馊了，或者所有的铁都变成了铜。家人确信这个事件预示着将来会有更奇特的事降临在我身上。</t>
  </si>
  <si>
    <t>我的精神或者肉体曾遭受可怕的压力和紧张，这引出了我潜在的魔法力量。从那以后，我一直在奋力控制它。</t>
  </si>
  <si>
    <t>直系亲属们绝口不提我的祖辈，当我问起的时候，他们就会转移话题。直到我显现出奇异的天赋，我受到何方遗赠才真相大白。</t>
  </si>
  <si>
    <t>当我的朋友受到了怪物的威胁石，我心急如焚，本能地爆发了，用一股迸发于内在的力量炸掉了那个可恶的怪物。</t>
  </si>
  <si>
    <t>一位陌生人觉察到了我不同寻常之处，并且教会了我如何控制自己的天赋。</t>
  </si>
  <si>
    <t>我逃出了一场魔法的熊熊大火，虽然没有受伤，却变得和之前不同了，我逐步展现出刚刚开始理解的、奇怪的能力。</t>
  </si>
  <si>
    <t>起源</t>
  </si>
  <si>
    <t>你的力量来自于你家族的血统。你与某些强大的生物有关，或你继承了祝福或诅咒。</t>
  </si>
  <si>
    <t>你是另一个存在的本位面的化身。</t>
  </si>
  <si>
    <t>一个强大的实体进入了这个世界。它的魔力改变了你。</t>
  </si>
  <si>
    <t>你的出生被古代的经文所预言，它预言了你的力量将被用来达到可怕的目的。</t>
  </si>
  <si>
    <t>你是几代人精心培育的产物。</t>
  </si>
  <si>
    <t>你是在一个炼金术士的大桶里做成的。</t>
  </si>
  <si>
    <t>反应</t>
  </si>
  <si>
    <t>你的力量被你周围的人视为一种巨大的祝福，你也被期望用它们来为身边人服务。</t>
  </si>
  <si>
    <t>你的眼睛是一种不寻常的颜色，比如红色。</t>
  </si>
  <si>
    <t>你的脚上有一个额外的脚趾。</t>
  </si>
  <si>
    <t>你的一只耳朵明显比另一只大。</t>
  </si>
  <si>
    <t>你的头发长得惊人。</t>
  </si>
  <si>
    <t>当你咀嚼的时候，你会不断地皱起鼻子。</t>
  </si>
  <si>
    <t>某天你的脖子上出现一个红色斑点，但一小时后就消失了。</t>
  </si>
  <si>
    <t>迹象</t>
  </si>
  <si>
    <t>你用泰坦的声音来传递你法术的语言成分。</t>
  </si>
  <si>
    <t>在你施展魔法之后的一段时间里，你周围的区域会变得黑暗而阴郁。</t>
  </si>
  <si>
    <t>你在施放一段时间的法术和之后的几秒内大量出汗。</t>
  </si>
  <si>
    <t>你的头发和衣服在你发出咒语的时候，会像是被微风吹过一般。</t>
  </si>
  <si>
    <t>如果你在施放一个咒语，你会在空气中上升6寸，然后轻轻地浮在空中。</t>
  </si>
  <si>
    <t>当你开始铸造时，虚幻的蓝色火焰缠绕在你的头上，然后突然消失。</t>
  </si>
  <si>
    <t>法器</t>
  </si>
  <si>
    <t>一只用假宝石做眼睛的毛绒黄鼠狼。</t>
  </si>
  <si>
    <t>一枚在你注视时会闪闪发光的罕见金币。</t>
  </si>
  <si>
    <t>一个印有你自己肖像的铜质皮带扣。</t>
  </si>
  <si>
    <t>一副镜片颜色会随你所释放的法术学派变化的银质眼镜</t>
  </si>
  <si>
    <t>一条保存完好并且你和周边所有生物都觉得闻起来很美味的香肠。</t>
  </si>
  <si>
    <t>一把被注视时会突然发出巨响的金口琴。</t>
  </si>
  <si>
    <t>一颗偶尔会眨眼吐舌头的干瘪侏儒头。</t>
  </si>
  <si>
    <t>一把雕刻成泰拉斯奎巨兽形状的马球锤。</t>
  </si>
  <si>
    <t>一瓶你每次看时都会变色的药剂。</t>
  </si>
  <si>
    <t>一根鹿鹰的鹿茸，用仙女的头发和皮克精的魔粉做为装饰。</t>
  </si>
  <si>
    <t>效应</t>
  </si>
  <si>
    <t>一种恶心程度比战蜥人分泌物略低的味道时不时从你身上散发。</t>
  </si>
  <si>
    <t>你的嗓音会随机的比正常声音高三个八度或低三个八度。</t>
  </si>
  <si>
    <t>你的头发颜色会改变一小时，如果你没有头发则会在一小时长出银发，之后再脱落。</t>
  </si>
  <si>
    <t>偶尔你的言行举止让人以为你烂醉如泥。</t>
  </si>
  <si>
    <t>一分钟内你的眼睛会循环发出红蓝绿三种颜色的光芒。</t>
  </si>
  <si>
    <t>有时当你对其他生活造成伤害后，你身边虚空中会有一个声音大喊道“呸！”</t>
  </si>
  <si>
    <t>你的眼睛和耳朵中会短暂的滴落出血迹。</t>
  </si>
  <si>
    <t>你的指甲上会长出扭曲的爪子，会在十分钟后或你碰触任何东西之后脱落。</t>
  </si>
  <si>
    <t>间歇性地，你施法所需的任何姿势成分会变成剧烈的咳嗽。</t>
  </si>
  <si>
    <t>一分钟内你会比正常情况下高六寸或矮六寸。</t>
  </si>
  <si>
    <t>我在一块禁地游荡的时候，遇到了一个异界存在，提出要和我签订契约。</t>
  </si>
  <si>
    <t>当我正在检查一本自己在一座废弃图书馆里发现的奇怪的典籍时，后来成为我宗主的实体突然出现在我面前。</t>
  </si>
  <si>
    <t>我偶尔穿过了一扇魔法之门，落入了我宗主的掌控之中。</t>
  </si>
  <si>
    <t>我曾在可怕的危机中向任何愿意聆听的存在祈祷，而回应了我祈祷的生物成为了我的宗主。</t>
  </si>
  <si>
    <t>我的宗主曾造访我的梦境，许给我强大的力量来换取我的侍奉。</t>
  </si>
  <si>
    <t>我的一名祖辈曾与宗主签订契约，所以这名宗主也决定和我签下同样的契约。</t>
  </si>
  <si>
    <t>态度</t>
  </si>
  <si>
    <t>你的宗主世世代代引导、帮助你的家族，并且对你也十分友善。</t>
  </si>
  <si>
    <t>每次与你任性宗主的互动都令人惊异，无论是惊喜还是惊恐。</t>
  </si>
  <si>
    <t>你的宗主是一位逝去已久的英雄，他将与你立下的契约视作继续影响世界的方法。</t>
  </si>
  <si>
    <t>你的宗主极度严格地奉行规矩，但对你抱着尊重的态度。</t>
  </si>
  <si>
    <t>你的宗主欺骗你立下契约，并把你当做奴隶。</t>
  </si>
  <si>
    <t>你基本上被丢在一边做自己的事，宗主几乎无所作为。有的时候你会担心它出现时将会提出什么要求。</t>
  </si>
  <si>
    <t>条款</t>
  </si>
  <si>
    <t>当指示下达时，你必须立刻对宗主的一名特定的敌人采取行动。</t>
  </si>
  <si>
    <t>你的契约考验着你的意志力；你不能饮酒或者类似的醉人之物。</t>
  </si>
  <si>
    <t>每天至少一次，你必须在墙上涂鸦或刻下宗主的名讳或者徽记。</t>
  </si>
  <si>
    <t>你偶尔需要进行古怪的仪式来维持契约。</t>
  </si>
  <si>
    <t>你不能第二次穿上曾经穿过的外套；你的宗主认为这种可预测性非常无聊。</t>
  </si>
  <si>
    <t>当你使用魔能祈唤时，要么高声呼喊你宗主的名字，要么承担它感到不快的风险。</t>
  </si>
  <si>
    <t>印记</t>
  </si>
  <si>
    <t>你其中一只眼睛看起来和宗主的眼睛一模一样。</t>
  </si>
  <si>
    <t>每次你醒来，你脸上的一个小瑕疵都会改变位置。</t>
  </si>
  <si>
    <t>你的外表显示出疾病的症状，但对你并没有实际危害。</t>
  </si>
  <si>
    <t>你的舌头颜色很不自然。</t>
  </si>
  <si>
    <t>你有一条返祖的尾巴。</t>
  </si>
  <si>
    <t>你的鼻子在暗处会发光。</t>
  </si>
  <si>
    <t>怪癖</t>
  </si>
  <si>
    <t>你每顿饭都必须吃掉大量的生洋葱。</t>
  </si>
  <si>
    <t>当你陷入紧张的状况时，你每说四个字就要大喊用词。</t>
  </si>
  <si>
    <t>每当你认真倾听时，你的第二对耳朵就会不停的出现又消失。</t>
  </si>
  <si>
    <t>你无法接受直接触摸贵重物品，必须要先带上手套才行。</t>
  </si>
  <si>
    <t>在你洗手或洗澡时，除非烫的吓人，不然你都会觉得水是冰凉的。</t>
  </si>
  <si>
    <t>你必须粗暴的掴一些生物之后才能睡个好觉。</t>
  </si>
  <si>
    <t>除非你的衣服有华丽的对比色或华丽的图案，不然你总会觉得不舒服。</t>
  </si>
  <si>
    <t>当你施法时，你的言语或姿势成分必须带着一点淫秽。</t>
  </si>
  <si>
    <t>你的头发长的飞快以至于你必须在每次短休或长休中理发。</t>
  </si>
  <si>
    <t>当别人用真名叫你时，你总会责怪他们是在把你的真名告诉它们。</t>
  </si>
  <si>
    <t>座右铭</t>
  </si>
  <si>
    <t>“我不算账，我直接跟人‘算账’。”</t>
  </si>
  <si>
    <t>“我是利润的先知，我有一个关于成功的预言。”</t>
  </si>
  <si>
    <t>“胜利是最好的香水，而我闻起来香气扑鼻。”</t>
  </si>
  <si>
    <t>“你的珍宝就是我的生意。”</t>
  </si>
  <si>
    <t>“凡人才会犯错，我可不会。”</t>
  </si>
  <si>
    <t>“比起琢磨花哨的座右铭我宁可直接完成工作。”</t>
  </si>
  <si>
    <t>一位老法师从几名候选人中挑中了我来做学徒。</t>
  </si>
  <si>
    <t>我曾经迷失在森林中，一位隐居的法师发现和收留了我，并教给我魔法的基础知识。</t>
  </si>
  <si>
    <t>我听着那些伟大巫师的传说长大，渴望追随他们的足迹。我通过自己的努力成功考上了一所魔法学院。</t>
  </si>
  <si>
    <t>我有亲戚是位很有成就的法师，他觉得我足够聪明，可以学习魔法的技艺。</t>
  </si>
  <si>
    <t>当我在探索一座古老的墓穴/图书馆/神殿时，找到了一本法术书，我立刻被吸引了，如饥似渴地学习一切能让我成为法师的东西。</t>
  </si>
  <si>
    <t>我是一名神童，很小的时候就展现出对魔法艺术的精妙掌握，当我长到可以独自出行的年纪，我就踏上了旅途，学习更多的魔法，增强自己的力量。</t>
  </si>
  <si>
    <t>铁铸卷册，酸蚀为文。</t>
  </si>
  <si>
    <t>一个破损的卷宗，写满了仅有你能识别的象形文字。</t>
  </si>
  <si>
    <t>写满咒文的长带的皮革，为便于携带而缠于法杖之上。</t>
  </si>
  <si>
    <t>刻有符文的石头，存于布袋之中。</t>
  </si>
  <si>
    <t>一本被龙炎所焚坏的书，裸露出其中的法术笔迹。</t>
  </si>
  <si>
    <t>由完全漆黑的纸面组成的卷册，笔迹仅于昏暗与黑暗中可见。</t>
  </si>
  <si>
    <t>野心</t>
  </si>
  <si>
    <t>你将证明，诸神并未如人们所想象得那般强大。</t>
  </si>
  <si>
    <t>你学海的终点乃是不朽。</t>
  </si>
  <si>
    <t>假若你能充分了解魔法，你能够解锁其全部的威能以开创一个平等的新纪元。</t>
  </si>
  <si>
    <t>魔法是危险的工具，你以之保卫你所爱。</t>
  </si>
  <si>
    <t>奥术的威能必须从滥用者手中夺去。</t>
  </si>
  <si>
    <t>你将成为，世上数代人所能见过的，最伟大的法师。</t>
  </si>
  <si>
    <t>你无止地跺脚并时常惹恼周边的人。</t>
  </si>
  <si>
    <t>你记忆力超乎凡人，但你可以毫不顾忌地假装心不在焉--如果这符合你的目的的话。</t>
  </si>
  <si>
    <t>你从不在看看天花板上悬挂什么之前就走进一个房间。</t>
  </si>
  <si>
    <t>你最为珍爱的财富是一个放在药瓶里的死虫子。</t>
  </si>
  <si>
    <t>当你希望他人离开你时，你便开始自顾自地说话。</t>
  </si>
  <si>
    <t>你的时尚感和妆容，或更多缺乏的东西，时常让人误以为你是个乞丐。</t>
  </si>
  <si>
    <t>噩梦</t>
  </si>
  <si>
    <t>你站在悬崖顶端看着海中浮现一只似乎能毁灭世界的海怪，开始用每只触手中的毛刷在你周围乱涂乱画，你无法躲开它的追踪，但总能在被刷到颜色之前醒来。</t>
  </si>
  <si>
    <t>你梦到在一张纸上漫步，纸上用各种语言写满了“蛋壳”，其中还包含一些你不认识的语言。</t>
  </si>
  <si>
    <t>你正在开一场职业生涯中最重要的发布会，而你用来制造各种华丽视觉特效的魔法却失控了，现在观众眼中的你除了一条围巾之外一丝不挂。</t>
  </si>
  <si>
    <t>一名特许经营机构中的员工收到了一笔巨额馈赠并申请离职，而一张你签名的纸条显示你前一天从公司账户上提取了同样多的一笔钱，但你对此没有任何印象。</t>
  </si>
  <si>
    <t>你感觉有羽毛在轻轻地咯吱你，抬头后却发现是一只蛇鸡兽在你胸口梳妆打扮。</t>
  </si>
  <si>
    <t>你的所有口袋都开裂了，但你无法让自己停止往里放进贵重物品，只能不停的重复掉出来、捡起来、再装进去的流程。</t>
  </si>
  <si>
    <t>菲里亚·福乔：半精灵防护师，她烤的小蛋糕能当药水吃。</t>
  </si>
  <si>
    <t>奥格加：沉默的半兽人预言师，她用石头把失败的学生都砸死了。</t>
  </si>
  <si>
    <t>兰普勒·里克斯：侏儒变化师，住在桥下并为甜菜糖和花生蜂蜜工作。</t>
  </si>
  <si>
    <t>梅尔娜·罗西伯恩顿伯里维尔夫人：238岁的槌球运动员兼塑能师，以及第一、二、三、五、六次巨魔战争的英雄（第四次她在休产假）</t>
  </si>
  <si>
    <t>弗恩斯坦·德洛克伯恩：地底侏儒口技演员兼咒法师，带着他的“笨蛋”文森罗伊——穿着木偶服装的亲密小傀儡。</t>
  </si>
  <si>
    <t>洛·哈特：提夫林幻术师兼鞋匠，他和魔鬼交易的传言提供了许多“靴子修好，灵魂坏掉”的笑话。</t>
  </si>
  <si>
    <t>“兔子”雷尼：为胡萝卜痴狂的半身人附魔师，你当他徒弟时吃了太多胡萝卜，从此看见就反胃。</t>
  </si>
  <si>
    <t>西尔维斯特·德拉古：人类死灵师，他最宝贝的东西是一副过去学生给他画的肖像画，据说完美的捕捉到了他眼睛的绿色，但其实肖像的眼睛是血红色的，没人告诉西尔维斯特他是个色盲。</t>
  </si>
  <si>
    <t>浪客之宿命</t>
  </si>
  <si>
    <t>你的家族与一个追求正义并反对暴政的组织有联系。</t>
  </si>
  <si>
    <t>一个强大的盗贼公会成员或间谍网络的成员每时每刻都与你对抗。</t>
  </si>
  <si>
    <t>你重要的人被监禁，但你相信他们是无辜的。</t>
  </si>
  <si>
    <t>你犯下了一个可怕的错误，并因此被通缉。</t>
  </si>
  <si>
    <t>一个重要的人欠你一个债务；你为此做了什么？</t>
  </si>
  <si>
    <t>一只恶魔威胁着你的亲人。</t>
  </si>
  <si>
    <t>你从小就是一位乐观到愚蠢的“朋友”，经常被欺骗或利用。</t>
  </si>
  <si>
    <t>有人在搜寻与你相同的宝藏，如果他们先找到它，那么灾难将会降临。</t>
  </si>
  <si>
    <t>困境使你变得乐观，而你似乎总能吸引不幸事件！</t>
  </si>
  <si>
    <t>你经历了一次意外的危机。你是迅速解决了它，还是犹豫不决并冒险毁灭？</t>
  </si>
  <si>
    <t>一个属于一个有帮助的组织的盟友通过不起眼的方式向你提供信息或施加影响。</t>
  </si>
  <si>
    <t>你的生活是一个悠闲的故事，只不过有某些事情让你怀疑它是否真实。</t>
  </si>
  <si>
    <t>你掌握了一个能够通向巨大宝藏或重大秘密的谜题的一部分。</t>
  </si>
  <si>
    <t>对你来说重要的人们却不是你所想的那样。</t>
  </si>
  <si>
    <t>你过着奢华的生活，直到有人夺取了你的权力。你会去报仇吗？</t>
  </si>
  <si>
    <t>一位法师或魔法生物对你产生了兴趣，并给你提供建议——但要付出代价。</t>
  </si>
  <si>
    <t>你多次藐视死亡，以至于它似乎不再是巧合。</t>
  </si>
  <si>
    <t>你克服了生活环境强加给你的困苦，并且完全地转变了你的地位或将情况转变为你的利益。</t>
  </si>
  <si>
    <t>一位神圣的法术施法者或神圣的使者为你提供指导，无论你是否想要他的帮助。</t>
  </si>
  <si>
    <t>你有一件珍贵的物品被人偷走了。</t>
  </si>
  <si>
    <t>暗地里你是一个巨大权力的继承人，但那些篡夺了这个权力的人想要置你于死地。</t>
  </si>
  <si>
    <t>你关心的某人失踪了；尽管其他人已经放弃寻找他们，但你相信他们仍然在某个地方活着。</t>
  </si>
  <si>
    <t>贤者之宿命</t>
  </si>
  <si>
    <t>你曾是献身于防止魔法物品落入滥用权力者手中的事业中的一员</t>
  </si>
  <si>
    <t>一位预言家曾预言你命中注定会拥有强大的力量。你是选择追寻这种力量还是抗拒它？</t>
  </si>
  <si>
    <t>你梦见一个被囚禁的跨位面实体</t>
  </si>
  <si>
    <t>你希望学习强大的魔法以保护亲人免受伤害</t>
  </si>
  <si>
    <t>你的魔法研究由操纵现实的欲望所驱动</t>
  </si>
  <si>
    <t>你的魔法能力来源于你和邪魔的一场打赌......虽然你不确定自己到底是赢了还是输了</t>
  </si>
  <si>
    <t>你用你的神秘力量去欺骗毫无戒心的人</t>
  </si>
  <si>
    <t>你随身携带着一件从一位强大的大法师那里偷来的看似普通的物品，但它会让你身边发生一些莫名其妙的事情</t>
  </si>
  <si>
    <t>你继承了野生法师的悠久传统，即使你自己的法力与众不同</t>
  </si>
  <si>
    <t>你的法术书外观上像是一副卡牌</t>
  </si>
  <si>
    <t>你那名门武士家族会根据你所拥有武术天赋（或否）来对你进行评判</t>
  </si>
  <si>
    <t>你的一位亲人受到了诅咒，而你决心要打破这个诅咒</t>
  </si>
  <si>
    <t>你为追寻神秘的秘密和失落的传说而活</t>
  </si>
  <si>
    <t>你所信任的人实际上是怪物伪装而成，比如龙或者巫婆</t>
  </si>
  <si>
    <t>一位占卜师曾警告你命中注定会造成巨大的破坏，而你一直尝试避免其一语成谶</t>
  </si>
  <si>
    <t>你用占卜牌来决定每天准备哪些法术</t>
  </si>
  <si>
    <t>你寻找一种能逃避死亡的方法</t>
  </si>
  <si>
    <t>你的吟唱和魔法能力在表现上如同在玩卡牌</t>
  </si>
  <si>
    <r>
      <rPr>
        <sz val="11"/>
        <color theme="1"/>
        <rFont val="微软雅黑"/>
        <charset val="134"/>
      </rPr>
      <t>曾有一名</t>
    </r>
    <r>
      <rPr>
        <sz val="11"/>
        <color theme="1"/>
        <rFont val="Arial"/>
        <charset val="134"/>
      </rPr>
      <t xml:space="preserve"> </t>
    </r>
    <r>
      <rPr>
        <b/>
        <sz val="11"/>
        <color theme="1"/>
        <rFont val="微软雅黑"/>
        <charset val="134"/>
      </rPr>
      <t>炽天城塞</t>
    </r>
    <r>
      <rPr>
        <sz val="11"/>
        <color theme="1"/>
        <rFont val="微软雅黑"/>
        <charset val="134"/>
      </rPr>
      <t>的特工曾经救过你的命</t>
    </r>
  </si>
  <si>
    <t>你想要夺回一件失窃的魔法物品</t>
  </si>
  <si>
    <t>你从宫廷魔法师学徒做起，开始你的魔法学习。</t>
  </si>
  <si>
    <t>你瞥见了另一个世界的存在，但没人信你。你努力去证明他们是错的。</t>
  </si>
  <si>
    <t>命定之宿命</t>
  </si>
  <si>
    <t>你由一个反对某个神祇的组织或者某个强大的异界力量所训练。</t>
  </si>
  <si>
    <t>你在某个大灾难相关的迹象下所降生，而每一次窥视你的未来的尝试都会显现出不好的预兆。</t>
  </si>
  <si>
    <t>某个宗教组织由于你违背信仰的罪名而把你囚禁了起来，或者因为其领袖把你视为某个敌对力量的奴仆。</t>
  </si>
  <si>
    <t>你和你的家人被神秘人物所监视。他们常常保持隐秘，但你却曾看见过他们戴着一个未知的标志。</t>
  </si>
  <si>
    <t>你在某段困扰着你的过往中做出了一个选择。无论结果如何，仍无法确定你做出了正确的选择。</t>
  </si>
  <si>
    <t>某个与你信仰相悖的强大存在使你的人生困于苦恼之中；甚至你的胜利似乎也不过是为其做了嫁衣。</t>
  </si>
  <si>
    <t>曾是你生命中众多最快乐时刻的其中之一，已变成了一场悲剧。</t>
  </si>
  <si>
    <t>你继承了一块地，其中包含一个埋藏着令人垂涎的遗物的宫殿废墟。</t>
  </si>
  <si>
    <t>你从小被教导信仰某个灾厄即将到来的预言，但是当其他人都在期盼这场灾难时你却意识到了潜在的可能性与希望。</t>
  </si>
  <si>
    <t>一位有着胜过你的力量但不太灵活的人威胁要带来灾难，但你果断的行动使你战胜了其。</t>
  </si>
  <si>
    <t>某个宗教组织，比如一个德鲁伊结社，圣武士团，或者神庙的卫士们看护着你。</t>
  </si>
  <si>
    <t>你在晚上时最显舒适，而你最伟大的成就都在晚上所取得。你还拥有一个新月形状的胎记。</t>
  </si>
  <si>
    <t>你的研究把你引向了一册预言的残卷或者一位著名人物的回忆录，而使你的信念受到了质疑。</t>
  </si>
  <si>
    <t>你曾崇敬的一位虔信者暴露了自己是与你信仰相悖的某个力量的异端信徒。</t>
  </si>
  <si>
    <t>你曾是某个宗教团体受宠的追随者，但你现在已被耻辱地扫地出门。</t>
  </si>
  <si>
    <t>某个超凡存在通过梦境或是天降恩惠并以不同的伪装及通过他人之口说话，来为你提供建议。</t>
  </si>
  <si>
    <r>
      <rPr>
        <sz val="11"/>
        <color theme="1"/>
        <rFont val="微软雅黑"/>
        <charset val="134"/>
      </rPr>
      <t>你通过法术</t>
    </r>
    <r>
      <rPr>
        <i/>
        <sz val="11"/>
        <color rgb="FF800080"/>
        <rFont val="微软雅黑"/>
        <charset val="134"/>
      </rPr>
      <t>复生术</t>
    </r>
    <r>
      <rPr>
        <sz val="11"/>
        <color theme="1"/>
        <rFont val="微软雅黑"/>
        <charset val="134"/>
      </rPr>
      <t>，</t>
    </r>
    <r>
      <rPr>
        <b/>
        <sz val="11"/>
        <color theme="1"/>
        <rFont val="微软雅黑"/>
        <charset val="134"/>
      </rPr>
      <t>神圣干预</t>
    </r>
    <r>
      <rPr>
        <sz val="11"/>
        <color theme="1"/>
        <rFont val="微软雅黑"/>
        <charset val="134"/>
      </rPr>
      <t>或者你还未理解的神秘机遇而被复活。</t>
    </r>
  </si>
  <si>
    <t>当你接受了现在的信仰时，你的生活便显着地好转了。</t>
  </si>
  <si>
    <t>虽然你从来没有过多在你所被教导的信仰上押注，但坚持信仰还是把你从灾难中拯救了出来。</t>
  </si>
  <si>
    <t>你有一个使用了很久的来自你所崇敬的某人的圣徽，而当没有它的时候你便会心存困惑。</t>
  </si>
  <si>
    <t>你出生于一个神眷之人的家庭，而家人们对你有很大期望。</t>
  </si>
  <si>
    <t>你或你的一个所爱之人的灵魂，注定将被某个邪魔，某个强大的不死生物或者其他的邪恶力量给夺走。</t>
  </si>
  <si>
    <t>骑士之宿命</t>
  </si>
  <si>
    <t>某人（或某物某事）困扰了你许久许久。现在，你寻求着报复或复仇。</t>
  </si>
  <si>
    <t>你曾被承诺，若你能让自己的名字成为英雄之名，你就可以获得某些东西的继承权。</t>
  </si>
  <si>
    <t>你被困在远离家乡之地，而你正尝试寻求返家之路。</t>
  </si>
  <si>
    <t>一整年的独处令你清醒了过来，并致你走上一条成为武者的道路。</t>
  </si>
  <si>
    <t>一名占卜师预见了你的未来，你会在你的战斗生涯中找到独属于你的使命。</t>
  </si>
  <si>
    <t>在你的战斗狂热结束之后，冷静下来的你惊恐的望着你沾满鲜血的双手。</t>
  </si>
  <si>
    <t>你和你的“对头”的一场友好的（或不是那么友好的）争吵令你踏上了冒险之旅。</t>
  </si>
  <si>
    <t>你在极力寻找一件传说中的魔法武器或魔法物品。在找到它之前你绝不罢休。</t>
  </si>
  <si>
    <t>你感觉自己像个笑柄，但你坚信在战场上你会有所成绩。</t>
  </si>
  <si>
    <t>某个你亲近或熟知的人被绑架了，而你希望找到并拯救他/她。</t>
  </si>
  <si>
    <t>你曾是一名勇猛的骑士的从骑，但一场战斗带走了那名骑士的性命。</t>
  </si>
  <si>
    <t>你的梦中常常回荡着某些人的哀嚎与哭泣声——那是你在战争中没能救下的人们。</t>
  </si>
  <si>
    <t>难以预测便是你的战斗风格的代名词。你令敌人防不胜防。</t>
  </si>
  <si>
    <t>你讲述着你过去的英雄事迹，只不过从你口中听起来...可能略显夸大了。</t>
  </si>
  <si>
    <t>在失去一切之后，你发现你唯一可以信赖的，只有你的武术技艺。</t>
  </si>
  <si>
    <t>出生于一个术士家族之中，你却是家族中唯一一个没有什么魔法资质的。</t>
  </si>
  <si>
    <r>
      <rPr>
        <sz val="11"/>
        <color theme="1"/>
        <rFont val="微软雅黑"/>
        <charset val="134"/>
      </rPr>
      <t>你曾差点一步踏入鬼门关，你相信你当时看到了自己死后下</t>
    </r>
    <r>
      <rPr>
        <sz val="11"/>
        <color theme="1"/>
        <rFont val="Arial"/>
        <charset val="134"/>
      </rPr>
      <t xml:space="preserve"> </t>
    </r>
    <r>
      <rPr>
        <sz val="11"/>
        <color theme="1"/>
        <rFont val="微软雅黑"/>
        <charset val="134"/>
      </rPr>
      <t>九层地狱的景象。</t>
    </r>
  </si>
  <si>
    <t>你四处行侠仗义，希望着民众们在未来传颂着你的事迹。</t>
  </si>
  <si>
    <t>你曾隶属于一支规模小却异常强悍的民兵队伍。有时候，你会想念那种纪律严明的生活。</t>
  </si>
  <si>
    <t>当有怪物的袭击了你的村落时，你才知道你之前为何与武器为伴，以及为何战斗。</t>
  </si>
  <si>
    <t>你曾为了守护某位重要的皇家贵族而锻炼你的武术技艺。</t>
  </si>
  <si>
    <t>屠杀怪物，是一种填补你空虚内心的娱乐方式。</t>
  </si>
  <si>
    <t>备选专长</t>
  </si>
  <si>
    <t>已选专长</t>
  </si>
  <si>
    <t>选择一项属性值提升2点，或是选择两项属性各提升1点。不过你不能通过此特性让属性值超过20</t>
  </si>
  <si>
    <t>警觉</t>
  </si>
  <si>
    <t>你的先攻获得+5加值
你在意识清醒时无法被突袭
你看不到的生物对你发动攻击检定时，无法因此获得优势</t>
  </si>
  <si>
    <t>运动员</t>
  </si>
  <si>
    <t>你的力量或敏捷增加1，上限为20
你陷入倒地状态时，起立所需要花费的移动力为5尺
攀爬无需额外消耗移动力
你在进行助跑调高或跳远时只需要移动5尺，而不是10尺</t>
  </si>
  <si>
    <t>你的魅力增加 1，上限为20
当你试图将自己扮演成另一个人时，你进行魅力（欺瞒）和魅力（表演）检定时具有优势
你可以模仿另一个生物的说话口吻和声音。前提是你必须听过被模仿者至少1分钟的说话或发声。对方聆听你的模仿时可以进行一次感知（洞悉）检定，并与你的魅力（欺瞒）检定进行对抗，若对方胜出便会意识到声音是模仿出来的</t>
  </si>
  <si>
    <t>冲锋手</t>
  </si>
  <si>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</si>
  <si>
    <t>强弩专家</t>
  </si>
  <si>
    <t>你使用拥有熟练项的弩时，忽略其装填属性
你在敌对生物5尺范围内发动远程攻击检定时，不会因此而具有劣势
你执行攻击动作以单手武器攻击后，可以用附赠动作使用一把正持握的手弩发动攻击</t>
  </si>
  <si>
    <t>双持客</t>
  </si>
  <si>
    <t>当你两手各持用一把武器时，你的AC获得+1加值
你进行双持武器战斗时所持用的单手近战武器可以不具备轻型武器属性
你可以在正常只能拔出或入鞘一把武器时，同时拔出或入鞘两把单手武器</t>
  </si>
  <si>
    <t>地城探索者</t>
  </si>
  <si>
    <t>你为搜寻密门进行的感知（察觉）和智力（调查）检定具有优势
你为躲避或抵抗陷阱而进行的豁免检定具有优势
你对陷阱所造成的任何伤害都具有抗性
你以快速步调旅行时无需承受通常情况下的被动感知（察觉）值的-5罚值</t>
  </si>
  <si>
    <t>耐性</t>
  </si>
  <si>
    <t>你的体质加1，上限为20
当你掷生命骰恢复生命值时，每粒生命骰可恢复的最小生命值等于你体质调整值的两倍（最小为2）</t>
  </si>
  <si>
    <t>巨武器大师</t>
  </si>
  <si>
    <t>你在自己回合内用近战武器造成重击，或将一个生物生命值降至0时，可以用附赠动作发动一次近战武器攻击
你在使用具有熟练项的重型武器发动近战攻击前，可以选择让本次攻击检定承受-5罚值。若本次攻击命中，则其伤害掷骰获得+10加值</t>
  </si>
  <si>
    <t>学院专长</t>
  </si>
  <si>
    <t>你使用医疗包为生物稳定伤势时，该生物可以恢复1点生命值
你可以用一个动作消耗医疗包的一次使用次数，并以此护理一个生物使其恢复1d6+4再加上角色生命骰粒数的生命值。该生物在进行短休或长休前无法再次从该专长获取生命值</t>
  </si>
  <si>
    <t>星界浪客专长</t>
  </si>
  <si>
    <t>敏锐心灵</t>
  </si>
  <si>
    <t>你的智力加1，上限为20
你始终知道北边的方位
你始终知道距离下一次日出或日落还有多久
你可以完美复述出一个月内你所听到或看到的任何事</t>
  </si>
  <si>
    <t>荒宇人专长</t>
  </si>
  <si>
    <t>轻甲运用</t>
  </si>
  <si>
    <t>你的力量或敏捷加1，上限为20
你获得轻甲的熟练项</t>
  </si>
  <si>
    <t>符文雕刻者专长</t>
  </si>
  <si>
    <t>语言学家</t>
  </si>
  <si>
    <t>你的智力加1，上限为20
你习得三门自选语言
你可以自创密码。而未经你传授解密方法的人只有两种方法可以破译你的密码：其一是进行智力检定（DC等于你的智力值＋你的熟练加值），或是以魔法破译</t>
  </si>
  <si>
    <t>巨人养子专长</t>
  </si>
  <si>
    <t>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你也可以在被攻击时选择花费1点幸运点骰一次d20。然后由你决定攻击者该使用哪粒d20
若不止一个生物决定花费幸运点影响同一个骰值，则幸运点互相抵消，即并不会有额外的d20掷骰行为
完成一次长休后你可以恢复所有的幸运点</t>
  </si>
  <si>
    <t>外层位面后裔专长</t>
  </si>
  <si>
    <t>巫师杀手</t>
  </si>
  <si>
    <t>你周边5尺范围内的一个生物施展法术后，你可以用你的反应对该生物发动一次近战武器攻击
当你对一名正专注法术的生物造成伤害时，该生物进行维持本次专注的豁免检定时具有劣势
你为抵抗身边5尺范围内生物对你施展的法术而进行的豁免检定具有优势</t>
  </si>
  <si>
    <t>受宠者专长</t>
  </si>
  <si>
    <t>魔法学徒-吟游诗人</t>
  </si>
  <si>
    <t>你从吟游诗人法术列表里习得两个戏法
此外，你从吟游诗人法术列表里选择习得一个1环法术。以该方式习得的法术只可以用最低环法术位来施展，而以该方式施展后的法术必须完成一次长休后，才能再次以该方式施展
这些法术的施法关键属性为魅力</t>
  </si>
  <si>
    <t>受难者专长</t>
  </si>
  <si>
    <t>魔法学徒-牧师</t>
  </si>
  <si>
    <t>你从牧师法术列表里习得两个戏法
此外，你从牧师法术列表里选择习得一个1环法术。以该方式习得的法术只可以用最低环法术位来施展，而以该方式施展后的法术必须完成一次长休后，才能再次以该方式施展
这些法术的施法关键属性为感知</t>
  </si>
  <si>
    <t>其他背景专长</t>
  </si>
  <si>
    <t>魔法学徒-德鲁伊</t>
  </si>
  <si>
    <t>你从德鲁伊法术列表里习得两个戏法
此外，你从德鲁伊法术列表里选择习得一个1环法术。以该方式习得的法术只可以用最低环法术位来施展，而以该方式施展后的法术必须完成一次长休后，才能再次以该方式施展
这些法术的施法关键属性为感知</t>
  </si>
  <si>
    <t>重复专长</t>
  </si>
  <si>
    <t>魔法学徒-术士</t>
  </si>
  <si>
    <t>你从术士法术列表里习得两个戏法
此外，你从术士法术列表里选择习得一个1环法术。以该方式习得的法术只可以用最低环法术位来施展，而以该方式施展后的法术必须完成一次长休后，才能再次以该方式施展
这些法术的施法关键属性为魅力</t>
  </si>
  <si>
    <t>专长数量</t>
  </si>
  <si>
    <t>魔法学徒-邪术师</t>
  </si>
  <si>
    <t>你从邪术师法术列表里习得两个戏法
此外，你从邪术师法术列表里选择习得一个1环法术。以该方式习得的法术只可以用最低环法术位来施展，而以该方式施展后的法术必须完成一次长休后，才能再次以该方式施展
这些法术的施法关键属性为魅力</t>
  </si>
  <si>
    <t>魔法学徒-法师</t>
  </si>
  <si>
    <t>你从法师法术列表里习得两个戏法
此外，你从法师法术列表里选择习得一个1环法术。以该方式习得的法术只可以用最低环法术位来施展，而以该方式施展后的法术必须完成一次长休后，才能再次以该方式施展
这些法术的施法关键属性为智力</t>
  </si>
  <si>
    <t>战技专家</t>
  </si>
  <si>
    <t>你选择习得战士战斗大师范型战技列表中的两个战技。如果所习得的战技需要目标进行豁免检定来抵抗战技效果，则其豁免DC等于8＋你的熟练加值+你的力量或敏捷调整值（自选）
你获得一枚d6的卓越骰（或在你以其他方式获得的卓越骰中增加一颗）。此卓越骰可用于启动你的战技。此卓越骰一经使用即消耗，并在完成短休或长休后恢复</t>
  </si>
  <si>
    <t>灵活移动</t>
  </si>
  <si>
    <t>你的移动速度增加10尺
你执行疾走动作的相应回合内，在困难地形的移动不再消耗额外的移动力
你对一个生物发动近战攻击后，无论命中与否，本回合剩下时间里你都不会引发该生物的借机攻击</t>
  </si>
  <si>
    <t>骑乘战斗</t>
  </si>
  <si>
    <t>当正在骑乘且未处于失能状态时，你获得下列增益：
你对比你的坐骑体型更小的未骑乘生物发动近战攻击时，所进行的攻击检定具有优势
你可以强迫针对你坐骑的攻击转而针对你自己
当你的坐骑受某效应影响而需要进行敏捷豁免来减半伤害时，如果豁免成功则可以不承受伤害，豁免失败则伤害减半</t>
  </si>
  <si>
    <t>观察力</t>
  </si>
  <si>
    <t>你的智力或感知加1，上限为20
某生物在讲话时，若你可以看见目标的嘴且你可以理解其语言，则你就可以依靠读唇来解读目标正在讲什么
你的被动感知（察觉）值和被动智力（调查）值带+5加值</t>
  </si>
  <si>
    <t>长柄武器大师</t>
  </si>
  <si>
    <t>当你只使用长柄刀、戟、长棍或矛执行攻击动作时，可以用附赠动作以武器手柄的末端发动一次近战攻击。这次攻击与主攻击使用同样的调整值，其伤害骰为d4，伤害类型为钝击伤害
当你持握长柄刀、戟、长矛、长棍或矛时，进入你触及范围的生物会引发你的借机攻击</t>
  </si>
  <si>
    <t>力量属性加1，上限为20
你进行力量的豁免检定时可以加上你的熟练加值</t>
  </si>
  <si>
    <t>敏捷属性加1，上限为20
你进行敏捷的豁免检定时可以加上你的熟练加值</t>
  </si>
  <si>
    <t>体质属性加1，上限为20
你进行体质的豁免检定时可以加上你的熟练加值</t>
  </si>
  <si>
    <t>智力属性加1，上限为20
你进行智力的豁免检定时可以加上你的熟练加值</t>
  </si>
  <si>
    <t>感知属性加1，上限为20
你进行感知的豁免检定时可以加上你的熟练加值</t>
  </si>
  <si>
    <t>魅力属性加1，上限为20
你进行魅力的豁免检定时可以加上你的熟练加值</t>
  </si>
  <si>
    <t>凶蛮打手</t>
  </si>
  <si>
    <t>你每回合有一次机会，在掷近战武器攻击的伤害骰时，重掷武器的伤害骰并选用新旧骰值二者之一</t>
  </si>
  <si>
    <t>哨兵</t>
  </si>
  <si>
    <t>你的借机攻击命中目标时，目标在本回合剩下时间内的移动速度降至0
生物即使执行撤离动作离开你的触及范围也会引发你的借机攻击
处于你周边5尺范围内的生物对除你外的目标发动攻击后（且被攻击者没有这个专长），你可以用你的反应对该攻击者发动一次近战攻击</t>
  </si>
  <si>
    <t>神射手</t>
  </si>
  <si>
    <t>攻击最大射程内的敌人时，你的远程武器攻击检定不会具有劣势
你的远程武器攻击忽视半身掩护和四分之三掩护状态
你用拥有熟练项的远程武器发动攻击前，可以选择使该次攻击的攻击检定承受-5减值。若本次攻击中，则其伤害掷骰获得+10加值</t>
  </si>
  <si>
    <t>盾牌大师</t>
  </si>
  <si>
    <t>你在自己的回合内执行攻击动作时，可以用附赠动作以盾牌尝试推撞一个在你5尺范围内的生物
如果你不处于失能状态，则你为抵抗以你为唯一目标的法术或其他伤害性效应而进行敏捷豁免时，可以将你盾牌的AC添加到相应的敏捷豁免中
当某个效应使让你进行豁免成功可以伤害减半的敏捷豁免检定时，你可以用你的反应将盾牌挡在你与效应原点之间，此时豁免成功则不受任何伤害</t>
  </si>
  <si>
    <t>熟习</t>
  </si>
  <si>
    <t>选择任意组合的三项技能或工具加入你的熟练项</t>
  </si>
  <si>
    <t>斗殴高手</t>
  </si>
  <si>
    <t>你的力量或体质加1，上限为20
你获得临时武器的熟练项
你徒手打击的伤害骰变为1d4
你在自己的回合内用徒手打击或临时武器命中敌人时，可以用附赠动作尝试对该敌人进行一次擒抱</t>
  </si>
  <si>
    <t>健壮</t>
  </si>
  <si>
    <t>获得该专长时，你的生命值上限增加你当前等级两倍的数值。并且在你随后每次升级时，生命值上限都会额外加2</t>
  </si>
  <si>
    <t>武器大师</t>
  </si>
  <si>
    <t>你的力量或敏捷加1，上限为20
你从简易武器和军用武器列表中，共选择四种武器并获得其熟练项</t>
  </si>
  <si>
    <t>当你持用一把已具有熟练项的灵巧武器时，若另一生物对你发动的近战攻击命中你，则你可执行反应并将你的熟练加值添加到本次攻击的AC中，此举还有可能导致本次攻击变为未命中
先决条件：敏捷13或更高</t>
  </si>
  <si>
    <t>你对被你擒抱的生物所发动的攻击检定具有优势
你可以用动作尝试压制被你擒抱的一个生物。此时，你必须进行另外一次擒抱检定。检定成功，则你与被擒抱者同时陷入束缚状态，直至擒抱终止
先决条件：力量13或更高</t>
  </si>
  <si>
    <t>你可以花费10分钟来激励同伴，鼓舞他们战斗的信心。此时，你可以指定30尺内至多6名友方生物（可以包括你自己）作为目标。目标生物必须能够看见你或者能够听到你的声音的，且必须能够理解你。被指定的生物将因你获得临时生命值，其数值等于你的等级加上你的魅力调整值。此后直至其完成一次短休或长休前，目标生物都无法再从该专长获益
先决条件：魅力13或更高</t>
  </si>
  <si>
    <t>你习得一些可以用于仪式施法的法术。这些法术会记载在一本仪式书上，你进行仪式施法时必须手持这本仪式书
当你选择该专长时，你获得一本记载了两个自选一环法术的仪式书。从吟游诗人、牧师、德鲁伊、术士、邪术师、法师中选择一个职业。你所选法术必须在所选职业的法术列表里，且所选法术必须有仪式标签。你所选的职业同样决定了这些法术的施法关键属性：吟游诗人、术士、邪术师用魅力；牧师、德鲁伊用感知；法师用智力
当你获得了一份书写形式的法术时，你可以将其法术添加进你的仪式书里。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
先决条件：智力或感知为13或更高</t>
  </si>
  <si>
    <t>你可以在轻度遮蔽的状态下尝试躲藏
当你对某生物处于躲藏状态时，你对其发动的远程武器攻击如果未命中便不会暴露你的位置
你在微光环境下进行依靠视觉的感知（察觉）检定时不会具有劣势
先决条件：敏捷13或更高</t>
  </si>
  <si>
    <t>获得该专长后，你所施展的法术将忽视强酸的抗性。此外，当你施展法术造成强酸伤害时，将每粒伤害骰所有1的骰值视为2
先决条件：至少可以施展一个法术</t>
  </si>
  <si>
    <t>获得该专长后，你所施展的法术将忽视冷冻的抗性。此外，当你施展法术造成冷冻伤害时，将每粒伤害骰所有1的骰值视为2
先决条件：至少可以施展一个法术</t>
  </si>
  <si>
    <t>获得该专长后，你所施展的法术将忽视火焰的抗性。此外，当你施展法术造成火焰伤害时，将每粒伤害骰所有1的骰值视为2
先决条件：至少可以施展一个法术</t>
  </si>
  <si>
    <t>获得该专长后，你所施展的法术将忽视闪电的抗性。此外，当你施展法术造成闪电伤害时，将每粒伤害骰所有1的骰值视为2
先决条件：至少可以施展一个法术</t>
  </si>
  <si>
    <t>获得该专长后，你所施展的法术将忽视雷鸣的抗性。此外，当你施展法术造成雷鸣伤害时，将每粒伤害骰所有1的骰值视为2
先决条件：至少可以施展一个法术</t>
  </si>
  <si>
    <t>当你施展需要进行攻击检定的法术时，则该法术的施法距离加倍
你的远程法术攻击忽视半身掩护和四分之三掩护状态
先决条件：至少可以施展一个法术
你习得一个需要进行攻击检定的戏法。从吟游诗人、牧师、德鲁伊、术士、邪术师、法师中选择其一，并从其相应的法术列表里选择该戏法。你施展该戏法的施法关键属性取决于你选择的职业：吟游诗人、术士、邪术师用魅力；牧师、德鲁伊用感知；法师用智力</t>
  </si>
  <si>
    <t>当你受到伤害时，你为维持法术专注而进行的体质豁免具有优势
你在持握武器和盾牌时依然可以满足施法所需的姿势成分
当敌方生物的移动引发你的借机攻击时，你可以用你的反应对该生物施展一个法术而非发动借机攻击。该法术的施法时间必须是1动作，且该生物必须为法术的唯一目标
先决条件：至少可以施展一个法术</t>
  </si>
  <si>
    <t>你的力量或敏捷加1，上限为20
你获得中甲和盾牌的熟练项
先决条件：轻甲熟练项</t>
  </si>
  <si>
    <t>着装中甲不再使你进行敏捷（隐匿）检定时具有劣势
着装中甲时，若你的敏捷在16或以上，你的AC可以增加3点而非2点
先决条件：中甲熟练项</t>
  </si>
  <si>
    <t>你的力量加1，上限为20
你获得重甲的熟练项
先决条件：中甲熟练项</t>
  </si>
  <si>
    <t>你的力量加1，上限为20
你着装重甲时，非魔法武器对你造成的钝击、穿刺、挥砍伤害每次减少3点
先决条件：重甲熟练项</t>
  </si>
  <si>
    <t>如果一个30尺内你可以看见的队友在攻击骰，技能检定或者豁免上扔了个1，你可以以一个反应让他重扔一次，队友必须接受新的结果
当你使用这个能力，直到下回合结束你都不能再次使用
先决条件：半身人</t>
  </si>
  <si>
    <t>力量、体质或魅力+1，不能超过20
你可以使用咆哮并消耗你的喷吐武器使三十尺内你选择的每个生物通过一个感知豁免检定（DC＝8+你的熟练加值+魅力调整值）取代喷射毁灭性能量。听不到或看不到你的目标单位自动通过此检定。如果豁免失败，目标恐慌一分钟。如果恐慌的目标受到任何伤害，他可以重投豁免检定，直到通过为止
先决条件：龙裔</t>
  </si>
  <si>
    <t>你的力量、体质或者魅力+1，不能超过20
你的皮肤硬化，如果你没穿盔甲则你的AC变为13+敏捷调整值。你可以在持握盾牌时仍获得此好处
你的指尖长出可伸缩的利爪，伸出或缩回爪子不消耗动作，爪子是可以用来徒手打击的天生武器，如果你用他们发动攻击，你造成1d4+你的力量调整值的挥砍伤害
先决条件：龙裔</t>
  </si>
  <si>
    <t>你学到了更多种类的黑暗精灵魔法。你学会侦测魔法并可以任意释放他，而不会消耗法术位。你学会解除魔法和浮空术，你可以释放每种一次不消耗法术位。直到你完成一次长休息你才可以再度释放他们。魅力是你施放这三个法术的施法主属性
先决条件：卓尔精灵</t>
  </si>
  <si>
    <t>你的体质+1，最大20
当你在战斗中使用回避动作时，你可以消耗一颗生命骰来治愈自己。扔一颗骰子，加上你的体质调整值，恢复那么多的血（最少为1）
先决条件：矮人</t>
  </si>
  <si>
    <t>你的敏捷、智力、感知或魅力+1，最大20
当你在依靠敏捷，智力，感知或者魅力进行的攻击骰上有优势的时候，你可以重扔其中一个骰子
先决条件：精灵或者半精灵</t>
  </si>
  <si>
    <t>你的智力+1，最大20
当你受到伤害，你可以用一个反应来用魔法把自己变成隐形，直到你攻击，造成伤害或使别人通过豁免检定或者下个回合。你只能使用一次这个能力，直到你进行一次短休息或者长休息
先决条件：侏儒</t>
  </si>
  <si>
    <t>你的智力或者魅力+1，最大20
你学会说读写木族语
你学会了迷踪步并且可以不消耗法术位释放他。直到你进行一次短休息或者长休息你才能再度使用此能力。智力是你的施法主属性
先决条件：高等精灵</t>
  </si>
  <si>
    <t>智力或者魅力+1，最大20
当你施展法术扔火焰伤害的伤害骰时，你可以重扔任何被扔到1的骰子，你必须接受新结果哪怕那也只是个1
当你施展造成火焰伤害的法术时，你可以让火焰环绕于你，直到你的下个回合结束。那些火焰不会对你或者你的物品造成伤害。他们提供30尺明亮照明和额外30尺昏暗照明，只要处于火焰现形之时，任何在你五尺内对你近战攻击的生物都会受到1d4火焰伤害
先决条件：提夫林</t>
  </si>
  <si>
    <t>体质+1，不能超过20
你获得寒冷与毒性抗力
你在对抗毒素时取优势
先决条件：提夫林</t>
  </si>
  <si>
    <t>你的力量或者体质+1，最高20
当你用简易或者军用武器进行一次攻击命中时，你可以再扔一个武器伤害骰并且用武器伤害同样的伤害类型将它加入额外伤害。你只能使用一次，直到你进行一次短休息或者长休息
在你进行坚韧不屈特性之后，你可以立即以反应进行一次武器攻击
先决条件：半兽人</t>
  </si>
  <si>
    <t>你获得一种自选技能的熟练，一种自选工具的熟练，且娴熟于一种自选的语言
选择一种你已经熟练于其的技能。你获得这种技能的专精，这意味着你在以其进行的任何技能检定上获得双倍熟练值。你选择的这个技能必须未在任何特性上获得双倍熟练的好处
先决条件：人类或半精灵或者半兽人</t>
  </si>
  <si>
    <t>你的敏捷、体质或者魅力+1，最大20
当一个你可以看到的生物对你进行攻击骰命中时，你可以用一个反应让那个生物重骰。一旦你使用此能力，直至你下一次在战斗开始阶段投掷先攻时，或完成一次短休或长休后，你才能再度使用此能力
先决条件：半身人</t>
  </si>
  <si>
    <t>你的力量或敏捷+1，最大20
你的速度提升5尺
你获得运动或者杂技之一的熟练（由你选择）
你在你进行的脱离擒抱的力量（运动）或者敏捷（杂技）的检定上获得优势
先决条件：矮人或者小体型</t>
  </si>
  <si>
    <t>你学会一种任选的德鲁伊戏法，你同时学会大步奔行和行动无踪法术。你可以释放他们各一次而不消耗法术位，直到一次长休息或者短休息，你才可以再次通过此能力施法。这三个法术的施法主属性是感知
先决条件：木精灵</t>
  </si>
  <si>
    <t>这项能力允许你随意对自己施放回避侦测，而不需要物质成分。你也可以每日一次施展下列每项法术：目盲/耳聋术、朦胧术和易容术。当你完成一次长休息后，你会重新获得施展这些法术的能力。你的施法关键属性为智力
先决条件：地底侏儒</t>
  </si>
  <si>
    <t>体质属性增加1，上限20
你从术士法术列表中习得一个戏法。然后，从术士法术列表中选择一个1环法术。你习得该法术，并能通过龙纹施展它。当你施展过一次此法术后，必须经过一次短休或长休才能再次施展。在施展这些法术时，体质是你的施法关键属性。
当你通过龙纹施展那个一环法术时，你能消耗一个生命骰并掷骰。如果掷骰结果是偶数，你将获得等同掷骰结果的临时生命值。如果掷骰结果是奇数，距离你30尺内的一个随机生物（不包括你）受到等同掷骰结果的力场伤害。如果范围内没有其他生物，则你会受到该伤害
先决条件：没有龙纹</t>
  </si>
  <si>
    <t>你从奇械师法术列表中选择并习得一个戏法。此外，你从该法术列表中选择并习得一个一环法术。智力是你施展这些法术的施法关键属性
你可以在不消耗法术位的情况下施展一次来自此专长的一环法术。你必须在完成一次长休后才能再次这样做。你也可以正常消耗法术位来施展该法术
你获得你所选的一项工匠工具熟练，并且你可以将该工具作为施展任何以智力为施法关键属性的法术的法器</t>
  </si>
  <si>
    <t>你的体质或感知增加1，上限为20
你获得厨师工具的熟练项，如果你还没有的话
作为短休的一部分，只要你手上有原料和厨师工具，你便可以烹饪特制料理。你可以为特定数量的生物准备这种食物，其数量等同于4+你的熟练加值。在本次短休结束时，任何食用了料理并且花费了一个或更多生命骰来恢复生命值的生物恢复额外1d8点生命值
在花费一小时精心制作后，或者在完成一次长休时，你可以制作等同于你熟练加值个数的餐点。这些餐点在制作完成后持续八小时。任何食用餐点的生物都能获得等同于你熟练加值的临时生命值</t>
  </si>
  <si>
    <t>你的力量或体质增加1，上限为20
每回合一次，当你用造成钝击伤害的攻击命中一个生物时，只要目标的体型并未比你大一级以上，你就可以将目标移动五尺至一个未被占据的空间
当你用造成钝击伤害的攻击命中一个生物并造成重击时，直至你的下一回合开始，所有针对该生物的攻击检定具有优势</t>
  </si>
  <si>
    <t>你从邪术师职业中选择并获得一项魔能祈唤。如果该祈唤具有任何先决条件，则仅当你是一位满足该条件的邪术师时才能选择该祈唤
当你升级时，你可以将该祈唤更换为邪术师职业中的另一个魔能祈唤
先决条件：施法或契约魔法特性</t>
  </si>
  <si>
    <t>你的智力、感知或魅力提升1，上限为20
你习得迷踪步以及一个由你选择的一环法术。该一环法术必须是预言系或者附魔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</si>
  <si>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
先决条件：熟练于一种军用武器</t>
  </si>
  <si>
    <t>你的敏捷提升1，上限为20
你获得枪械的熟练项
你忽略枪械的装填属性
你在敌对生物５尺范围内发动远程攻击检定时，不会因此而具有劣势</t>
  </si>
  <si>
    <t>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你获得2点术法点，用于施展超魔法（这些术法点和任何其他来源的术法点叠加，但只能用于超魔法）。你在完成长休后重获所有已消耗的术法点
先决条件：施法或契约魔法特性</t>
  </si>
  <si>
    <t>你的力量或敏捷提升1，上限为20
每回合一次，当你用造成穿刺伤害的攻击命中一个生物时，你可以重投其中一个伤害骰。你必须使用重投的结果
当你用造成穿刺伤害的攻击命中一个生物并且造成重击时，你可以在计算穿刺伤害时投一个额外的伤害骰</t>
  </si>
  <si>
    <t>当你投造成毒素伤害的伤害骰时，无视目标的伤害抗性
你可以以一个附赠动作为一把武器或一枚弹药涂毒，而不是一个动作
你获得制毒工具的熟练项，如果你还没有的话。花费一小时使用制毒工具进行制作后，并且消耗价值50gp的材料后，你可以制造一定数量的猛毒，其数量等同于你的熟练加值。当被用于一把武器或一枚弹药后，猛毒的毒性持续一分钟或直至你用该武器或弹药攻击命中后。当一个生物受到来自涂毒武器或弹药的伤害后，该生物必须成功通过DC14的体质豁免，否则将受到2d8毒素伤害并陷入中毒状态，直至你的下回合结束</t>
  </si>
  <si>
    <t>你的智力、感知或魅力提升1，上限为20
你习得隐形术以及一个由你选择的一环法术。该一环法术必须是幻术系或死灵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</si>
  <si>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你选择一项属性提升1，上限为20
你选择并获得一项技能的熟练项
选择一项你熟练的技能，你获得该技能的专精，可以将两倍的熟练加值加到使用该技能进行的属性检定上。你选择的技能必须未受益于其他使熟练加值翻倍的特性</t>
  </si>
  <si>
    <t>你的力量或敏捷提升1，上限为20
每回合一次，当你用造成挥砍伤害的攻击命中一个生物时，你可以使其速度降低10尺，直到你的下回合开始
当你用造成挥砍伤害的攻击命中一个生物并造成重击时，你将其重伤，使其所作的攻击检定具有劣势，直至你的下回合开始</t>
  </si>
  <si>
    <t>你的智力、感知或魅力提升1，上限为20
你习得法师之手戏法，你施展它无需语言构材或材料构材，并且你可以让该幽灵手隐形。如果你已经习得该戏法，你施展该戏法时其施法距离提升30尺。该戏法的施法关键属性是你由此专长提升的属性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</si>
  <si>
    <t>你的智力，感知或魅力提升1，上限为20
你可以和60尺内任何你可见的生物用心灵感应进行交流。你的心电沟通以一种你已知的语言的形式进行，该生物必须懂得该语言才能理解你。你的主动沟通并未给予该生物以心灵感应的形式回复你的能力
你可以施展侦测思想法术，无需法术位和构材。以此法施法后，你在完成一次长休前不能再这样做。该法术的施法关键属性是你由此专长提升的属性。如果你拥有二环或更高的法术位，你可以消耗这些法术位施展该法术</t>
  </si>
  <si>
    <t>以一个附赠动作，你可以触碰一把简易武器或军用武器，向它注入强酸、寒冷、火焰、闪电、毒素之一的能量。在之后一分钟内，该武器在命中时额外造成1d4你所选伤害类型的伤害。使用此特性后，你在完成一次长休前不能再次使用
当你受到强酸、寒冷、火焰、闪电、毒素伤害时，你可以使用你的反应，使自己在当此伤害中获得对应伤害类型的抗性。你可以使用该特性等同于你熟练加值的次数，你在完成一次长休后重获所有已使用的次数</t>
  </si>
  <si>
    <t>你的智力，感知或魅力提升1，最高20
当你受到来自距离你10尺内的生物的伤害时，你可以反应来驱使念动力。对你造成伤害的生物必须成功通过一次力量豁免（DC=8+你的熟练加值+你用此专长提升的属性的属性调整值），否则受到2d8力场伤害并被推离至多10尺。你可以使用此反应等同于你熟练加值的次数，你在完成一次长休后重获所有已使用的次数</t>
  </si>
  <si>
    <t>你习得疗伤术法术。你可以施展一次该法术而无需消耗法术位。当你以此法施展该法术后，你不能再这样做，直至你完成一次长休。你也可以使用你拥有的法术位来施展该法术。该法术的施法关键属性是智力，感知或魅力（你在获得此专长时进行选择）
在你或5尺内你可见的其他生物被一次攻击命中时，你可以使用你的反应来在你背后暂时显现出虚幻的翅膀。你使目标对抗该次攻击的AC获得加值，数值等同于你的熟练加值。你可以使用此反应等同于你熟练加值的次数，你在完成一次长休后重获所有已使用的次数</t>
  </si>
  <si>
    <t>你从光亮术、圣火、奇术中选择两项戏法并从牧师或法师法术中选择一个1环法术习得
你能够不使用法术位释放所选择的1环法术，当你这样做后，必须完成一次长休后才能再次用这种方式释放。你也能使用你拥有的任意法术位来释放该法术
你释放该专长的法术的施法关键属性为智力，感知或魅力（当你选择该专长的时候决定）1环法术</t>
  </si>
  <si>
    <t>你从火焰箭、魔法伎俩、冷冻射线中选择两项戏法并从吟游诗人或术士法术中选择一个1环法术习得
你能够不使用法术位释放所选择的1环法术，当你这样做后，必须完成一次长休后才能再次用这种方式释放。你也能使用你拥有的任意法术位来释放该法术
你释放该专长的法术的施法关键属性为智力，感知或魅力（当你选择该专长的时候决定）</t>
  </si>
  <si>
    <t>你从德鲁伊伎俩、神导术、法师之手中选择两项戏法并从德鲁伊或法师法术中选择一个1环法术习得
你能够不使用法术位释放所选择的1环法术，当你这样做后，必须完成一次长休后才能再次用这种方式释放。你也能使用你拥有的任意法术位来释放该法术
你释放该专长的法术的施法关键属性为智力，感知或魅力（当你选择该专长的时候决定）</t>
  </si>
  <si>
    <t>你从圣火、奇术、恶言相加中选择两项戏法并从吟游诗人或牧师法术中选择一个1环法术习得
你能够不使用法术位释放所选择的1环法术，当你这样做后，必须完成一次长休后才能再次用这种方式释放。你也能使用你拥有的任意法术位来释放该法术
你释放该专长的法术的施法关键属性为智力，感知或魅力（当你选择该专长的时候决定）</t>
  </si>
  <si>
    <t>你从冻寒之触、德鲁伊伎俩、维生术中选择两项戏法并从德鲁伊或法师法术中选择一个1环法术习得</t>
  </si>
  <si>
    <t>你能通过仪式施法释放获得魔宠法术。你魔宠的形态能够选择与你斯翠海文学徒专长所关联的学院的苑像：魂灵塑偶苑像（衡鉴），艺元素苑像（粹丽），分灵苑像（量析），墨灵苑像（银毫），害虫苑像（靡华）
当你在你的回合里进行攻击动作时，你能放弃一次攻击来让你的苑像魔宠使用其反应来进行一次攻击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
先决条件：4级，斯翠海文学徒专长</t>
  </si>
  <si>
    <t>你习得通晓语言。你可以无需法术位的施展这个法术一次，之后你必须完成一次长休才能再次以此施展它。你同样可以用任何你拥有的法术位去施展这个法术
你从云雾术、致伤术、繁彩球、易容术、燃烧之手、动物交谈、艾嘉西斯之铠、大步奔行、命令术、纠缠术、庇护术、雷鸣波中选择一些作为符文法术，其数量等同于你的熟练加值的一半（向下取整），每次长休后都可以将所有你知晓的符文法术刻印在你所能触碰的任何非魔法物品上，你可以任意消耗法术位使用被刻印的法术，刻印将在下次长休后消失
当你携带着具有刻印的物品时，你可以无需法术位和材料构材施放一次某种符文法术，当你以此法施展某个法术后，你不能再次以此法施展这些法术，直至你完成一次长休。这些法术的施法关键属性是你获得此专长时由智力、感知、魅力中选择的属性
每次升级后，你可以从符文法术列表中选择一项未知的法术替换你已知的符文法术
先决条件：施法特性或符文雕刻者背景</t>
  </si>
  <si>
    <t>每回合一次，当你用近战武器攻击、或投掷武器的远程武器攻击击中一个目标时，你可以使目标受到额外1d4点雷鸣伤害
若目标是生物，则其必须通过一次感知豁免，否则直至你下一回合开始，你对其而言视为隐形状态。你发动攻击或是施展法术后，这一效应也会立刻结束
先决条件：军用武器熟练或巨人养子背景</t>
  </si>
  <si>
    <t>每回合一次，当你用近战武器攻击、或投掷武器的远程武器攻击击中一个目标时，你可以使目标受到额外1d10点火焰伤害
先决条件：军用武器熟练或巨人养子背景</t>
  </si>
  <si>
    <t>每回合一次，当你用近战武器攻击、或投掷武器的远程武器攻击击中一个目标时，你可以使目标受到额外1d6点冷冻伤害
若目标是生物，则其必须通过一次体质豁免，否则直至你下一回合开始其速度归零
先决条件：军用武器熟练或巨人养子背景</t>
  </si>
  <si>
    <t>每回合一次，当你用近战武器攻击、或投掷武器的远程武器攻击击中一个目标时，你可以使目标受到额外1d6点与武器同类型的伤害
若目标是生物，则其必须通过一次力量豁免，否则将陷入倒地
先决条件：军用武器熟练或巨人养子背景</t>
  </si>
  <si>
    <t>每回合一次，当你用近战武器攻击、或投掷武器的远程武器攻击击中一个目标时，你可以使目标受到额外1d6点力场伤害
若目标是生物，则其必须通过一次力量豁免，否则被你沿直线击退10尺
先决条件：军用武器熟练或巨人养子背景</t>
  </si>
  <si>
    <t>每回合一次，当你用近战武器攻击、或投掷武器的远程武器攻击击中一个目标时，你可以使目标受到额外1d6点闪电伤害
若目标是生物，则其必须通过一次体质豁免，否则直至你下一回合开始，其发动的攻击检定都将具有劣势
先决条件：军用武器熟练或巨人养子背景</t>
  </si>
  <si>
    <t>你的力量、体质或感知属性提升1，上限为20
你获得火焰伤害的抗性
当你在你的回合中执行攻击动作时，你可以将其中一次攻击替换为喷射出一阵魔法烈焰。以你为中心，15尺半径球状内所有由你选择的可见生物都必须进行一次敏捷豁免（DC=8+你的熟练加值+本专长提升属性的调整值）。豁免失败时，生物将受到 1d8+你的熟练加值的火焰伤害，并陷入目盲状态，直至你下一个回合开始。豁免成功时只受一半伤害。你可使用炽热灼烧的次数等同于你的熟练加值，在完成一次长休后你恢复所有已消耗的使用次数
先决条件：4级，巨人打击-火焰专长</t>
  </si>
  <si>
    <t>你的力量、体质或感知属性提升1，上限为20
你获得冷冻伤害的抗性
当一个30尺内你可见的生物以攻击检定命中你，并对你造成伤害后，你可以立即用你的反应来唤出碎裂的寒冰来予以还击。那个生物必须进行一次体质豁免（DC=8+你的熟练加值+本专长提升属性的调整值）。豁免失败时，该生物将受到1d8+你的熟练加值的冷冻伤害，并速度减半，直至其下一个回合结束。你可以使用这一反应的次数等同于你的熟练加值，在完成一次长休后你恢复所有已消耗的使用次数
先决条件：4级，巨人打击-寒霜专长</t>
  </si>
  <si>
    <t>你的敏捷、体质或魅力属性提升1，上限为20
当一个你可见的生物以攻击检定命中你时，你可以使用你的反应来获得此次攻击伤害的抗性。然后你可以传送至30尺范围内的一处你可见的、未被占据的空间。你可以使用这一反应的次数等同于你的熟练加值，在完成一次长休后你恢复所有已消耗的使用次数
先决条件：4级，巨人打击-云雾专长</t>
  </si>
  <si>
    <t>你的力量、体质或感知属性提升1，上限为20
你获得60尺黑暗视觉。若你已经从其他来源处获得了黑暗视觉，其距离增加60尺。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8+你的熟练加值+本专长提升属性的调整值），否则将陷入倒地状态。你可以使用这一附赠动作的次数等同于你的熟练加值，在完成一次长休后你恢复所有已消耗的使用次数
先决条件：4级，巨人打击-岩石专长</t>
  </si>
  <si>
    <t>你的智力、感知或魅力属性提升1，上限为20
以一个附赠动作，你将自己笼罩在魔法性的狂风与雷电灵光之中，灵光以你为中心，向任意方向延展10尺（无法穿过全掩护）。灵光持续到你的下一个回合开始，若你陷入失能它会提前结束。灵光激活期间，你获得闪电伤害与雷鸣伤害的抗性。此外，任何以你为目标的攻击检定都将具有劣势，且每当一个生物在灵光下开始其回合，你都可以迫使其进行一次力量豁免（DC=8+你的熟练加值+本专长提升属性的调整值）。豁免失败时，该生物的速度将被减半直至它们的下一回合开始。你可以使用这一附赠动作的次数等同于你的熟练加值，在完成一次长休后你恢复所有已消耗的使用次数
先决条件：4级，巨人打击-风暴专长</t>
  </si>
  <si>
    <t>你的力量、体质或感知属性提升1，上限为20
当你受到一次让你移动至少5尺、或给予你倒地状态的效应时，你可以用你的反应来稳定自身，此时，你既不会被因此移动，也不会因此陷入倒地。
当你在短休时进食，并且使用了一粒或更多生命骰恢复生命时，你额外恢复等同于你的体质调整值+你的熟练加值的生命值
先决条件：4级，巨人打击-山丘专长</t>
  </si>
  <si>
    <t>你获得毒素抗性
你学会次级幻影，你施展这一戏法时无需材料成分，且其施法属性为智力、感知、或魅力（选择此专长时选择）</t>
  </si>
  <si>
    <t>你获得黯蚀抗性
你学会冻寒之触，其施法属性为智力、感知、或魅力（选择此专长时选择）</t>
  </si>
  <si>
    <t>你获得光耀抗性
你学会圣火术，其施法属性为智力、感知、或魅力（选择此专长时选择）</t>
  </si>
  <si>
    <t>你获得力场抗性
你学会神导术</t>
  </si>
  <si>
    <t>你获得心灵抗性
你学会法师之手</t>
  </si>
  <si>
    <t>你自选一项属性提升1，上限为20
每回合一次，当你对你自身周围60尺范围内的某一生物造成伤害时，你可以额外对其造成1d8点力场伤害，同时，灵缚将向着那个生物袭去。其必须通过一次感知豁免（DC=8+你的熟练加值+你外层位面后裔专长的施法属性），豁免成功时，目标将躲开灵缚。豁免失败时，目标将陷入束缚状态，持续直至你的下一回合开始。这灵缚的外形，如同钢铁锁链或其他什么象征着停滞不前的东西。你可以使用这一增益的次数等同于你的熟练加值次，在你完成一次长休后你重获全部已消耗的增益使用次数</t>
  </si>
  <si>
    <t>你自选一项属性提升1，上限为20
每回合一次，当你对你自身周围60尺范围内的某一生物造成伤害时，你可以额外对其造成一定黯蚀伤害。黯蚀伤害的数额等同于 1d6+你的熟练加值 点，然后你将恢复这一黯蚀伤害实际造成伤害数额的生命值。你可以使用这一增益的次数等同于你的熟练加值次，在你完成一次长休后你重获全部已消耗的增益使用次数</t>
  </si>
  <si>
    <t>你自选一项属性提升1，上限为20
当你在一次攻击检定或豁免检定中骰出了1或20时，混乱的魔力将涌入你的身躯。投掷d4，其出目决定将发生混乱耀斑表上的哪个事件。耀斑将持续到你的下一回合结束前，在上一次混乱耀斑结束前你无法触发下一次混乱耀斑效果
耀斑效应
1：你可见的，由你选择的一名生物将被灌注入无我的狂怒。他进行的任何攻击检定都将具有优势，但进行属性检定时将具有劣势
2：任何在你周围5尺范围内开始其回合的生物以及在一个回合中首次移动进入这一范围的生物将受到1d8力场伤害
3：你移动时，你可以花费部分或全部你的步行速度来进行一次传送，你身上携带或穿着的物品将跟着你一起传送。传送距离至多等同于你花费的速度额，且传送的目的地必须得是一处未被占据的你可见的空间
4：以你为中心，呼啸的狂风将充斥在这半径15尺的球状区域内。你与任何其他在这片区域内的生物进行的感知豁免都将具有劣势</t>
  </si>
  <si>
    <t>你自选一项属性提升1，上限为20
你习得法术迷踪步与法术 巧言术。你可以无需法术位的施展这两个法术各一次，而你必须完成一次长休后才能重获免费施展的机会。你也可以用你拥有的合适的法术位来施展这些法术。这些法术的施法属性与你在外层位面后裔专长中选择的施法属性相同</t>
  </si>
  <si>
    <t>当你完成一次长休时，你将获得毒素伤害、冷冻伤害、或火焰伤害（由你选择）的抗性，持续至你下一次完成长休为止
你对传送门的熟悉程度令你习得了如何不用钥匙也能打开它的方法。以一个动作，你将你的精神专注于你周围5尺范围内的一道传送门上，并进行一次DC20的奥秘检定。检定失败时，你将受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奥秘检定
你永远知道上一次使用的位面传送门位于你何方，但你与那个传送门必须处于同一位面上。不仅如此，以一个动作，你可以侦测到你周围30尺范围内的任何对你来说未处于完全掩护的传送门的位置。一旦你使用了侦测传送门动作，直到你完成一次长休前你都无法再次使用这一动作</t>
  </si>
  <si>
    <t>你自选一项属性提升1，上限为20
当你或你周围30尺范围内的生物受到伤害时，你可以用你的反应将那次伤害减少1d10+你的熟练加值点。你可以使用这一增益的次数等同于你的熟练加值次，在你完成一次长休后你重获全部已消耗的增益使用次数</t>
  </si>
  <si>
    <t>你可以用一副牌组作为你的法器
你习得戏法魔法伎俩，并可以用其创造幻象来复制舞台魔术的效果。当你以此法使用魔法伎俩时，你可以隐藏此法术的言语和姿势成分</t>
  </si>
  <si>
    <t>你可以将下半身变成漆黑的雾气，使你漂浮在空中。在变化之后，你拥有30尺的飞行速度。你最多可以维持此形态10分钟。使用此特质后，直到完成一次短休或长休后你都不能再次使用
先决条件：依夏兰吸血鬼</t>
  </si>
  <si>
    <t>你的力量或敏捷增加1点，上限为20
当你双手持握双刃弯刀时，你的AC得到+1加值
在使用双刃弯刀时视同具有灵巧属性
先决条件：精灵</t>
  </si>
  <si>
    <t>天使所拥有的对魔法先天抗性也延展到你的身上。你在对抗法术和其他魔法效果时，豁免检定具有优势
先决条件：阿斯莫</t>
  </si>
  <si>
    <t>你的力量或体质上升1点，上限20
你学会侦测魔法法术，并且可以随意施展它而无需消耗法术位
你得到了天生护甲。当你不穿护甲时，你以13+你的敏捷调整值来计算AC。你可以使用盾牌并继续保留这项增益
先决条件：土元素裔</t>
  </si>
  <si>
    <t>你的敏捷或体质上升1点，上限20
你学会侦测魔法法术，并且可以随意施展它而无需消耗法术位
你获得对闪电和雷鸣伤害的抗力
先决条件：气元素裔</t>
  </si>
  <si>
    <t>你的智力或体质上升1点，上限20
你学会侦测魔法法术，并且可以随意施展它而无需消耗法术位
你的黑暗视觉半径延展至120英尺
先决条件：火元素裔</t>
  </si>
  <si>
    <t>你的感知或体质上升1点，上限20
你学会侦测魔法法术，并且可以随意施展它而无需消耗法术位
你对寒冷伤害具有抗力
先决条件：水元素裔</t>
  </si>
  <si>
    <t>你的敏捷上升1点，上限20
在你必须移动0英尺以再次使用之前，你可以使用你的猫之迅捷特性两次，但每个回合你进行移动时仅可以使用这个能力一次
只要你未失能，坠落20英尺或更少距离时你不会受到伤害
先决条件：斑猫人</t>
  </si>
  <si>
    <t>你学会动物交谈并且可以随意施展它而无需法术位。你同时学会了化兽为友和野兽知觉法术，你可以施展它们各一次而无需消耗法术位。在你完成一次长休息之后，你恢复用这种方式施展这两个法术的能力。感知是你施展这三个法术时的施法主属性
先决条件：费尔伯格人</t>
  </si>
  <si>
    <t>你的敏捷上升1点，上限20
当有一个你能看见的生物以你为目标进行一次攻击，并且有另一个生物在你的5英尺内，你可以使用你的反应来使这次攻击检定劣势。一旦你使用这个特性，你将不能再次使用直到你完成了一次短休息或长休息
先决条件：地精</t>
  </si>
  <si>
    <t>你的敏捷或感知上升1点，上限20
每当你看见另一个生物使用一项技能或工具，你可以使用你的反应来得到那项技能或者工具的熟练。通过这种方式得到的熟练值将持续1个小时，并且同一时间你只能模仿一种熟练。一旦你使用这个特性，你将不能再次使用直到你完成了一次短休息或长休息
先决条件：天狗</t>
  </si>
  <si>
    <t>你的力量或体质上升1点，上限20
当你以反应使用你的石之坚韧来减少伤害时，你可以选择得到对触发攻击伤害类型的抗力直到你的下个回合开始，而非是减少1d12+你的体质调整值的伤害值。如果触发攻击造成一种以上的伤害类型，选择其中的一种。和正常使用石之坚韧一样，在使用这个特性以后，你将不能再次使用直到你完成了一次短休息或长休息
先决条件：歌利亚</t>
  </si>
  <si>
    <t>你的智力或魅力上升1点，上限20
你可以使用一个动作来变形成一条中体型的蛇，或变回你的真实形态。你在任何形态下的数据相同。你穿戴或携带的任何装备都不会一同变形。如果你死了，你会保持你现在的形态
当你处于蛇形，你得到啮咬作为一项天生武器，并可以用它来进行徒手攻击。如果你用它击中，你将造成1d4+你的力量调整值的穿刺伤害。当你用啮咬攻击击中时，你也可以选择对目标造成额外2d6点毒素伤害。一旦你用这个方式造成毒素伤害，你将不能再次使用直到你完成了一次长休息
先决条件：纯种蛇人</t>
  </si>
  <si>
    <t>你的敏捷或感知上升1点，上限20
你得到察觉技能的熟练。在依靠察觉进行的观察检定中，你可以加上两倍的熟练值
每个回合一次，如果你处于飞行中并且直线向目标俯冲至少30英尺，然后用一次近战武器击中了他，这次攻击将对目标造成额外1d6伤害
先决条件：阿兰寇拉</t>
  </si>
  <si>
    <t>你的力量或体质上升1点，上限20
你得到对火焰和毒素伤害的抗力
你得到啮咬作为一项天生武器。如果你用它击中，你造成1d6+你的力量调整值的伤害
先决条件：兽人</t>
  </si>
  <si>
    <t>你的力量或感知上升1点，上限20
你的天生护甲特性现在提供18点基础AC。如正常一般，你的敏捷调整值不会影响这个数字
当你被迫进行敏捷豁免检定时，你可以以一个反应选择在你5英尺内的任意数量生物。直到你的下个回合开始，每个被选择的生物在对抗任何有害攻击或效应时都将被认为是处于半掩护之下，只要他们处于你周围5英尺内。一旦你使用这个能力，你将不能再次使用直到你完成了一次短休息或长休息
先决条件：龟人</t>
  </si>
  <si>
    <t>你的体质或感知上升1点，上限20
你可以说，读，写深渊语
你免疫于恐惧状态
先决条件：蜥蜴人</t>
  </si>
  <si>
    <t>你学会造水/销水术并且可以随意施展它而无需法术位。你同时学会了守护之风和水下呼吸法术，你可以施展它们各一次而无需消耗法术位。在你完成一次长休息之后，你恢复用这种方式施展这两个法术的能力。魅力是你施展这三个法术时的施法主属性
先决条件：梭螺鱼人</t>
  </si>
  <si>
    <t>你的体质或智力上升1点，上限20
当你使用武器击中一个生物，并且那个生物周围5英尺内有你的盟友且未失能时，你的攻击可以造成额外2d6伤害。你在每场战斗中只能使用这个特性一次
以一个反应，如果一名盟友的攻击检定落空，或者在属性检定和豁免检定中失败，你可以使那次检定得到加值，数值等于在你周围30英尺内可以看见你的盟友数量（包括你自己，上限为+5）。和正常使用挽回颜面一样，在使用这个特性以后，你将不能再次使用直到你完成了一次短休息或长休息
先决条件：大地精</t>
  </si>
  <si>
    <t>你展现出坚韧的翅膀，转变成为一名鹗德，并获得以下增益：
你的敏捷上升1点，上限20
你得到30英尺的飞行速度。你必须不穿中甲或者重甲才能使用这个速度
先决条件：狗头人</t>
  </si>
  <si>
    <t>你的力量或敏捷上升1点，上限20
每次你在短休息中消耗一个或更多生命骰时，你可以恢复额外1d6的生命值
当你完成一次长休息时，你获得激励（如同玩家手册的第四章中所描述）
先决条件：熊地精</t>
  </si>
  <si>
    <t>中文名</t>
  </si>
  <si>
    <t>英文名</t>
  </si>
  <si>
    <t>学派</t>
  </si>
  <si>
    <t>材料</t>
  </si>
  <si>
    <t>耗材</t>
  </si>
  <si>
    <t>效果</t>
  </si>
  <si>
    <t>环阶</t>
  </si>
  <si>
    <t>出处</t>
  </si>
  <si>
    <t>法术查询</t>
  </si>
  <si>
    <t>查询列表</t>
  </si>
  <si>
    <t>职业控制</t>
  </si>
  <si>
    <t>法术准备</t>
  </si>
  <si>
    <t>V言语</t>
  </si>
  <si>
    <t>S姿势</t>
  </si>
  <si>
    <t>M材料</t>
  </si>
  <si>
    <t>特殊</t>
  </si>
  <si>
    <t>酸液飞溅</t>
  </si>
  <si>
    <t>Acid Splash</t>
  </si>
  <si>
    <t>咒法</t>
  </si>
  <si>
    <t>1动作</t>
  </si>
  <si>
    <t>60尺</t>
  </si>
  <si>
    <t>立即</t>
  </si>
  <si>
    <t>你掷出一颗酸液球。在施法距离内指定一个你能看见的生物，或者在施法距离内指定你能看见的两个相距不超过5尺的生物。每个目标必须进行一次敏捷豁免，豁免失败则受到1d6点强酸伤害。
你到达5级时，该法术的伤害增加1d6（变为2d6）。11级时再加1d6（变为3d6），17级时再加1d6（变为4d6）。</t>
  </si>
  <si>
    <t>析米克科学家</t>
  </si>
  <si>
    <t>一环</t>
  </si>
  <si>
    <t>剑刃防护</t>
  </si>
  <si>
    <t>Blade Ward</t>
  </si>
  <si>
    <t>防护</t>
  </si>
  <si>
    <t>自身</t>
  </si>
  <si>
    <t>1轮</t>
  </si>
  <si>
    <t>你伸手在空中勾勒出一个防护印记，以令自己在下一回合结束前对武器攻击造成的钝击、穿刺和挥砍伤害具有抗性。</t>
  </si>
  <si>
    <t>二环</t>
  </si>
  <si>
    <t>冻寒之触</t>
  </si>
  <si>
    <t>Chill Touch</t>
  </si>
  <si>
    <t>死灵</t>
  </si>
  <si>
    <t>120尺</t>
  </si>
  <si>
    <t>你在施法距离内某生物所在位置召唤出幽魂般的骨手，夹带着墓穴的刺骨冻寒攻击目标。并对该生物进行一次远程法术攻击，命中时，手掌抓住目标并令其受1d8点黯蚀伤害，且直至你下一回合开始前都无法恢复生命值。
如果你的命中目标为一个不死生物，则其在你下回合结束之前对你发动的攻击检定都具有劣势。
你到达5级时，该法术的伤害增加1d8（变为2d8）。11级时再加1d8（变为3d8），17级时再加1d8（变为4d8）。</t>
  </si>
  <si>
    <t>孢子结社，靡华学院，邪恶外层位面后裔</t>
  </si>
  <si>
    <t>三环</t>
  </si>
  <si>
    <t>舞光术</t>
  </si>
  <si>
    <t>Dancing Lights</t>
  </si>
  <si>
    <t>塑能</t>
  </si>
  <si>
    <t>一点磷或光榆木，或者一只萤火虫</t>
  </si>
  <si>
    <t>至多1分钟</t>
  </si>
  <si>
    <t>你在施法距离内创造四个火把大小的光源。法术持续时间内，光源能够以火把，灯笼或光球的形态显现并在空中悬浮。你也可以将四个光源合为一个中型类人生物的模糊光影。无论选择哪种方式，每处光源都可以发出半径10尺的微光光照。
你在自己回合可以用一个附赠动作令这些光源在施法距离内移动至多60尺。每个光源必需在另一个光源周边20尺内，而离开施法距离的光源会随即熄灭。</t>
  </si>
  <si>
    <t>黑暗精灵，半卓尔精灵，葛加理成员，星界精灵</t>
  </si>
  <si>
    <t>四环</t>
  </si>
  <si>
    <t>德鲁伊伎俩</t>
  </si>
  <si>
    <t>Druidcraft</t>
  </si>
  <si>
    <t>变化</t>
  </si>
  <si>
    <t>30尺</t>
  </si>
  <si>
    <t>你向自然之魂低语，并创造以下效应之一：
你创造一个微小而无害的感官效应，并以之预报你所在地接下来24小时的天气状况。该效应可表现为一个代表晴空的金球，一朵代表雨天的云彩，代表雪日而飘飞的雪花等等。该效应将持续1轮。
你可以立即让一朵鲜花绽放，一颗种子破壳，一片叶蕾发芽。
你创造一个微小而无害的即时感官效应，如落叶，微风，小动物的动静或者臭鼬的微弱气味。该效应只能在5尺的立方空间内起效。
你可以立即点亮或熄灭一根蜡烛、一把火把或一处小篝火。</t>
  </si>
  <si>
    <t>莲源半身人，瑟雷尼亚祀徒，析米克科学家，魔射手，量析学院，靡华学院，仙灵，巨人道途</t>
  </si>
  <si>
    <t>五环</t>
  </si>
  <si>
    <t>魔能爆</t>
  </si>
  <si>
    <t>Eldritch Blast</t>
  </si>
  <si>
    <t>一束激烈的能量射向施法距离内一个生物。对该目标发动一次远程法术攻击，如果命中则该目标受1d10点力场伤害。
当你到达更高等级时，该法术还可以同时创造更多的射线：5级时两条，11级时三条，17级时四条。你可以决定这些射线攻击同一个目标或分别攻击不同的目标，且为每束射线分别进行攻击检定。</t>
  </si>
  <si>
    <t>六环</t>
  </si>
  <si>
    <t>火焰箭</t>
  </si>
  <si>
    <t>Fire Bolt</t>
  </si>
  <si>
    <t>你对施法距离内一个生物或物件掷出一把火焰，对目标进行一次远程法术攻击。若命中，则目标受到1d10点火焰伤害。未被着装或携带的可燃物件被该法术命中时将被点燃。
你到达5级时，该法术的伤害增加1d10（变为2d10）。11级时再加1d10（变为3d10），17级时再加1d10（变为4d10）。</t>
  </si>
  <si>
    <t>波洛斯军团兵，古鲁反抗者，拉铎斯邪教徒，粹丽学院</t>
  </si>
  <si>
    <t>七环</t>
  </si>
  <si>
    <t>交友术</t>
  </si>
  <si>
    <t>Friends</t>
  </si>
  <si>
    <t>附魔</t>
  </si>
  <si>
    <t>法术施展时作用于脸部的一些化妆用品</t>
  </si>
  <si>
    <t>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决定），具体情况视你与其交互时的具体内容而定。</t>
  </si>
  <si>
    <t>菲尔娜，塞连，俄佐立官员，欧佐夫议员，瑟雷尼亚祀徒</t>
  </si>
  <si>
    <t>八环</t>
  </si>
  <si>
    <t>神导术</t>
  </si>
  <si>
    <t>Guidance</t>
  </si>
  <si>
    <t>预言</t>
  </si>
  <si>
    <t>你触碰一个自愿的生物。在法术终止前，目标可以选择在一次属性检定时额外掷一粒d4，并将所得数值加入检定结果中。它可以在进行属性检定之前或之后掷骰。法术随后即终止。</t>
  </si>
  <si>
    <t>欧佐夫议员，星辰结社，精魂学院，量析学院，守序外层位面后裔</t>
  </si>
  <si>
    <t>是</t>
  </si>
  <si>
    <t>否</t>
  </si>
  <si>
    <t>九环</t>
  </si>
  <si>
    <t>光亮术</t>
  </si>
  <si>
    <t>Light</t>
  </si>
  <si>
    <t>一只萤火虫或一片磷光苔藓</t>
  </si>
  <si>
    <t>1小时</t>
  </si>
  <si>
    <t>你触碰一个尺寸在任意方向上都不超过10尺的物件。在法术终止前，物件将在其20尺半径范围内发出明亮光照，并在其外20尺范围发出微光光照。光的颜色由你决定，该物件被不透明的东西完全遮盖时，其光照被遮挡。如果你再次施展该法术，或者使用一个动作解散该法术，则该法术终止。
如果你指定敌对生物所持握或着装的一个物件作为目标，则该生物必须进行一次敏捷豁免以尝试摆脱该法术的效应。</t>
  </si>
  <si>
    <t>苍白精灵，阿斯莫，光明领域，天界宗主，衡鉴学院，星界精灵</t>
  </si>
  <si>
    <t>录入备选</t>
  </si>
  <si>
    <t>Mage Hand</t>
  </si>
  <si>
    <t>1分钟</t>
  </si>
  <si>
    <t>一只漂浮的幽灵手出现在施法距离内你指定的一点。幽灵手持续存在至法术终止，或直至你以一个动作解散该法术。如果幽灵手距你的距离超过30尺，或者当你再次施展了该法术时，则现存的幽灵手消失不见。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该幽灵手不能攻击，也不能激活魔法物品或承载超过10磅重的物质。</t>
  </si>
  <si>
    <t>马曼，墨菲斯托菲利斯，吉斯洋基人，吉斯泽莱人，底密尔特务，念动力，集群守卫，诡术师，量析学院</t>
  </si>
  <si>
    <t>1附赠动作</t>
  </si>
  <si>
    <t>修复术</t>
  </si>
  <si>
    <t>Mending</t>
  </si>
  <si>
    <t>两块天然磁石</t>
  </si>
  <si>
    <t>法术修复你所触碰一个物件上的一处破损或裂缝，例如修复一条断裂的链条，或者一把碎成两半的钥匙、一件撕裂的斗篷、一个漏了的酒袋等。只要破损或断裂处在任意方向上都不超过1尺，你就可以不留痕迹地修复它。
该法术可以从物理上修复一件魔法物品或一个构装体，但不会恢复这类物件上的魔法。</t>
  </si>
  <si>
    <t>1反应</t>
  </si>
  <si>
    <t>传讯术</t>
  </si>
  <si>
    <t>Message</t>
  </si>
  <si>
    <t>一小段铜线</t>
  </si>
  <si>
    <t>你用手指指向施法距离内的一个生物并低声说出一段信息。该目标（且只有该目标）会听到这段信息并可以用只有你能听见的低语回复你。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</si>
  <si>
    <t>抄录龙纹，俄佐立官员</t>
  </si>
  <si>
    <t>5尺</t>
  </si>
  <si>
    <t>次级幻影</t>
  </si>
  <si>
    <t>Minor Illusion</t>
  </si>
  <si>
    <t>幻术</t>
  </si>
  <si>
    <t>一小块羊毛</t>
  </si>
  <si>
    <t>你在施法距离内创造一段声响或一个物件的影像，并使之维持至法术持续时间结束。你也可以用一个动作解除幻象，或者再次施展该法术来终止幻象。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生物用其动作调查该声响或影像时，必须进行一次对抗该法术豁免DC的智力（调查）检定，检定成功则判断出眼前即是幻象。幻象在看穿它的生物面前会显得模糊不清。</t>
  </si>
  <si>
    <t>阴影龙纹，森林侏儒，格莱西雅，暗影宗，幻术学派，混乱外层位面</t>
  </si>
  <si>
    <t>10尺</t>
  </si>
  <si>
    <t>10分钟</t>
  </si>
  <si>
    <t>毒气喷溅</t>
  </si>
  <si>
    <t>Poison Spray</t>
  </si>
  <si>
    <t>你伸手向施法距离内一个你能看见的生物喷一阵毒气。目标必须进行一次体质豁免，豁免失败则受1d12毒素伤害。
你到达5级时，该法术的伤害增加1d12（变为2d12）。11级时再加1d12（变为3d12），17级时再加1d12（变为4d12）。</t>
  </si>
  <si>
    <t>纯种蛇人</t>
  </si>
  <si>
    <t>15尺</t>
  </si>
  <si>
    <t>魔法伎俩</t>
  </si>
  <si>
    <t>Prestidigitation</t>
  </si>
  <si>
    <t>至多1小时</t>
  </si>
  <si>
    <t>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如果你多次施展该法术，则可以同时维持至多三个不同的非即时效应，并且可以用一个动作解散其中一种效应。</t>
  </si>
  <si>
    <t>招待龙纹，魔射手，粹丽学院，卡牌占卜师</t>
  </si>
  <si>
    <t>20尺</t>
  </si>
  <si>
    <t>2小时</t>
  </si>
  <si>
    <t>燃火术</t>
  </si>
  <si>
    <t>Produce Flame</t>
  </si>
  <si>
    <t>一朵摇曳的火焰出现在你手中。火焰在法术持续时间存在，并且不会伤害你和你的装备。火焰为其周边半径10尺范围内提供明亮光照，以及该范围外10尺的微光光照。法术将在再次施展该法术，或者以一个动作解除法术时终止。
此外，你还可以使用火焰发动攻击，并以此终止该法术。施展该法术时，你可以将火焰投向距你30尺内的一个生物，并对其发动一次远程法术攻击，命中时目标将受到1d8点火焰伤害。你也可以在施展法术后的随后回合里以一个动作实现该行为。
你到达5级时，该法术的伤害增加1d8（变为2d8）。11级时再加1d8（变为3d8），17级时再加1d8（变为4d8）。</t>
  </si>
  <si>
    <t>招待龙纹，古鲁反抗者，伊捷工程师</t>
  </si>
  <si>
    <t>8小时</t>
  </si>
  <si>
    <t>6小时</t>
  </si>
  <si>
    <t>冷冻射线</t>
  </si>
  <si>
    <t>Ray Of Frost</t>
  </si>
  <si>
    <t>一道冰冷的蓝白色光线朝施法距离内的一个生物射去。你对目标进行一次远程法术攻击。若命中，则目标受到1d8点冷冻伤害，并且在你的下一回合开始前速度减少10尺。
你到达5级时，该法术的伤害增加1d8（变为2d8）。11级时再加1d8（变为3d8），17级时再加1d8（变为4d8）。</t>
  </si>
  <si>
    <t>莱维斯图斯，粹丽学院</t>
  </si>
  <si>
    <t>12小时</t>
  </si>
  <si>
    <t>提升抗性</t>
  </si>
  <si>
    <t>Resistance</t>
  </si>
  <si>
    <t>一件微型斗篷</t>
  </si>
  <si>
    <t>你触碰一个自愿的生物。在法术终止前，目标可以选择在一次豁免检定时额外掷一粒d4，并将所得数值加入检定结果中。他可以在进行豁免检定之前或之后掷骰。法术随后即终止。</t>
  </si>
  <si>
    <t>24小时</t>
  </si>
  <si>
    <t>90尺</t>
  </si>
  <si>
    <t>圣火术</t>
  </si>
  <si>
    <t>Sacred Flame</t>
  </si>
  <si>
    <t>如同火焰般的辉光向施法距离内你能看见的一个生物倾泻而下。目标必须要进行一次敏捷豁免，豁免失败则受到1d8点光耀伤害。目标在这次豁免检定中无法获得掩护的增益。
你到达5级时，该法术的伤害增加1d8（变为2d8）。11级时再加1d8（变为3d8），17级时再加1d8（变为4d8）。</t>
  </si>
  <si>
    <t>波洛斯军团兵，天界宗主，衡鉴学院，银毫学院，星界精灵，善良外层位面后裔</t>
  </si>
  <si>
    <t>1反应，当你被攻击命中或作为魔法飞弹的目标时执行</t>
  </si>
  <si>
    <t>100尺</t>
  </si>
  <si>
    <t>1日</t>
  </si>
  <si>
    <t>橡棍术</t>
  </si>
  <si>
    <t>Shillelagh</t>
  </si>
  <si>
    <t>一些槲寄生，一片三叶草叶子，以及一根短棒或长棍</t>
  </si>
  <si>
    <t>你将自然之力灌入手中持握的一根短棒或长棍中。你在法术持续时间内使用该武器进行近战攻击时，可以用你的施法关键属性值代替力量值来进行攻击检定和伤害掷骰，且该武器的伤害骰变为d8。此外，若该武器原来不是魔法武器，则它将变成魔法武器。你再次施展该法术或丢掉该武器时，该法术也随之终止。</t>
  </si>
  <si>
    <t>1反应，你60尺内有生物坠落时可用</t>
  </si>
  <si>
    <t>7日</t>
  </si>
  <si>
    <t>电爪</t>
  </si>
  <si>
    <t>Shocking Grasp</t>
  </si>
  <si>
    <t>你的手上发出闪电，并对你触碰的一个生物发动电击。对目标发动一次近战法术攻击。如果目标穿着金属护甲，则你进行该检定时具有优势。若命中，则目标受到1d8点闪电伤害，并且在其下一回合开始前不能执行任何反应。
你到达5级时，该法术的伤害增加1d8（变为2d8）。11级时再加1d8（变为3d8），17级时再加1d8（变为4d8）。</t>
  </si>
  <si>
    <t>伊捷工程师，气元素裔</t>
  </si>
  <si>
    <t>1反应，当60尺内一个你能看见的生物对你造成伤害时执行</t>
  </si>
  <si>
    <t>150尺</t>
  </si>
  <si>
    <t>10日</t>
  </si>
  <si>
    <t>维生术</t>
  </si>
  <si>
    <t>Spare The Dying</t>
  </si>
  <si>
    <t>你触碰一个生命值为0的活体生物，使该生物的伤势立刻稳定下来。该法术对不死生物和构装生物无效。</t>
  </si>
  <si>
    <t>葛加理成员，坟墓领域，不朽者，靡华学院</t>
  </si>
  <si>
    <t>1反应，当你看见身边60尺内一个生物施展法术时执行</t>
  </si>
  <si>
    <t>300尺</t>
  </si>
  <si>
    <t>30日</t>
  </si>
  <si>
    <t>奇术</t>
  </si>
  <si>
    <t>Thaumaturgy</t>
  </si>
  <si>
    <t>你在施法距离内展示出一个低级奇观，以表现你的超自然力。你在施法距离内创造出下列魔法效应之一：
你的声音在1分钟内变得比常人响两倍。
你在1分钟内使一团火焰闪烁，变亮，变暗或变色。
你使地面震动1分钟（完全无害）。
你使某种声音自施法距离内一点瞬间发出，例如雷鸣声，鸦叫声或不祥的低语声。
你使一扇没有锁上的门或窗瞬间打开或关上。
你在1分钟内改变自己眼睛的颜色。
多次施展该法术时，你可以同时维持最多三个持续1分钟的效应。你也可以用一个动作驱散其中一种效应。</t>
  </si>
  <si>
    <t>提夫林，提夫林变体，巴尔泽布，迪斯帕特，扎瑞尔，衡鉴学院，银毫学院，巨人道途</t>
  </si>
  <si>
    <t>1反应，当你受到强酸，寒冷，火焰，闪电或雷鸣伤害时执行</t>
  </si>
  <si>
    <t>500尺</t>
  </si>
  <si>
    <t>直至解除</t>
  </si>
  <si>
    <t>荆棘之鞭</t>
  </si>
  <si>
    <t>Thorn Whip</t>
  </si>
  <si>
    <t>一根来自带刺植物的茎干</t>
  </si>
  <si>
    <t>你创造出一条藤蔓般的带刺长鞭，并猛抽向施法距离内一个你指定的生物。对目标进行一次近战法术攻击，如果命中，则目标受到1d6点穿刺伤害，如果目标生物为大型或更小体型，则其将朝你所在位置拉近至多10尺。
你到达5级时，该法术的伤害增加1d6（变为2d6）。11级时再加1d6（变为3d6），17级时再加1d6（变为4d6）。</t>
  </si>
  <si>
    <t>1反应，当你看见 60 尺内类人生物死去时执行</t>
  </si>
  <si>
    <t>1里</t>
  </si>
  <si>
    <t>直至解除或触发</t>
  </si>
  <si>
    <t>克敌机先</t>
  </si>
  <si>
    <t>True Strike</t>
  </si>
  <si>
    <t>至多1轮</t>
  </si>
  <si>
    <t xml:space="preserve">你伸出手并以手指指向施法距离内的一个生物，并以魔力刹那间看穿目标的防御。如果该法术还未终止，则你在自己的下一回合里，对该目标发动的第一次攻击检定具有优势。
</t>
  </si>
  <si>
    <t>1反应，当你看到一个生物进行一次攻击掷骰或开始施展一个法术时执行</t>
  </si>
  <si>
    <t>500里</t>
  </si>
  <si>
    <t>恶言相加</t>
  </si>
  <si>
    <t>Vicious Mockery</t>
  </si>
  <si>
    <t>你对施法距离内一个你能看见的生物连珠炮式的说出一串蕴涵魔力的咒骂。如果目标能听见你说话（不一定要听懂），它就必须要进行一次感知豁免，豁免失败者将受到1d4点心灵伤害，其下一回合结束前进行第一次攻击检定具有劣势。
你到达5级时，该法术的伤害增加1d4（变为2d4）。11级时再加1d4（变为3d4），17级时再加1d4（变为4d4）。</t>
  </si>
  <si>
    <t>提夫林变体，拉铎斯邪教徒，银毫学院</t>
  </si>
  <si>
    <t>1反应，当你与另一个生物说话时执行</t>
  </si>
  <si>
    <t>1000尺</t>
  </si>
  <si>
    <t>轰雷剑</t>
  </si>
  <si>
    <t>Booming Blade</t>
  </si>
  <si>
    <t>自身（5尺半径）</t>
  </si>
  <si>
    <t>一把至少价值1sp的近战武器</t>
  </si>
  <si>
    <t>作为施展这个法术的一部分，你必须用你的武器对施法距离内的一个生物进行一次近战攻击，否则法术失败。如果攻击命中，目标受到这次攻击的正常影响，并且被包覆在爆发性的能量之中直到你的下回合开始。如果目标在这之前自愿进行了一次移动，他将立即受到1d8的雷鸣伤害，并且法术结束。
戏法的伤害随着你的等级提升而增加。在你5级的时候，这次近战攻击将造成额外1d8雷鸣伤害，并且目标进行移动时受到的伤害提升为2d8。所有伤害骰都会在11级和17级的时候各增长1d8。</t>
  </si>
  <si>
    <t>1动作或8小时</t>
  </si>
  <si>
    <t>视野内</t>
  </si>
  <si>
    <t>至多6轮</t>
  </si>
  <si>
    <t>翠炎剑</t>
  </si>
  <si>
    <t>Green-Flame Blade</t>
  </si>
  <si>
    <t>作为施展这个法术的一部分，你必须用你的武器对施法距离内的一个生物进行一次近战攻击，否则法术失败。如果攻击命中，目标受到这次攻击的正常影响，并且可以让翠绿色的火焰将从目标身上跳转至另一个生物。这个生物必须在第一个目标周围5尺之内，并且你可以看见；它将受到等于你施法主属性的调整值的火焰伤害。
戏法的伤害随着你的等级提升而增加。在你5级的时候，这次近战攻击将造成额外1d8火焰伤害，且第二个目标将受到的伤害提升至1d8+你的施法主属性的调整值。所有伤害骰都会在11级和17级的时候各增长1d8。</t>
  </si>
  <si>
    <t>1反应，当一个于你60尺内且可见的生物成功进行一次攻击检定，属性检定，或是豁免检定时</t>
  </si>
  <si>
    <t>无限</t>
  </si>
  <si>
    <t>闪电牵引</t>
  </si>
  <si>
    <t>Lightning Lure</t>
  </si>
  <si>
    <t>自身（15尺半径）</t>
  </si>
  <si>
    <t>你创造出鞭状的闪电能量袭击射程内你可以看见的一个生物。目标必须进行一次力量豁免；若失败，目标将以直线被你拉近10尺。那之后如果目标在你周围5尺范围内，那么他将受到1d8闪电伤害。
戏法的伤害在你5级时提升至2d8，11级3d8，17级4d8。</t>
  </si>
  <si>
    <t>至多10分钟</t>
  </si>
  <si>
    <t>剑刃爆发</t>
  </si>
  <si>
    <t>Sword Burst</t>
  </si>
  <si>
    <t>你在瞬间制造出一圈半透明的利刃清扫你的周围。法术范围内除你以外的每一个生物都必须成功进行一次敏捷豁免，否则将受到1d6力场伤害。
戏法的伤害在你5级时提升至2d6，11级3d6，17级4d6。</t>
  </si>
  <si>
    <t>控火术</t>
  </si>
  <si>
    <t>Control Flames</t>
  </si>
  <si>
    <t>立即或1小时</t>
  </si>
  <si>
    <t>你选择范围内你能看见的，占据5立方尺的非魔法火焰。你以下述方式之一影响此火焰：
你立刻令火焰在一个方向上蔓延5尺，如同在新位置处有着木头或其他燃料
你立刻熄灭该空间内的火焰。
你令火焰产生的明亮和微亮区域的范围加倍或减半，和/或改变其颜色。此种变化持续1小时。
你令火焰产生简单的形象——例如一个生物的模糊影像，一个固定的物体，或一个地点——这样的影像出现在火焰中，如你所愿变化着。这样的形象持续1小时。
若你多次施放此法术，你可以令至多3个非立刻的效应同时生效，而你可以以一个动作解除上述的效果之一。</t>
  </si>
  <si>
    <t>自身（10尺半径）</t>
  </si>
  <si>
    <t>至多2小时</t>
  </si>
  <si>
    <t>创造篝火</t>
  </si>
  <si>
    <t>Create Bonfire</t>
  </si>
  <si>
    <t>你在距离之内你能看到的地面上燃起一堆篝火。直到此法术终结，该魔法篝火会占满5立方尺的空间。当你施放此法术时，所有在篝火所在空间的生物必须通过一次敏捷豁免检定，否则受到1d8点伤害。当生物在一个回合中第一次进入篝火所在的空间，或在篝火所在的空间结束其回合时，其同样必须进行该豁免检定。
篝火可以点燃区域内未被穿戴或者携带的可燃物体。
你到达5级时，该法术的伤害增加1d8（变为2d8）。11级时再加1d8（变为3d8），17级时再加1d8（变为4d8）。</t>
  </si>
  <si>
    <t>自身（10尺半径半球状）</t>
  </si>
  <si>
    <t>至多8小时</t>
  </si>
  <si>
    <t>霜噬术</t>
  </si>
  <si>
    <t>Frostbite</t>
  </si>
  <si>
    <t>你令距离之内，一个你能看见的生物开始结冰。该目标必须进行一次体质豁免检定。若豁免失败，该目标受到1d6点冷冻伤害，并在其下个回合结束前进行的下一次武器攻击检定中得到劣势。
你到达5级时，该法术的伤害增加1d6（变为2d6）。11级时再加1d6（变为3d6），17级时再加1d6（变为4d6）。</t>
  </si>
  <si>
    <t>自身（10尺半径球状）</t>
  </si>
  <si>
    <t>至多24小时</t>
  </si>
  <si>
    <t>舞风术</t>
  </si>
  <si>
    <t>Gust</t>
  </si>
  <si>
    <t>在距离内的，你能看到的一点上，空气被你掌握，被迫产生了下述效应之一：
由你选择的一个中型或更小的生物必须通过一次力量豁免检定，否则会被你推离5尺。
你能制造出小小的空气爆破，足以移动一个未被持握或携带的，不超过5磅的物体。该物体被推离你10尺。以此法产生的力不足以造成伤害。
你利用空气制造出无害的感官感受，例如令树叶沙沙作响，令百叶窗闭合，或你的衣服在微风中摆动。</t>
  </si>
  <si>
    <t>自身（15尺锥状）</t>
  </si>
  <si>
    <t>至多1日</t>
  </si>
  <si>
    <t>虫群孳生</t>
  </si>
  <si>
    <t>Infestation</t>
  </si>
  <si>
    <t>一只活跳蚤</t>
  </si>
  <si>
    <t>你令一个处于距离内、你能看见的生物身上暂时性的出现螨虫、跳蚤、和其他寄生虫。目标必须通过一次体质豁免检定，否则受到1d6点毒素伤害并且向着一个随机的方向移动5尺，只要它可以移动并且有至少5尺的速度。投1d4决定方向：1，北；2，南；3，东；4，西。这个移动不会提供借机攻击，并且如果移动的方向被阻挡，目标将不会移动。
此法术的伤害在你达到5级（2d6），11级（3d6），和17级（4d6）时提高1d6点。</t>
  </si>
  <si>
    <t>自身（15尺立方）</t>
  </si>
  <si>
    <t>魔石术</t>
  </si>
  <si>
    <t>Magic Stone</t>
  </si>
  <si>
    <t>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收到1d6+你的施法属性调整值点数的钝击伤害。无论击中与否，在那块石块上的魔法都会终结。
若你再次释放此法术，此法术先前释放时，在受到影响的石块上的效果会提前终结。</t>
  </si>
  <si>
    <t>塑土术</t>
  </si>
  <si>
    <t>Mold Earth</t>
  </si>
  <si>
    <t>你选择距离之内，你能看见的，占满5尺立方体的一堆泥土或一块岩石。你可以用以下方式之一对其进行改变：
若你指向一片松散的土壤，你可以立刻挖开它，令其沿着地表行进，被运离到至多5尺之外的地方。这种移动的力量不足以造成伤害。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</si>
  <si>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自身（30尺半径）</t>
  </si>
  <si>
    <t>原初蛮击</t>
  </si>
  <si>
    <t>Primal Savagery</t>
  </si>
  <si>
    <t>你的牙齿或指甲变得长而尖锐，从而准备好发起酸蚀性的打击。对一个处于你周围5尺内的生物进行一次近战法术攻击。命中则目标受到1d10点强酸伤害。在你进行此攻击后，你的牙齿或指甲恢复正常。
此法术的伤害在你达到5级（2d10），11级（3d10），和17级（4d10）时提高1d10点。</t>
  </si>
  <si>
    <t>自身（30尺线状）</t>
  </si>
  <si>
    <t>操水术</t>
  </si>
  <si>
    <t>Shape Water</t>
  </si>
  <si>
    <t>你选定距离之内，你能看见的一处占据5立方尺的水体。你能以下述方式之一来对其进行操控：
你立即在你选定的方向上，造成或改变水的流动，至多在任意方向上改变5尺。此种运动的力量不足以造成伤害。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</si>
  <si>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自身（30尺锥状）</t>
  </si>
  <si>
    <t>鸣雷破</t>
  </si>
  <si>
    <t>Thunderclap</t>
  </si>
  <si>
    <t>你制造出雷鸣巨响，可以在100尺范围内被听到。除你之外，在你周围5尺范围内的生物必须进行一次体质豁免检定。若检定失败，该生物受到1d6点雷鸣伤害。
你到达5级时，该法术的伤害增加1d6（变为2d6）。11级时再加1d6（变为3d6），17级时再加1d6（变为4d6）。</t>
  </si>
  <si>
    <t>自身（60尺锥状）</t>
  </si>
  <si>
    <t>亡者丧钟</t>
  </si>
  <si>
    <t>Toll The Dead</t>
  </si>
  <si>
    <t>你指向一个处于距离内、你能看见的生物，一阵哀痛的铃声在空中鸣响。目标必须通过一次感知豁免检定，否则受到1d8点黯蚀伤害。若目标失去了任何量的生命值，它改为受到1d12点黯蚀伤害。
此法术的伤害在你达到5级（2d8或2d12），11级（3d8或3d12），和17级（4d8或4d12）时提高一个伤害骰。</t>
  </si>
  <si>
    <t>自身（60尺线状）</t>
  </si>
  <si>
    <t>光耀祷词</t>
  </si>
  <si>
    <t>Word Of Radiance</t>
  </si>
  <si>
    <t>一块圣徽</t>
  </si>
  <si>
    <t>你念出神圣的词语，灼热的光辉随之喷薄而出。每个你选择的、处于你周围5尺内、你能看见的生物必须通过一次体质豁免检定，否则受到1d6点光耀伤害。
此法术的伤害在你达到5级（2d6），11级（3d6），和17级（4d6）时提高1d6点。</t>
  </si>
  <si>
    <t>自身（100尺线状）</t>
  </si>
  <si>
    <t>思想编码</t>
  </si>
  <si>
    <t>Encode Thoughts</t>
  </si>
  <si>
    <t>你将一根手指放在你的头上，然后将一段记忆、想法或信息从你的心灵中拖出来，转变为一段由耀眼能量组成的，名为“思想链”的有形的链条，其将一直存在直到持续时间结束，或者到你再次施放这个法术为止。思想链出现在距离你5尺的未被占据的空间内，表现为一个可以像丝带一样被你持握或携带的，微小的、极轻的、半固态的物件。除此之外，思想链都是静止的。如果你在施放这个法术时正在专注于一个允许你读取或操纵他人思想的法术或能力时（例如侦测思想或篡改记忆）。你可以将你读取到的思想和记忆转化为思想链，而不是转化你自己的。
在你持握着一根思想链的时候施放这个法术将使你立刻接收到思想链里所包含的任何记忆、想法或信息（对思想链施放侦测思想也具有同样效果）。</t>
  </si>
  <si>
    <t>底密尔特务</t>
  </si>
  <si>
    <t>自身（半径5里）</t>
  </si>
  <si>
    <t>削弱芒刺</t>
  </si>
  <si>
    <t>Sapping Sting</t>
  </si>
  <si>
    <t>你削弱施法距离内一个你看得见的生物的生命活力。目标必须通过一个体质豁免，否则就会受到1d4点黯蚀伤害并且倒地。
该法术的伤害会在你到达5级（2d4），11级（3d4）与17级（4d4）时增加1d4。</t>
  </si>
  <si>
    <t>时间魔法、重力魔法</t>
  </si>
  <si>
    <t>重复</t>
  </si>
  <si>
    <t>心灵之楔</t>
  </si>
  <si>
    <t>Mind Sliver</t>
  </si>
  <si>
    <t>你将由灵能塑成的迷惘尖刺注入施法距离内一个你可见的生物的心灵。目标必须成功通过一次智力豁免，否则受到1d6心灵伤害并在你的下回合结束前其下一次豁免检定中减去1d4。
当你到达第5/11/17级时，该法术伤害增加1d6以分别至2d6/3d6/4d6。</t>
  </si>
  <si>
    <t>警报术</t>
  </si>
  <si>
    <t>Alarm</t>
  </si>
  <si>
    <t>一个小铃铛和一小段银线</t>
  </si>
  <si>
    <t>你针对不速之客设置一个警报。在施法距离内指定一扇门窗或选择一个边长不大于20尺的立方区域。在法术持续时间内，任何触碰或进入目标区域的微型或更大体型生物都会触发警报。施法时，你可以决定哪些生物不会触发警报，还可以选择警报方式为声音警报或是精神警报。
如果你选择精神警报，且警报触发时你距离目标区域不超过1里，则你的意念里会传来“乒”的警报声。如果你在睡觉，则警报将使你惊醒。
如果你选择声音警报，则警报触发时其60尺范围内将响起持续10秒摇铃声。</t>
  </si>
  <si>
    <t>警戒龙纹，守望圣誓，时械之魂</t>
  </si>
  <si>
    <t>化兽为友</t>
  </si>
  <si>
    <t>Animal Friendship</t>
  </si>
  <si>
    <t>一点食物</t>
  </si>
  <si>
    <t>该法术帮你让一只野兽相信你并无恶意。在施法距离内指定一只你能看见的野兽，而它也必须能看见你且能听到你的声音。该野兽必须进行一次感知豁免，豁免失败则将在法术持续时间内被你魅惑。如果它的智力为4或更高则法术直接失败。如果你或你的同伴对目标造成伤害，则法术终止。
升环施法效应：使用二环或更高法术位施展该法术时，你使用的法术位每比一环高一环，就可以多选择一个野兽作为目标。</t>
  </si>
  <si>
    <t>畜牧龙纹，纯种蛇人，瑟雷尼亚祀徒，费尔伯格野兽魔法，自然领域</t>
  </si>
  <si>
    <t>艾嘉西斯之铠</t>
  </si>
  <si>
    <t>Armor Of Agathys</t>
  </si>
  <si>
    <t>一杯水</t>
  </si>
  <si>
    <t>防护性的魔法力量环绕着你，凝聚成覆盖着你和你的装备表面上一层魅影般的凝霜。
你在法术持续时间内获得5点临时生命值。如果有生物在你拥有这些临时生命值时以近战攻击命中你，则该生物将受到5点冷冻伤害。
升环施法效应：使用二环或更高法术位施展该法术时，你使用的法术位每比一环高一环，临时生命和冷冻伤害就各增加5点。</t>
  </si>
  <si>
    <t>警戒龙纹，莱维斯图斯，征服圣誓，符文塑形者</t>
  </si>
  <si>
    <t>哈达之臂</t>
  </si>
  <si>
    <t>Arms Of Hadar</t>
  </si>
  <si>
    <t>你祈求“乌黯之饥渴”，哈达的力量。黑暗能量构成的触须从你身上蔓延而出并痛击10尺内的所有生物。范围内的所有生物都必须进行一次力量豁免，豁免失败者将受到2d6点黯蚀伤害，并其下一回合前都无法执行反应。豁免成功的生物伤害减半，且不受其他效应的影响。
升环施法效应：使用二环或更高法术位施展该法术时，你使用的法术位每比一环高一环，法术的伤害就增加1d6。</t>
  </si>
  <si>
    <t>灾祸术</t>
  </si>
  <si>
    <t>Bane</t>
  </si>
  <si>
    <t>一滴血</t>
  </si>
  <si>
    <t>指定施法距离内至多三个你能看见的生物，并迫使其进行一次魅力豁免。豁免失败者直至法术终止前，在每当进行攻击检定或豁免检定时，必须从投骰结果中减去一个d4。
升环施法效应：使用二环或更高法术位施展该法术时，你使用的法术位每比一环高一环，就能多指定一个目标。</t>
  </si>
  <si>
    <t>坟墓领域，野心领域，复仇圣誓，神性之魂，命运窃贼，死灵宗主</t>
  </si>
  <si>
    <t>祝福术</t>
  </si>
  <si>
    <t>Bless</t>
  </si>
  <si>
    <t>一滴圣水</t>
  </si>
  <si>
    <t>你用言语祝福施法距离内至多三个生物。在法术终止前，每当受术目标进行攻击检定或豁免检定时，可以额外掷一次d4并加在其结果上。
升环施法效应：使用二环或更高法术位施展该法术时，你使用的法术位每比一环高一环，就可以多指定一个目标。</t>
  </si>
  <si>
    <t>生命领域，神性之魂</t>
  </si>
  <si>
    <t>燃烧之手</t>
  </si>
  <si>
    <t>Burning Hands</t>
  </si>
  <si>
    <t>你双手拇指相对，其他手指张开，一道火焰随即从手指间喷出。处于15尺锥状区域内的生物必须进行一次敏捷豁免。豁免失败者受到3d6点火焰伤害，豁免成功则伤害减半。
该法术的火焰会点燃范围内未被着装或携带的可燃物。
升环施法效应：使用二环或更高法术位施展该法术时，你使用的法术位每比一环高一环，法术的伤害就增加1d6。</t>
  </si>
  <si>
    <t>提夫林变体，墨菲斯托菲利斯，火元素裔，拉铎斯邪教徒，光明领域，野火结社，四象宗，邪魔宗主，巨灵宗主火巨灵，符文塑形者</t>
  </si>
  <si>
    <t>魅惑人类</t>
  </si>
  <si>
    <t>Charm Person</t>
  </si>
  <si>
    <t>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升环施法效应：使用二环或更高法术位施展该法术时，你使用的法术位每比一环高一环，法术就能多影响一个目标。而各目标之间距离不能超过30尺。</t>
  </si>
  <si>
    <t>提夫林变体，菲尔娜，瑟雷尼亚祀徒，诡术领域，妖精漫游者</t>
  </si>
  <si>
    <t>繁彩球</t>
  </si>
  <si>
    <t>Chromatic Orb</t>
  </si>
  <si>
    <t>一枚至少价值50gp的钻石</t>
  </si>
  <si>
    <t>你向施法距离内某个你能看见的生物掷出一颗直径4寸的能量球，并从强酸、冷冻、火焰、闪电、毒素、雷鸣中选择一种类型以对该生物发动一次远程法术攻击。攻击命中时，该生物将受到3d8点你所选类型的伤害。
升环施法效应：使用二环或更高法术位施展该法术时，你使用的法术位每比一环高一环，法术的伤害就增加1d8。</t>
  </si>
  <si>
    <t>粹丽学生，符文塑形者</t>
  </si>
  <si>
    <t>七彩喷射</t>
  </si>
  <si>
    <t>Color Spray</t>
  </si>
  <si>
    <t>一撮粉末或沙子，其颜色必须包含红、黄、蓝三色</t>
  </si>
  <si>
    <t>炫目的彩光从你指间散射而出。掷一次6d10；其结果为受该法术影响生物的生命值总数。在以你为源点的15尺锥状区域内的生物以剩余生命值由小至大的顺序受法术影响（生效时忽略昏迷生物和不能视物的生物）。
计算受法术影响生物时，从剩余生命值最低的生物开始逐个计算。每个受术生物均陷入目盲，直至你的下一回合结束。法术掷骰的生命值总数减去一个受术生物的生命值后，余数再用以计算生命值稍高者是否受法术影响。生物剩余生命值，必须小于等于该余数法术才能成功影响该生物。
升环施法效应：使用二环或更高法术位施展该法术时，你使用的法术位每比一环高一环，法术的掷骰时就增加2d10。</t>
  </si>
  <si>
    <t>命令术</t>
  </si>
  <si>
    <t>Command</t>
  </si>
  <si>
    <t>你对施法距离内一个你能看见的生物说出一个单词的命令。目标生物必须成功通过一次感知豁免，否则必须在其自己的下一回合服从该命令行事。如果目标为不死生物或目标无法听懂你的语言，又或者你的命令对其直接构成损害，则该法术无效。
以下列出一些通常可用的命令单词及其效果。你也可以说出此处没有列明的单词命令，并由DM决定目标将如何行动。如果目标无法完成你的命令，则法术终止：
过来：目标以最短最直接的路线向你移动，并在到达距你5尺时结束其回合。
放下：目标放下手中持握物并结束其回合。
走开：目标在其回合内以最快最有效的方式远离你。
趴下：目标趴下倒地并结束其回合。
立定：目标不移动且不作任何动作。飞行生物在原地悬浮（如果它可以这么做）。如果它必须移动才能保持在空中，则其移动最小的距离以保持飞行。
升环施法效应：使用二环或更高法术位施展该法术时，你使用的法术位每比一环高一环，法术就能多影响一个目标。而各目标之间距离不能超过30尺。</t>
  </si>
  <si>
    <t>俄佐立官员，欧佐夫议员，迷惑学院，知识领域，秩序领域，王冠圣誓，征服圣誓，邪魔宗主，符文塑形者</t>
  </si>
  <si>
    <t>强令对决</t>
  </si>
  <si>
    <t>Compelled Duel</t>
  </si>
  <si>
    <t>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尺的距离时，都必须进行一次感知豁免。豁免成功则该目标的移动本回合内暂时不受该魔法限制。
当你攻击另一个生物时，或者当你对另一个敌对生物施展法术时，又或者当一个你的友方生物对该目标造成伤害或者对其施展伤害性法术时，又或者你在距离该目标超过30尺的位置结束你的回合时，该法术终止。</t>
  </si>
  <si>
    <t>守护龙纹，古鲁反抗者，王冠圣誓</t>
  </si>
  <si>
    <t>通晓语言</t>
  </si>
  <si>
    <t>Comprehend Languages</t>
  </si>
  <si>
    <t>一撮煤灰和一撮盐</t>
  </si>
  <si>
    <t>你在法术持续时间内知晓你所听到所有语言的字面意义。你也可以通过触碰书写的文字来读懂其字面意义。以这种方式阅读每页文字需要花费1分钟的时间。
某些文字或图形的密语（比如一个奥秘符文）由于不属于书写语言一类所以无法用此法术破译。</t>
  </si>
  <si>
    <t>抄录龙纹，衡鉴学生，符文塑形者</t>
  </si>
  <si>
    <t>造水/枯水术</t>
  </si>
  <si>
    <t>Create Or Destroy Water</t>
  </si>
  <si>
    <t>造水为一滴水，枯水为一点谷物或沙子</t>
  </si>
  <si>
    <t>你施法创造水或者使水枯竭：
造水：你在施法距离内一个打开的容器里创造10加仑干净的水。或以降雨的方式在施法距离内一处30尺的立方区域降下等量水分并浇灭区域内不受遮盖的火苗。
枯水：你使施法距离内一个打开的容器里的10加仑水分枯竭不见。或者使施法距离内一片30尺立方区域的浓雾消失不见。
升环施法效应：使用二环或更高法术位施展该法术时，你使用的法术位每比一环高一环，法术就多创造或枯竭10加仑额外的水分，或者影响的立方区域边长增加5尺。</t>
  </si>
  <si>
    <t>水元素裔，伊捷工程师，梭螺鱼人深海魔法，深海意志</t>
  </si>
  <si>
    <t>疗伤术</t>
  </si>
  <si>
    <t>Cure Wounds</t>
  </si>
  <si>
    <t>一个你触碰的生物恢复特定数值的生命值，其恢复量等于1d8+你的施法关键属性调整值。该法术对不死生物和构装生物无效。
升环施法效应：使用二环或更高法术位施展该法术时，你使用的法术位每比一环高一环，恢复量就增加1d8。</t>
  </si>
  <si>
    <t>医疗龙纹，生命领域，野火结社，神性之魂，天界宗主，靡华学生</t>
  </si>
  <si>
    <t>侦测善恶</t>
  </si>
  <si>
    <t>Detect Evil And Good</t>
  </si>
  <si>
    <t>你在法术持续时间内能感觉到身边30尺内出现的任一异怪、天界生物、元素生物、精类生物、邪魔或不死生物的存在，并掌握其具体位置。另外，你也可以知晓30尺内的物件或地点是否被祝福或亵渎。
该法术可以穿透大多障碍，但仍会被1尺厚石质或1寸厚金属质，或一层薄铅质，或3尺厚木质或泥质材料阻隔。</t>
  </si>
  <si>
    <t>侦测龙纹，巨灵宗主</t>
  </si>
  <si>
    <t>侦测魔法</t>
  </si>
  <si>
    <t>Detect Magic</t>
  </si>
  <si>
    <t>你在法术持续时间内能感测到30尺内存在的魔法。感测到魔法的存在后，你可以使用动作，来看到任何你能看见的具有魔法的生物或物件周围环绕着微弱的灵光，并分辨出其所属的魔法学派（若有）。
该法术可以穿透大部分障碍，但仍会被1尺厚石质，或1寸厚金属质，或一层薄铅质，或3尺厚木质或泥质材料阻隔。</t>
  </si>
  <si>
    <t>侦测龙纹，费尔伯格人，高等卓尔魔法，土巨灵之遗，风巨灵之遗，火巨灵之遗，水巨灵之遗，奥秘领域，守望圣誓，魔能视界</t>
  </si>
  <si>
    <t>侦测毒性和疾病</t>
  </si>
  <si>
    <t>Detect Poison And Disease</t>
  </si>
  <si>
    <t>一片红豆杉叶</t>
  </si>
  <si>
    <t>你在法术持续时间内可以感测并定位30尺内的毒素、有毒生物以及疾病。你还可以判断所感测毒素、毒物或疾病的具体类别。
该法术可以穿透大部分障碍，但仍会被1尺厚石质，或1寸厚金属质，或一层薄铅质，或3尺厚木质或泥质材料阻隔。</t>
  </si>
  <si>
    <t>侦测龙纹，析米克科学家</t>
  </si>
  <si>
    <t>易容术</t>
  </si>
  <si>
    <t>Disguise Self</t>
  </si>
  <si>
    <t>你改变自身以及随身的衣物、护甲、武器等所有物。该效应在法术终止或你使用动作主动解除时结束。肉眼看来你的身高可以有1尺的增减，体态可胖可瘦可匀称。但是你不能改变身体的形状，所以你变形的样子必须有四肢或类似的生理结构。此外，幻术的影响范围由你决定。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如果一个生物想要分辨你是否易容，则必须使用一个动作揭露你的伪装，并进行一次智力（调查）检定以对抗你的法术豁免DC。</t>
  </si>
  <si>
    <t>阴影龙纹，迪斯帕特，格莱西雅，费尔伯格人，底密尔特务，斯涅布力魔法，诡术领域，幽域追踪者，千面之脸，地底侏儒，符文塑形者</t>
  </si>
  <si>
    <t>不谐低语</t>
  </si>
  <si>
    <t>Dissonant Whispers</t>
  </si>
  <si>
    <t>你指定一个施法距离内能够听到你声音的生物，并对其说出只有他能听到的不谐低语，使其受强烈的痛苦折磨。目标必须进行一次感知豁免。豁免失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升环施法效应：使用二环或更高法术位施展该法术，你使用的法术位每比一环高一环，伤害就提高1d6。</t>
  </si>
  <si>
    <t>拉铎斯邪教徒，畸变心智，旧日支配者，银毫学生</t>
  </si>
  <si>
    <t>神恩</t>
  </si>
  <si>
    <t>Divine Favor</t>
  </si>
  <si>
    <t xml:space="preserve">你的祈祷赋予你神圣的光芒。在法术持续时间结束前，你的武器攻击命中时将造成额外1d4点光耀伤害。
</t>
  </si>
  <si>
    <t>战争领域，力量领域</t>
  </si>
  <si>
    <t>诱捕打击</t>
  </si>
  <si>
    <t>Ensnaring Strike</t>
  </si>
  <si>
    <t>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受该法术束缚的目标每回合开始时受到1d6的穿刺伤害。该受束缚生物或其他能触及该目标的生物可用一个动作进行一次对抗法术豁免DC的力量检定。检定成功则目标解除束缚。
升环施法效应：使用二环或更高法术位施展该法术时，你使用的法术位每比一环高一环，伤害就提高1d6。</t>
  </si>
  <si>
    <t>俄佐立官员，古贤圣誓</t>
  </si>
  <si>
    <t>纠缠术</t>
  </si>
  <si>
    <t>Entangle</t>
  </si>
  <si>
    <t>在施法距离内指定一点，并以其为源点蔓延出20尺方形区域的杂草和藤蔓。在法术持续时间内，这片被植物覆盖的区域变为困难地形。在你施展法术时，该区域内的生物必须成功通过一次力量豁免，否则将因为这些缠绕的植物陷入束缚状态，直到法术终止。一个因此被束缚的生物可以使用其动作进行一次力量检定以对抗该法术的豁免DC，检定成功则摆脱束缚。
法术终止时，所召唤的植物随即枯萎。</t>
  </si>
  <si>
    <t>莲源半身人，葛加理成员，量析学生，符文塑形者</t>
  </si>
  <si>
    <t>脚底抹油</t>
  </si>
  <si>
    <t>Expeditious Retreat</t>
  </si>
  <si>
    <t>此法术让你以惊人的步速移动。你在施展该法术时可以执行一次“疾走”动作。其后直至法术终止前的每个自己回合，你能以一个附赠动作执行“疾走”动作。</t>
  </si>
  <si>
    <t>通行龙纹，析米克科学家</t>
  </si>
  <si>
    <t>妖火</t>
  </si>
  <si>
    <t>Faerie Fire</t>
  </si>
  <si>
    <t>指定施法距离内一处20尺立方区域，其内每个物件都将被蓝色，绿色或紫色的光所包围（颜色由你指定）。区域内敏捷豁免失败的生物也会被光包围。受术物件和生物在法术持续时间内发出10尺半径的微光。
受术生物或物件无法受益于隐形，且任何能看见他们的攻击者对其发动攻击检定时具有优势。</t>
  </si>
  <si>
    <t>黑暗精灵，半卓尔精灵，探索龙纹，光明领域，暮光领域，集群守卫，至高妖精</t>
  </si>
  <si>
    <t>虚假生命</t>
  </si>
  <si>
    <t>False Life</t>
  </si>
  <si>
    <t>一小瓶酒或蒸馏酒精</t>
  </si>
  <si>
    <t>你从死灵法术中获得了额外的生命力。在法术持续时间内，你获得1d4+4的临时生命值。
升环施法效应：使用二环或更高法术位施展该法术时，你使用的法术位每比一环高一环，其给予的临时生命值就增加5。</t>
  </si>
  <si>
    <t>死亡领域，坟墓领域，邪魔活力，不朽者，死灵宗主</t>
  </si>
  <si>
    <t>羽落术</t>
  </si>
  <si>
    <t>Feather Fall</t>
  </si>
  <si>
    <t>一小片羽毛或绒毛</t>
  </si>
  <si>
    <t>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</si>
  <si>
    <t>暴风龙纹，气元素裔</t>
  </si>
  <si>
    <t>获得魔宠</t>
  </si>
  <si>
    <t>Find Familiar</t>
  </si>
  <si>
    <t>将价值10gp的木炭、焚香以及香草，放在黄铜盆中烧尽，作为该法术的耗材</t>
  </si>
  <si>
    <t>你获得一只为你服务的魔宠。以下列动物为原型选择魔宠的动物精魄外貌：蝙蝠、猫、螃蟹、青蛙（蟾蜍）、鹰、蜥蜴、章鱼、猫头鹰、毒蛇、鱼（食人鱼）、老鼠、渡鸦、海马、蜘蛛、鼬鼠。魔宠出现在施法距离内一处未被占据的空间，虽然有着所选的生物属性数据，但其种类为天界生物，精类生物或邪魔（由你选择）而不是野兽。
你的魔宠可脱离你独立行动，不过它会一直遵循你的命令行事。战斗时，它为自己骰先攻，并在自己回合里行动。魔宠无法攻击，但是它能如常执行其他动作。
魔宠的HP降为0时自行消失，且不会留下任何物理残余，而当你重新施展该法术后它会重新出现。
你的魔宠在你身边100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你可以用一个动作暂时的解散你的魔宠。此时它将进入一个小位面等待你的重新召唤。或者，你也可以选择永久解散它。暂时解散时，你可以用一个动作召唤它出现在30尺内任意未占据的空间中。
你不能同时拥有一只以上的魔宠，如果你在已有魔宠的状况下施展该法术，则你可以为现有的魔宠选择的新的形态（从以上列表选择）。
此外，当你施展施法距离为触及的法术时，你的魔宠可以帮你传递法术，其效果就如同该法术由魔宠施展一样。此时你的魔宠必须在你身边100尺范围内，且其必须可以执行反应来传递法术。如果传递的法术需要进行攻击检定，则该检定将使用你自己的攻击调整值。</t>
  </si>
  <si>
    <t>荒野伙伴，链之魔契，斯翠海文苑像</t>
  </si>
  <si>
    <t>云雾术</t>
  </si>
  <si>
    <t>Fog Cloud</t>
  </si>
  <si>
    <t>你以施法距离内一点为中心创造一片半径20尺的球状浓雾。浓雾再球形内充斥所有角落，并造成重度遮蔽。浓雾持续至法术持续时间结束，但仍可被和风或更强风势（至少每小时10里）所吹散。
升环施法效应：使用二环或更高法术位施展该法术时，你使用的法术位每比一环高一环，浓雾的半径就增加20尺。</t>
  </si>
  <si>
    <t>暴风龙纹，梭螺鱼人，风暴领域，狂野魔法浪涌，巨灵宗主水巨灵，符文塑形者</t>
  </si>
  <si>
    <t>神莓术</t>
  </si>
  <si>
    <t>Goodberry</t>
  </si>
  <si>
    <t>一枝槲寄生</t>
  </si>
  <si>
    <t>至多10个浆果出现在你手里。果子在法术持续时间内充满魔法，持有浆果的生物可用其动作吃下其中之一并以此恢复1点生命值，且一枚浆果就可以满足该生物一整天的营养需求。
创造的浆果如果在法术施展后的24小时内没有被吃掉就会失去其效力。</t>
  </si>
  <si>
    <t>油腻术</t>
  </si>
  <si>
    <t>Grease</t>
  </si>
  <si>
    <t>一小块猪皮或黄油</t>
  </si>
  <si>
    <t>你在施法距离内指定一点，光滑的油脂以该点为中心覆盖一处10尺的方状区域。在法术持续时间内。该区域变为困难地形。
油脂出现时，站在其范围内的每个生物必须进行一次敏捷豁免，豁免失败则失足倒地。进入该区域或在区域内结束其回合的生物也必须进行该敏捷豁免，豁免失败则失足倒地。</t>
  </si>
  <si>
    <t>曳光弹</t>
  </si>
  <si>
    <t>Guiding Bolt</t>
  </si>
  <si>
    <t>一道闪光快速飞向施法距离内你指定的一个生物，并对该目标进行一次远程法术攻击检定。命中时，目标受4d6的光耀伤害。由于目标身上闪耀着秘法的微光，在施法者下个回合结束前，对该目标发动的下一次攻击检定具有优势。
升环施法效应：使用二环或更高法术位施展该法术时，你使用的法术位每比一环高一环，伤害就增加1d6。</t>
  </si>
  <si>
    <t>波洛斯军团兵，团结领域，星辰结社，荣耀圣誓，天界宗主，量析学生</t>
  </si>
  <si>
    <t>棘雹术</t>
  </si>
  <si>
    <t>Hail Of Thorns</t>
  </si>
  <si>
    <t>你在法术终止前进行的下一次远程武器攻击命中时会从你的远程武器或弹药中创造出棘刺，并形成一片棘刺之雨。除了攻击产生的正常效果外，受攻击的目标及目标身边5尺范围内的所有生物还必须进行一次敏捷豁免，豁免失败者将受到1d10点穿刺伤害，豁免成功则伤害减半。
升环施法效应：使用二环或更高法术位施展该法术时，你使用的法术位每比一环高一环，伤害就增加1d10（最大伤害6d10）。</t>
  </si>
  <si>
    <t>治愈真言</t>
  </si>
  <si>
    <t>Healing Word</t>
  </si>
  <si>
    <t>你指定施法距离内一个你能看见的生物并恢复其生命值，恢复量等于1d4+你的施法关键属性调整值。该法术对构装体和不死生物无效。
升环施法效应：使用二环或更高法术位施展该法术时，你使用的法术位每比一环高一环，治疗量就增加1d4点。</t>
  </si>
  <si>
    <t>医疗龙纹，炼金师</t>
  </si>
  <si>
    <t>炼狱叱喝</t>
  </si>
  <si>
    <t>Hellish Rebuke</t>
  </si>
  <si>
    <t>你伸指一点，伤害你的生物立刻被炼狱的烈焰包围。该生物必须进行一次敏捷豁免，豁免失败则受到2d10点火焰伤害，豁免成功则伤害减半。
升环施法效应：使用二环或更高法术位施展该法术时，你使用的法术位每比一环高一环，伤害就增加1d10。</t>
  </si>
  <si>
    <t>提夫林，拉铎斯邪教徒，破誓者</t>
  </si>
  <si>
    <t>英雄气概</t>
  </si>
  <si>
    <t>Heroism</t>
  </si>
  <si>
    <t>你触碰一个自愿生物使其充满勇气。该生物直至法术终止前免疫恐慌，且它将在其每回合开始时获得临时生命值，其数值等于你的施法关键属性调整值。法术终止时，目标失去所有来自该法术的临时生命值。
升环施法效应：使用二环或更高法术位施展该法术时，你使用的法术位每比一环高一环，就可以额外指定一个目标。</t>
  </si>
  <si>
    <t>波洛斯军团兵，秩序领域，和平领域，荣耀圣誓，战地匠师</t>
  </si>
  <si>
    <t>脆弱诅咒</t>
  </si>
  <si>
    <t>Hex</t>
  </si>
  <si>
    <t>一只被石化的蝾螈眼睛</t>
  </si>
  <si>
    <t>你对施法距离内一个你能看见的一个生物施加诅咒。直到法术终止前，你对命中该目标的任意攻击都将额外造成1d6点黯蚀伤害。此外，你在施展该法术的同时选择一项属性，使该目标进行所选属性的属性检定时具有劣势。
如果目标在法术终止前HP降至0，则你可以在法术终止前后续的某一回合中使用一个附赠动作诅咒另一个生物。
对受术目标施展法术移除诅咒后可以提前终止该法术。
升环施法效应：使用三环或四环法术位施展该法术时，其专注可以维持至多8小时。使用五环或更高法术位施展该法术时，其专注可以维持至多24小时。</t>
  </si>
  <si>
    <t>猎人印记</t>
  </si>
  <si>
    <t>Hunter's Mark</t>
  </si>
  <si>
    <t>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升环施法效应：你使用三环或四环法术位施展该法术时，该法术的专注可以至多维持8小时。你使用五环或更高法术位施展该法术时，该法术的专注可以至多维持24小时。</t>
  </si>
  <si>
    <t>探索龙纹，野心领域，复仇圣誓</t>
  </si>
  <si>
    <t>鉴定术</t>
  </si>
  <si>
    <t>Identify</t>
  </si>
  <si>
    <t>一颗价值至少100gp的珍珠和一根猫头鹰羽毛</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</si>
  <si>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如果你施法过程中一直接触的是一生物，则你将知晓其是否受法术影响，及产生影响的法术效应具体来自哪项法术。</t>
  </si>
  <si>
    <t>创造龙纹，知识领域，锻造领域，衡鉴学生</t>
  </si>
  <si>
    <t>迷幻手稿</t>
  </si>
  <si>
    <t>Illusory Script</t>
  </si>
  <si>
    <t>价值至少10gp的铅料墨水，作为该法术的耗材</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</si>
  <si>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</si>
  <si>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抄录龙纹，欧佐夫议员</t>
  </si>
  <si>
    <t>致伤术</t>
  </si>
  <si>
    <t>Inflict Wounds</t>
  </si>
  <si>
    <t>你对触及范围内一个生物发动一次近战法术攻击。命中时，目标受到3d10点黯蚀伤害。
升环施法效应：使用二环或更高法术位施展该法术时，你使用的法术位每比一环高一环，伤害就增加1d10。</t>
  </si>
  <si>
    <t>破誓者，神性之魂，靡华学生，符文塑形者</t>
  </si>
  <si>
    <t>跳跃术</t>
  </si>
  <si>
    <t>Jump</t>
  </si>
  <si>
    <t>一只蚱蜢的后腿</t>
  </si>
  <si>
    <t>你触碰一个生物，并使该生物的跳跃距离在法术持续时间内增至三倍。</t>
  </si>
  <si>
    <t>通行龙纹，吉斯洋基人，析米克科学家，超凡跳跃</t>
  </si>
  <si>
    <t>大步奔行</t>
  </si>
  <si>
    <t>Longstrider</t>
  </si>
  <si>
    <t>一撮泥土</t>
  </si>
  <si>
    <t>你触碰一个生物，该目标速度在法术持续时间内增加10尺。
升环施法效应：使用二环或更高法术位施展该法术时，你使用的法术位每比一环高一环，你就可以额外指定一个目标。</t>
  </si>
  <si>
    <t>探索龙纹，木精灵魔法，符文塑形者</t>
  </si>
  <si>
    <t>Mage Armor</t>
  </si>
  <si>
    <t>一块鞣制过的皮革</t>
  </si>
  <si>
    <t>你触碰一个未着装护甲的自愿生物，使其受一个保护性魔法力场环绕直至法术终止。目标的基础AC变为13+它的敏捷调整值。目标着装护甲或你以一个动作解散该法术后法术随之终止。</t>
  </si>
  <si>
    <t>警戒龙纹，幽影护甲</t>
  </si>
  <si>
    <t>魔法飞弹</t>
  </si>
  <si>
    <t>Magic Missile</t>
  </si>
  <si>
    <t>你创造三枚由魔法力场形成的闪光飞镖，并让每发飞镖命中施法距离内你能看见的指定生物。每发飞镖对目标造成1d4+1的力场伤害。所有飞镖同将时命中目标，而你还可以指定它们击中同一个目标或是分别击中几个目标。
升环施法效应：使用二环或更高法术位施展该法术时，你使用的法术位每比一环高一环，该法术就会多制造出一支飞镖。</t>
  </si>
  <si>
    <t>奥秘领域，狂野魔法浪涌，装甲师</t>
  </si>
  <si>
    <t>防护善恶</t>
  </si>
  <si>
    <t>Protection From Evil And Good</t>
  </si>
  <si>
    <t>圣水或者银和铁的粉末，作为该法术的耗材</t>
  </si>
  <si>
    <t>在法术终止前，你触碰的一个自愿生物获得针对以下这些类型生物的防护：异怪、天界生物、元素生物、精类生物、邪魔和不死生物。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</si>
  <si>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力量领域，奉献圣誓，边界行者，怪物杀手，神性之魂，时械之魂，反逆者</t>
  </si>
  <si>
    <t>净化食粮</t>
  </si>
  <si>
    <t>Purify Food And Drink</t>
  </si>
  <si>
    <t>你指定施法距离内一点，净化指定点周围半径5尺球状区域内的非魔法饮食品，并驱除其浸染的所有毒素和疾病。</t>
  </si>
  <si>
    <t>致病射线</t>
  </si>
  <si>
    <t>Ray Of Sickness</t>
  </si>
  <si>
    <t>一道恶心的浅绿射线朝施法距离内一个生物射去。你对目标进行一次远程法术攻击。若命中，则目标受到2d8的毒素伤害且必须进行一次体质豁免，豁免失败则目标陷入中毒，该中毒效应持续至你的下一回合结束。
升环施法效应：使用二环或更高法术位施展该法术时，你使用的法术位每比一环高一环，伤害就增加1d8。</t>
  </si>
  <si>
    <t>巴尔泽布，葛加理成员，死亡领域，不朽者，炼金师</t>
  </si>
  <si>
    <t>庇护术</t>
  </si>
  <si>
    <t>Sanctuary</t>
  </si>
  <si>
    <t>一小块银镜</t>
  </si>
  <si>
    <t xml:space="preserve">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若受保护生物发动一次攻击，施展一道影响敌人的法术，或是对任何其他生物造成伤害，则该法术随之终止。
</t>
  </si>
  <si>
    <t>和平领域，团结领域，奉献圣誓，救赎圣誓，巨灵宗主土巨灵，符文塑形者</t>
  </si>
  <si>
    <t>炽焰斩</t>
  </si>
  <si>
    <t>Searing Smite</t>
  </si>
  <si>
    <t>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升环施法效应：使用二环或更高法术位施展该法术时，你使用的法术位每比一环高一环，最初一次攻击造成的额外伤害就增加1d6。</t>
  </si>
  <si>
    <t>扎瑞尔，锻造领域，热忱领域</t>
  </si>
  <si>
    <t>护盾术</t>
  </si>
  <si>
    <t>Shield</t>
  </si>
  <si>
    <t>一道看不见的法力护盾浮现在你身边，保护着你。在你的下一回合开始前，你的AC具有+5加值（在触发该法术的攻击之前生效），并且不会受到魔法飞弹的伤害。</t>
  </si>
  <si>
    <t>守护龙纹，吉斯泽莱人，咒剑士，魔炮师，战地匠师</t>
  </si>
  <si>
    <t>虔诚护盾</t>
  </si>
  <si>
    <t>Shield Of Faith</t>
  </si>
  <si>
    <t>一小块写有神圣文字的羊皮纸</t>
  </si>
  <si>
    <t>围绕着施法距离内你指定的一个生物出现一片闪着微光的魔法力场。使目标在法术持续时间内AC获得+2加值。</t>
  </si>
  <si>
    <t>守护龙纹，战争领域，力量领域</t>
  </si>
  <si>
    <t>无声幻影</t>
  </si>
  <si>
    <t>Silent Image</t>
  </si>
  <si>
    <t>少量羊毛</t>
  </si>
  <si>
    <t>你创造一个影像，其形象来自一个大小不超过边长15尺立方体的物件，生物或其他的可视现象。影像出现在施法距离内你能看见的一处位置并在法术持续时间内持续存在。该影像是纯粹的视觉影像；它不会被听觉，嗅觉或其他感官感受到。
你可以用动作将影像移动到施法距离内的另一个位置。影像改变位置时，你可以改变影像的外观使其移动得更自然。例如，如果你创造了一个生物的影像并移动它，则你可以改变影像，使它看起来就像是在走路。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用其动作调查影像时，它可以进行一次对抗法术豁免DC的智力（调查）检定，以判定是否看穿幻象。辨出幻象的生物可以看破该影像，在该生物看来会透过影像看到其背后的事物。</t>
  </si>
  <si>
    <t>阴影龙纹，迷雾幻影</t>
  </si>
  <si>
    <t>睡眠术</t>
  </si>
  <si>
    <t>Sleep</t>
  </si>
  <si>
    <t>一把细沙，玫瑰花瓣，或一只蟋蟀</t>
  </si>
  <si>
    <t>该法术使一些生物陷入魔法造成的沉睡中。掷一次5d8；其结果为受该法术影响生物的生命值总数。你指定施法距离一点，该点周围20尺区域内的生物以剩余生命值由小至大的顺序受法术影响（生效时忽略昏迷生物）。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不死生物以及免疫魅惑效果的生物不受该法术影响。
升环施法效应：使用二环或更高法术位施展该法术时，使用的法术位每比一环高一环，法术的掷骰就增加2d8。</t>
  </si>
  <si>
    <t>苍白精灵，招待龙纹，底密尔特务，暮光领域，救赎圣誓，至高妖精</t>
  </si>
  <si>
    <t>动物交谈</t>
  </si>
  <si>
    <t>Speak With Animals</t>
  </si>
  <si>
    <t>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来判断。</t>
  </si>
  <si>
    <t>畜牧龙纹，古鲁反抗者，费尔伯格野兽魔法，图腾武者道途，自然领域，古贤圣誓，原始意识，野兽之语，符文塑形者</t>
  </si>
  <si>
    <t>塔莎狂笑术</t>
  </si>
  <si>
    <t>Tasha's Hideous Laughter</t>
  </si>
  <si>
    <t>一些小甜饼以及一片空中飘荡的羽毛</t>
  </si>
  <si>
    <t>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目标在其每回合结束或受到伤害时，可以再进行一次感知豁免。豁免成功则法术终止。再进行豁免时，如果是因受到伤害所致则该次豁免具有优势。</t>
  </si>
  <si>
    <t>谭森浮碟术</t>
  </si>
  <si>
    <t>Tenser's Floating Disk</t>
  </si>
  <si>
    <t>一滴水银</t>
  </si>
  <si>
    <t>指定施法距离内一处你能看见的未被占据空间，并在该处创造一个圆盘状的碟型水平力场。浮碟直径3尺，厚1寸，悬浮在离地3尺的半空。其可以在法术持续时间内持续存在，并至多可负载500磅重量。如果放在浮碟上的物件重量超过500磅，则该法术立即终止，浮碟上的所有东西也将掉落地面。
浮碟在你20尺内时静止不动。只要你与其距离超过20尺，浮碟就会跟随你移动，并保持在你的20尺范围内。浮碟可以自由通过崎岖地形，上落的阶梯，斜坡面或者诸如此类的地面，但它不能越过高差超过10尺的地面。例如，浮碟不能越过一个10尺深的坑；如果浮碟造在坑里，则它也无法离开这个深坑。
如果你和浮碟间的距离超过100尺（通常是因为它受障碍所阻无法跟上你），则法术随即终止。</t>
  </si>
  <si>
    <t>创造龙纹，马曼</t>
  </si>
  <si>
    <t>雷鸣斩</t>
  </si>
  <si>
    <t>Thunderous Smite</t>
  </si>
  <si>
    <t>你在法术持续时间内下一次用近战武器攻击命中某个生物时将发出雷霆巨响，并使你周围300尺都能听见该响声。该攻击对目标造成额外2d6点雷鸣伤害，如果目标是一个生物，则它必须要进行一次力量豁免，豁免失败则目标往远离你的方向推动10尺并应击倒地。</t>
  </si>
  <si>
    <t>雷鸣波</t>
  </si>
  <si>
    <t>Thunderwave</t>
  </si>
  <si>
    <t>一道雷鸣波从你的身体向外扫去。在以你为源点15尺立方区域内的每个生物必须进行一次体质豁免。豁免失败者将受到2d8点雷鸣伤害，并被推离10尺。豁免成功则伤害减半，且不会被推离。
此外，所有完全位于该区域内且没被固定住的物件都将被自动推离10尺。而该法术还会发出方圆300尺内都能听见的雷霆巨响。
升环施法效应：使用二环或更高法术位施展该法术时，你使用的法术位每比一环高一环，法术的伤害就增加1d8。</t>
  </si>
  <si>
    <t>古鲁反抗者，风暴领域，四象宗，巨灵宗主气巨灵，深海意志，魔炮师，装甲师，粹丽学生，符文塑形者</t>
  </si>
  <si>
    <t>隐形仆役</t>
  </si>
  <si>
    <t>Unseen Servant</t>
  </si>
  <si>
    <t>一根线和一块木头</t>
  </si>
  <si>
    <t>该法术创造出一个隐形、无心智、无实体的中体型力场生物。你可以在法术终止前命令它进行简单的工作。该仆从被创造出来后出现在施法距离内一处未被占据空间的地面上。其AC为10，生命值为1，力量为2，且不能攻击。若仆从的生命值降至0，则法术终止。
你可以自己每个回合内以一个附赠动作对仆役下达精神命令，使它移动最多15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如果你命令仆从做一件需要它离开你身边60尺的工作，则法术随之终止。</t>
  </si>
  <si>
    <t>巫术箭</t>
  </si>
  <si>
    <t>Witch Bolt</t>
  </si>
  <si>
    <t>从一棵被闪电击中的树上取来的树枝</t>
  </si>
  <si>
    <t>一支缠绕着碎裂魔力的蓝色能量长矛射向施法距离内的一个生物，并在你与目标之间生成一道持久的闪电弧。对目标生物进行一次远程法术攻击。若命中，则目标受到1d12点闪电伤害。在法术持续时间内，你在每个自己的回合中可以用一个动作直接对目标造成1d12点闪电伤害。如果你执行动作做其他任何事情，法术将随即终止。此外，如果目标离开法术的施法距离或相对你处于全身掩护状态，法术也将随即终止。
升环施法效应：使用二环或更高法术位施展该法术时，你使用的法术位每比一环高一环，法术的初始伤害就增加1d12。</t>
  </si>
  <si>
    <t>激愤斩</t>
  </si>
  <si>
    <t>Wrathful Smite</t>
  </si>
  <si>
    <t>你在法术持续时间内，下一次近战武器攻击命中时，对目标造成额外1d6点心灵伤害。此外，如果目标是一个生物，则其必须进行一次感知豁免。豁免失败则目标生物将在法术终止前持续陷入对你恐慌的状态。该生物可以用一个动作来尝试重拾斗志，并进行一次对抗该法术DC的感知检定，检定成功则法术即刻终止。</t>
  </si>
  <si>
    <t>吸收元素</t>
  </si>
  <si>
    <t>Absorb Elements</t>
  </si>
  <si>
    <t>此法术捕获了部分袭来的能量，减轻它对你的效果，并将之储存起来以用在你的下一次近战攻击中。在你的下个回合的开始之前，你对于触发法术的伤害类型具有抗力。此外，在你的下个回合，第一次以近战攻击命中时，目标额外受到1d6点触发法术的伤害类型的伤害，同时此法术终结。
升环施法效应：当你使用二环或更高的法术位施放该法术时，使用的法术位每高一环，额外伤害便增加1d6。</t>
  </si>
  <si>
    <t>兽之联结</t>
  </si>
  <si>
    <t>Beast Bond</t>
  </si>
  <si>
    <t>一小块被布包裹的毛皮</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</si>
  <si>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活动状态，该野兽在对你周围5尺，你能看见的任何生物所进行的攻击检定中获得优势。</t>
  </si>
  <si>
    <t>弹射</t>
  </si>
  <si>
    <t>Catapult</t>
  </si>
  <si>
    <t>选择施法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若检定失败，该物体击中目标并不再移动。无论如何，物体和被击中的生物或固体表面各受到3d8点钝击伤害。
升环施法效应：当你使用二环或更高的法术位施放该法术时，使用的法术位每高一环，你可以指定的物体的重量上限便增加5磅，而造成的伤害便提高1d8。</t>
  </si>
  <si>
    <t>造成恐惧</t>
  </si>
  <si>
    <t>Cause Fear</t>
  </si>
  <si>
    <t>你唤醒了一个处于施法距离内、你能看见的生物内心的凡性。此法术对于构装生物或不死生物无效。目标必须通过一次感知豁免检定，否则在持续时间内陷入恐惧。被恐惧的生物可以在它的每个回合结束时重复进行这个豁免检定，若成功将结束法术对自身的效果。
升环施法效应：当你使用二环或更高的法术位施放该法术时，使用的法术位每高一环，你就可以多指定一个额外生物作为目标。每个被你指定的生物相互之间的施法距离必须在30尺内。</t>
  </si>
  <si>
    <t>典礼术</t>
  </si>
  <si>
    <t>Ceremony</t>
  </si>
  <si>
    <t>价值25gp的银粉，作为该法术的耗材</t>
  </si>
  <si>
    <t>你进行几种宗教典礼之一。当你施展此法术时，选择下述典礼之一，其目标必须在施法过程中处于你周围10尺内：
赎罪：你接触一个阵营发生了改变的自愿生物，而你进行一次DC20的感知（洞悉）检定。成功则你令目标恢复其原始阵营。
祝福圣水：你接触一瓶水并将它转变为圣水。
成人礼：你接触一个年龄足够成年的类人生物。在接下来的24小时内，当目标进行一次属性检定时，它可以投d4并将投出的结果加到属性检定上。一个生物只能从此仪式中获得此好处一次。
献身：你接触一个自愿转变为你的宗教的信仰或想要为你信奉的神明服务的类人生物。在接下来的24小时内，当目标进行一次豁免检定时，它可以投d4并将投出的结果加到检定上。一个生物只能从此仪式中获得此好处一次
葬礼：你祝福一具处于你周围5尺内的尸体。在接下来的7天内，目标不能被任何弱于祈愿术的方式变为不死生物。
婚礼：你接触自愿接受婚姻的束缚的成年类人生物。在接下来的7天内，每个目标若处于彼此30尺范围内，则在AC上获得+2加值。一个生物只有在丧偶时才能再次从这个仪式中受益。</t>
  </si>
  <si>
    <t>混乱箭</t>
  </si>
  <si>
    <t>Chaos Bolt</t>
  </si>
  <si>
    <t>你向着施法距离内的一个生物掷出一团变化不定、高声尖鸣的混乱能量。对目标进行一次远程法术攻击。击中时，目标受到2d8+1d6点伤害。选择一颗d8投出的数字来决定它的伤害类型，投出的数字与对应的类别见下表：
伤害类别
1，强酸
2，寒冷
3，火焰
4，力场
5，闪电
6，毒素
7，精神
8，雷鸣
若你的两颗d8投出了相同的数字，混乱能量将从目标跳跃到一个由你选择的、处于它周围30尺内的其他生物上。对新目标进行一次新的攻击检定，进行新的伤害检定，这次伤害检定也可能令混沌能量跳跃。
一个生物只能被此混乱箭选作目标一次。
升环施法效应：当你使用二环或更高的法术位施展此法术时，每个生物受到额外伤害，类型与投出的一致。额外伤害等于高于一环的每个等级1d6点。</t>
  </si>
  <si>
    <t>伊捷工程师</t>
  </si>
  <si>
    <t>地动</t>
  </si>
  <si>
    <t>Earth Tremor</t>
  </si>
  <si>
    <t>你在施法施法距离内引发地面颤动。处于该区域，除你之外的其他生物必须进行一次敏捷豁免检定。若检定失败，该生物受到1d6点钝击伤害并倒地。若区域的地表为松软的土壤或石头，其在被清理之前成为困难地形。每5尺直径的部分都需要至少1分钟来手动清理。
升环施法效应：当你使用二环或更高的法术位施放该法术时，使用的法术位每高一环，伤害便增加1d6。</t>
  </si>
  <si>
    <t>冰刃</t>
  </si>
  <si>
    <t>Ice Knife</t>
  </si>
  <si>
    <t>一滴水或一块冰</t>
  </si>
  <si>
    <t>你制造出一块冰晶裂片，并将它射向施法距离内的一个生物。你对目标进行一次远程法术攻击。若击中，目标受到1d10点穿刺伤害。无论击中与否，裂片都会在之后爆裂。目标和周围5尺范围内的每个生物必须通过一次敏捷豁免检定，否则受到2d6点冷冻伤害。
升环施法效应：当你使用二环或更高的法术位施放该法术时，使用的法术位每高一环，寒冷伤害便增加1d6点。</t>
  </si>
  <si>
    <t>魔法圈套</t>
  </si>
  <si>
    <t>Snare</t>
  </si>
  <si>
    <t>25尺的线绳，作为该法术的耗材</t>
  </si>
  <si>
    <t>当你施展此法术时，用线绳在一处处于你触及内的地面或地板上创造一个5尺半径的圆圈。当你完成施法时，线绳消失，化为一个魔法陷阱。
陷阱几乎是隐形的，要找到它需要一次成功的对抗你的法术豁免DC的智力（调查）检定。
当一个小型、中型或大型的生物移动进入受到此法术保护的区域时，陷阱就会触发。触发的生物必须通过一次敏捷豁免检定否则摔倒、变成俯卧，并被魔法性地上下颠倒的举到半空中，直到它施法距离被保护的地面或地板3尺高。生物被束缚在那里直到法术结束。
被束缚的生物可以在其每个回合的结束时进行一次敏捷豁免检定，成功则结束被束缚。或者，其他能触及被束缚的生物可以进行一次智力（奥秘）检定，对抗你的法术豁免DC。成功则束缚的效果也会结束。
在陷阱被触发之后，当没有生物被它束缚时，法术将会结束。</t>
  </si>
  <si>
    <t>西风打击</t>
  </si>
  <si>
    <t>Zephyr Strike</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</si>
  <si>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此外，在此法术结束前仅一次，你可以在自己的回合让自己的一次武器攻击检定获得优势。这次攻击若击中会造成额外1d8力场伤害。无论你是否击中，你的步行速度都会增加30尺，直到这个回合的结束。</t>
  </si>
  <si>
    <t>灵敏之赐</t>
  </si>
  <si>
    <t>Gift Of Alacrity</t>
  </si>
  <si>
    <t>你触碰一个自愿生物，在法术持续时间内，他的先攻掷骰中可以加入一个额外的D8。</t>
  </si>
  <si>
    <t>扩大重力</t>
  </si>
  <si>
    <t>Magnify Gravity</t>
  </si>
  <si>
    <t>施法距离内你可见的一点的10尺半径球形范围内的重力暂时性地增加了
在你施法时，所有处于该范围内的生物必须通过一个体质豁免。若豁免失败，该生物受到2d8点力场伤害且其移动速度在他的下个回合结束前减半。若豁免成功，该生物受到一半的伤害且在移动速度上没有减值。
直到你的下个回合开始，任何想要把该范围内未被着装或携带的物品移动或捡起都需要进行一次对抗你的法术豁免DC的成功的力量检定，若成功才可行
升环法术效应：每当你使用二环或更高的法术位施展该法术时，每比一环多一的法术位能使该法术的伤害增加1d8。</t>
  </si>
  <si>
    <t>扭曲价值</t>
  </si>
  <si>
    <t>Distort Value</t>
  </si>
  <si>
    <t>当你试图卖掉从混沌神殿中解放出来的那座奇异章鱼雕像时，你是否需要从那个无良商人口袋里再压榨几块黄金？当收税员驻足你的身前时，你是否需要贬低一些魔法资产的价值呢？扭曲价值法术为你保驾护航。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升环施法效应：当你使用二环或更高的法术位施放该法术时，使用的法术位每高一环，目标物件的最大尺寸就可以增加1尺。</t>
  </si>
  <si>
    <t>吉姆的魔法飞弹</t>
  </si>
  <si>
    <t>Jim's Magic Missile</t>
  </si>
  <si>
    <t>1G，如通过DC15的智力（奥秘）检定可由10码内随机生物支付</t>
  </si>
  <si>
    <t>每一个法师学徒都会施展无聊的古董魔法飞弹。啊哈，它总是击中目标。（哈欠）。别再干你祖父流传下来的苦差事了，来像吉姆·达克马奇那样，用这个改进版本的法术吧！
你创造了三个扭曲着的，尖啸着的，低过敏的，无麸质的魔法立场飞镖。每一枚飞弹都瞄准一个在法术距离内由你选择的可见生物。为每一枚飞弹进行远程攻击检定。若命中，飞弹将对这个目标造成2d4点力场伤害。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升环施法效应：当你使用二环或更高的法术位施放该法术时，使用的法术位每高一环，法术就可以多创造一枚飞镖，但是版权成分也会增加1gp</t>
  </si>
  <si>
    <t>塔莎酸蚀酿</t>
  </si>
  <si>
    <t>Tasha's Caustic Brew</t>
  </si>
  <si>
    <t>一点腐烂的食物</t>
  </si>
  <si>
    <t>一股30尺长，5尺宽的线状强酸从你的位置向你指定的任意方向喷射而出。在线状区域内的每个生物必须进行一次敏捷豁免，豁免失败者将在法术持续时间内被强酸复盖，或直到自己或其他生物用一个动作从其身上刮下或洗下。被强酸复盖的生物在每个自己回合开始时受到2d4强酸伤害。
升环法术效应：使用二环或更高法术位施展该法术时，你使用的法术位每比一环高1环，法术的伤害就增加2d4。</t>
  </si>
  <si>
    <t>银光锐语</t>
  </si>
  <si>
    <t>Silvery Barbs</t>
  </si>
  <si>
    <t>你魔法地让触发生物分心，将其短暂的迟疑转变为另一个生物的鼓励。触发生物必须重新投掷d20并选用较低的结果。
之后你能选择范围内的一个不同生物（可以是你自己）。选择的生物在接下来的一分钟里的第一次攻击检定，属性检定，或豁免检定中具有优势。一个生物在同一时间里只会拥有一次来自该法术的增益。</t>
  </si>
  <si>
    <t>银毫学生</t>
  </si>
  <si>
    <t>援助术</t>
  </si>
  <si>
    <t>Aid</t>
  </si>
  <si>
    <t>一小片白布</t>
  </si>
  <si>
    <t>你的法术增强了盟友的韧性和毅力。在施法距离内指定至多三个生物。每个目标的生命值上限和当前生命值在法术持续时间内提高5点。
升环施法效应：使用三环或更高法术位施展该法术时，你使用的法术位每比二环高一环，每个目标的生命值上限和当前生命值就额外提高5点。</t>
  </si>
  <si>
    <t>招待龙纹，波洛斯军团兵，瑟雷尼亚祀徒，和平领域，团结领域，时械之魂</t>
  </si>
  <si>
    <t>变身术</t>
  </si>
  <si>
    <t>Alter Self</t>
  </si>
  <si>
    <t>你变换了自身形态。施法时，从以下选项中选择其一生效，并维持至其持续时间结束。你还可以在持续时间内以一个动作在选项间切换：
水生适应：你长出鳃和蹼以适应水中行动。你可以在水下呼吸，并且获得等同于步行速度的游泳速度。
改变外貌：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天生武器：你长出尖牙锐爪、棘刺长角，或是其他类型的一种自选的天生武器。所选的天生武器可以使你的徒手打击造成1d6的钝击、挥砍或穿刺伤害，且你视为具有徒手打击的熟练项。另外，该天生武器视为魔法武器，且你在使用它进行的攻击检定和伤害掷骰均具有+1加值。</t>
  </si>
  <si>
    <t>析米克科学家，万形之主</t>
  </si>
  <si>
    <t>动物信使</t>
  </si>
  <si>
    <t>Animal Messenger</t>
  </si>
  <si>
    <t>该法术令你可以利用动物传递信息。在施法距离内指定一只你能看见的微型野兽（比如松鼠，蓝松鸦，或是蝙蝠）。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小时内可移动50里，不会飞的信使只能移动25里。
信使抵达目的地后，会模仿你的声音把信息传递给你描述的人。信使只会把信息传递给符合你描述的人。如果法术持续时间内信使未能抵达目的地则信息将遗失，而曾作为信使的野兽将自行寻路返回你施法的地点。
升环施法效应：使用三环或更高法术位施展该法术时，你使用的法术位每比二环高一环，其法术持续时间就增加48小时。</t>
  </si>
  <si>
    <t>抄录龙纹，瑟雷尼亚祀徒</t>
  </si>
  <si>
    <t>秘法锁</t>
  </si>
  <si>
    <t>Arcane Lock</t>
  </si>
  <si>
    <t>至少价值25gp的金粉，作为该法术的耗材</t>
  </si>
  <si>
    <t>你触碰关上的一扇门，一扇窗，一个箱子或其他出入口，并使目标在法术持续时间内保持锁闭状态。施法时，你还可以设定允许你和其他若干生物正常打开该物件。你还可以设置一条密语，在该锁闭物件5尺内念出密语时，秘法锁将被压制1分钟。该物件只有在法术被压制、被解除，或物件本身遭破坏时才能打开。对物件施放敲击术将使其秘法锁法术在10分钟内受压制。
受该法术影响的物件更难被撬开或破坏。对其进行破坏或撬锁时，其相应DC增加10。</t>
  </si>
  <si>
    <t>警戒龙纹，马曼，俄佐立官员</t>
  </si>
  <si>
    <t>卜筮术</t>
  </si>
  <si>
    <t>Augury</t>
  </si>
  <si>
    <t>一套绘有标记的短棒，骨头，或类似的象征物，价值至少25gp</t>
  </si>
  <si>
    <t>借由镶嵌宝石的小短棒，龙骨，卡牌或是其他占卜器具，你从异界存在处获得对某件你计划在接下来的30分钟内做的事的预示。DM从下列预示中选取一个：
吉：预示着好的结果。
凶：预示着坏的结果。
吉且凶：预示着结果既有好的方面，也有坏的方面。
无：预示着结果并无明显的好坏分别。
此法术不会将任何可能影响结果的偶然事件考虑在内。例如，额外施放某个法术，或是得到/失去某个同伴。
若你在两次长休之间使用两次或更多次的卜筮术，则法术有概率会给出随机的结果。此概率从第二次施展起每次累计25％。具体结果由DM暗骰决定。</t>
  </si>
  <si>
    <t>先祖守卫道途，知识领域，先知</t>
  </si>
  <si>
    <t>树肤术</t>
  </si>
  <si>
    <t>Barkskin</t>
  </si>
  <si>
    <t>一把橡树皮</t>
  </si>
  <si>
    <t>你触碰一个自愿生物，并使目标的皮肤在法术终止前呈现粗糙的树皮状外观。期间目标无论着装何种护甲，其AC将不会降至16以下。</t>
  </si>
  <si>
    <t>自然领域，大地结社森林</t>
  </si>
  <si>
    <t>野兽知觉</t>
  </si>
  <si>
    <t>Beast Sense</t>
  </si>
  <si>
    <t>你触碰一只自愿的野兽。在法术持续时间内，你可以使用动作来将自己的视觉和听觉切换至受术野兽的感官，随后直至你再使用动作来恢复正常的知觉。
通过野兽的感官感知四周时，你还会获得该生物本身具有的特殊感官，不过你对本体周围的状况视为等同于同时陷入目盲和耳聋状态。</t>
  </si>
  <si>
    <t>畜牧龙纹，古鲁反抗者，费尔伯格野兽魔法，图腾武者道途，原始意识</t>
  </si>
  <si>
    <t>目盲/耳聋术</t>
  </si>
  <si>
    <t>Blindness/Deafness</t>
  </si>
  <si>
    <t>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升环施法效应：使用三环或更高法术位施展该法术时，你使用的法术位每比二环高一环，就可以多指定一个目标。</t>
  </si>
  <si>
    <t>斯涅布力魔法，死亡领域，孢子结社，邪魔宗主，不朽者，死灵宗主</t>
  </si>
  <si>
    <t>朦胧术</t>
  </si>
  <si>
    <t>Blur</t>
  </si>
  <si>
    <t>你的身影变得模糊，并在别人眼里闪烁不定。在法术持续时间内，任何生物对你发动的攻击检定具有劣势。不依赖视觉（例如盲视）或可以看穿幻象（例如真实视觉）的攻击者免疫此效应。</t>
  </si>
  <si>
    <t>斯涅布力魔法，大地结社荒漠，咒剑士，巨灵宗主水巨灵</t>
  </si>
  <si>
    <t>印记斩</t>
  </si>
  <si>
    <t>Branding Smite</t>
  </si>
  <si>
    <t>你在法术终止前的下一次武器攻击命中某生物时武器闪烁如明星，并对目标额外造成2d6点光耀伤害。如果目标处于隐形状态，则该斩击将使其可见，且因其身上散发出5尺半径的微光而无法隐形，直至该法术终止。
升环施法效应：使用三环或更高法术位施展该法术时，你使用的法术位每比二环高一环，法术的伤害就增加1d6。</t>
  </si>
  <si>
    <t>扎瑞尔，咒剑士，战地匠师</t>
  </si>
  <si>
    <t>安定心神</t>
  </si>
  <si>
    <t>Calm Emotions</t>
  </si>
  <si>
    <t>你试图抑制一群人的强烈情感。指定施法距离内一点，并迫使该点周边半径20尺球状区域内的每个类人生物进行一次魅力豁免。受术生物可以自愿放弃豁免。豁免失败者将由你选择以下两项效应之一对其生效。
你可以选择压制任何使目标受魅惑或恐慌的效应。法术终止时，若被压制效应持续时间仍未完结，则该效应继续生效。
或者，你也可以选择使目标改变对某个你所指定生物的态度，由敌对变为冷漠。如果目标被攻击，或者被有害法术影响，又或者发现其盟友受到损害，则此效应终止。法术终止时，除非DM另行裁决，否则目标的态度恢复敌对。</t>
  </si>
  <si>
    <t>招待龙纹，畜牧龙纹，俄佐立官员，瑟雷尼亚祀徒，救赎圣誓，畸变心智，至高妖精，银毫学生</t>
  </si>
  <si>
    <t>匕首之云</t>
  </si>
  <si>
    <t>Cloud Of Daggers</t>
  </si>
  <si>
    <t>一小片玻璃</t>
  </si>
  <si>
    <t>你在施法距离内指定一点，以该点为中心将一处边长5尺的立方区域充满旋转的匕首。生物在区域内开始其回合，或者在一个回合内第一次进入该区域时将受到4d4的挥砍伤害。
升环施法效应：使用三环或更高法术位施展该法术时，你使用的法术位每比二环高一环，法术的伤害就增加2d4。</t>
  </si>
  <si>
    <t>不灭明焰</t>
  </si>
  <si>
    <t>Continual Flame</t>
  </si>
  <si>
    <t>价值50gp的红宝石粉末，作为该法术的耗材</t>
  </si>
  <si>
    <t>你在所触碰物件上制造如火把一样亮的火焰，使其看上去与一般火焰无异，不过其并不会发热，也不需要燃烧氧气。你可以掩盖或隐藏它，但无法将之闷熄或扑灭。</t>
  </si>
  <si>
    <t>警戒之箭</t>
  </si>
  <si>
    <t>Cordon Of Arrows</t>
  </si>
  <si>
    <t>四支或更多的箭或矢</t>
  </si>
  <si>
    <t>你将四发非魔法的弹药（箭或者弩矢）插在施法距离内的地面并在其上附加魔法让其防御这片区域。直至法术终止前，箭矢将警戒其周围30尺的区域，任何生物在一回合内第一次进入该区域或者在该区域结束其回合时，其中一发箭矢将飞起并射向该生物。该生物必须进行一次敏捷豁免，豁免失败者将受到1d6点穿刺伤害，而射向目标的一发箭矢也将随之被摧毁。当所有箭矢都以该方式摧毁后，法术将随之终止。
施展该法术时，你可以指定任意的生物使法术的警戒效应将其排除在外。
升环施法效应：使用三环或更高法术位施展该法术时，你的法术位每比二环高一环，可生效的弹药数量就增加两发。</t>
  </si>
  <si>
    <t>疯狂冠冕</t>
  </si>
  <si>
    <t>Crown Of Madness</t>
  </si>
  <si>
    <t>你指定施法距离内一名你能看见的类人生物，并迫使该生物进行一次感知豁免，豁免失败则该生物将在法术持续时间内受你魅惑。以该方式被魅惑的生物其头顶上将出现铁质锯齿的扭曲头冠，而其眼神则闪烁着疯狂。
受魅惑目标在其每个回合里，必须在移动前对身边一个你在心中指定的生物发动一次近战攻击。如果你并没有为其指定目标，或者其触及范围内并没有目标，则该生物在本回合里可以按正常状态行动。
施法后你在每个自己回合里必须用你的动作维持对目标的控制，否则法术将提前终止。另外，受术目标还可以在每个自己回合结束时再进行一次感知豁免，豁免成功则法术终止。</t>
  </si>
  <si>
    <t>巴尔泽布，拉铎斯邪教徒，破誓者</t>
  </si>
  <si>
    <t>黑暗术</t>
  </si>
  <si>
    <t>Darkness</t>
  </si>
  <si>
    <t>蝙蝠毛发，以及一滴沥青或一小块煤</t>
  </si>
  <si>
    <t>你在施法距离内指定一点，并在法术持续时间内使魔法的黑暗充斥该点半径15尺的球状区域。该黑暗会绕过拐角扩散，连拥有黑暗视觉的生物也无法看穿这这种黑暗，而非魔法的光照也无法在区域内提供照明。
如果你将法术目标设置于你正持握或未被穿着携带的物件，则黑暗将从物件周围漫出并跟随物件移动。将该物件完全掩盖时（比如用碗或头盔盖住），也会将其漫出的黑暗隔绝。
如果法术区域内有任何二环或更低环阶法术创造的光源，则这些造光的法术将被解除。</t>
  </si>
  <si>
    <t>黑暗精灵，半卓尔精灵，阴影龙纹，提夫林，提夫林变体，莱维斯图斯，大地结社幽暗地域，暗影宗，破誓者，幽影魔法，银毫学生</t>
  </si>
  <si>
    <t>Darkvision</t>
  </si>
  <si>
    <t>一点胡萝卜干或一个玛瑙</t>
  </si>
  <si>
    <t>你触碰一个自愿的生物，并给予其在黑暗中视物的能力。在法术持续时间内，该生物将拥有60尺的黑暗视觉。</t>
  </si>
  <si>
    <t>侦测思想</t>
  </si>
  <si>
    <t>Detect Thoughts</t>
  </si>
  <si>
    <t>一块铜片</t>
  </si>
  <si>
    <t>你在法术持续时间内能读取特定生物的思想。你可以在施展法术时，或者在法术持续时间内以一个动作实现该效应。此时，受术生物必须身处你30尺内并且能被你看见，而你必须对其集中注意力。如果该生物智力为3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尺内的思想。该法术可以穿透大部分障碍，但仍会被2尺厚的石质，或2寸厚的金属质，或一层薄铅质材料所阻隔。你无法侦测到智力为3或更低的生物，也无法侦测不懂任何语言的生物。
以该方式侦测到一个生物后，你可以在法术持续时间内如上文所述的读取其思想。你甚至不需要看见该生物，但其必须在其30尺内。</t>
  </si>
  <si>
    <t>侦测龙纹，迪斯帕特，吉斯泽莱人，底密尔特务，心电感应，畸变心智，旧日支配者</t>
  </si>
  <si>
    <t>强化属性</t>
  </si>
  <si>
    <t>Enhance Ability</t>
  </si>
  <si>
    <t>野兽的毛皮或羽毛</t>
  </si>
  <si>
    <t>你触碰一个生物，并为其附上魔力强化。选择下列效应之一生效，而目标将在法术终止前维持该法术效应：
熊之坚韧：目标进行体质检定时具有优势。目标同时获得2d6的临时生命值，并维持至法术终止。
公牛之力：目标进行力量检定时具有优势，且其负重翻倍。
猫之优雅：目标进行敏捷检定时具有优势。另外，目标在非失能状态下不会因20尺以内的坠落而伤害。
鹰之威仪：目标进行魅力检定时具优势。
狐之狡黠：目标进行智力检定时具有优势。
枭之睿智：目标进行感知检定时具有优势。
升环施法效应：使用三环或更高法术位施展该法术时，你使用的法术位每比二环高一环，就可以多指定一个目标。</t>
  </si>
  <si>
    <t>析米克科学家，力量领域，荣耀圣誓</t>
  </si>
  <si>
    <t>变巨/缩小术</t>
  </si>
  <si>
    <t>Enlarge/Reduce</t>
  </si>
  <si>
    <t>一撮铁粉</t>
  </si>
  <si>
    <t>你使施法距离内一个你能看见的生物或物件的大小发生改变，并在法术持续时间内维持其效应。指定一个生物或一件没有被着装携带的物品，如果目标并非自愿，则其可以进行一次体质豁免，豁免成功则法术无效。
如果目标是生物，则其着装物和携带物的尺寸也随之变化。随后任何从该生物身上脱离的物品都会恢复其正常大小：
变巨：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的伤害。
缩小：目标身形尺寸变为一半，重量变为八分之一。其体型也因此降低一级，比如中型变为小型。在法术终止前，目标进行力量检定和力量豁免时具有劣势。目标的武器也会随之变小，而使用这变小的武器攻击时，将减少1d4的伤害（不会使伤害值低于1）。</t>
  </si>
  <si>
    <t>灰矮人，析米克科学家，量析学生</t>
  </si>
  <si>
    <t>注目术</t>
  </si>
  <si>
    <t>Enthrall</t>
  </si>
  <si>
    <t>你编排了一段使人分心的话语，并指定施法距离内任何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</si>
  <si>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提夫林变体，欧佐夫议员，拉铎斯邪教徒</t>
  </si>
  <si>
    <t>召唤坐骑</t>
  </si>
  <si>
    <t>Find Steed</t>
  </si>
  <si>
    <t>你召唤一只拥有超凡智力、力量和忠诚的灵体作为坐骑，同时与其立长期的契约。坐骑显现在施法距离内未被占据的空间，其外形由你从以下形态中选择：战马、矮种马、骆驼、驼鹿、獒犬（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坐骑在你身边1里内时，你可以与其以心灵感应的方式互相交流。
你不能用该法术同时拥有一匹以上的坐骑，你可以随时用一个动作将坐骑从契约中解放，并使其消失不见。</t>
  </si>
  <si>
    <t>寻找陷阱</t>
  </si>
  <si>
    <t>Find Traps</t>
  </si>
  <si>
    <t>你感测到施法距离范围内，且在你视线范围内的任何陷阱。该法术的目标“陷阱”包括任何可能引发的，对你有害或对你构成妨碍的突发性意外效应，而其性质也正是其创作者的意图。因此该法术可以感测警报术和守卫刻文的效应区域，也可以发现某个陷坑型机械陷阱。不过它不能揭示地板的某处脆弱点，或天花板的某处不稳定位置，又或是某个隐藏的阴沟。
该法术只单纯揭示陷阱的存在。你并不能以此一一定位每个存在的陷阱，不过你可以知晓所感测到陷阱其能够构成危害的大致形式。</t>
  </si>
  <si>
    <t>火焰刀</t>
  </si>
  <si>
    <t>Flame Blade</t>
  </si>
  <si>
    <t>漆树的叶子</t>
  </si>
  <si>
    <t>你在一只空闲的手上召唤出一把炽热的刀刃。该到刀刃的尺寸和形状近似于一把弯刀并在法术持续时间内维持存在。当你放下刀刃时其将消失不见，但你可以用一个附赠动作重新将其唤出。
你可以用你的动作以该热刃发动一次近战法术攻击。若命中，则目标受到3d6点火焰伤害。
烈焰刀向周围提供半径10尺的明亮光照，以及该范围外10尺的微光光照。
升环施法效应：使用三环或更高法术位施展该法术时，你使用的法术位每比二环高两环，其伤害就增加1d6。</t>
  </si>
  <si>
    <t>墨菲斯托菲利斯，火元素裔</t>
  </si>
  <si>
    <t>炽焰法球</t>
  </si>
  <si>
    <t>Flaming Sphere</t>
  </si>
  <si>
    <t>一小块兽脂、一小撮硫磺石和少量铁粉</t>
  </si>
  <si>
    <t>一个直径5尺的球状火焰显现在施法距离内你指定的一处未被占据空间，并在法术持续时间内维持存在。任何生物在火球周围5尺内结束其回合时必须进行一次敏捷豁免。豁免失败者将受到2d6点火焰伤害，豁免成功则伤害减半。
你可以用一个附赠动作将火球移动30尺。如果你将火球推向某生物，则该生物必须进行抵抗火球伤害的豁免，而火球在该回合内停止移动。
移动火球时，你可以指引它越过不高于5尺的障碍，或者越过不宽过10尺的陷坑。火球将点燃任何未被着装或携带的可燃物件，并向其周围散发出半径20尺的明亮光照，以及该范围外20尺的微光光照。
升环施法效应：使用三环或更高法术位施展该法术时，你使用的法术位每比二环高一环，其伤害就增加1d6。</t>
  </si>
  <si>
    <t>拉铎斯邪教徒，光明领域，野火结社，天界宗主，炼金师，粹丽学生</t>
  </si>
  <si>
    <t>遗体防腐</t>
  </si>
  <si>
    <t>Gentle Repose</t>
  </si>
  <si>
    <t>一撮盐，以及尸体每只眼睛上必须放置的铜币，铜币必须在法术持续时间内一直保留在眼睛上</t>
  </si>
  <si>
    <t>你触碰一具尸体或其他遗骸。目标将在法术持续时间内受保护并免于腐烂且无法转变为不死生物。
该法术同样可以有效的延长复活目标的时间限制，因为受该法术影响下度过的时间不计入法术如死者复活的时间限制内。</t>
  </si>
  <si>
    <t>坟墓领域，孢子结社</t>
  </si>
  <si>
    <t>造风术</t>
  </si>
  <si>
    <t>Gust Of Wind</t>
  </si>
  <si>
    <t>一粒豆科植物的种子</t>
  </si>
  <si>
    <t>在法术持续时间内，一道长60尺，宽10尺的线状强风从你吹向你指定的方向。每个在线状区域内开始其回合的生物必须进行一次力量豁免，豁免失败则沿着风向被推开15尺。
任何生物在线状区域内向你移动时，其每移动1尺必须花费2尺的移动力。
强风吹散区域内的毒气或雾气，并吹熄蜡烛、火把及不受保护的其他类似火焰。而有保护的火焰（比如提灯）则会剧烈摇晃并有50%的机率被吹熄。
在法术终止前，你可以在自己回合内以一个附赠动作改变线状风道的方向。</t>
  </si>
  <si>
    <t>暴风龙纹，梭螺鱼人，风暴领域，四象宗，巨灵宗主气巨灵，深海意志，阿兰寇拉鹰人</t>
  </si>
  <si>
    <t>灼热金属</t>
  </si>
  <si>
    <t>Heat Metal</t>
  </si>
  <si>
    <t>一片铁片和一团火焰</t>
  </si>
  <si>
    <t>指定施法距离内一件你能看见的人造金属物件（例如一把金属武器，或者一套金属质的重甲或中甲），并使该物件变得炽热。施展该法术时，任何与该物件有物理接触的生物均受到2d8的火焰伤害。直到法术终止前，每个回合中你都可以使用一个附赠动作再次造成该伤害。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升环施法效应：使用三环或更高法术位施展该法术时，你使用的法术位每比二环高一环，伤害就增加1d8。</t>
  </si>
  <si>
    <t>伊捷工程师，锻造领域</t>
  </si>
  <si>
    <t>人类定身术</t>
  </si>
  <si>
    <t>Hold Person</t>
  </si>
  <si>
    <t>一片直的小铁片</t>
  </si>
  <si>
    <t>指定施法距离内一个你能看见的类人生物。该目标必须进行一次感知豁免，豁免失败则其在法术持续时间内陷入麻痹。目标在其每回合结束时可以再进行一次感知豁免，豁免成功则终止其身上该法术的效应。
升环施法效应：使用三环或更高法术位施展该法术时，你使用的法术位每比二环高一环，你就可以额外指定一个类人生物。指定目标时，每个目标生物必须身处其他目标30尺范围内。</t>
  </si>
  <si>
    <t>俄佐立官员，秩序领域，大地结社极地，四象宗，复仇圣誓，征服圣誓，救赎圣誓</t>
  </si>
  <si>
    <t>隐形术</t>
  </si>
  <si>
    <t>Invisibility</t>
  </si>
  <si>
    <t>一根包裹在阿拉伯胶中的睫毛</t>
  </si>
  <si>
    <t>你触碰的一个生物变为隐形并维持至法术终止。目标的穿着物和携带物只要保持在其身上也随之保持隐形状态。如果目标发动攻击或施展法术，则该法术终止。
升环施法效应：使用三环或更高的法术位施展该法术时，你使用的法术位每比二环高一环就可以额外指定一个目标。</t>
  </si>
  <si>
    <t>灰矮人，阴影龙纹，苍白精灵，格莱西雅，影界触碰，大地结社草原，暗影寿衣</t>
  </si>
  <si>
    <t>敲击术</t>
  </si>
  <si>
    <t>Knock</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</si>
  <si>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若你指定的目标被法术秘法锁锁住，则该秘法锁被压制10分钟，这段时间内目标可被正常开启和关闭。
施展该法术时，受术目标会发出一声响亮的敲击声，其声响最远300尺内都能听见。</t>
  </si>
  <si>
    <t>次级复原术</t>
  </si>
  <si>
    <t>Lesser Restoration</t>
  </si>
  <si>
    <t>你触碰一个生物，并终止正影响它的一项疾病或一种状态。该状态可以是目盲，耳聋，麻痹或中毒其一。</t>
  </si>
  <si>
    <t>医疗龙纹，生命领域，奉献圣誓，时械之魂，天界宗主，炼金师，靡华学生</t>
  </si>
  <si>
    <t>浮空术</t>
  </si>
  <si>
    <t>Levitate</t>
  </si>
  <si>
    <t>一个小皮圈，或者一段弯成长柄杯状的金线</t>
  </si>
  <si>
    <t>指定施法距离内你能看见的一个生物或松散放置的物件，使其垂直上升至多20尺，并在该处维持悬浮直至持续时间结束。该法术可悬浮一个重量至多500磅的目标。一个非自愿的生物可以对法术进行一次体质豁免以避免受其影响。
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动作来移动目标，但目标必须始终处于你的施法距离内。
法术终止时，仍处于空中的目标会缓缓飘落到地面。</t>
  </si>
  <si>
    <t>暴风龙纹，气元素裔，高等卓尔魔法，狂野魔法浪涌，星移步法</t>
  </si>
  <si>
    <t>动植物定位术</t>
  </si>
  <si>
    <t>Locate Animals Or Plants</t>
  </si>
  <si>
    <t>一块寻血猎犬的皮毛</t>
  </si>
  <si>
    <t>你点名或描述一种野兽或植物，并专注于附近的自然之音。如果5里内存在该类生物，你将知晓其中最接近个体与你的相对方位和距离。</t>
  </si>
  <si>
    <t>物件定位术</t>
  </si>
  <si>
    <t>Locate Object</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</si>
  <si>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</si>
  <si>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该法术可定位一个你认识的特定物件，不过你需要在30尺内近距离看到过该物件至少一次；或者它也可定位特定的一类物件（如某种服装、珠宝、家具、工具或武器）中距你最近个体。
如果有任意厚度的铅，即使只是薄薄一片铅片阻挡了你与被定位物件间的通路，则该物件也无法被该法术所定位。</t>
  </si>
  <si>
    <t>探索龙纹，衡鉴学生</t>
  </si>
  <si>
    <t>魔嘴术</t>
  </si>
  <si>
    <t>Magic Mouth</t>
  </si>
  <si>
    <t>一小块蜂窝和至少价值10gp的翡翠粉，作为该法术的耗材</t>
  </si>
  <si>
    <t>你将一段信息植入施法距离内的一个物件中，其信息会在满足预设条件时说出。指定一个你能看见且未被另一生物穿着或携带的物件。然后，你可以使用至多10分钟来传达这段不超过25个单词的信息。最后再来设定触发法术传达信息的事件。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你所决定的触发条件可以很概括也可以很具体，不过你只能根据目标物件30尺内的视觉或听觉状况来设定条件。例如，你可以命令魔嘴在任何生物移动至物件30尺内时说出信息，或者当其30尺内有银铃响起时说出信息。</t>
  </si>
  <si>
    <t>魔化武器</t>
  </si>
  <si>
    <t>Magic Weapon</t>
  </si>
  <si>
    <t>你触碰一件非魔法武器，并使其在法术持续时间内成为魔法武器。该武器进行攻击检定和伤害掷骰时具有+1加值。
升环施法效应：使用四环或更高法术位施展该法术时，加值增加至+2。使用六环或更高法术位施展该法术时，加值增加至+3。</t>
  </si>
  <si>
    <t>创造龙纹，战争领域，奥秘领域，锻造领域，热忱领域，荣耀圣誓</t>
  </si>
  <si>
    <t>马友夫强酸箭</t>
  </si>
  <si>
    <t>Melf's Acid Arrow</t>
  </si>
  <si>
    <t>磨碎的大黄叶和一只蝰蛇的胃囊</t>
  </si>
  <si>
    <t>一支闪烁的绿色箭矢疾速的飞向一个施法距离内的目标，并爆散成强酸水雾。法术对目标发动一次远程法术攻击。若命中，则目标立即受到4d4点强酸伤害，并在其下一回合结束时再受到2d4点强酸伤害。若未命中，则酸液箭矢溅射到了目标，造成初始伤害一半的伤害，并且不会在下一回合结束时造成伤害。
升环施法效应：使用三环或更高法术位施展该法术时，你使用的法术位每比二环高一环，其初始伤害和后续伤害就各增加1d4。</t>
  </si>
  <si>
    <t>大地结社幽暗地域，炼金师</t>
  </si>
  <si>
    <t>镜影术</t>
  </si>
  <si>
    <t>Mirror Image</t>
  </si>
  <si>
    <t>三个你自身的幻象分身出现在你的位置上。直至法术终止前，分身都会随你移动，并模仿你的动作和位置变换，使人无法追踪判断哪一个是你的真身。分身存在时，你可以用动作来解散这些幻象分身。
在法术持续时间内，每当一个生物以你为攻击目标时，掷一次d20决定该次攻击击中的是否其中一个分身。
如果你有三个分身，则你必须掷出6或更高数值才能使目标的攻击命中分身。如果你有两个分身，则你必须掷出8或更高数值。如果你有一个分身，则你必须掷出11或更高数值。
分身的AC等于10+你的敏捷调整值。单次攻击命中分身时相应分身立即被摧毁。分身会被一发命中它的攻击摧毁，且无视所有其他的伤害和效应。三个分身全部被毁后该法术终止。
如果一个生物无法视物，或者它可以依靠视觉之外的其它感官（例如盲视），又或者它可以如同真实视觉一样洞察幻象，则该法术无法影响该生物。</t>
  </si>
  <si>
    <t>诡术领域，野心领域，大地结社海岸，狂野魔法浪涌，装甲师</t>
  </si>
  <si>
    <t>迷踪步</t>
  </si>
  <si>
    <t>Misty Step</t>
  </si>
  <si>
    <t>你短暂地被银白的雾气所笼罩，传送到至多30尺内一个你能看见且未被占据的位置。</t>
  </si>
  <si>
    <t>通行龙纹，吉斯洋基人，精类位移，精类触碰，大地结社海岸，古贤圣誓，复仇圣誓，边界行者，妖精漫游者，外域使节</t>
  </si>
  <si>
    <t>月华之光</t>
  </si>
  <si>
    <t>Moonbeam</t>
  </si>
  <si>
    <t>几粒月籽藤种子和一块乳白色的长石</t>
  </si>
  <si>
    <t>指定施法距离内一点，以该点为中心半径5尺、高40尺的柱状区域内沐浴在一束淡淡的银光中。直至法术终止前，柱状区域内充满微光光照。
生物在一个回合内第一次进入该区域，或在该区域内开始其回合时，将被幽灵般的火焰吞噬并引起剧烈的灼痛。该生物必须进行一次体质豁免，豁免失败则受到2d10的光耀伤害，豁免成功则伤害减半。
变形生物进行该豁免时具有劣势，而如果它豁免失败，则将立即恢复其原始形态，而它离开该法术的光照前都无法变形成其他形态。
你在施展该法术后的每个自己回合内可以用一个动作将华光向任意方向移动至多60尺。
升环施法效应：使用三环或更高法术位施展该法术时，你使用的法术位每比二环高一环，其伤害就增加1d10。</t>
  </si>
  <si>
    <t>暮光领域，古贤圣誓，守望圣誓</t>
  </si>
  <si>
    <t>涅斯图魔法灵光</t>
  </si>
  <si>
    <t>Nystul's Magic Aura</t>
  </si>
  <si>
    <t>一小块方形丝绸</t>
  </si>
  <si>
    <t>你在触及的一个生物或一个物件身上设置一个幻术，使得预言法术会揭示出关于该目标的错误信息。目标可以是一个自愿的生物，或者是一个未被其他生物着装或携带的物件。
施展此法术时，你选择下列效应中的一个或两个。效应在持续时间内一直存在。如果你每天都对同一个生物或物件施展此法术且每次都选择相同的效应，持续30天，幻术就会一直存在直到被解除：
虚假灵光：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伪装：针对目标生物类别的侦测法术和魔法效应（例如圣武士的“神圣感知”，或法术徽记术的触发条件）将显示不同的信息。你选择一种生物类别，其他法术和魔法效应将会认为目标生物属于该类别或者属于该类别所属阵营。</t>
  </si>
  <si>
    <t>行动无踪</t>
  </si>
  <si>
    <t>Pass Without Trace</t>
  </si>
  <si>
    <t>一片槲寄生叶子烧成的灰和一小枝云杉</t>
  </si>
  <si>
    <t>阴影和沉默的幕障从你身上辐射而出，并隔绝任何对你和你的同伴进行的探测。你指定自身30尺内的若干生物（包括你自己）。在法术持续时间内，目标生物进行敏捷（隐匿）检定时具有+10加值，且不能被魔法手段以外的方式追踪。拥有该加值的生物走过某处时不会留下足印或其他踪迹。</t>
  </si>
  <si>
    <t>阴影龙纹，通行龙纹，土元素裔，底密尔特务，木精灵魔法，诡术领域，大地结社草原，暗影宗</t>
  </si>
  <si>
    <t>魅影之力</t>
  </si>
  <si>
    <t>Phantasmal Force</t>
  </si>
  <si>
    <t>一点羊毛</t>
  </si>
  <si>
    <t>你指定施法距离内一个你能够看见的生物，并创造一个根植于其意识的幻象。该目标必须进行一次智力豁免。豁免失败时，你创造出一个不大于10尺立方且只能被目标感知到的幻影物件，生物或其他你指定的可见现象。该创造将持续存在直至法术终止。且该法术对不死生物和构装生物无效。
该幻象包括声音、温度和其他反应因素，同样只对目标显现。
目标可以用其动作进行一次对抗该法术豁免DC的智力（调查）检定来检查这个幻象。检定成功则目标意识到该幻象是一个幻术，法术随即终止。
目标受法术影响时会认定幻象是真实的，并且会合理化任何与幻象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受法术影响的目标对幻象的真实性深信不疑，甚至还会受到幻象的直接伤害。一个生物模样的幻象可以攻击目标。比如，显现为火焰，酸池或岩浆的幻象能够烧伤目标。在你的每一回合，如果目标在幻象的伤害区域内或在其显现的生物周边5尺攻击范围内，则幻象可以对目标造成1d6点心灵伤害。而此时目标则会感觉该伤害与幻象所显现的类型相符。</t>
  </si>
  <si>
    <t>至高妖精，旧日支配者，巨灵宗主，死灵宗主</t>
  </si>
  <si>
    <t>治疗祷言</t>
  </si>
  <si>
    <t>Prayer Of Healing</t>
  </si>
  <si>
    <t>你指定施法距离内至多六个你能看见的生物，并使其每人恢复2d8+你施法关键属性调整值的生命值。该法术对不死生物和构装体不产生任何效应。
升环施法效应：当你使用三环或更高法术位施展该法术时，你使用的法术位每比二环高一环，治疗量就增加1d8。</t>
  </si>
  <si>
    <t>防护毒素</t>
  </si>
  <si>
    <t>Protection From Poison</t>
  </si>
  <si>
    <t>你触碰一个生物。如果处于中毒状态，则中和其所受毒素。如果目标身上具有超过一种毒素，则选择你所了解一种或随机选择其一进行中和。
在法术持续时间内，目标对抗中毒所豁免具有优势，并且对毒素伤害具有抗性。</t>
  </si>
  <si>
    <t>葛加理成员</t>
  </si>
  <si>
    <t>衰弱射线</t>
  </si>
  <si>
    <t>Ray Of Enfeeblement</t>
  </si>
  <si>
    <t>你从指尖射出一道让人衰弱的黑色能量射线并射向施法距离内的一个生物。你对目标进行一次远程法术攻击。若命中，则目标在法术终止前，其使用基于力量的武器进行攻击时只造成一半伤害。
目标在其每回合结束时可以进行一次对抗该法术的体质豁免。豁免成功则法术终止。</t>
  </si>
  <si>
    <t>葛加理成员，欧佐夫议员，死亡领域，坟墓领域，野心领域</t>
  </si>
  <si>
    <t>魔绳术</t>
  </si>
  <si>
    <t>Rope Trick</t>
  </si>
  <si>
    <t>玉米粉和一卷羊皮纸绞成得纸圈</t>
  </si>
  <si>
    <t>你触碰一段长度不超过60尺的绳子。绳的一端会向上升起，直到整条绳索都垂直于地面挂在空中。绳子的上端存在一个隐形的入口，其通往一个法术持续时间内一直存在的异次元空间。
该异次元空间可以从绳子的顶端进入，其内至多可容纳八个中型或更小的生物。魔绳可以被拉回到此空间里，此时从异次元空间外面就再看不到这条绳索。
攻击和法术都无法从异次元空间的入口进出，但空间内的生物可以通过入口看到外面的景象，就如同在绳索的位置有一个3尺×5尺大小的窗口一样。
法术终止时，异次元空间内的一切东西都会掉出来。</t>
  </si>
  <si>
    <t>伊捷工程师，幽域追踪者</t>
  </si>
  <si>
    <t>灼热射线</t>
  </si>
  <si>
    <t>Scorching Ray</t>
  </si>
  <si>
    <t>你创造出三道火焰的射线，随即将其射向施法距离内的目标。你可以把全部射线对准同一个目标，也可以瞄准不同目标。每道射线需要你分别进行一次远程法术攻击。若命中，则目标受到2d6点火焰伤害。
升环施法效应：使用三环或更高法术位施展该法术时，使用的法术位每比二环高一环，你就能多创造出一道射线。</t>
  </si>
  <si>
    <t>波洛斯军团兵，光明领域，野火结社，邪魔宗主，巨灵宗主火巨灵，魔炮师</t>
  </si>
  <si>
    <t>识破隐形</t>
  </si>
  <si>
    <t>See Invisibility</t>
  </si>
  <si>
    <t>一撮滑石粉和少量银粉</t>
  </si>
  <si>
    <t>你能在法术持续时间内能看见任何隐形的生物和物件，如同其处于正常可见状态一样。你还能够看见以太位面，以太位面的生物和物件在你眼中会以幽灵般的半透明形状显现。</t>
  </si>
  <si>
    <t>侦测龙纹，暮光领域，守望圣誓</t>
  </si>
  <si>
    <t>粉碎音波</t>
  </si>
  <si>
    <t>Shatter</t>
  </si>
  <si>
    <t>一片云母</t>
  </si>
  <si>
    <t>你指定施法距离内一点，并在其上忽然爆发一阵震耳欲聋的噪音。以该点为中心半径10尺球状区域内的所有生物必须要进行一次体质豁免。豁免失败者将受到3d8点雷鸣伤害；豁免成功则伤害减半。以无机物质（如石头，水晶或金属）构成的生物进行该豁免时具有劣势。
如果法术的范围内有一个不被任何生物着装携带的非魔法物件，则它也要受到该伤害。
升环施法效应：使用三环或更高法术位施展该法术时，使用的法术位每比二环高一环，法术伤害就增加1d8。</t>
  </si>
  <si>
    <t>古鲁反抗者，风暴领域，热忱领域，四象宗，魔炮师，装甲师</t>
  </si>
  <si>
    <t>沉默术</t>
  </si>
  <si>
    <t>Silence</t>
  </si>
  <si>
    <t>你指定施法距离内一点，以该点为中心半径20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</si>
  <si>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抄录龙纹，大地结社荒漠，暗影宗，不朽者，深海意志</t>
  </si>
  <si>
    <t>蛛行术</t>
  </si>
  <si>
    <t>Spider Climb</t>
  </si>
  <si>
    <t>一滴沥青和一只蜘蛛</t>
  </si>
  <si>
    <t>你触碰一个自愿的生物，并使其在法术终止前能够在垂直表面上下或横向移动，其甚至可以在天花板上倒挂着移动而不需要用到双手。另外，目标获得与步行速度相等的攀爬速度。</t>
  </si>
  <si>
    <t>葛加理成员，大地结社森林，大地结社山地，大地结社沼泽</t>
  </si>
  <si>
    <t>荆棘丛生</t>
  </si>
  <si>
    <t>Spike Growth</t>
  </si>
  <si>
    <t>七根棘刺或七根嫩枝，每根都要削尖</t>
  </si>
  <si>
    <t>以施法距离内一点为中心周围20尺的地面扭曲变形，大片坚硬的棘刺破土而出。该区域在法术持续时间内视为困难地形。而生物进入该区域或在其中移动时，其每移动5尺就要受到2d4点穿刺伤害。
法术导致的地面变形经过刻意的掩饰，使其看起来并无异样。如果生物在你施展该法术时不能看见该区域，则它必须进行一次感知（察觉）检定，检定成功则能发现该区域隐藏的危险。</t>
  </si>
  <si>
    <t>莲源半身人，自然领域，大地结社极地，大地结社山地，巨灵宗主土巨灵</t>
  </si>
  <si>
    <t>灵体武器</t>
  </si>
  <si>
    <t>Spiritual Weapon</t>
  </si>
  <si>
    <t>你在施法距离内的一点创造出一把浮空的虚幻武器，并使其持续到法术持续时间结束或你再次施展该法术为止。施展该法术时，你可以对该武器周围5尺内的一个生物发动一次近战法术攻击。若命中，则目标受到1d8+你的施法关键属性调整值的力场伤害。
你可以在自己回合内以一个附赠动作让该武器移动至多20尺，并再对它周围5尺内的一个生物发动一次同样的攻击。
该武器的外形由你决定。而如果施法的牧师侍奉的是一位和特定武器有关的神祇（例如圣库斯伯特的钉头锤、托尔的锤子），则该法术创造出武器的外形与该武器类似。
升环施法效应：使用三环或更高法术位施展该法术时，你使用的法术位每比二环高两环，法术的伤害就增加1d8。</t>
  </si>
  <si>
    <t>生命领域，战争领域，征服圣誓</t>
  </si>
  <si>
    <t>暗示术</t>
  </si>
  <si>
    <t>Suggestion</t>
  </si>
  <si>
    <t>一条蛇舌，加上一小块蜂巢或一滴甜油</t>
  </si>
  <si>
    <t>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若你或你同伴中任何人伤害了受术者，则该法术随即终止。</t>
  </si>
  <si>
    <t>菲尔娜，纯种蛇人，知识领域</t>
  </si>
  <si>
    <t>守护之链</t>
  </si>
  <si>
    <t>Warding Bond</t>
  </si>
  <si>
    <t>一对单个价值至少50gp的铂金戒指，并由你和目标在法术持续时间内一直佩戴</t>
  </si>
  <si>
    <t>你触碰一个自愿的生物，并让该法术的魔力保护它。该法术在你和目标之间建立一种神秘的连接，并一直持续至法术终止。目标位于你身边60尺内时，其AC和豁免检定具有+1加值，且对所有伤害具有抗性。此外，每当目标受到伤害时，你也会受到同样的伤害。
如果你的生命值降至0，或你与目标距离超过60尺，则该法术终止。如果该法术被再次施放于两个已被连接生物中的任意一方，则原法术即时终止。你还可以用一个动作主动解除该法术。</t>
  </si>
  <si>
    <t>守护龙纹，瑟雷尼亚祀徒，和平领域，团结领域，王冠圣誓，战地匠师</t>
  </si>
  <si>
    <t>蛛网术</t>
  </si>
  <si>
    <t>Web</t>
  </si>
  <si>
    <t>少量蜘蛛网</t>
  </si>
  <si>
    <t>你在施法距离内指定一点，并召唤出一大片粘厚的网状物。蛛网覆盖以该点为源点的20尺立方区域，并在法术持续时间内维持存在。蛛网使该区成为困难地形并造成轻度遮蔽。
如果蛛网没有被固定在两个固体中间（例如墙和树）或跨在一片地板、墙壁、天花板中间，则你召唤出的蛛网会自动坍塌，而导致法术在你的下一回合开始时终止。摊在平面上的蛛网深度为5尺。
任何在蛛网中开始其回合或在其回合中进入蛛网的生物必须进行一次敏捷豁免。豁免失败者将被束缚在网中，直至其离开蛛网或挣脱束缚。
被蛛网束缚的生物可以用一个动作尝试挣脱。该生物必须进行一次对抗法术豁免DC的力量检定，检定成功则不再被束缚。
这些蛛网都是可燃物。每5尺立方的蛛网触及明火时将在1轮内被烧尽。而任何在燃烧区域内开始其回合的生物将因此受2d4点火焰伤害。</t>
  </si>
  <si>
    <t>大地结社沼泽，集群守卫</t>
  </si>
  <si>
    <t>诚实之域</t>
  </si>
  <si>
    <t>Zone Of Truth</t>
  </si>
  <si>
    <t>你创造一个抵御谎言的魔法区域，该区域以施法距离内一点为中心，覆盖该点周边15尺半径的球状区域。在法术终止前，生物在其回合内第一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受影响的生物可以意识到该效果的存在，因此它可以主动回避回答那些通常会以谎言答复的问题。该生物在回答问题时可以闪烁其词、避重就轻，但只要不超出实话的范围就没有问题。</t>
  </si>
  <si>
    <t>守护龙纹，欧佐夫议员，秩序领域，奉献圣誓，王冠圣誓，怪物杀手</t>
  </si>
  <si>
    <t>阿迦纳萨喷火术</t>
  </si>
  <si>
    <t>Aganazzar's Scorcher</t>
  </si>
  <si>
    <t>一片红龙的鳞片</t>
  </si>
  <si>
    <t>一道长30尺，宽5尺的翻涌火线从你向一个你选定的方向蔓延。在该线中的生物必须进行一次敏捷豁免检定。豁免失败的生物受到3d8点火焰伤害，而豁免成功则只受到上述伤害的一半。
升环施法效应：当你使用三环或更高的法术位施放该法术时，使用的法术位每高一环，伤害便增加1d8。</t>
  </si>
  <si>
    <t>龙息术</t>
  </si>
  <si>
    <t>Dragon'S Breath</t>
  </si>
  <si>
    <t>一枚辣椒</t>
  </si>
  <si>
    <t>你触碰一个自愿生物，使它能喷吐出魔法能量，只要它拥有一张嘴。选择强酸、寒冷、火焰、闪电或毒素中的一种。直到法术结束前，生物可以使用一个动作放射出15尺锥形的对应能量。区域内的每个生物必须进行敏捷豁免检定，若失败将受到3d6对应能量类型的伤害，成功则只承受一半。
升环施法效应：当你使用三环或更高的法术位施放该法术时，使用的法术位每高一环，伤害就增加1d6。</t>
  </si>
  <si>
    <t>尘土恶魔</t>
  </si>
  <si>
    <t>Dust Devil</t>
  </si>
  <si>
    <t>一捧尘土</t>
  </si>
  <si>
    <t>选择距离之内，你能看见的一个5尺立方的，未被占据的空气。一股元素，外观如同尘卷风，出现在那里，并在法术的持续时间内持续存在。
任何在尘卷风周围5尺范围内结束其回合的生物必须进行一次力量豁免检定。若检定失败，该生物受到1d8点钝击伤害并被推离10尺。若检定成功，该生物只受到上述伤害的一半，并不会被推离。
以一个附赠动作，你可以让尘卷风向任意方向移动至多30尺。若尘卷风移动时经过了沙子，尘土，松软的土壤或小砂砾，它将会卷起这些物质，在自身周围形成10尺半径的残骸云，持续到你下个回合的开始。残骸云重度遮蔽了所在区域。
升环施法效应：当你使用三环或更高的法术位施放该法术时，使用的法术位每高一环，伤害便增加1d8。</t>
  </si>
  <si>
    <t>地缚</t>
  </si>
  <si>
    <t>Earthbind</t>
  </si>
  <si>
    <t>选择距离内你能够看到的一个生物。黄色的魔法能量线缠绕着该生物。该目标必须通过一次力量豁免检定，否则其飞行速度（若有的话）在法术的持续时间内降为0尺。受到此法术影响的飞行中的生物以每回合60尺的速度安全降落，直到其撞到地面或法术终结。</t>
  </si>
  <si>
    <t>治愈之魂</t>
  </si>
  <si>
    <t>Healing Spirit</t>
  </si>
  <si>
    <t>你召唤出自然精魂抚慰伤员。这个无形的精魂出现在施法距离内你可以看见的一处5尺立方空间。精魂看起来像是透明的野兽或是妖精（由你选择）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
精魂总共能治愈（1+你的施法关键属性调整值）的次数，最低2次。当治愈完这个次数后，精魂就会消失。
在你的回合中以一个附赠动作，你可以移动精魂30尺至你可以看见的另一个空间。
升环施法效应：当你使用三环或更高的法术位施放该法术时，使用的法术位每高一环，治疗值就增加1d6点。</t>
  </si>
  <si>
    <t>麦克斯米利安的地之攫</t>
  </si>
  <si>
    <t>Maximilian's Earthen Grasp</t>
  </si>
  <si>
    <t>一个由陶土雕塑成的手的模型</t>
  </si>
  <si>
    <t>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</si>
  <si>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心灵尖刺</t>
  </si>
  <si>
    <t>Mind Spike</t>
  </si>
  <si>
    <t>你接触施法距离内一个你可见生物的内心。目标必须进行感知豁免检定，若失败会受到3d8心灵伤害，成功则只承受一半。在目标豁免失败时，你在法术结束之前能时刻得知目标所在的位置，只要你们还处于同一位面上。当你拥有这个信息时，目标将不能对你躲藏，并且如果它隐形了，在对抗你时它不能从这个状态中受益。
升环施法效应：当你使用三环或更高的法术位施放该法术时，使用的法术位每高一环，伤害就增加1d8。</t>
  </si>
  <si>
    <t>烟火</t>
  </si>
  <si>
    <t>Pyrotechnics</t>
  </si>
  <si>
    <t>选择距离之内，你能看见的一处占满5立方尺区域的非魔法火焰。你可以熄灭区域内的火焰，或者你可以制造出焰火或浓烟：
焰火：目标伴随着炫目的彩色光芒爆炸。在目标周围10尺范围内的生物必须通过一次体质豁免检定，否则在直到你的下个回合结束前的时间里处于目盲状态。
浓烟：目标散发出浓重的黑烟，蔓延在20尺半径的区域内，可绕过角落。烟雾所在的区域处于重度遮蔽状态。浓烟将持续1分钟或直到被强风吹散。</t>
  </si>
  <si>
    <t>幽影刃</t>
  </si>
  <si>
    <t>Shadow Blade</t>
  </si>
  <si>
    <t>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升环施法效应：当你用三四环施放该法术时，其伤害增加到3d8。五六环时增加到4d8。七环或以上则增加到5d8。</t>
  </si>
  <si>
    <t>写入空中</t>
  </si>
  <si>
    <t>Skywrite</t>
  </si>
  <si>
    <t>你令你能看见的天空中的一个部分出现至多10个字。文字看起来是由云彩构成的，并在法术的持续时间内留在原位。文字将会在法术终结时消失。强风可以吹散云彩，令法术提前终止。</t>
  </si>
  <si>
    <t>史尼洛雪球群</t>
  </si>
  <si>
    <t>Snilloc's Snowball Swarm</t>
  </si>
  <si>
    <t>一块冰或一小块白色岩石碎片</t>
  </si>
  <si>
    <t>在距离之内的，一个由你指定的点上，大量的魔法雪球喷涌而出。以该点为中心，5尺半径的球形区域内的所有生物必须进行一次敏捷豁免检定。检定失败则受到3d6点冷冻伤害，成功者只受到上述伤害的一半。
升环施法效应：当你使用三环或更高的法术位施放该法术时，使用的法术位每高一环，伤害便增加1d6。</t>
  </si>
  <si>
    <t>守护之风</t>
  </si>
  <si>
    <t>Warding Wind</t>
  </si>
  <si>
    <t>一阵强风（风速每小时20英里）在你周围10尺半径内回旋并能随着你移动，始终以你为中心。这股风将在法术的持续时间内持续存在。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</si>
  <si>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梭螺鱼人深海魔法</t>
  </si>
  <si>
    <t>命运宠儿</t>
  </si>
  <si>
    <t>Fortune's Favor</t>
  </si>
  <si>
    <t>一颗至少价值100GP的白色珍珠，在施法时被消耗</t>
  </si>
  <si>
    <t>你给予你自己或施法距离内你可见的一个自愿生物以潜藏的幸运。在法术结束之前，当被选中的生物进行一次攻击检定，属性检定或者豁免检定时，他能够使这个法术结束并扔一颗额外的D20骰，并决定使用哪一颗D20。或者，当这个生物成为一个攻击检定的目标时，他能够使这个法术结束并扔一颗额外的D20骰，并决定使用哪一颗D20：攻击者所掷骰的或通过该法术所掷骰
若原D20骰有优势或劣势，那么通过该法术掷出的D20在原D20的优势或劣势生效后生效。
升环施法效应：使用三环或更高法术位施展该法术时，每比二环高一环的法术位可以令你指定一个额外的生物。</t>
  </si>
  <si>
    <t>不动物件</t>
  </si>
  <si>
    <t>Immovable Object</t>
  </si>
  <si>
    <t>至少价值25gp的金尘，在施法时消耗</t>
  </si>
  <si>
    <t>你触摸一个至多不超过10磅的物件，使其魔法般地固定住。你与你施法时指定的生物能够如常移动它。你也可以设置一串密码，当密码在该物件5尺内被念出时，使这个法术暂时被压制1分钟。
若该物件被固定在空中，那么它可以至多承载4000磅的重量。更重的负载会使其坠落。另外，一个生物能以其动作进行一个对抗你的法术豁免DC的力量检定。若其成功，则该物件能被他移动10尺。
升环法术效应。若你使用四环或五环法术位施展该法术，使该物件移动的检定DC增加5，并且它能够承载8000磅重的负载并持续24小时。如果你用六环或者更高环的法术位施展该法术，那么使该物件移动的检定DC增加10，并且它能够承载20000磅重的负载并一直持续到法术被解除。</t>
  </si>
  <si>
    <t>魔袋术</t>
  </si>
  <si>
    <t>Wristpocket</t>
  </si>
  <si>
    <t>你轻弹手腕，让你手中的一件物品消失。这件只有你能持握的，重量不超过五磅物件会被传送到一个异次元空间，它会在法术持续时间内一直停留在那里。
到法术结束为止，你可以用你的动作将物件召唤到你空余的手中，你也可以用一个动作将该物件返还至异次元空间处。到法术结束时仍然存在在异次元空间的物品会出现在你的位置中，你的脚下。</t>
  </si>
  <si>
    <t>Gift Of Gab</t>
  </si>
  <si>
    <t>2G，如通过DC15的智力（奥秘）检定可由10码内随机生物支付</t>
  </si>
  <si>
    <t>据说是吉姆·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</si>
  <si>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吉姆的发光硬币</t>
  </si>
  <si>
    <t>Jim's Glowing Coin</t>
  </si>
  <si>
    <t>一枚硬币</t>
  </si>
  <si>
    <t>在魔术大师、大冒险家吉姆·达克马奇运用过的许多骗术中，“发光的旧硬币”是其中最为经典的。当你施法时，你将作为法术材料成分的硬币丢往法术距离内任意一点。这枚硬币将会像处于光亮术法术影响一般闪闪发光。在硬币周围30尺内，你所能看到、并且由你选择的每一个生物必须通过一次感知豁免检定，否则将会在持续时间内被硬币所分心。在被分心时，生物在感知（观察）检定和先攻检定中具有劣势。</t>
  </si>
  <si>
    <t>野兽召唤术</t>
  </si>
  <si>
    <t>Summon Beast</t>
  </si>
  <si>
    <t>一根羽毛、一簇毛皮和一条装在镀金橡果内的鱼尾，价值至少200gp</t>
  </si>
  <si>
    <t>你唤来一个野兽灵魄。其在施法距离内你可见的一个未占据位置化为实体。这一实体使用下面的野兽灵魄的数据。当你施展法术时，从空、地或水中选择一个环境。此生物的外形属于你所选环境的一种动物，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升环施法效应：使用五环或更高法术位施展该法术时，该生物数据中使用更高的法术环数。
野兽灵魄
小型野兽
AC：11+法术环阶(天生护甲)
HP：20（仅限空）或30（仅限陆与水）+高于二环的每环阶5点
速度：30尺；攀爬60尺（仅限陆）；飞行60尺（仅限空）；游泳30尺（仅限水）
力量，敏捷，体质，智力，感知，魅力
18[+4]，11[+0]，16[+3]，4[-4]，14[+2]，5[-3]
感官：黑暗视觉60尺，被动察觉12
语言：理解你讲的语言
熟练加值与你相等
飞掠（仅限空）：该野兽飞出敌人触及范围时不会引起借机攻击。
集群战术（仅限陆与水）：该野兽至少有一个未处于失能的盟友在目标生物5ft.内时，它对该生物发动的攻击检定有优势。
水下呼吸（仅限水）：该野兽只能在水下呼吸。
动作：多重攻击：该野兽发动等同于法术环阶半数（向下取整）次数的攻击。
撕咬：近战武器攻击：命中采取你的法术攻击加值，触及5尺，单一目标；命中：1d8+4+法术环阶的穿刺伤害。</t>
  </si>
  <si>
    <t>塔莎心灵鞭</t>
  </si>
  <si>
    <t>Tasha's Mind Whip</t>
  </si>
  <si>
    <t>你对施法距离内一个你可见的生物进行心灵猛击。目标必须进行一次智力豁免。若豁免失败，目标会受到3d6心灵伤害，并且直到其下一回合结束前不能做出反应。此外，它在自己的下一回合中，只能选择在移动、动作或附赠动作中采取一种。若豁免成功，目标只受到半额伤害，并且不会受到该法术的其他效应。
升环施法效应：使用三环或更高的法术位施展该法术时，你使用的法术位每比二环高1环就可以额外指定一个生物。被你选为目标的生物互相之间的距离不能超过30尺。</t>
  </si>
  <si>
    <t>纳撒尔恶作剧</t>
  </si>
  <si>
    <t>Nathair's Mischief</t>
  </si>
  <si>
    <t>一块面包皮，来自一个苹果派</t>
  </si>
  <si>
    <t>你选择一个以施法范围内一点为原点，20尺矩形的范围。你在该范围内填满精类与龙族的魔法。在恶作剧之涌表格里掷D4以决定产生的魔法效应。法术持续时间内、在你的每个回合开始时，你都重骰这个表格。在你重骰之前，你可以把这个矩形范围移动最多10尺。
恶作剧之涌
1:空气中弥漫着苹果派的味道，范围内的生物必须成功通过一次感知豁免，否则将被你魅惑，直至你的下回合开始。
2:一束束鲜花出现在四周，范围内的生物必须成功通过一次敏捷豁免，否则鲜花将往他们脸上喷水，使他们陷入目盲，直至你的下回合开始。
3:范围内的每个生物必须成功通过一次感知豁免，否则将开始咯咯笑，直至你的下回合开始。一个正在咯咯笑的生物陷入失能，并使用他的所有移动力向一个随机方向移动。
4:一滴滴蜜糖出现并在矩形内悬停，将其内变成困难地形，直至你的下回合开始。</t>
  </si>
  <si>
    <t>莱姆束缚之霜</t>
  </si>
  <si>
    <t>Rime's Binding Ice</t>
  </si>
  <si>
    <t>一瓶冰雪融化而成的水</t>
  </si>
  <si>
    <t>你向30尺锥形范围内放出一股冰冷的能量。范围内的每个生物都必须成功通过一体质豁免，否则将受到3d8冷冻伤害并且被冰霜包裹，持续一分钟或直至一个生物用动作为自己或触及范围内的其他生物破冰。被冰霜包裹的生物其速度降至0。豁免成功则伤害减半，并且不会受到其他效应影响。
升环施法效应：使用三环或更高法术位施展该法术时，你使用的法术位每比二环高一环，法术的伤害增加1d8。</t>
  </si>
  <si>
    <t>借鉴才学</t>
  </si>
  <si>
    <t>Borrowed Knowledge</t>
  </si>
  <si>
    <t>一本价值至少25金币的书</t>
  </si>
  <si>
    <t>你从往昔的魂灵中获取知识。选择一项你没有熟练的技能。在法术的持续时间里，你拥有所选技能的熟练项。如果你再次释放该法术，该法术会提前结束。</t>
  </si>
  <si>
    <t>衡鉴学生</t>
  </si>
  <si>
    <t>动力短行</t>
  </si>
  <si>
    <t>Kinetic Jaunt</t>
  </si>
  <si>
    <t>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</si>
  <si>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粹丽学生</t>
  </si>
  <si>
    <t>涡旋翘曲</t>
  </si>
  <si>
    <t>Vortex Warp</t>
  </si>
  <si>
    <t>你魔法地扭曲范围里另一个你可见生物周边的空间。目标需通过一次体质豁免（目标可主动选择失败），否则目标将被传送至范围内一处你可见，由你选择的未被占据的空间。选择的空间必须是地表之上或液体之中，并且能让目标在不被挤压的情况下支撑目标。
升环施法效应：当你使用3环或更高的法术位释放该法术时，法术位每比2环高1环，施法距离增加30尺。</t>
  </si>
  <si>
    <t>量析学生</t>
  </si>
  <si>
    <t>靡叶生华</t>
  </si>
  <si>
    <t>Wither and Bloom</t>
  </si>
  <si>
    <t>枯萎的藤蔓，弯折成环形</t>
  </si>
  <si>
    <t>选择范围里的一点，以该点为中心的10尺半径球形区域里，你唤起死气与生机。该区域里每个由你选择的生物需进行一次体质豁免，失败时受到2d6暗蚀伤害，成功时伤害减半。区域里的非魔法植物都会枯萎。
此外，区域里一个你所选的生物能使用并投掷一枚未使用的生命骰。恢复投掷结果加上你的施法属性调整值点生命值。
升环施法效应：当你使用3环或更高的法术位释放该法术时，法术位每比2环高1环，法术多造成1d6伤害，选择生物能投掷的生命骰数也多1个。</t>
  </si>
  <si>
    <t>靡华学生</t>
  </si>
  <si>
    <t>空气泡泡</t>
  </si>
  <si>
    <t>Air Bubble</t>
  </si>
  <si>
    <t>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升环施法效应：当你使用3环或更高的环位施放这个法术时，你使用的法术位每比2环高一环，就能额外创造两个新鲜空气球体。</t>
  </si>
  <si>
    <t>侦测扭曲</t>
  </si>
  <si>
    <t>Warp Sense</t>
  </si>
  <si>
    <t>一片剃刀叶</t>
  </si>
  <si>
    <t>持续时间内，你能够感知到你周围30尺范围内的传送门，且不论那些传送门是否开启。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本法术的侦测能力可以穿透大部分的障碍，但3尺厚的土木、1尺厚的岩石、1寸厚的常见金属、或薄薄一层铅都能阻挡本法术的侦测。</t>
  </si>
  <si>
    <t>卡牌喷射</t>
  </si>
  <si>
    <t>Spray of Cards</t>
  </si>
  <si>
    <t>一副牌组</t>
  </si>
  <si>
    <t>你向一处15尺锥状区域喷射卡牌，该区域内的生物必须进行一次敏捷豁免。豁免失败的生物受到2d10 点力场伤害伤害并陷入目盲，持续直至其下一个回合结束。豁免成功则仅会受到一半伤害。
升环施法效应：当你使用3环或更高法术位施放本法术时，你使用的法术位每比2环高一环，法术的伤害就增加1d10。</t>
  </si>
  <si>
    <t>魔宠群</t>
  </si>
  <si>
    <t>Flock Of Familiars</t>
  </si>
  <si>
    <t>你召唤3只使用你所选择的动物精魂外貌的临时魔宠。每只魔宠所使用的规则与动物精魂外貌选项与获得魔宠相同。该法术所召唤的所有魔宠都必须属于同一生物种类（天界生物，精类生物，邪魔；你的选择）。如果你已经以获得魔宠或类似方式召唤一个魔宠，则你以该法术召唤的魔宠数量减少一个。
该法术召唤的魔宠可以与你进行心灵交流且当它们在你1英里范围内时可以与你分享它们的视觉或听觉感官。
当你施展施法距离为触及的法术时，该法术所召唤的其中一名魔宠可以如常传递法术。然而每回合你只能通过一只魔宠传递一次触及法术。
升环施法效应。使用3环或更高法术位施展该法术时，你的法术位每比2环高一环，你可以召唤一只额外的魔宠。</t>
  </si>
  <si>
    <t>操纵死尸</t>
  </si>
  <si>
    <t>Animate Dead</t>
  </si>
  <si>
    <t>一滴血，一块肉，以及一点骨灰</t>
  </si>
  <si>
    <t>该法术创造一个不死生物仆从。在施法距离内指定一具中型或小型类人生物遗骨或遗体，并以该法术将污秽的虚假生命力量注入其中，将之唤起为一个不死生物。如果你选择的是遗骨，则目标变为骷髅；选择的是遗体则变为僵尸。该生物的具体游戏资料由DM掌控。
在你的任一回合内，你可以使用一个附赠动作并以精神命令操纵60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这些受操纵生物只会在24小时内服从你的命令。如果你在当前的24小时时间段终止前再施展该法术，则你对这些生物的操纵时间再延长24小时。法术的此种用法只能延长你对至多四个你使用此法术所创造生物的控制时间，而不会创造新的生物。
升环施法效应：使用四环或更高法术位施展该法术时，你使用的法术位每比三环高一环，就会多唤起两只不死生物，或是多延长对两只不死生物的控制。你无法用同一具骸骨或遗体唤起多个不死生物。</t>
  </si>
  <si>
    <t>葛加理成员，死亡领域，孢子结社，破誓者，永恒奴役，死灵学派</t>
  </si>
  <si>
    <t>活力灵光</t>
  </si>
  <si>
    <t>Aura Of Vitality</t>
  </si>
  <si>
    <t>你身上发出的治愈能量形成半径30尺的灵光。法术持续时间内灵光将以你为中心随你移动。你可以用一个附赠动作为灵光范围内的一名生物（包括你自己）恢复2d6的生命值。</t>
  </si>
  <si>
    <t>医疗龙纹，暮光领域，王冠圣誓，战地匠师，量析学生</t>
  </si>
  <si>
    <t>希望信标</t>
  </si>
  <si>
    <t>Beacon Of Hope</t>
  </si>
  <si>
    <t>该法术带来活力与希望。在施法距离内指定任意数量的生物，并使其在法术持续时间内进行的感知豁免和死亡豁免具有优势。此外，其获得治疗时均以骰子最大值来决定其恢复的生命值。</t>
  </si>
  <si>
    <t>畜牧龙纹，波洛斯军团兵，生命领域，和平领域，团结领域，奉献圣誓，银毫学生</t>
  </si>
  <si>
    <t>降咒</t>
  </si>
  <si>
    <t>Bestow Curse</t>
  </si>
  <si>
    <t>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受诅咒影响时，你的攻击和法术对目标额外造成1d8的黯蚀伤害。
法术移除诅咒可终止此法术的效应。DM也可以让你选择其他诅咒，但它们不该比上表更强大。诅咒效应最终由DM裁定。
升环施法效应：使用四环或更高法术位施展该法术时，法术的持续时间变为：专注，至多10分钟。使用五环或更高法术位时，变为8小时。使用七环或更高法术位时，变为24小时。使用九环法术位时，法术将持续到被解除。使用五环或更高法术位施展此法术时无需在其持续时间内维持专注。</t>
  </si>
  <si>
    <t>欧佐夫议员，野心领域，破誓者，征服圣誓，凶兆符记</t>
  </si>
  <si>
    <t>致盲斩</t>
  </si>
  <si>
    <t>Blinding Smite</t>
  </si>
  <si>
    <t>你在法术终止前的下一次武器攻击命中某生物时将爆发出强光，并对目标额外造成3d8点光耀伤害。此外，目标必须进行一次体质豁免，豁免失败则陷入目盲直至法术终止。
受法术目盲效应影响的生物在其每个回合结束时可以再进行一次体质豁免，豁免成功则其目盲状态终止。</t>
  </si>
  <si>
    <t>波洛斯军团兵</t>
  </si>
  <si>
    <t>闪现术</t>
  </si>
  <si>
    <t>Blink</t>
  </si>
  <si>
    <t>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尺内自选一处未被占据且你能看见的空间出现。如果范围内没有未被占据的空间，则你随机出现在最近的一处未被占据空间里。你可以用一个动作解除该法术。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</si>
  <si>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通行龙纹，诡术领域，至高妖精，咒剑士</t>
  </si>
  <si>
    <t>召雷术</t>
  </si>
  <si>
    <t>Call Lightning</t>
  </si>
  <si>
    <t>你指定施法距离内，自己上方一处能看见的点，并在该处生成一片高10尺、半径60尺的柱状雷云区域。如果你无法看到空中雷云可能形成的位置，则法术失败（例如，当你身处一间不够高大的房间内时）。
施法时，指定该雷云下一处你能看见的点。再令一束闪电从云端射向该点。在该点5尺内的生物必须进行一次敏捷豁免。豁免失败者将受到3d10点闪电伤害，豁免成功则伤害减半。直至法术终止前，你都可以在自己回合内使用动作再次发射闪电，并在攻击前指定同一点或另选一点。
若施法时你身处室外暴风雨环境，则此法术令你得以控制空中的暴雨云而非创一朵新雷云。且法术伤害增加1d10。
升环施法效应：使用四环或更高法术位施展该法术时，你使用的法术位每比三环高一环，法术的伤害就增加1d10。</t>
  </si>
  <si>
    <t>伊捷工程师，风暴领域，大地结社森林</t>
  </si>
  <si>
    <t>鹰眼术</t>
  </si>
  <si>
    <t>Clairvoyance</t>
  </si>
  <si>
    <t>价值至少100gp的法器，选择聆听时用一个以珠宝装饰的号角，选择观察时用一颗玻璃眼珠</t>
  </si>
  <si>
    <t>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施展该法术时，你可以选择进行观察或是聆听。你可以通过传感器以所选的感官方式感测目标空间。你也可以用一个动作在观察和聆听之间切换。
可以看见传感器的生物（比如生物具有增益如识破隐形或真实视觉时）会看到检测点是一个拳头大小发着微光的半透球体。</t>
  </si>
  <si>
    <t>阴影龙纹，探索龙纹，侦测龙纹，俄佐立官员，先祖守卫道途，旧日支配者</t>
  </si>
  <si>
    <t>召唤动物</t>
  </si>
  <si>
    <t>Conjure Animals</t>
  </si>
  <si>
    <t>你召唤野兽形态的精魄，并使其显现在施法范围内一处你能看见但未被占据的空间。选择以下选项之一作为显现的生物：
一只挑战等级2或者更低的野兽
两只挑战等级1或者更低的野兽
四只挑战等级½或更低的野兽
八只挑战等级¼或更低的野兽
每只野兽同时视为精类生物，并且在生命值降至0时，或者法术终止时消失不见。
被召唤的生物对你和你的伙伴保持友善关系。每次召唤出来的所有生物视为一个团体来骰先攻，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升环施法效应：使用更高法术位施展该法术时，选择上文所述召唤选项之一，并显现更多生物：五环法术位显现两倍生物，七环法术位显现三倍生物，九环法术位显现四倍生物。</t>
  </si>
  <si>
    <t>畜牧龙纹，古鲁反抗者</t>
  </si>
  <si>
    <t>召唤箭雨</t>
  </si>
  <si>
    <t>Conjure Barrage</t>
  </si>
  <si>
    <t>一发弹药或一把投掷武器</t>
  </si>
  <si>
    <t>你向空中射出一发非魔法的弹药或者掷出一把非魔法的投掷武器，并以之为原型向前方锥状区域内射出一片同样的武器，而这些创造出的武器将在攻击完成后消失不见。前方60尺锥状区域内的每个生物都必须进行一次敏捷豁免，豁免失败者将受到3d8点伤害，豁免成功则伤害减半。法术所造成伤害的类型与用作法术成分材料的弹药或武器相同。</t>
  </si>
  <si>
    <t>创造龙纹，古鲁反抗者，战地匠师</t>
  </si>
  <si>
    <t>法术反制</t>
  </si>
  <si>
    <t>Counterspell</t>
  </si>
  <si>
    <t>你试图打断一个生物正在施展的一个法术。如果该生物正在施展三环或更低环阶法术，则其法术失败且不产生任何效应。如果该生物正在施展四环或更高环阶法术，则你以施法关键属性进行一次属性检定，其检定DC等于10+目标法术的环阶。检定成功则目标法术失败且不产生任何效应。
升环施法效应：使用四环或更高法术位施展该法术时，如果被打断法术的环阶不高于你所用的法术位环阶，则该目标法术直接被打断。</t>
  </si>
  <si>
    <t>守护龙纹，俄佐立官员，救赎圣誓，守望圣誓</t>
  </si>
  <si>
    <t>造粮术</t>
  </si>
  <si>
    <t>Create Food And Water</t>
  </si>
  <si>
    <t>你在施法距离内的地面或容器上创造45磅的食物和30加仑的水，其总量可以满足十五个类人生物或者五匹坐骑24小时的补给需求。食物非常清淡但营养丰富，并且如果24小时内不食用即会变坏。创造的水清洁可饮用且不会以该方式变质。</t>
  </si>
  <si>
    <t>招待龙纹，大地结社荒漠，巨灵宗主</t>
  </si>
  <si>
    <t>十字军披风</t>
  </si>
  <si>
    <t>Crusader's Mantle</t>
  </si>
  <si>
    <t>神圣的能量自你身上发出并形成30尺半径的灵光，并为友方生物激励勇气。在法术持续时间内，灵光将以你为中心随你移动。灵光范围内的非敌对生物（包括你自己）的武器攻击命中时将额外造成1d4的光耀伤害。</t>
  </si>
  <si>
    <t>战争领域，团结领域</t>
  </si>
  <si>
    <t>昼明术</t>
  </si>
  <si>
    <t>Daylight</t>
  </si>
  <si>
    <t>你在施法距离内指定一点，并从中释放光亮蔓延至半径60尺的球状区域。法术产生的光亮为区域内提供明亮光照并向其外提供60尺的微光光照。
如果你将作为法术目标的点设置于你正持握或未被穿着携带的物件，则光亮将从物件周围漫出并跟随物件移动。将该物件完全掩盖时（比如用碗或头盔盖住），也会将其漫出的光亮隔绝。
如果法术区域内有任何三环或更低环阶法术创造的黑暗，则这些造暗的法术将被解除。</t>
  </si>
  <si>
    <t>光明领域，大地结社草原，天界宗主，银毫学生</t>
  </si>
  <si>
    <t>解除魔法</t>
  </si>
  <si>
    <t>Dispel Magic</t>
  </si>
  <si>
    <t>在施法距离内指定一个生物、一个物件或一处魔法效应，并终止所有影响该目标的三环或更低环阶法术。每个影响目标的四环或更高环阶法术都需要以你的施法关键属性进行一次属性检定，其DC等于10+目标法术的环阶，检定成功时目标法术终止。
升环施法效应：使用四环或更高法术位施展该法术时，你直接终止目标身上小于等于该施法环阶的法术效应。</t>
  </si>
  <si>
    <t>高等卓尔魔法，诡术领域，奥秘领域，奉献圣誓，妖精漫游者，时械之魂，反逆者</t>
  </si>
  <si>
    <t>元素武器</t>
  </si>
  <si>
    <t>Elemental Weapon</t>
  </si>
  <si>
    <t>你触碰的一把非魔法武器并使其变成魔法武器。选择以下伤害类型其中之一：强酸、冷冻、火焰、闪电、雷鸣。在法术持续时间内，该武器进行攻击检定时将获得+1加值，且在命中时额外造成1d4点所选类型的伤害。
升环施法效应：使用五环或六环法术位施展该法术时，攻击检定的加值变为+2，额外伤害变为2d4。使用七环或更高法术位施展该法术时，攻击检定的加值变为+3，额外伤害变为3d4。</t>
  </si>
  <si>
    <t>创造龙纹，伊捷工程师，锻造领域，咒剑士</t>
  </si>
  <si>
    <t>恐惧术</t>
  </si>
  <si>
    <t>Fear</t>
  </si>
  <si>
    <t>一片白羽毛或一颗母鸡心</t>
  </si>
  <si>
    <t>你制造一个目标最惧怕的幻象，并迫使30尺锥状区域内的所有生物进行一次感知豁免，豁免失败者将丢弃其所有持握物，并在法术持续时间内陷入恐慌。
被法术恐慌的生物必须在其回合内执行疾走动作，并以此寻找最安全的路线远离施法者，直至其无路可走为止。如果该生物在施法者视线范围外结束其回合，则其可以再进行一次感知豁免，豁免成功则法术对该生物的效应终止。</t>
  </si>
  <si>
    <t>拉铎斯邪教徒，征服圣誓，幽域追踪者</t>
  </si>
  <si>
    <t>假死术</t>
  </si>
  <si>
    <t>Feign Death</t>
  </si>
  <si>
    <t>一把坟土</t>
  </si>
  <si>
    <t>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恢复生效。</t>
  </si>
  <si>
    <t>火球术</t>
  </si>
  <si>
    <t>Fireball</t>
  </si>
  <si>
    <t>一小球蝙蝠粪及硫磺</t>
  </si>
  <si>
    <t>明亮的闪光从你的指间飞驰向施法距离内你指定的一点，并随着一声低吼迸成一片烈焰。目标点周围半径20尺球状区域内的每个生物必须进行一次敏捷豁免。豁免失败者将受到8d6点火焰伤害，豁免成功则伤害减半。
迸发的火焰将绕过拐角扩散。并点燃区域内所有未被着装或携带的可燃物件。
升环施法效应：使用四环或更高法术位施展该法术时，你使用的法术位每比三环高一环，其伤害就增加1d6。</t>
  </si>
  <si>
    <t>光明领域，热忱领域，四象宗，狂野魔法浪涌，邪魔宗主，巨灵宗主火巨灵，魔炮师</t>
  </si>
  <si>
    <t>飞行术</t>
  </si>
  <si>
    <t>Fly</t>
  </si>
  <si>
    <t>任意鸟类翅膀上的羽毛</t>
  </si>
  <si>
    <t>你触碰一个自愿生物，并使该目标在法术持续时间内获得60尺的飞行速度。法术终止时，如果目标仍在空中则随即坠落。
升环施法效应：使用四环或更高法术位施展该法术时，你使用的法术位每比三环高一环，就可以额外再指定一个生物作为法术目标。</t>
  </si>
  <si>
    <t>四象宗，狂野魔法浪涌</t>
  </si>
  <si>
    <t>气化形体</t>
  </si>
  <si>
    <t>Gaseous Form</t>
  </si>
  <si>
    <t>一小片薄纱和一缕清烟</t>
  </si>
  <si>
    <t>在法术持续时间内，你将触碰到的一个自愿生物连同其穿着携带物一起转化为一团云雾。如果生物的生命值降至0则法术终止。非实体的生物不受该效应影响。
在该形态下，目标唯一的移动方式即是10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云雾形态的目标不能讲话或操作物件，其随身携带或持握的物件不会掉落，也不能被使用或与之互动。另外，目标也不能攻击或施法。</t>
  </si>
  <si>
    <t>底密尔特务，析米克科学家，大地结社沼泽，孢子结社，四象宗，集群守卫，炼金师</t>
  </si>
  <si>
    <t>守卫刻文</t>
  </si>
  <si>
    <t>Glyph Of Warding</t>
  </si>
  <si>
    <t>熏香和至少价值200gp的钻石粉，作为该法术的耗材</t>
  </si>
  <si>
    <t>施展该法术时，你在某个表面（诸如桌面、地板、墙等）或某个能被关闭以隐藏符纹的物件里（诸如书本、卷轴、宝箱等）刻画一个不一定对生物造成伤害的符纹。如果你指定某个表面，则该符纹可以覆盖内径不超过10尺直径的区域。如果受术的物件或表面从被施法位置被移开超过10尺，则其符纹被破坏且法术不被触发即告终止。
结界符纹近乎隐形，其需要以法术的豁免DC进行一次智力（调查）检定才能被发现。
你在施法时设定结界符纹的触发条件。刻画于表面的符纹其最典型的触发条件包括：触碰或站立在符纹上；拿掉覆盖在符纹上的物件；进入符纹一定范围；操作符纹所在的物件等。刻画在物件内的符纹其最典型的触发条件包括：打开物件；靠近物件一定的距离；看到或阅读该符纹等。符纹一旦被触发，则该法术终止。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刻画符纹时，你可以从爆炸符文和法术符纹两者中选择其一：
爆炸符文：符文被触发时将在半径20尺球状区域内将爆发魔法能量，并绕过角落扩散。区域内的每个生物必须进行一次敏捷豁免。豁免失败者将受到5d8的强酸，寒冷，火焰，闪电，或雷鸣伤害（你在制造符纹时指定），豁免成功则伤害减半。
法术刻文：你可以施展一个准备好的三环或更低环阶法术，并将其储备在所创造的符纹中。所储备法术必须以一个物件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升环施法效应：使用四环或更高法术位施展该法术时，你使用的法术位每比三环高一环，一个爆炸符文的伤害就增加1d8。如果你创造一个法术符纹，则其储备法术的环阶可以与你施放守卫刻文时使用的法术位相同。</t>
  </si>
  <si>
    <t>警戒龙纹，伊捷工程师</t>
  </si>
  <si>
    <t>加速术</t>
  </si>
  <si>
    <t>Haste</t>
  </si>
  <si>
    <t>一片甘草根切片</t>
  </si>
  <si>
    <t>指定施法距离内一个你能看见的自愿生物。直至法术终止前，你使目标速度翻倍；其AC获得+2加值；其进行敏捷豁免时具有优势；其每个回合都可作出一个额外的动作，但该动作只能发动攻击（只限一次武器攻击），或者疾行、撤离、躲藏和使用物件。
法术终止时，目标将泛起一阵倦意使其不能移动也无法执行动作，并持续至其下一回合结束。</t>
  </si>
  <si>
    <t>拉铎斯邪教徒，力量领域，热忱领域，大地结社草原，复仇圣誓，荣耀圣誓，边界行者，粹丽学生，量析学生</t>
  </si>
  <si>
    <t>哈达之欲</t>
  </si>
  <si>
    <t>Hunger Of Hadar</t>
  </si>
  <si>
    <t>一条酸洗过的章鱼触须</t>
  </si>
  <si>
    <t>你打开一个通道，并连接到群星间黑暗处某个遍布未知恐怖之物的领域。以施法距离内一点为中心，一个半径20尺，漆黑而寒冷的球状区域显现并持续至该法术终止。这个虚无区域外30尺范围内能听到充斥在空气中的不谐耳语和啜嚼噪音。任何光照，魔法或其他手段都无法照亮这个区域，而完全进入该区域内的生物将陷入目盲状态。
虚无扭曲了空间的结构，使该区域内成为困难地形。任何在区域内开始其回合的生物将受到2d6点冷冻伤害。任何在区域内结束其回合的生物必须进行一次敏捷豁免，豁免失败者将因异界软体触手的触碰而受到2d6点强酸伤害。</t>
  </si>
  <si>
    <t>催眠图纹</t>
  </si>
  <si>
    <t>Hypnotic Pattern</t>
  </si>
  <si>
    <t>一根点燃的熏香或一个装有磷光材料的水晶小瓶</t>
  </si>
  <si>
    <t>你在施法距离内一处边长30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如果受术生物受到任何伤害，或者他人将其从恍惚中摇醒，则该法术在其身上的效应终止。</t>
  </si>
  <si>
    <t>救赎圣誓，装甲师</t>
  </si>
  <si>
    <t>李欧蒙小屋</t>
  </si>
  <si>
    <t>Leomund's Tiny Hut</t>
  </si>
  <si>
    <t>一个小水晶珠子</t>
  </si>
  <si>
    <t>一个半径10尺的半球形力场出现在你周围和上方，并在法术持续时间内保持固定。当你离开该区域时法术将随之终止。
半球可以容纳你和九个中型或更小的生物。如果区域内容纳了一个体型更大的生物或者容纳了多于九个生物，则法术失效。在施展此法术时即处于半球内的生物和物件可以自由进出半球。而所有其他生物和物件都将被阻挡而无法进出。法术和其他魔法效应既无法延伸至穿过半球，也无法直接穿过半球施放。半球内的空气干爽舒适，而无论外侧气候如何。
你可以在法术终止前使半球内的光照变为微光或黑暗。半球从外侧看是不透明的，并且呈现出由你选定的颜色，但从内侧看它则是透明的。</t>
  </si>
  <si>
    <t>招待龙纹，暮光领域</t>
  </si>
  <si>
    <t>闪电箭</t>
  </si>
  <si>
    <t>Lightning Arrow</t>
  </si>
  <si>
    <t>你在法术持续时间内下一次进行的远程武器攻击时，该武器的弹药或该武器本身（如果该武器是投掷武器）变为一束闪电。以正常方式进行攻击检定，若该攻击命中则目标受到4d8点闪电伤害，若未命中则伤害减半。即以该闪电伤害代替武器正常伤害。
无论你的攻击是否命中，目标周围10尺范围内的每个生物都必须进行一次敏捷豁免，豁免失败则受到2d8点闪电伤害，豁免成功则伤害减半。
在此之后，该弹药或武器变回其正常形态。
升环施法效应：使用四环或更高法术位施展该法术时，你使用的法术位每比三环高一环，上述两种闪电伤害就各增加1d8。</t>
  </si>
  <si>
    <t>闪电束</t>
  </si>
  <si>
    <t>Lightning Bolt</t>
  </si>
  <si>
    <t>一些毛皮和琥珀质、水晶质或玻璃质的一根棒子</t>
  </si>
  <si>
    <t>一束100尺长，5尺宽的的线状闪电从你的位置向你指定的任意方向爆发迸出。在线状区域内的每个生物必须进行一次敏捷豁免，豁免失败者将受到8d6的闪电伤害，豁免成功则伤害减半。
闪电会将区域内未被着装或携带的可燃物件点燃。
升环施法效应：使用四环或更高法术位施展该法术时，你使用的法术位每比三环高一环，伤害就增加1d6。</t>
  </si>
  <si>
    <t>大地结社山地，深海意志，装甲师</t>
  </si>
  <si>
    <t>防护法阵</t>
  </si>
  <si>
    <t>Magic Circle</t>
  </si>
  <si>
    <t>总价值至少100gp的圣水或银、铁粉，作为该法术的耗材</t>
  </si>
  <si>
    <t>指定施法距离内地面上你能看见的一点，并在该处创造了一个10尺半径、20尺高的柱状魔法能量。而承载能量柱的地面或其他平面上则会显现出闪光的符文。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施展该法术时，你可以选择让魔法作用于相反的方向来阻止特定种类的生物离开柱状区域内，以保护区域外的目标。
升环施法效应：使用四环或更高法术位施展该法术时，你使用的法术位每比三环高一环，法术持续时间就增加1小时。</t>
  </si>
  <si>
    <t>警戒龙纹，奥秘领域，怪物杀手</t>
  </si>
  <si>
    <t>高等幻影</t>
  </si>
  <si>
    <t>Major Image</t>
  </si>
  <si>
    <t>你创造一个影像，其形象来自一个大小不超过边长20尺立方体的物件，生物或其他的可视现象。影像出现在施法距离内你能看见的一处位置并在法术持续时间内维持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在该幻象施法距离内时，你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无法被碰到，任何与该影像进行的物理互动都会暴露其幻象的本质。一个生物用其动作调查影像时，它可以进行一次对抗你的法术豁免DC的智力（调查）检定，以判定是否看穿幻象。辨出幻象的生物可以看破该影像，而影像的其他感官效应在该生物看来会变得微弱而模糊。
升环施法效应：使用六环或更高法术位施展该法术时，法术会持续至解除且不需要你保持专注。</t>
  </si>
  <si>
    <t>群体治愈真言</t>
  </si>
  <si>
    <t>Mass Healing Word</t>
  </si>
  <si>
    <t>你高声诵出复原的真言，并指定施法距离内至多六个你能看见的生物，使其各自恢复一定的生命值，其数值等于1d4+你的施法关键属性调整值。该法术对不死生物和构装生物无效。
升环施法效应：使用四环或更高法术位施展该法术时，你使用的法术位每比三环高一环，其治疗量就增加1d4。</t>
  </si>
  <si>
    <t>医疗龙纹，秩序领域，炼金师</t>
  </si>
  <si>
    <t>融身入石</t>
  </si>
  <si>
    <t>Meld Into Stone</t>
  </si>
  <si>
    <t>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石头所受的轻微损伤不会对你造成伤害，不过石头部分损毁或者形状改变时（改变到不再适合容纳你的程度），会将你从石中排挤出并对你造成6d6的钝击伤害。石头完全损毁（或材质改变）时，也会将你从石中排挤出并对你造成50点钝击伤害。被排挤出石头时，你将被摔至距离第一次进入石头处最近一处未被占据的空间位置，并陷入倒地状态。</t>
  </si>
  <si>
    <t>底密尔特务，大地结社山地，巨灵宗主土巨灵</t>
  </si>
  <si>
    <t>回避侦测</t>
  </si>
  <si>
    <t>Nondetection</t>
  </si>
  <si>
    <t>一撮价值至少25gp的钻石粉末，撒在目标身上，作为该法术的耗材</t>
  </si>
  <si>
    <t>在法术持续时间内，你将触碰的目标隐藏起来，使其在法术持续时间内躲开来自预言魔法的侦测。目标可以是一个自愿生物，一处地点或一个在各个方向上不超过10尺的物件。目标在持续时间内不能成为预言魔法的目标，也不能通过魔法探知传感器被感测到。</t>
  </si>
  <si>
    <t>侦测龙纹，底密尔特务，斯涅布力魔法，知识领域，守望圣誓，地底侏儒</t>
  </si>
  <si>
    <t>魅影驹</t>
  </si>
  <si>
    <t>Phantom Steed</t>
  </si>
  <si>
    <t>你指定施法距离内一处未被占据空间，并从中显现一只似幻似真的马形生物。该生物的外形由你决定，但它必须装备着鞍座和辔具。而这些随法术创造的装备一旦离开战驹10尺即化作一阵烟消失不见。
在法术持续时间内，你或者一个你指定的生物可以骑乘此战驹。战驹使用骑乘用马的属性数据，不过其具有速度100尺，其每小时路程普通时可达10里，以快速步调行进时可达13里。法术终止时，战驹会慢慢消失，让骑手有1分钟的时间下马结束骑乘。你用一个动作解散战驹，或是当战驹受到伤害时，法术也将随即终止。</t>
  </si>
  <si>
    <t>通行龙纹，死灵宗主</t>
  </si>
  <si>
    <t>植物滋长</t>
  </si>
  <si>
    <t>Plant Growth</t>
  </si>
  <si>
    <t>该法术将活力引导给特定区域中的植物。该法术有两种用法，其一可产生即时增益，另一种则产生长期的增益。
用1动作施展该法术时，你指定施法距离内一点，该点周边半径100尺内的普通植物将变的粗壮和茂盛。一个穿过该区域的生物每移动1尺必须花费4尺的移动力。
你可以在该法术范围内空出一块或多块任意大小的区域，使其排除在法术效应影响之外。
用8小时施展该法术时，你可以使这片土地肥沃。你指定施法距离内一点，该点周边半径半里的的植物将在1年内变的茂盛。这些植物收获时将产出两倍于正常产量的作物。</t>
  </si>
  <si>
    <t>葛加理成员，瑟雷尼亚祀徒，自然领域，大地结社森林，野火结社，古贤圣誓，至高妖精</t>
  </si>
  <si>
    <t>防护能量伤害</t>
  </si>
  <si>
    <t>Protection From Energy</t>
  </si>
  <si>
    <t>受你触碰的一个自愿生物在法术持续时间内对下列你指定的一种伤害类型具有抗性：强酸、冷冻、火焰、闪电、雷鸣。</t>
  </si>
  <si>
    <t>守护龙纹，锻造领域，力量领域，大地结社荒漠，古贤圣誓，复仇圣誓，荣耀圣誓，时械之魂</t>
  </si>
  <si>
    <t>移除诅咒</t>
  </si>
  <si>
    <t>Remove Curse</t>
  </si>
  <si>
    <t>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</si>
  <si>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回生术</t>
  </si>
  <si>
    <t>Revivify</t>
  </si>
  <si>
    <t>消耗总价值至少300gp的钻石</t>
  </si>
  <si>
    <t>你触碰一个在前一分钟内刚刚死去的生物，使该生物以1点生命值重生。该法术不能复活老死的生物，也不能恢复失去的身体部位。</t>
  </si>
  <si>
    <t>生命领域，坟墓领域，野火结社，天界宗主，靡华学生</t>
  </si>
  <si>
    <t>短讯术</t>
  </si>
  <si>
    <t>Sending</t>
  </si>
  <si>
    <t>一小段细铜线</t>
  </si>
  <si>
    <t>你向你所熟识的一个生物发送一小段二十五个单词以内的信息。该生物将在心中听到你的信息，他可以认出你是发讯人（如果他认识你），还可以用同样的方式立即回复一条讯息。对方的智力值必须至少为1才能理解你的信息。
你的传讯可以跨越任意长的距离，甚至能跨越位面。但如果目标和你不在同一个存在位面，则短讯术有5%的概率无法到达。</t>
  </si>
  <si>
    <t>抄录龙纹，和平领域，畸变心智，守护馈赠，旧日支配者</t>
  </si>
  <si>
    <t>雪雨暴</t>
  </si>
  <si>
    <t>Sleet Storm</t>
  </si>
  <si>
    <t>一撮灰尘和几滴水</t>
  </si>
  <si>
    <t>你指定施法距离内一点，并使以该点为中心，半径40尺、高20尺的区域内降下寒冷刺骨的冻雨和冰雹直至法术终止。该区域将造成重度遮蔽，且该区域内的一切开放的明火都将被浇熄。
该区域的地面上覆着一层光滑的冰，使地面变成困难地形。生物在一个回合内第一次进入该区域或在区域内开始其回合时，必须进行一次敏捷豁免，豁免失败则失足倒地。
在该法术区域内开始其回合的生物若正在进行专注，则该生物必须进行一次对抗你法术豁免DC的体质豁免，豁免失败则其专注被打断。</t>
  </si>
  <si>
    <t>暴风龙纹，风暴领域，大地结社极地，巨灵宗主水巨灵，深海意志</t>
  </si>
  <si>
    <t>缓慢术</t>
  </si>
  <si>
    <t>Slow</t>
  </si>
  <si>
    <t>一滴糖浆</t>
  </si>
  <si>
    <t>你在施法距离内一处40尺立方区域内指定至多六个生物并扭曲其周围的时间流。每个目标都要进行一次感知豁免，豁免失败则受到该法术影响直至法术终止。
受术生物的速度减半，而其AC和敏捷豁免都具有-2减值，且不能执行反应。该生物在其回合内可以执行一个动作或一个附赠动作，但不能在一回合内同时执行以上两者。不论该生物拥有何种能力或魔法物品，它在其回合内只能发动一次近战或远程攻击。
如果该生物尝试施展一个施法时间为1动作的法术，则需掷一次d20。如果结果是11或更高，则该生物的法术直至其下一回合才会生效，且该生物必须在此时再使用一个动作来完成法术。如果它做不到则它的法术就此浪费掉。
受术生物在每个其自己回合结束时可以再进行一次该感知豁免，豁免成功则终止其身上的该法术效应。</t>
  </si>
  <si>
    <t>秩序领域，大地结社极地，心灵泥沼</t>
  </si>
  <si>
    <t>死者交谈</t>
  </si>
  <si>
    <t>Speak With Dead</t>
  </si>
  <si>
    <t>燃烧的香</t>
  </si>
  <si>
    <t>你给施法距离内一具尸体赋予少许生命与智力，让其可回答你的问题。这具尸体必须还有一张嘴，且不能是不死生物。若目标尸体在最近十日内曾被作为该法术的目标，则本次施法失败。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</si>
  <si>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欧佐夫议员，知识领域，坟墓低语，不朽者，死灵宗主，衡鉴学生</t>
  </si>
  <si>
    <t>植物交谈</t>
  </si>
  <si>
    <t>Speak With Plants</t>
  </si>
  <si>
    <t>你给周围30尺内的植物赋予有限的知觉与活力，使其能够与你沟通和按你的命令行事。你可以向植物询问最近一日里该区域发生的事，由此了解曾路过这里的生物、天气和其他状况。
你可以让区域内因植物生长形成的困难地形（如灌木丛）在法术持续时间内变为普通地形。你也可以将有植物生长的普通地形变成困难地形（如让藤蔓树枝阻碍身后的追兵）。
根据DM的判断，植物也可能会为你做其他的事情。虽然该法术并不能让植物拔根而起或自由移动，但它们可以自由活动自己的树枝、藤蔓和茎秆。
如果法术区域内有一个植物生物，你可以如同你们有共同语言一般与其交流，但你并没有任何能影响它立场的魔力。
该法术能让纠缠术创造出来的植物放开一个被束缚的生物。</t>
  </si>
  <si>
    <t>探索龙纹，瑟雷尼亚祀徒，原始意识</t>
  </si>
  <si>
    <t>灵体卫士</t>
  </si>
  <si>
    <t>Spirit Guardians</t>
  </si>
  <si>
    <t>一面圣徽</t>
  </si>
  <si>
    <t>你唤来灵体作你的守卫，并使其在法术持续时间内在你周围15尺内四处飞舞。如果你属于善良或中立阵营，则它们飘渺的身形看起来像是天使或精类生物（由你选择）。如果你属于邪恶阵营，则它们将形如邪魔。
施展该法术时，你可以指定你能看见的内任意数量生物让其不受该法术影响。受术生物在该区域内其速度减半，且当它在一个回合内第一次进入该区域或在区域内开始其回合时，必须进行一次感知豁免。豁免失败则受到3d8点光耀伤害（如果你属于善良或中立）或3d8点黯蚀伤害（如果你属于邪恶），豁免成功则伤害减半。
升环施法效应：使用四环或更高法术位施展该法术时，你使用的法术位每比三环高一环，法术的伤害就增加1d8。</t>
  </si>
  <si>
    <t>欧佐夫议员，战争领域，王冠圣誓，衡鉴学生</t>
  </si>
  <si>
    <t>臭云术</t>
  </si>
  <si>
    <t>Stinking Cloud</t>
  </si>
  <si>
    <t>一个臭鸡蛋或几根臭菘草</t>
  </si>
  <si>
    <t>你以施法距离内一点为中心创造出一团半径20尺的黄色恶心气体云团。云团会绕过拐角扩散，并能造成重度遮蔽。在法术持续时间结束前云团都会一直在空气中徘徊。
如果一个生物在其回合开始时完全位于云团内，则它必须进行一次对抗毒素的体质豁免。豁免失败则该生物必须因呕吐和蹒跚浪费掉其本回合的动作。如果生物不需要呼吸或对毒素免疫，则其检定直接判定为成功。
云团被和风（风速至少每小时10里）吹袭4轮后消散。而强风（风速至少每小时20里）只需1轮就能将其吹散。</t>
  </si>
  <si>
    <t>大地结社幽暗地域，大地结社沼泽，邪魔宗主</t>
  </si>
  <si>
    <t>巧言术</t>
  </si>
  <si>
    <t>Tongues</t>
  </si>
  <si>
    <t>一个陶制阶梯金字塔小模型</t>
  </si>
  <si>
    <t>该法术赋予你所触碰生物听懂任何语言的能力。此外，当目标生物说话时，任何能听见其话语且掌握至少一门语言的生物都能听懂它的话。</t>
  </si>
  <si>
    <t>抄录龙纹，外域使节</t>
  </si>
  <si>
    <t>吸血鬼之触</t>
  </si>
  <si>
    <t>Vampiric Touch</t>
  </si>
  <si>
    <t>你的手上环绕着阴影，只要触碰一下就可以吸取他人的生命力来为自己疗伤。对你触及范围内的一个生物进行一次近战法术攻击。若命中，则目标受到3d6点黯蚀伤害，而你则恢复数值等于所造成黯蚀伤害一半的生命值。你可以在该法术终止前的每个回合内以一个动作完成一次这样的攻击。
升环施法效应：使用四环或更高法术位施展该法术时，你使用的法术位每比三环高一环，法术的伤害就增加1d6。</t>
  </si>
  <si>
    <t>死亡领域，坟墓领域，野心领域，靡华学生</t>
  </si>
  <si>
    <t>水下呼吸</t>
  </si>
  <si>
    <t>Water Breathing</t>
  </si>
  <si>
    <t>一根芦苇或稻草</t>
  </si>
  <si>
    <t>在法术终止前，该法术让施法距离内你能看见的至多十个自愿生物获得在水下呼吸的能力。此外，受术者依然保有正常的呼吸能力。</t>
  </si>
  <si>
    <t>析米克科学家，梭螺鱼人深海魔法，大地结社海岸，深海赠礼</t>
  </si>
  <si>
    <t>水上行走</t>
  </si>
  <si>
    <t>Water Walk</t>
  </si>
  <si>
    <t>一个软木塞</t>
  </si>
  <si>
    <t>使受术者行走于任何液体表面时（例如流水、酸液、泥浆、雪地、流沙、熔岩）都如同行走在无伤害性的实体地面上。（但走在熔岩上的生物仍会因高热而受伤）。你可以将此能力赋予施法距离内你能看见的至多十个自愿生物，并使其在法术持续时间内拥有该能力。
如果你选择一个浸没在水中的生物作为该法术的目标，则受术者将会以每轮60尺的速度上升，直至浮上液面。</t>
  </si>
  <si>
    <t>大地结社海岸，大地结社幽暗地域，粹丽学生，梭螺鱼人</t>
  </si>
  <si>
    <t>风墙术</t>
  </si>
  <si>
    <t>Wind Wall</t>
  </si>
  <si>
    <t>一把小扇和一根稀有生物的羽毛</t>
  </si>
  <si>
    <t>指定施法距离内地面上一点并从中升起了一道烈风形成的墙壁。你可以造出长度至多50尺、高度至多15尺、厚度至多1尺的风墙。你可以自由塑造该墙的形状，不过它必须沿着地面形成一条连续的轨道。风墙持续存在至法术终止。
风墙出现时，所有位于风墙区域内的生物必须进行一次力量豁免。豁免失败者，将受到3d8点钝击伤害，豁免成功则伤害减半。
烈风可以阻隔浓雾、烟尘和其他气体。体型为小型或更小的飞行生物或物件无法飞过风墙。重量轻的物质带进风墙中时将被向上吹飞。对墙后目标射出的箭、矢和其他普通飞行物会被朝上吹走而直接判为未命中（巨人或攻城器械投出的巨石和类似的飞行物不受影响）。处于气化形态的生物无法穿过风墙。</t>
  </si>
  <si>
    <t>暴风龙纹，析米克科学家，自然领域，巨灵宗主气巨灵，魔炮师</t>
  </si>
  <si>
    <t>假寐术</t>
  </si>
  <si>
    <t>Catnap</t>
  </si>
  <si>
    <t>一撮沙子</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</si>
  <si>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息的好处，但是在完成一次长休息之前将不能再受到这个法术的影响。
升环施法效应：当你使用四环或更高的法术位施放该法术时，使用的法术位每高一环，你就可以多指定1个额外的自愿生物作为目标。</t>
  </si>
  <si>
    <t>敌群环绕</t>
  </si>
  <si>
    <t>Enemies Abound</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</si>
  <si>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</si>
  <si>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土石喷发</t>
  </si>
  <si>
    <t>Erupting Earth</t>
  </si>
  <si>
    <t>一块黑曜石</t>
  </si>
  <si>
    <t>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升环施法效应：当你使用四环或更高的法术位施放该法术时，使用的法术位每高一环，伤害便增加1d12。</t>
  </si>
  <si>
    <t>火箭</t>
  </si>
  <si>
    <t>Flame Arrows</t>
  </si>
  <si>
    <t>你接触一个装有箭矢或弹药的箭袋。当一个目标被从箭袋中取出的弹药进行的远程武器攻击击中时，该目标额外受到1d6点火焰伤害。弹药上法术的魔力将在其击中或未击中目标时消失，而法术将在从箭袋中取出12发弹药后终结。
升环施法效应：当你使用四环或更高的法术位施放该法术时，使用的法术位每高一环，你能以此法术影响的弹药的数量便增加2发。</t>
  </si>
  <si>
    <t>生命转换</t>
  </si>
  <si>
    <t>Life Transference</t>
  </si>
  <si>
    <t>你牺牲自己的部分健康来修复其他生物的伤口。你受到4d8黯蚀伤害（这个黯蚀伤害无法以任何方式减少），同时施法距离内一个由你选择的可见生物恢复生命值，数值等于你承受的黯蚀伤害的两倍。
升环施法效应：当你使用四环或更高的法术位施放该法术时，使用的法术位每高一环，黯蚀伤害就增加1d8。</t>
  </si>
  <si>
    <t>马友夫微流星</t>
  </si>
  <si>
    <t>Melf's Minute Meteors</t>
  </si>
  <si>
    <t>你在你所在的空间内制造出6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升环施法效应：当你使用四环或更高的法术位施放该法术时，使用的法术位每高一环，创造出的流星数量就增加两颗。</t>
  </si>
  <si>
    <t>召唤次级恶魔</t>
  </si>
  <si>
    <t>Summon Lesser Demon</t>
  </si>
  <si>
    <t>来自一个于24小时之内被杀的类人生物身上的一剂血液</t>
  </si>
  <si>
    <t>你吐出污秽的词语，从无底深渊的无尽混沌中召唤来恶魔。遵从下表掷骰来决定什么生物出现。
被召唤的恶魔
1~2，2个挑战等级为1或更低的恶魔。
3~4，4个挑战等级为½或更低的恶魔。
5~6，8个挑战等级为¼或更低的恶魔。
DM选择恶魔的种类，例如原魔或者怯魔，然后你选择施法距离内可见的未被占据空间让它们出现。被召唤的恶魔在生命值降低为0或法术结束时消失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升环施法效应：当你使用六环或七环的法术位施放该法术时，被召唤的恶魔数量变为两倍。当你使用八环或九环的法术位施放该法术时，被召唤的恶魔数量变为三倍。</t>
  </si>
  <si>
    <t>雷霆步</t>
  </si>
  <si>
    <t>Thunder Step</t>
  </si>
  <si>
    <t>你传送到施法距离内一处未被占据的可见空间。在你消失的瞬间，雷鸣般的爆发声响起。在你离开的空间周围10尺内的每个生物必须进行体质豁免检定，失败将受到3d10雷鸣伤害，成功则只承受一半。这道法术会发出方圆300尺内都能听见的雷霆巨响。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升环施法效应：当你使用四环或更高的法术位施放该法术时，使用的法术位每高一环，伤害就会增加1d10。</t>
  </si>
  <si>
    <t>潮涌</t>
  </si>
  <si>
    <t>Tidal Wave</t>
  </si>
  <si>
    <t>一滴水</t>
  </si>
  <si>
    <t>你召唤出浪潮拍打距离之内的区域。区域的长度至多为30尺，宽度至多为10尺，高度至多为10尺。在区域内的每个生物均必须进行一次敏捷豁免检定。若检定失败，该生物受到4d8点钝击伤害并摔倒。检定成功则只受到上述伤害的一半，且不会摔倒。水之后会沿着地表向四周流去，熄灭区域内和周围30尺内所有有未受保护的火焰，而后消失不见。</t>
  </si>
  <si>
    <t>迷你仆役</t>
  </si>
  <si>
    <t>Tiny Servant</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</si>
  <si>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尺范围内（如果你通过这个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升环施法效应：当你使用四环或更高的法术位施放该法术时，使用的法术位每高一环，你可以额外活化两个物体
迷你仆役
微型构装体，无阵营
AC：15（天生护甲）
HP：10(4d4)
速度：30尺，攀爬30尺
力量4(-3)敏捷16(+3)体质10(+0)智力2(-4)感知10(+0)魅力1(-5)
伤害免疫：毒素，精神
状态免疫：目盲，魅惑，耳聋，力竭，恐慌，麻痹，石化，中毒
感官：盲视60尺（对超过半径的区域目盲），被动觉察10
语言：-
动作：挥击：近战武器攻击：命中+5，触及5尺，单一目标。伤害：5(1d4+3)钝击伤害</t>
  </si>
  <si>
    <t>沙墙术</t>
  </si>
  <si>
    <t>Wall Of Sand</t>
  </si>
  <si>
    <t>一捧沙</t>
  </si>
  <si>
    <t>你在距离内你能看到的地表的一点上召唤出由舞动的沙子构成的墙体。你可以制造出的墙体长度至多为30尺，高度至多为10尺，厚度至多为10尺。其将在法术终结时消失。它能阻挡视觉线，但无法阻挡移动。处于墙体所在的空间内的生物目盲，在其中移动时，每移动1尺需要消耗3尺的移动力。</t>
  </si>
  <si>
    <t>水墙术</t>
  </si>
  <si>
    <t>Wall Of Water</t>
  </si>
  <si>
    <t>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任何进入墙体所在空间的远程武器攻击在攻击检定中具有劣势，而穿过墙体到达其目标的火焰效果所造成的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</si>
  <si>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脉冲波动</t>
  </si>
  <si>
    <t>Pulse Wave</t>
  </si>
  <si>
    <t>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另外，完全处于锥形范围内未被着装的物件也会被向你被拉进或者被推开15尺。
升环法术效应：当你使用四环或更高环的法术位施展该法术时，每比三环高出一环的法术位就能使法术的伤害增加1d6，并使推拉的距离增加5尺。</t>
  </si>
  <si>
    <t>快速交友</t>
  </si>
  <si>
    <t>Fast Friends</t>
  </si>
  <si>
    <t>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当法术结束时，这个生物知道他曾经被你所魅惑。
升环施法效应：当你使用四环或更高的法术位施放该法术时，使用的法术位每高一环，你就可以多指定一个额外的目标。</t>
  </si>
  <si>
    <t>鼓动贪欲</t>
  </si>
  <si>
    <t>Incite Greed</t>
  </si>
  <si>
    <t>一块至少价值50gp的宝石</t>
  </si>
  <si>
    <t>当你施展这个法术时，你将展现作为法术材料成分的宝石，并且选择施法距离内能看见你的、任意数量的生物。每一个目标都必须成功通过一次感知豁免检定，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受影响的目标每个回合结束时，可以再进行一次感知豁免检定。如果它成功，对于那个目标的效果将结束。</t>
  </si>
  <si>
    <t>励志演讲</t>
  </si>
  <si>
    <t>Motivational Speech</t>
  </si>
  <si>
    <t>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击中，它将在下一个它所进行的攻击检定中具有优势。一旦一个受影响的生物失去了这个法术所提供的临时生命值，这个法术就对它结束了。
升环施法效应：当你使用四环或更高的法术位施放该法术时，使用的法术位每高一环，提供的临时生命值就增加5点。</t>
  </si>
  <si>
    <t>智能壁垒</t>
  </si>
  <si>
    <t>Intellect Fortress</t>
  </si>
  <si>
    <t>在法术持续时间内，你或一个施法距离内的可见生物获得对心灵伤害的抗力，同时在智力、感知和魅力豁免检定上具有优势。
升环施法效应：使用四环或更高法术位施展该法术时，你使用的法术位每比三环高1环，就可以多选择一个生物作为目标。而各目标之间距离不能超过30尺。</t>
  </si>
  <si>
    <t>魂灵环绕</t>
  </si>
  <si>
    <t>Spirit Shroud</t>
  </si>
  <si>
    <t>你召来亡者的魂灵，而它们在法术持续时间内环绕于你的身边。这些魂灵无形且不可伤害。
直到法术终止前，你所有命中你10尺内生物的攻击造成1d8额外伤害。伤害类型为光耀、黯蚀或寒冷（由你在施展法术的时候选择）。任何受到此伤害的生物无法恢复生命值直到你的下个回合开始。
此外，任何你10尺内可见生物回合开始时，你可以使其速度降低10尺直到你的下个回合开始。
升环施法效应：使用四环或更高法术位施展该法术时，你使用的法术位每比三环高2环，其伤害就增加1d8。</t>
  </si>
  <si>
    <t>精类召唤术</t>
  </si>
  <si>
    <t>Summon Fey</t>
  </si>
  <si>
    <t>一朵镀金花，价值至少300gp</t>
  </si>
  <si>
    <t>你唤来一个精类灵魄。其在施法距离内你可见的一个未占据位置化为实体。这一实体使用下面的精类灵魄的数据。当你施展法术时，从诡诈，愤怒或欢欣中选择一种情绪。此生物的外形为一个受你所选情绪所影响的精类生物，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升环施法效应：使用四环或更高法术位施展该法术时，该生物数据中使用更高的法术环数。
精类灵魄
小型精类
AC：12+法术环阶（天生护甲）
HP：30+高于三环的每环阶10点
速度：40尺
力量，敏捷，体质，智力，感知，魅力
13[+1]，16[+3]，14[+4]，14[+2]，11[+0]，16[+3]
状态免疫：魅惑
感官：黑暗视觉60尺，被动察觉10
语言：木族语，理解你讲的语言
熟练加值与你相等
动作：
多重攻击：该精类发动等同于法术环阶半数（向下取整）次数的攻击。
短剑：近战武器攻击：命中采取你的法术攻击加值，触及5尺，单一目标；命中：1d6+3+法术环阶的穿刺伤害+1d6力场伤害。
附赠动作：
精类步：该精类魔法地传送到最远30ft.的一处它可见的未被占据空间。然后根据所选精类情绪，触发以下效果之一：
愤怒：在使用精类步后，该精类生物在它回合结束前的下一次攻击检定具有优势。
欢欣：在使用精类步后，该精类生物可以立即选择它10尺内可见的一个生物，强迫其进行一次对抗你的法术豁免DC的感知豁免，若豁免失败则其将被你及该精类生物魅惑，持续1分钟或目标受到任何伤害。
诡诈：在使用精类步后，该精类生物可以立即令魔法黑暗充斥于它5尺内的一个5尺立方区域，魔法黑暗持续直到精类生物的下回合结束。</t>
  </si>
  <si>
    <t>暗影衍体召唤术</t>
  </si>
  <si>
    <t>Summon Shadowspawn</t>
  </si>
  <si>
    <t>包有眼泪的宝石，价值至少300gp</t>
  </si>
  <si>
    <t>你唤来一个暗影灵魄。其在施法距离内你可见的一个未占据位置化为实体。这一实体使用下面的暗影灵魄的数据。当你施展法术时，当你施展法术时，从暴怒，绝望或恐惧中选择一种情感。此生物的外形为一个受你所选情感所影响的畸形二足生物，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升环施法效应：使用四环或更高法术位施展该法术时，该生物数据中使用更高的法术环数。
幽影灵魄
中型怪兽
AC：11+法术等级(天生护甲)
HP：35+15每比3环高的法术等级
速度：40尺
力量，敏捷，体质，智力，感知，魅力
13[+1]，16[+3]，15[+2]，4[-3]，10[+0]，16[+3]
伤害抗性：黯蚀
状态免疫：恐慌
感官：黑暗视觉120尺，被动察觉10
语言：理解你说的语言
熟练加值与你相等
惧怖狂怒（仅限暴怒）：该灵魄对恐慌生物发动的攻击检定具有优势。
哀伤之重（仅限绝望）：除你之外的所有生物在该灵魄5尺内开始回合时，其速度降低20尺直到该生物的下回合开始。
动作：
多重攻击：该灵魄发动等同于法术环数一半的次数的攻击（向下取整）。
冻寒撕裂：近战武器攻击：命中+你的法术攻击调整值，触及5尺，单一目标。伤害：1d12+3+法术环阶的冷冻伤害。
恐惧尖叫：（1/日）。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暗影潜藏（仅限恐惧）：灵魄处于微光光照或黑暗环境时，可以一个附赠动作来执行躲藏动作。</t>
  </si>
  <si>
    <t>亡灵召唤术</t>
  </si>
  <si>
    <t>Summon Undead</t>
  </si>
  <si>
    <t>一个镀金头骨，价值至少300gp</t>
  </si>
  <si>
    <t>你唤来一个不死生物灵魄。其在施法距离内你可见的一个未占据位置化为实体。这一实体使用下面的不死灵魄的数据。当你施展法术时，当你施展法术时，从虚灵，腐尸或骷髅中为此生物选择一个外形。此生物的外形为你所选形态的不死生物，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升环施法效应：使用四环或更高法术位施展该法术时，该生物数据中使用更高的法术环数。
不死灵魄
中型不死生物
AC：11+法术等级(天生护甲)
HP：30（仅限虚灵或腐尸）或20（仅限骷髅）+10每比3环高的法术等级
速度：40尺，飞行40尺（悬浮）（仅限虚灵）
力量，敏捷，体质，智力，感知，魅力
12[+1]，16[+3]，15[+2]，4[-3]，10[+0]，9[-1]
伤害免疫：黯蚀，毒素
状态免疫：力竭，恐慌，麻痹，中毒
感官：黑暗视觉60尺，被动察觉10
语言：理解你说的语言
熟练加值与你相等
腐灭灵光（仅限腐尸）：除你之外的所有生物，在不死生物5尺内开始其回合时必须进行一次体质豁免对抗你的法术豁免DC，豁免失败则在其下个回合开始前中毒。
虚体移动（仅限于虚灵）：灵魄可以虚体化并如同穿过困难地形一样穿过其他生物和物件。如果它在自己的回合结束时仍处在物件内部，则被挪到距离最近的未被占据的位置，且每虚体移动5尺便受到1d10力场伤害。
动作：
多重攻击：灵魄发动等同于法术环数一半的次数的攻击（向下取整）。
致死之触（仅限于虚灵）：近战武器攻击：命中+你的法术攻击调整值，触及5尺，单一生物。伤害：1d8+3+法术环数的黯蚀伤害，且目标生物必须进行一次感知豁免对抗你的法术豁免DC，豁免失败则对不死生物恐慌直到目标下回合结束。
暗澹箭（仅限于骷髅）：远程法术攻击：命中+你的法术攻击调整值，射程150尺，单一目标。伤害：2d4+3+法术环数的黯蚀伤害。
腐烂爪击（仅限于腐尸）：近战武器攻击：命中+你的法术攻击调整值，触及5尺，单一目标。伤害：1d6+3+法术环数的挥砍伤害。如果目标处于中毒状态，其必须进行一次体质豁免对抗你的法术豁免DC，否则麻痹直到目标下回合结束。</t>
  </si>
  <si>
    <t>阿莎德隆奔行</t>
  </si>
  <si>
    <t>Ashardalon’s Stride</t>
  </si>
  <si>
    <t>龙类翻滚咆哮的火焰环绕你的足部，使你获得爆发性的速度。法术持续时间内，你的速度提升20尺，并且移动不会触发借机攻击。
当你移动至一个生物或未被着装或携带的物件5尺内时，其被你的灼热尾迹灼烧，受到1d6火焰伤害。一个生物或物件每回合只会承受一次此伤害。
升环施法效应：使用四环或更高法术位施展该法术时，你使用的法术位每比三环高一环，你的移动速度额外增加5尺，法术造成的伤害增加1d6。</t>
  </si>
  <si>
    <t>敌意术</t>
  </si>
  <si>
    <t>Antagonize</t>
  </si>
  <si>
    <t>一张描绘着浪客的卡牌</t>
  </si>
  <si>
    <t>你以魔法之词低语，令施法距离内你选择的一个生物产生敌意。目标必须进行一次感知豁免。若豁免失败，目标会受到 4d4 点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升环施法效应：当你使用4环或更高法术位施放本法术时，你使用的法术位每比3环高一环，法术的伤害就增加1d4。</t>
  </si>
  <si>
    <t>加德尔高塔术</t>
  </si>
  <si>
    <t>Galder'S Tower</t>
  </si>
  <si>
    <t>一块石头，木材或其他建筑材料的碎片</t>
  </si>
  <si>
    <t>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t>
  </si>
  <si>
    <t>秘法眼</t>
  </si>
  <si>
    <t>Arcane Eye</t>
  </si>
  <si>
    <t>一点蝙蝠毛皮</t>
  </si>
  <si>
    <t>你在施法距离内创造出一个漂浮在空中的隐形魔法眼。
秘法眼拥有30尺普通视觉和黑暗视觉且可以观察任何方向。你通过精神连接接收秘法眼传来的视觉信息。
你可以使用一个动作让秘法眼向任意方向移动30尺。秘法眼远离你的距离没有限制，但它无法进入另一个位面。固体障碍物会阻挡秘法眼的移动，但它可以穿过任何直径大于1尺的缝隙。</t>
  </si>
  <si>
    <t>抄录龙纹，侦测龙纹，底密尔特务，知识领域，奥秘领域，集群守卫，穹宇尽视，衡鉴学生</t>
  </si>
  <si>
    <t>生命灵光</t>
  </si>
  <si>
    <t>Aura Of Life</t>
  </si>
  <si>
    <t>护佑的能量自你身上发出并形成30尺半径的灵光，在法术持续时间内，灵光将以你为中心随你移动。灵光范围内的非敌对生物（包括你自己）获得对黯蚀伤害的抗性，其生命值上限也无法被降低。另外，生命值为0的非敌对活体生物，在灵光范围内开始其回合时会恢复1点生命值。</t>
  </si>
  <si>
    <t>医疗龙纹，畜牧龙纹，瑟雷尼亚祀徒，暮光领域，团结领域，野火结社，不朽者</t>
  </si>
  <si>
    <t>净化灵光</t>
  </si>
  <si>
    <t>Aura Of Purity</t>
  </si>
  <si>
    <t>净化的能量自你身上发出并形成30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</si>
  <si>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医疗龙纹，招待龙纹，和平领域，守望圣誓，战地匠师</t>
  </si>
  <si>
    <t>放逐术</t>
  </si>
  <si>
    <t>Banishment</t>
  </si>
  <si>
    <t>一件令目标厌恶的物品</t>
  </si>
  <si>
    <t>你试图将一名你能看见的生物送往另一位面。目标必须进行一次魅力豁免并成功通过，否则将被放逐。
如果目标是你所处位面的原住民，则他被放逐到一个无害的半位面。在半位面期间该生物处于失能状态。法术终止时，目标重新出现在被放逐前的空间。如果该空间被占据，则它将出现在最近的未被占据空间。
如果目标不是你所处位面的原住民，则他会伴随着轻微的“啪”一声被放逐回其家园位面。如果法术在1分钟过去之前终止，则目标将在他被放逐前的空间重新出现。如果该空间被占据，则他在最近的未被占据空间出现。如果法术在持续1分钟后终止，则目标不会回到原地。
升环施法效应：使用五环或更高法术位施展该法术时，你使用的法术位每比四环高一环，就能多指定一个目标。</t>
  </si>
  <si>
    <t>复仇圣誓，王冠圣誓，守望圣誓，边界行者，怪物杀手</t>
  </si>
  <si>
    <t>枯萎术</t>
  </si>
  <si>
    <t>Blight</t>
  </si>
  <si>
    <t>死灵魔法的能量袭向一个施法距离内你能看见的生物，并榨取他的水分和活力。目标必须进行一次体质豁免，豁免失败者将受到8d8点黯蚀伤害，豁免成功则伤害减半。该法术对构装生物和不死生物无效。
如果目标为植物类生物或魔法植物，则其豁免检定具有劣势，且法术伤害取最大值。
如果目标为非魔法非生物的植物，如一棵树或灌木，则它无需进行豁免而直接枯萎死去。
升环施法效应：使用五环或更高法术位施展该法术时，你使用的法术位每比四环高一环，法术的伤害就增加1d8。</t>
  </si>
  <si>
    <t>欧佐夫议员，死亡领域，坟墓领域，大地结社荒漠，孢子结社，破誓者，炼金师，靡华学生</t>
  </si>
  <si>
    <t>强迫术</t>
  </si>
  <si>
    <t>Compulsion</t>
  </si>
  <si>
    <t>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每个目标不会被强令走向明显致命的危害物中，比如火堆或陷坑里，不过目标在向指定方向移动时同样可以引起借机攻击。</t>
  </si>
  <si>
    <t>俄佐立官员，秩序领域，荣耀圣誓，惑人低语，银毫学生</t>
  </si>
  <si>
    <t>困惑术</t>
  </si>
  <si>
    <t>Confusion</t>
  </si>
  <si>
    <t>三颗坚果壳</t>
  </si>
  <si>
    <t>此法术冲击并扭曲生物的意志，并使其产生错觉并引发不受控的行动。在施法距离内指定一点，以该点为中心的10尺半径球状区域内的生物必须进行一次感知豁免并成功通过，否则将受到该法术的影响。
受术目标不能执行反应并且必须在其回合开始时掷一次d10以决定该生物本回合的行为。
受术生物在其每回合结束时可以在进行一次感知豁免。如果该豁免成功，则该目标身上该法术的效应终止。
升环施法效应：使用五环或更高法术位施展该法术时，你使用的法术位每比四环高一环，球状区域半径就增加5尺。
行为：
1：该生物使用其所有移动力向一个随机方向移动。你可以掷一次d8并设定每个骰值代表的方向以决定其最终移动方向。该生物本回合不执行任何动作。
2-6：该生物本回合不移动也不执行任何动作。
7-8：该生物使用其动作对可触及范围内一个随机目标发动一次近战攻击。如果没有生物在其触及范围内，则该生物本回合什么都不做。
9-10：该生物本回合内可以正常的移动和行动。</t>
  </si>
  <si>
    <t>抄录龙纹，拉铎斯邪教徒，知识领域，孢子结社，破誓者，狂野魔法浪涌，恐惧箴言，银毫学生</t>
  </si>
  <si>
    <t>召唤次级元素生物</t>
  </si>
  <si>
    <t>Conjure Minor Elementals</t>
  </si>
  <si>
    <t>你召唤元素生物并使其显现在施法范围内一处你能看见但未被占据的空间。选择以下选项之一作为显现的生物：
一个挑战等级2或更低的元素生物
两个挑战等级1或更低的元素生物
四个挑战等级½或更低的元素生物
八个挑战等级¼或更低的元素生物
每个被该法术召唤的元素生物在生命值降至0，或者法术终止时消失不见。
被召唤的生物对你和你的伙伴保持友善关系。你将召唤出来的所有生物视为一个团体来骰出先攻，它们也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升环施法效应：使用更高法术位施展该法术时，选择上文所述召唤选项之一，并显现更多生物：六环法术位显现两倍生物，八环法术位显现三倍生物。</t>
  </si>
  <si>
    <t>暴风龙纹，伊捷工程师，瑟雷尼亚祀徒</t>
  </si>
  <si>
    <t>召唤林地之精</t>
  </si>
  <si>
    <t>Conjure Woodland Beings</t>
  </si>
  <si>
    <t>每个被召唤生物一枚冬青浆果</t>
  </si>
  <si>
    <t>你召唤精类生物并使其显现在施法范围内一处你能看见但未被占据的空间。选择以下选项之一作为显现的生物：
一个挑战等级2或更低的精类生物
两个挑战等级1或更低的精类生物
四个挑战等级½或更低的精类生物
八个挑战等级¼或更低的精类生物
每个被该法术召唤的精类生物在生命值降为0，或者法术终止时消失不见。
被召唤的生物对你和你的伙伴保持友善关系。你将召唤出来的所有生物视为一个团体来骰出先攻，它们也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升环施法效应：使用更高法术位施展该法术时，选择上文所述召唤选项之一，并显现更多生物：六环法术位显现两倍生物，八环法术位显现三倍生物。</t>
  </si>
  <si>
    <t>操控水体</t>
  </si>
  <si>
    <t>Control Water</t>
  </si>
  <si>
    <t>一滴水和一撮土</t>
  </si>
  <si>
    <t>你在法术终止前控制任一片独立的水体，控制范围为你指定的一处边长100尺的立方区域。施展该法术时，你可以从以下效应中选择其一生效。在你之后的每个自己回合中，你可以用一个动作重复生效同一效应，或是选择实现另一效应：
上涨：你使控制区域内水位上涨至多20尺。如果该区域包含有滨岸，则水体漫过涨水覆盖的干土。
如果你指定的区域是一片大水体中的一部分，则你改为制造一片20尺高的波浪，并从区域的一边扑向另一边再拍下水面。波浪中任何巨型或更小的载具都会被带到水浪行进的另一边。且所有巨型或更小的载具都有25%的几率被倾覆。
直至法术终止或你选择另一个效应前，水位的上涨情况将保持不变。如果该效应用以产生波浪，则波浪在你下一回合开始时再次进行翻打。
分水：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转向：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漩涡：该效应需要水体至少为50尺的方形区域并且至少有25尺深。你在区域中央形成一个漩涡。其形态为底部宽5尺顶部宽50尺，且25尺高。水中任何在漩涡25尺范围内的生物或物件将被漩涡向自身拉动10尺。受影响的生物可以进行一次力量（运动）检定来对抗你的法术DC，以通过游泳脱离漩涡控制。
任何生物在一个回合内第一次进入漩涡或者在漩涡内开始其回合时，必须进行一次力量豁免。豁免失败者将受到2d8点钝击伤害，并被拖入漩涡中心直至法术终止。豁免成功则伤害减半，且不会被拖入漩涡。被拖入漩涡中心的生物可以用其动作尝试游泳来离开漩涡（如上文所述），但它此时进行的力量（运动）检定具有劣势。
物件在一回合里第一次进入漩涡时受2d8点钝击伤害；如果物件保持在漩涡内，该伤害就会在每轮持续发生。</t>
  </si>
  <si>
    <t>暴风龙纹，风暴领域，大地结社海岸，巨灵宗主水巨灵，深海意志，量析学生</t>
  </si>
  <si>
    <t>防死结界</t>
  </si>
  <si>
    <t>Death Ward</t>
  </si>
  <si>
    <t>你触碰一个生物，并给予其对死亡的防护。
目标第一次生命值因承受伤害而降至0时，改为生命值降至1，并终止本法术效应。
法术生效时，如果目标受到不造成伤害但直接致死效应影响时，改为该致死效应被取消，并终止本法术效应。</t>
  </si>
  <si>
    <t>守护龙纹，波洛斯军团兵，欧佐夫议员，生命领域，死亡领域，坟墓领域，野心领域，不朽者，炼金师，死灵宗主，靡华学生</t>
  </si>
  <si>
    <t>任意门</t>
  </si>
  <si>
    <t>Dimension Door</t>
  </si>
  <si>
    <t>你将自己从当前位置传送至施法距离内的任意地点，并准确到达该目的地。法术的目的地可以是你能看见的、可想象的地点，也可以是通过距离和方向说明的地点，比如“径直向下200尺”，“西北向上45度300尺”。
进行传送时，你的随身物件不能超过你的负重。你还可以带上一个自愿的生物，且其体型不能比你大，而他的随身物件也不能超过其负重。该生物在你施法时必须在你5尺内。
如果你的目的地已经被生物或物件占据，则你以及任何与你一起传送的生物都将受到4d6点力场伤害，且法术传送失败。</t>
  </si>
  <si>
    <t>通行龙纹，诡术领域，野心领域，复仇圣誓，妖精漫游者</t>
  </si>
  <si>
    <t>预言术</t>
  </si>
  <si>
    <t>Divination</t>
  </si>
  <si>
    <t>适合你宗教信仰的熏香和祭品，总共价值至少25gp，作为该法术的耗材</t>
  </si>
  <si>
    <t>你的魔法和贡品让你得以与一名神祇或神仆取得联络。你可以就某个特定的目标、事件或活动提问一个与其7日内状况相关的问题。DM将给予你真实的答复，这个答复可能是一段短语、一节神秘的短诗或是一个预兆。
此法术的回答并不会顾及所有可能影响结果的情况。比如其他法术的影响，或者同伴的加入和离开等状况。
若你在两次长休之间两次或更多次的施展该法术，则法术有概率会给出随机的结果。此概率从第二次施展起每次累计25％。其具体结果由DM暗骰决定。</t>
  </si>
  <si>
    <t>探索龙纹，侦测龙纹，俄佐立官员，伊捷工程师，大地结社森林，大地结社草原，先知</t>
  </si>
  <si>
    <t>支配野兽</t>
  </si>
  <si>
    <t>Dominate Beast</t>
  </si>
  <si>
    <t>试图安抚一头施法距离内你能看见的野兽，目标野兽必须成功通过一次感知豁免，否则将在法术持续时间内被你魅惑。若它正与你或你的友方生物战斗，则其进行该豁免时具有优势。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五环法术位施展该法术时，持续时间变为：专注，至多10分钟。使用六环法术位施展该法术时，持续时间变为：专注，至多1小时。使用七环或更高法术位施展该法术时，持续时间变为：专注，至多8小时。</t>
  </si>
  <si>
    <t>畜牧龙纹，古鲁反抗者，自然领域，力量领域，征服圣誓，至高妖精，旧日支配者</t>
  </si>
  <si>
    <t>艾伐黑触手</t>
  </si>
  <si>
    <t>Evard's Black Tentacles</t>
  </si>
  <si>
    <t>巨章鱼或巨鱿鱼的一条触须</t>
  </si>
  <si>
    <t>你指定一处施法距离内你能看见的20尺方形区域，使其内布满蠕动的乌黑触须，进而使该区域成为困难地形。
任何生物在一个回合内第一次进入该区域，或者在区域内开始其回合时，必须进行一次敏捷豁免。豁免失败者将受到3d6点钝击伤害，并且被触须束缚直至法术终止。生物在区域内开始其回合时，如果已受触须束缚则受到3d6点钝击伤害。
受触须束缚的生物可以使用动作进行一次对抗法术豁免DC的力量检定或敏捷检定（自选其一），检定成功则挣脱束缚。</t>
  </si>
  <si>
    <t>畸变心智，旧日支配者，深海意志</t>
  </si>
  <si>
    <t>鬼斧神工</t>
  </si>
  <si>
    <t>Fabricate</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</si>
  <si>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大型或更小的物件（至多占据10尺立方区域或八个相邻的5尺立方区域）。如果你的目标材料是金属、石料或者其他矿石材料，那么背制造的物件不能大于中型（至多占据5尺立方区域），制成品的质量和原材料质量相同。
生物或魔法物品不能作为该法术的原料或成品。你只有对制作某物品的工匠工具拥有熟练项时，才能使用该法术制作相应需要高工艺水平制作的物品，如珠宝、武器、玻璃、护甲等。</t>
  </si>
  <si>
    <t>创造龙纹，锻造领域</t>
  </si>
  <si>
    <t>火焰护盾</t>
  </si>
  <si>
    <t>Fire Shield</t>
  </si>
  <si>
    <t>一小块磷或者一只萤火虫</t>
  </si>
  <si>
    <t>微薄的烈焰在法术持续时间内环绕你的身体，散发出10尺半径的明亮光照，以及该范围外10尺的微光光照。你可以提前以一个动作解散该效应并终止该法术
你选择该烈焰生成一副温暖护盾或冻寒护盾。温暖护盾将为你提供冷冻伤害抗性，冻寒护盾则提供火焰伤害抗性。
此外，任何生物在你周围5尺范围内对你发动近战攻击时，护盾将对其迸出烈焰，温暖护盾将对攻击者造成2d8点火焰伤害，而冻寒护盾则对其造成2d8点冷冻伤害。</t>
  </si>
  <si>
    <t>热忱领域，野火结社，邪魔宗主，巨灵宗主火巨灵，战地匠师，装甲师</t>
  </si>
  <si>
    <t>行动自如</t>
  </si>
  <si>
    <t>Freedom Of Movement</t>
  </si>
  <si>
    <t>一条绑在手臂或其他肢体上的皮带</t>
  </si>
  <si>
    <t>你触碰一个自愿生物，并使目标在法术持续时间内移动时不受困难地形限制，并使任何降低目标速度，或者使目标陷入麻痹或束缚的法术或魔法效应对其无法生效。
该目标还可以花费5尺移动力直接从非魔法的束缚中挣脱（诸如镣铐或生物的擒抱等）。此外，目标在水下进行移动和攻击时不再受减益规则的限制。</t>
  </si>
  <si>
    <t>通行龙纹，底密尔特务，析米克科学家，战争领域，热忱领域，大地结社极地，大地结社海岸，大地结社森林，大地结社草原，大地结社幽暗地域，奉献圣誓，荣耀圣誓，时械之魂，粹丽学生，量析学生</t>
  </si>
  <si>
    <t>巨虫术</t>
  </si>
  <si>
    <t>Giant Insect</t>
  </si>
  <si>
    <t>你指定施法距离内至多十只蜈蚣，或三只蜘蛛，或五只黄蜂，或一只蝎子作为法术目标，在法术持续时间内你将其转化为它们自然形态的巨大版本。蜈蚣变成巨蜈蚣，蜘蛛变成巨蜘蛛，黄蜂变成巨黄蜂，蝎子变成巨蝎。
每只生物都将服从你的口头命令。在战斗中，它们每轮在你的回合行动。这些生物的属性数据及其动作选项和移动能力均由DM掌控。
在法术持续时间内，目标生物将维持其巨大的体型，直到其生命值降至0或你用一个动作解除其身上的效应为止。
DM可能会允许你指定不同的生物作为法术目标。例如，如果你转化一只蜜蜂，则其巨大版本可能会使用与巨黄蜂一样的属性数据。</t>
  </si>
  <si>
    <t>擒抱藤</t>
  </si>
  <si>
    <t>Grasping Vine</t>
  </si>
  <si>
    <t>你指定施法距离内一个你能够看见的未被占据空间，并召唤一条藤蔓使其从该空间的地面上破土而出。施展该法术时，你可以指使该藤蔓抽拉其30尺范围内一个你能看见的生物。该生物必须进行一次敏捷豁免，豁免失败则被往藤蔓所在方向拉近20尺。
直至该法术终止前，你可以在你的回合里用一个附赠动作指使藤蔓抽拉同一生物或者转向抽拉另一个生物。</t>
  </si>
  <si>
    <t>葛加理成员，自然领域</t>
  </si>
  <si>
    <t>高等隐形术</t>
  </si>
  <si>
    <t>Greater Invisibility</t>
  </si>
  <si>
    <t>你或一个你触碰的生物变为隐形，直至法术终止。任何保持在目标身上的着装物和携带物也可以维持隐形状态。</t>
  </si>
  <si>
    <t>阴影龙纹，暮光领域，大地结社沼泽，幽域追踪者，至高妖精，巨灵宗主气巨灵，装甲师，死灵宗主</t>
  </si>
  <si>
    <t>信仰守卫</t>
  </si>
  <si>
    <t>Guardian Of Faith</t>
  </si>
  <si>
    <t>一个大型的幽灵守护者出现在施法距离内一个你能看见且由你指定的未被占据空间，并在法术持续时间内在该处悬浮。占据该空间的守护者除了一把闪光的剑和饰有你守护神标志的盾牌外，其他部位都只是一片模糊。
任何与你敌对的生物在一回合内第一次进入守护者身边10尺范围内时必须进行一次敏捷豁免。豁免失败者将受到20点光耀伤害，豁免成功则伤害减半。守护者在造成总共60点伤害后随即消失。</t>
  </si>
  <si>
    <t>守护龙纹，生命领域，光明领域，团结领域，奉献圣誓，王冠圣誓，天界宗主</t>
  </si>
  <si>
    <t>幻景</t>
  </si>
  <si>
    <t>Hallucinatory Terrain</t>
  </si>
  <si>
    <t>一块石头、一枝嫩枝和一小片绿色植物</t>
  </si>
  <si>
    <t>你使施法距离内一处150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地形的触觉特征不会改变，所以进入这片区域的生物可能会看穿幻象。如果触觉区别不明显，一个认真调查幻象的生物可以尝试进行一次对抗法术豁免DC的智力（调查）检定以揭穿幻象。对于一个识破了幻象本体的生物，幻象看起来就像是一层模糊的图像叠加在真实地形上。</t>
  </si>
  <si>
    <t>阴影龙纹，大地结社荒漠</t>
  </si>
  <si>
    <t>冰风暴</t>
  </si>
  <si>
    <t>Ice Storm</t>
  </si>
  <si>
    <t>一撮尘土和几滴水</t>
  </si>
  <si>
    <t>以施法距离内一点为中心的一处半径20尺，高40尺的柱状区域内，岩石般坚硬的冰雹重重地砸向地面。每个处在范围内的生物都必须进行一次敏捷豁免，豁免失败者将受到2d8的钝击伤害和4d6点冷冻伤害，豁免成功则伤害减半。
冰雹使风暴影响的区域变为困难地形，直至你的下一回合结束。
升环施法效应：使用五环或更高法术位施展该法术时，你使用的法术位每比四环高一环，钝击伤害就增加1d8。</t>
  </si>
  <si>
    <t>风暴领域，大地结社极地，古贤圣誓，魔炮师</t>
  </si>
  <si>
    <t>李欧蒙秘藏箱</t>
  </si>
  <si>
    <t>Leomund's Secret Chest</t>
  </si>
  <si>
    <t>一个3×2×2尺，由稀有材料制成的精致箱子至少价值5000gp；以及由同样材料制成的一个箱子的微缩模型至少价值50gp</t>
  </si>
  <si>
    <t>你将一个箱子及其内容物藏在以太位面。你必须同时接触箱子和作为法术材料成分的微缩模型。箱子最多可容纳12立方尺的非活体物质（3×2×2尺）。
箱子处于以太位面时，你可以用一个动作并触碰箱子的模型来召回箱子。箱子出现在你5尺内一个未被占据空间的地面。随后，你可以使用一个动作并同时触碰箱子与复制品来把箱子送回以太位面。
60日之后，法术的效应会每日累计5%的概率自动结束。如果你再次施展该法术或箱子的模型被摧毁，又或者以一个动作终止该法术时，该法术的效应将随之终止。如果法术终止时箱子处于以太界，则其将不可挽回地丢失。</t>
  </si>
  <si>
    <t>警戒龙纹，欧佐夫议员，奥秘领域</t>
  </si>
  <si>
    <t>生物定位术</t>
  </si>
  <si>
    <t>Locate Creature</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</si>
  <si>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个体，不过你需要在30尺的近距离内看到过该类生物至少一次。如果被点名或描述的生物并不处于其原本的形态（例如正被一个变形术的法术效应影响时），则该法术无法定位该生物。
如果至少10尺宽的流水横亘于你和被定位生物之间阻挡了二者间的通路，则该生物也无法被该法术所定位。</t>
  </si>
  <si>
    <t>探索龙纹，秩序领域，大地结社幽暗地域，原始意识</t>
  </si>
  <si>
    <t>摩登肯忠犬</t>
  </si>
  <si>
    <t>Mordenkainen's Faithful Hound</t>
  </si>
  <si>
    <t>一只微型银质哨子、一块骨头和一根线</t>
  </si>
  <si>
    <t>指定施法距离内一处你能看见且未被占据的空间，你在该处创造出一只幻影守护犬。守护犬会在法术持续时间内留在原地，直到你使用一个动作将其解散，或者直到你移动到距它100尺外。
除你之外的所有生物视守护犬处于隐形状态，且无法对其造成伤害。当一个小型或更大的生物进入守护犬30尺内时，如果该生物无法说出你在施法时设定的口令，守护犬则会开始大声吠叫。守护犬能看见隐形生物，也可以观察到以太位面，并且无视幻术的影响。
在你的每回合开始时，守护犬会尝试啮咬其5尺范围内一个与你敌对的生物。它的攻击加值等于你施法关键属性调整值+你的熟练加值。若命中，则造成4d8点穿刺伤害。</t>
  </si>
  <si>
    <t>摩登肯私人密室</t>
  </si>
  <si>
    <t>Mordenkainen's Private Sanctum</t>
  </si>
  <si>
    <t>一片薄铅片、一块不透明的玻璃、一小块棉花或布料和贵橄榄石粉末</t>
  </si>
  <si>
    <t>你对施法距离内一片区域施以魔法防护。该区域为一立方区域，其边长至小5尺，大至100尺。该法术一直持续至持续时间结束或施法者以一个动作主动解除。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每日在同一个位置施展此法术，持续一年，会使这些效果成为永久性效果。
升环施法效应：使用五环或更高法术位施展此法术时，你使用的法术位每比四环高一环，你就可以将被保护的立方区域边长增加100尺。比如使用五环法术位时，你就能保护边长至多200尺的立方区域。</t>
  </si>
  <si>
    <t>欧提路克弹力法球</t>
  </si>
  <si>
    <t>Otiluke's Resilient Sphere</t>
  </si>
  <si>
    <t>一块透明的半球形水晶和一块与之形状相配的半球形阿拉伯胶</t>
  </si>
  <si>
    <t>一个微微发光的力场球将施法距离内一个大型或更小的生物或物件封在其中。一个非自愿的生物必须进行一次敏捷豁免，豁免失败则该生物在法术持续时间内被关封在球体中。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该球体没有重量，而其尺寸刚好可以容纳球内的生物或物件。被封住的生物可以使用其动作推动球壁并以该生物速度的一半滚动球体。另外，球体也可以被其他生物拿起或移动。
对球体施展解离术后可以摧毁球体而不伤害球内的任何事物。</t>
  </si>
  <si>
    <t>伊捷工程师，和平领域，救赎圣誓</t>
  </si>
  <si>
    <t>魅影杀手</t>
  </si>
  <si>
    <t>Phantasmal Killer</t>
  </si>
  <si>
    <t>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的心灵伤害。豁免成功则法术终止。
升环施法效应：使用五环或更高的法术位施展该法术时，你使用的法术位每比四环高一环，伤害就增加1d10。</t>
  </si>
  <si>
    <t>咒剑士，巨灵宗主</t>
  </si>
  <si>
    <t>变形术</t>
  </si>
  <si>
    <t>Polymorph</t>
  </si>
  <si>
    <t>一个毛虫虫茧</t>
  </si>
  <si>
    <t>该法术将一个施法距离内你能看见的生物变化为一个新的形态。一个非自愿的生物必须进行一次感知豁免来避免此效应。该法术无法对变形生物或生命值为0的生物生效。
法术产生的变化在法术持续时间内得以维持，或直至目标的生命值降为0或死亡。新形态可以是任何挑战等级小于等于目标本身的野兽（如果目标没有挑战等级，则以其等级为基准）。目标的游戏资料以及心智相关的属性值都将被所选定野兽的属性数据取代。而其阵营和个性则仍然保留。
目标使用其新形态的生命值。当它变回正常形态时，则立即恢复变化前的生命值。如果目标因为生命值降至0而变回正常形态，则其正常形态需要承受所有的溢出伤害。只要溢出的伤害没有将该生物正常形态的生命值降为0，它就不会因打击而陷入昏迷。
该生物可作出的动作因其新形态而有所限制。它不能说话，不能施法，也不能作出其他需要用手和需要说话的动作。
目标的装备融入新形态中，但其不能启动，使用，挥舞或以其他方式从其装备上获得增益。</t>
  </si>
  <si>
    <t>析米克科学家，诡术领域，狂野魔法浪涌，重塑血肉，变化学派</t>
  </si>
  <si>
    <t>惊惧斩</t>
  </si>
  <si>
    <t>Staggering Smite</t>
  </si>
  <si>
    <t>你在法术持续时间内下一次用近战武器攻击命中某个生物时你的武器将同时贯穿对方的身体与心智。该攻击对目标造成额外4d6的心灵伤害。该目标必须进行一次感知豁免，豁免失败则目标进行攻击检定和属性检定时具有劣势，且不能执行反应直至其下一回合结束。</t>
  </si>
  <si>
    <t>塑石术</t>
  </si>
  <si>
    <t>Stone Shape</t>
  </si>
  <si>
    <t>软粘土，必须捏成你想塑造的大致形状</t>
  </si>
  <si>
    <t>你触碰一个体积为中型或更小的石质物件或某块岩石长宽高都不超过5尺的一部分，并将其塑造成你想要的任意形状。比如你可以将一块大石头变成一件武器、一尊塑像、一具棺材，也可以在石墙上开出一条小通道，前提是墙的厚度不能超过5尺。你也可以使一扇石门或石质门框变形来将门封死。你创造的物件最多可以有两条铰链和一道闩，除此之外不能以该法术能塑造出更复杂的机械结构。</t>
  </si>
  <si>
    <t>创造龙纹，大地结社山地，大地结社沼泽，巨灵宗主土巨灵，衡鉴学生</t>
  </si>
  <si>
    <t>石肤术</t>
  </si>
  <si>
    <t>Stoneskin</t>
  </si>
  <si>
    <t>价值100gp的钻石粉尘，作为该法术的耗材</t>
  </si>
  <si>
    <t>该法术使你触碰的一个自愿生物皮肤变得硬如岩石。目标在法术终止前对非魔法的钝击、穿刺和挥砍伤害具有抗性。</t>
  </si>
  <si>
    <t>古鲁反抗者，战争领域，力量领域，大地结社山地，四象宗，古贤圣誓，征服圣誓，救赎圣誓</t>
  </si>
  <si>
    <t>火墙术</t>
  </si>
  <si>
    <t>Wall Of Fire</t>
  </si>
  <si>
    <t>一小块磷</t>
  </si>
  <si>
    <t>你在施法距离内一块实体地面上创造出一面火墙。你可以选择创造长不过60尺、高不过20尺、厚不过1尺的直线型火墙；或是直径不过20尺、高不过20尺、厚不过1尺的环形火墙。火墙不透明，且将持续存在至法术终止。
火墙出现时，所有位于火墙区域内的生物必须进行一次敏捷豁免。豁免失败者将受到5d8点火焰伤害。豁免成功则伤害减半。
施展该法术时，你要必须选择火墙的哪一侧会造成伤害。生物在火墙伤害侧10尺内或在火墙区域内结束其回合时，将受到5d8点火焰伤害。生物在一个回合内第一次进入火墙或在火墙内结束其回合时也会受到同样的伤害。火墙的另一侧则不造成任何伤害。
升环施法效应：使用五环或更高法术位施展该法术时，你使用的法术位每比四环高一环，法术的伤害就增加1d8。</t>
  </si>
  <si>
    <t>波洛斯军团兵，拉铎斯邪教徒，光明领域，锻造领域，四象宗，邪魔宗主，天界宗主，魔炮师，粹丽学生</t>
  </si>
  <si>
    <t>魅惑怪物</t>
  </si>
  <si>
    <t>Charm Monster</t>
  </si>
  <si>
    <t>你尝试魅惑法术距离内你可见的某一生物。它立即进行感知豁免，如果你或者你的同伴正在与它战斗，它在这次豁免上具有优势。如果它豁免失败，它将被你魅惑直到法术结束，或者直到你或你的同伴做了任何有害它的事情。被魅惑的生物将对你友好。在法术结束时，生物会知道它曾被你魅惑。
升环施法效应：当你使用五环或更高的法术位施放该法术时，使用的法术位每高一环，你就可以多指定一个额外生物作为目标。每个被你指定的生物相互之间的距离必须在30尺内。</t>
  </si>
  <si>
    <t>元素灾厄</t>
  </si>
  <si>
    <t>Elemental Bane</t>
  </si>
  <si>
    <t>选择距离之内，你能看见的一个生物，并选择下述伤害类型之一：强酸，寒冷，火焰，闪电或雷鸣。目标必须通过一次体质豁免检定，否则便在此法术的持续时间内受其影响。每回合受到影响的生物第一次受到选定类型的伤害时，目标额外受到2d6点对应类型的伤害。此外，直到法术终结，该目标失去对该伤害的任何抗力。
升环施法效应：当你使用五环或更高的法术位施放该法术时，使用的法术位每高一环，你便可以额外指定一个生物作为目标。当选定生物时，每个生物间的距离不得超过30尺。</t>
  </si>
  <si>
    <t>获得高等坐骑</t>
  </si>
  <si>
    <t>Find Greater Steed</t>
  </si>
  <si>
    <t>你召唤一个圣魂并呈现出忠诚的、雄伟的坐骑外观。坐骑出现在施法范围内未被占据的空间内，坐骑的外形由你从以下形态中选择：狮鹫、飞马、鹿鹰兽、恐狼、犀牛或者剑齿虎。坐骑拥有你选择的形态数据如同怪物手册，但它实际上是天界、精类或炼狱生物（由你选择）而不是通常类型。另外，如果你的坐骑智力为5或以下，它的智力变为6，同时能听懂一种你所说的语言
你在战斗中控制坐骑。当坐骑在你周围1里内，你可以通过心灵感应和它沟通。当骑乘在你的魔法坐骑上时，所有你施展的只以你为目标法术同时也影响你的魔法坐骑。
当魔法坐骑的HP降为0时，它会暂时消失。你也可以以一个动作解散你的魔法坐骑使得它消失。再次施放这个法术可以重新召唤绑定的坐骑，此时它的生命值全部恢复，并且任何状态都被移除。
你不能通过这个法术或获得坐骑法术同时拥有与1个以上的魔法坐骑的联系，以一个动作，你可以在任何时候将你的坐骑从你们的联系中解放，使得它消失。
每当坐骑消失，它会留下所有它穿戴或者携带的物品。</t>
  </si>
  <si>
    <t>自然守卫</t>
  </si>
  <si>
    <t>Guardian Of Nature</t>
  </si>
  <si>
    <t>自然之魂回应你的呼唤并将你转变为一个强大的守卫。转变持续到法术结束。你选择以下形态之一取得：原始猛兽或战争巨树。
原始猛兽：如野兽般的皮毛覆盖你的身体，你的面部特征变得野性，并且你得到以下增益：
你的步行速度增加10尺。
你得到120尺的黑暗视觉。
你基于力量的攻击检定得到优势。
你的近战武器攻击在击中时会造成额外1d6力场伤害。
战争巨树：你的皮肤出现树纹，枝叶从你的头发上萌芽，并且你得到以下增益：
你得到10点临时生命。
你的体质豁免检定得到优势。
你基于敏捷或基于感知的攻击检定得到优势。
当你在地面上时，你周围15尺的地面对于你的敌人而言是困难地形。</t>
  </si>
  <si>
    <t>莫伊之影</t>
  </si>
  <si>
    <t>Shadow Of Moil</t>
  </si>
  <si>
    <t>镶嵌在宝石里的不死生物的眼睛，价值至少150GP</t>
  </si>
  <si>
    <t>如同火焰般的暗影完全笼罩住你的身体，使你对于其他人处于重度遮蔽，直到法术结束。
暗影将你周围10尺内的微光照明转变为黑暗，或者把同样区域的明亮照明转变为微光。直到法术结束之前，你得到对光耀伤害的抗力。此外，不论何时在你周围10尺内的生物用攻击命中你时，暗影会猛击那个生物，对他造成2d8点黯蚀伤害。</t>
  </si>
  <si>
    <t>致病辐射</t>
  </si>
  <si>
    <t>Sickening Radiance</t>
  </si>
  <si>
    <t>淡绿色的光线以你选择的距离内一点为中心扩散成半径30尺的球体。光线会蔓延过拐角，并一直持续到法术结束。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这个法术所产生的任何等级的力竭在法术结束时消失。</t>
  </si>
  <si>
    <t>暴风球</t>
  </si>
  <si>
    <t>Storm Sphere</t>
  </si>
  <si>
    <t>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再你的每个回合使用一个附赠动作，令球体中心射出一发闪电，攻击距中心不超过60尺范围内的生物。进行一次远程法术攻击，如果攻击目标在球体内，这次攻击检定具有优势。若击中，目标受到4d6点闪电伤害。
在球体周围30尺内的生物在用于聆听的感知（观察）检定中具有劣势。
升环施法效应：当你使用五环或更高的法术位施放该法术时，使用的法术位每高一环，所有效应产生的伤害便各增加1d6。</t>
  </si>
  <si>
    <t>召唤高等恶魔</t>
  </si>
  <si>
    <t>Summon Greater Demon</t>
  </si>
  <si>
    <t>你吐出污秽的词语，从无底深渊的无尽混沌中召唤来一只恶魔。你选择挑战等级为5或更低的一种恶魔类型，例如影魔或者是巴古拉魔。恶魔出现在法术距离内你可见的一处未被占据的空间，当它的生命值降低至0点或是法术结束时，恶魔将会消失。
恶魔拥有自己的回合，为他投掷先攻。当你在召唤它以及在之后你的每一个回合，你都可以向它发布口头命令（无需你的动作），告诉它在下个回合它必须做什么。如果你没有发布命令，它会花费自己的回合用来攻击任何在触及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这个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升环施法效应：当你使用五环或更高的法术位施放该法术时，使用的法术位每高一环，允许召唤的恶魔挑战等级就+1。</t>
  </si>
  <si>
    <t>浓酸球</t>
  </si>
  <si>
    <t>Vitriolic Sphere</t>
  </si>
  <si>
    <t>一滴巨型蜗牛的胆汁</t>
  </si>
  <si>
    <t>你指定距离之内的一点，一颗发光的1尺直径的强酸球飞向那里爆炸，酸液飞溅到20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升环施法效应：当你使用五环或更高的法术位施放该法术时，使用的法术位每高一环，初始伤害便增加2d4。</t>
  </si>
  <si>
    <t>碧水球</t>
  </si>
  <si>
    <t>Watery Sphere</t>
  </si>
  <si>
    <t>你在距离之内，你能看见的一点上召唤出一个半径5尺的水球。水球可以悬浮于空气中，但其离地高度不能超过10尺。水球将在法术的持续时间内持续存在。
处于水球空间内的任何生物必须进行一次力量豁免检定。若豁免成功，该生物将被排出到水球周围最近的未被占据的空间中。巨型或更大的生物将自动于此豁免检定中成功，并且一个大型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水球可以容纳至多4个中型（或更小的）生物，或是1个大型生物。若水球束缚了一个超过上限的生物，一个已经被束缚的随机生物将被排除，在水球周围5尺范围内摔倒。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当此法术终结时，水球会掉落在地，熄灭其周围30尺内的所有普通火焰。任何被水球束缚的生物会在摔落点成为摔倒状态。随后水流会消失。</t>
  </si>
  <si>
    <t>引力裂沟</t>
  </si>
  <si>
    <t>Gravity Sinkhole</t>
  </si>
  <si>
    <t>一块黑色的大理石</t>
  </si>
  <si>
    <t>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升环施法效应。当你使用五环或者更高环位的法术位施展该法术时，每比四环高出一环的法术位可以使该法术的伤害增加1d10。</t>
  </si>
  <si>
    <t>异怪召唤术</t>
  </si>
  <si>
    <t>Summon Aberration</t>
  </si>
  <si>
    <t>一条腌制触手和一颗装在白金瓶中的眼球，至少价值400gp</t>
  </si>
  <si>
    <t>你唤来一个异怪灵魄。其在施法距离内你可见的一个未占据位置化为实体。这一实体使用下面的异怪灵魄的数据。当你施展法术时，从类眼魔，史拉蟾或星之子中选择一个。此生物的外形与你所选一致，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升环施法效应：使用五环或更高法术位施展该法术时，该生物数据中使用更高的法术环数。
异怪灵魄
中型异怪
AC：11+法术等级(天生护甲)
HP：40+10每比四环高的法术等级
速度：30尺；飞行30尺（悬浮）（仅限类眼魔）
力量，敏捷，体质，智力，感知，魅力
16[+3]，10[+0]，15[+2]，16[+3]，10[+0]，6[-2]
伤害免疫：心灵
感官：黑暗视觉60尺，被动察觉10
语言：深潜语，理解你说的语言
熟练加值与你相等
再生（仅限史拉蟾）：异怪在其自己的回合开始时恢复5点生命值，前提是它至少有1点生命值。
低语灵光（仅限星之子）：于异怪自己的每个回合开始时，所有在其5尺内的生物必须进行一次感知豁免对抗你的法术豁免DC，豁免失败则受到2d6心灵伤害，这个效果只在异怪不处于失能时适用。
动作：
多重攻击：异怪发动等同于法术环数一半的次数的攻击（向下取整）。
爪击（仅限史拉蟾）：近战武器攻击：命中+你的法术攻击调整值，触及5尺，单一目标。伤害：1d10+3+法术环数的挥砍伤害。如果目标是生物，其直到异怪下回合开始不能恢复生命值。
眼波射线（仅限类眼魔）：远程法术攻击：命中+你的法术攻击调整值，射程150尺，单一生物。伤害：1d8+3+法术环数的心灵伤害。
灵能猛击（仅限星之子）：近战法术攻击：命中+你的法术攻击调整值，触及5尺，单一生物。伤害：1d8+3+法术环数的心灵伤害。</t>
  </si>
  <si>
    <t>构装体召唤术</t>
  </si>
  <si>
    <t>Summon Construct</t>
  </si>
  <si>
    <t>一块华丽的石头和一个金属密码箱，价值至少400gp</t>
  </si>
  <si>
    <t>你唤来一个构装生物灵魄。其在施法距离内你可见的一个未占据位置化为实体。这一实体使用下面的构装体灵魄的数据。当你施展法术时，从粘土，金属或石中选择一个材质。此生物的外形为一个你选定材质地魔像或魔冢，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升环施法效应：使用六环或更高法术位施展该法术时，该生物数据中使用更高的法术环数。
构装体灵魄
中型构装生物
AC：13+法术等级(天生护甲)
HP：40+15每比3环高的法术等级
速度：30尺
力量，敏捷，体质，智力，感知，魅力
18[+4]，10[+0]，18[+4]，14[+2]，11[+0]，5[-3]
伤害抗性：毒素
状态免疫：魅惑，力竭，恐慌，失能，麻痹，石化，中毒
感官：黑暗视觉60尺，被动察觉10
语言：理解你说的语言
熟练加值与你相等
灼热之躯（仅限金属）：当一个生物在构装生物周边5尺范围内触碰或对其发动近战攻击命中时，将受1d10火焰伤害。
石迷昏眠（仅限石）：当一个构装生物可见的生物在其10尺距离内开始回合时，构装生物可以强迫其进行一次感知豁免对抗你的法术豁免DC，豁免失败则其直到其下个回合开始前不能使用反应，且速度减半。
动作：
多重攻击：构装生物发动等同于法术环数一半的次数的攻击（向下取整）。
猛击：近战武器攻击：命中+你的法术攻击调整值，触及5尺，单一目标。伤害：1d8+4+法术环数的钝击伤害。
反应：
狂怒乱击（仅限粘土）：当构装生物受到伤害时，对其5尺内的随机一个生物进行一次猛击攻击。如果在其触及范围内没有生物，则该构装生物会以其一半的速度朝着其可见的一个敌人移动，且不会引发借机攻击。</t>
  </si>
  <si>
    <t>元素召唤术</t>
  </si>
  <si>
    <t>Summon Elemental</t>
  </si>
  <si>
    <t>一个至少价值400gp的，装有空气、一块鹅卵石、灰烬与水的水晶瓶</t>
  </si>
  <si>
    <t>你唤来一个元素灵魄。其在施法距离内你可见的一个未占据位置化为实体。这一实体使用下面的元素灵魄的数据。当你施展法术时，从气，土，火或水中选择一个元素。此生物的外形如同一个周身缠绕着你所选元素的模糊二足人影，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升环施法效应：使用五环或更高法术位施展该法术时，该生物数据中使用更高的法术环数。
元素灵魄
中型元素
AC：11+法术环阶（天生护甲）
HP：50+高于四环的每环阶10点
速度：40尺，掘穴30尺（仅限土），飞行40尺（悬浮）（仅限气），游泳40尺（仅限水）
力量，敏捷，体质，智力，感知，魅力
18[+4]，15[+2]，17[+3]，4[-3]，10[+0]，16[+3]
伤害抗力：毒素
状态免疫：魅惑，力竭，恐慌，失能，麻痹，石化，中毒
感官：黑暗视觉60ft.，被动察觉10
语言：理解你讲的语言
熟练加值与你相等
不定形态（仅限于气、火和水）：该元素生物能够轻松穿过最窄1寸宽的狭窄空间而无需挤身通过。
动作
多重攻击：该元素发动等同于法术环阶半数（向下取整）次数的攻击。
猛击：近战武器攻击：命中采取你的法术攻击加值，触及5尺，单一目标；命中：1d10+4+法术环阶的钝击伤害（仅限气、土和水）或火焰伤害（仅限火）。</t>
  </si>
  <si>
    <t>劳洛希姆心灵长枪</t>
  </si>
  <si>
    <t>Raulothim's Psychic Lance</t>
  </si>
  <si>
    <t>你从你的额头处释放一道闪闪发光的灵能长矛，瞄准法术范围内你可见的一个生物。或者，你可以说出一个生物的名字。如果被唤名的生物身处法术范围内，即使你无法看见它，它也会成为法术的目标。如果被唤名的生物不处于法术范围内，长矛会消失并且没有任何效果。
目标必须成功通过一次智力豁免，否则将受到7d6点心灵伤害并陷入失能，直至你的下回合开始。如果豁免成功，它只承受一半伤害并且不会失能。
升环施法效应：使用五环或更高法术位施展该法术时，你使用的法术位每比四环高一环，法术的伤害增加1d6。</t>
  </si>
  <si>
    <t>界门封锁</t>
  </si>
  <si>
    <t>Gate Seal</t>
  </si>
  <si>
    <t>一把损坏的传送门钥匙，作为该法术的耗材</t>
  </si>
  <si>
    <t>选择施法距离内的一处30尺立方区域，你加固这片区域的位面结构。这片区域内，的所有传送门都将关闭且在法术持续时间内无法被再次开启。任何能进行位面旅行或开启传送门的法术如果被用于进入这片区域或离开这片区域的话，都将自动失败。这片立方区域是无法移动的。
升环施法效应：当你使用6环或更高环阶的法术位施展本法术时，本法术将一直持续至被解除为止。</t>
  </si>
  <si>
    <t>死神灵魄</t>
  </si>
  <si>
    <t>Spirit of Death</t>
  </si>
  <si>
    <t>一张描绘着死神化身的镀金纸牌，至少价值400gp</t>
  </si>
  <si>
    <t>你唤来一个象征死神的灵魄。其在施法距离内你可见的一个未占据位置化为实体，并使用收割者灵魄的数据。当其生命值降至0或法术结束时，灵魄会消失。
该灵魄在法术持续时间内对你和你的同伴们友好。在战斗中，该生物与你共享先攻值，其回合紧跟在你的回合之后。它遵从于你的口头指令（无需任何动作）。如果你不发令，它将执行回避动作并远离危险。
升环施法效应：使用5环或更高法术位施放本法术时，该法术召唤的收割者灵魄数据中使用更高的法术环阶。
收割者灵魄
中型不死生物
AC：11+法术环阶(天生护甲)
HP：40+高于四环的每环阶10点
速度：30尺；飞行60尺（仅限空）
力量，敏捷，体质，智力，感知，魅力
16[+3]，16[+3]，16[+3]，16[+3]，16[+3]，16[+3]
伤害免疫：黯蚀，毒素
状态免疫：魅惑，力竭，恐慌，麻痹，中毒
感官：黑暗视觉60尺，被动察觉13
语言：理解你讲的语言
熟练加值与你相等
虚体移动：灵魄可以如同穿过困难地形一样穿过其他生物和物件。如果它在自己的回合结束时仍处在物件内部则受到1d10的力场伤害。
动作：多重攻击：灵魄发动等同于法术环阶一半的次数的攻击 （向下取整）。
收割之镰：近战武器攻击：命中采取你的法术攻击加值并具有优势，触及5尺，单一目标；命中：1d8+3+法术环阶的黯蚀伤害。
附赠动作：作祟生物：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</si>
  <si>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加德尔急速邮差</t>
  </si>
  <si>
    <t>Galder'S Speedy Courier</t>
  </si>
  <si>
    <t>25金币，或同等价值的矿石货物作为该法术的耗材</t>
  </si>
  <si>
    <t>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一旦箱子的盖子被合上，气元素与箱子将会消失，并随后在目标生物的旁边重新出现。如果目标生物处在另一个位面，或是不受魔法侦测和定位的影响，箱子里的物件将在你脚下的地面上重新出现。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升环施法效应。使用8环法术位施展该法术时，你可以将箱子送往与你处在不同存在位面的生物。</t>
  </si>
  <si>
    <t>活化物件</t>
  </si>
  <si>
    <t>Animate Objects</t>
  </si>
  <si>
    <t>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
你可以使用一个附赠动作并以精神命令操纵500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被活化物件的AC、HP、攻击，以及力量和敏捷值由其体型决定。其体质为10，智力和感知为3，魅力为1。其速度为30尺，如果它没有腿或者类似的构造，则改为30尺的飞行速度并且可以悬浮。如果该物件被牢牢固定在某个表面或更大的物件上（例如被铁链拴在墙上），则其速度为0。其拥有30尺盲视感官，该感官范围之外则视为目盲状态。被活化物件的生命值降至0时，即变回普通的物件，且以物件形态承受所有溢出的伤害。
如果你命令活化物件发动攻击，则它可以对其5尺内的一个生物发动一次近战攻击。它将发动一记猛击并造成钝击伤害，相应的攻击加值和伤害由其体型决定。此外，DM还可以认定某些物件可以造成挥砍或穿刺伤害。
升环施法效应：使用六环或更高法术位施展该法术时，你使用的法术位每比五环高一环，就多唤起两个物件。
体型，HP，AC，攻击，力量，敏捷：
微型，20，18，命中+8伤害1d4+4，4，18
小型，25，16命中+6伤害1d8+2，6，14
中型，40，13命中+5伤害2d6+1，10，12
大型，50，10命中+6伤害2d10+2，14，10
巨型，80，10命中+8伤害2d12+4，18，6</t>
  </si>
  <si>
    <t>防活物护罩</t>
  </si>
  <si>
    <t>Antilife Shell</t>
  </si>
  <si>
    <t>闪光的屏障环绕你周边10尺内的区域并以你为中心移动，其阻绝除不死生物和构装生物之外的生物类型。护罩持续存在至法术终止。
护罩阻止受影响的生物穿过或进入其内，但受影响的生物可以使用法术，远程武器或触及武器对护罩内部发动攻击。
若你移动时迫使受影响生物进入护罩内，则法术随之终止。</t>
  </si>
  <si>
    <t>警戒龙纹，死亡领域，坟墓领域，死灵宗主，靡华学生</t>
  </si>
  <si>
    <t>启蒙术</t>
  </si>
  <si>
    <t>Awaken</t>
  </si>
  <si>
    <t>一块价值至少1000gp的玛瑙，作为该法术的耗材</t>
  </si>
  <si>
    <t>利用施法的8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为启蒙植物决定属性数据，例子可参考怪物图鉴的启蒙灌木和启蒙树。
被启蒙的植物或野兽在30日内处于被你魅惑的状态，或是直到你或你的盟友做出任何伤害它的举动。魅惑终止后，启蒙生物将根据你对待他的方式决定是否对你保持友善。</t>
  </si>
  <si>
    <t>畜牧龙纹，瑟雷尼亚祀徒</t>
  </si>
  <si>
    <t>放逐斩</t>
  </si>
  <si>
    <t>Banishing Smite</t>
  </si>
  <si>
    <t>你在法术终止前的下一次武器攻击命中某生物时将从武器中爆发巨力，使该次攻击对目标额外造成5d10点力场伤害。此外，如果本攻击将目标的生命值降低至50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</si>
  <si>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咒剑士，战地匠师</t>
  </si>
  <si>
    <t>毕格比之手</t>
  </si>
  <si>
    <t>Bigby's Hand</t>
  </si>
  <si>
    <t>一块蛋壳和一只蛇皮手套</t>
  </si>
  <si>
    <t>你在施法距离内指定一处你能看见且未被占据的空间，并在该处创造出一只闪烁着微光的大型手掌。巨手在法术持续时间内维持存在，并听从你的命令模仿你手掌移动的方式进行移动。
巨手视为一个物件，其AC为20，生命值等于你的生命值上限。如果它的生命值降至0则法术提前终止。其力量为26(+8)，敏捷为10(+0)。巨手并不占据其所在的空间。施展此法术时，你可以令巨手移动至多60尺远并造成下列效应之一。你也可以在自己随后的回合里以一个附赠动作完成该效应：
金刚拳：巨手对自身5尺内的一个生物或物件发动打击。用你自身的游戏资料发动一次近战法术攻击，并在命中时造成4d8点力场伤害。
飞击掌：巨手尝试对自身5尺内的一个生物进行推挤。用巨手的力量检定与目标的力量（运动）检定作对抗。如果目标为中型或更小的生物则你的检定具有优势。你胜出对抗时，目标将被推开数尺，其具体尺数等于5加上你施法关键属性调整值的五倍。巨手随着目标一起移动，并与之保持5尺的距离。
擒拿掌：巨手尝试对自身5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的钝击伤害。
护身掌：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对该目标视为困难地形。
升环施法效应：使用六环或更高法术位施展该法术时，你使用的法术位每比五环高一环，则金刚拳的伤害提高2d8，擒拿掌的伤害提高2d6。</t>
  </si>
  <si>
    <t>守护龙纹，深海意志</t>
  </si>
  <si>
    <t>原力法阵</t>
  </si>
  <si>
    <t>Circle Of Power</t>
  </si>
  <si>
    <t>你身上发出神圣能量并以扭曲散溢的魔法能量构成一个半径30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</si>
  <si>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暮光领域，团结领域，王冠圣誓，量析学生</t>
  </si>
  <si>
    <t>死云术</t>
  </si>
  <si>
    <t>Cloudkill</t>
  </si>
  <si>
    <t>你在施法距离内指定一点，并以该点为中心创造一片20尺半径的球状黄绿色剧毒浓雾，且该浓雾会围绕拐角扩散。雾气在法术持续时间内维持存在，但仍会被强风吹散。而其存在区域则视为重度遮蔽。
任何生物在一个回合内第一次进入法术区域，或者在区域内开始其回合时，必须进行一次体质豁免。豁免失败者将受到5d8点毒素伤害，豁免成功则伤害减半。该生物就算屏住呼吸或者不需要呼吸也会受到浓雾效应的影响。
浓雾在你每回合开始时沿着地面向远离你的方向移动10尺。雾气比空气重，因此会沉落低洼地面甚至渗进地隙中。
升环施法效应：使用六环或更高法术位施展该法术时，你使用的法术位每比五环高一环，法术的伤害就增加1d8。</t>
  </si>
  <si>
    <t>葛加理成员，死亡领域，大地结社沼泽，孢子结社，征服圣誓，炼金师，死灵宗主</t>
  </si>
  <si>
    <t>通神术</t>
  </si>
  <si>
    <t>Commune</t>
  </si>
  <si>
    <t>焚香和一小瓶圣水或邪水</t>
  </si>
  <si>
    <t>你与所信奉神祇或其代理人进行联系，并询问至多三个能以“是”或“否”回答的问题。你必须在法术终止前完成提问，并在随后分别获得每个问题的答案。
这些神能存在也并非全知全能，因此当问题涉及的信息超过神祇的认知范围时，你可能会得到一句“不确定”作为回答。另外当一个单词可能引致误导，或者与神祇的兴致相违背时，DM可能会提供一句短语作为答案。
若你在两次长休之间两次或更多次的施展该法术，则法术有一定的几率不给任何答复。此概率从第二次施展起每次累计25％。其具体结果由DM暗骰决定。</t>
  </si>
  <si>
    <t>秩序领域，奉献圣誓，荣耀圣誓，先知</t>
  </si>
  <si>
    <t>问道自然</t>
  </si>
  <si>
    <t>Commune With Nature</t>
  </si>
  <si>
    <t>你短暂的成为大自然的一部分并以此获得周围地形的信息。在户外时，该法术可以让你了解3里内大地的状况。在洞穴和其他天然地下场所中，其范围缩小为300尺半径区域内。自然环境中被建筑覆盖的区域里（比如地下城或城镇中）法术无法生效。
你立即获得的自然资讯至多与该地域三个方面的主题相关，在以下项目中进行选择：
地形和水体
区域内分布的植物，矿物，动物或人物
强大的天界生物，精类生物，邪魔，元素生物或者不死生物
受其他存在位面的影响
建筑物
例如，你可以侦测到某个强大不死生物在区域中的位置，干净安全的水源所在地，以及附近城镇的方位。</t>
  </si>
  <si>
    <t>探索龙纹，瑟雷尼亚祀徒，图腾武者道途，大地结社极地，大地结社森林，古贤圣誓，原始意识</t>
  </si>
  <si>
    <t>寒冰锥</t>
  </si>
  <si>
    <t>Cone Of Cold</t>
  </si>
  <si>
    <t>一个小水晶或玻璃锥</t>
  </si>
  <si>
    <t>一片冷空气从你手上迸发而出。在60尺锥状区域内的每个生物必须进行一次体质豁免。豁免失败者将受到8d8点冷冻伤害，豁免成功则伤害减半。
被该法术杀死的生物将成为一尊冰冻塑像并持续至被解冻。
升环施法效应：使用六环或更高法术位施展该法术时，你使用的法术位每比五环高一环，法术伤害就增加1d8。</t>
  </si>
  <si>
    <t>大地结社极地，四象宗，咒剑士，巨灵宗主水巨灵，深海意志，魔炮师，粹丽学生</t>
  </si>
  <si>
    <t>召唤元素生物</t>
  </si>
  <si>
    <t>Conjure Elemental</t>
  </si>
  <si>
    <t>气元素为点燃的焚香，土元素为陶土，火元素为硫和磷，水元素为水和沙子</t>
  </si>
  <si>
    <t>你召唤出一个元素生物仆从。在施法距离内指定一处充满气、土、火、水四物质其一的10尺立方区域作为法术目标。例如，一只火元素从篝火中成型，而一只土元素则从地面上浮现。一个挑战等级5或者更低的元素生物从目标区域成型，并显现在该区域10尺内一处未被占据空间。该生物在生命值降至0时，或者法术终止时消失不见。
被召唤的元素生物对你和你的伙伴保持友善关系。你为召唤出来的元素生物骰先攻，它也依此获得其自己的行动回合。该元素生物服从你发出的所有语言命令（不需要你作动作）。如果你不发出任何命令，该生物会在敌对生物前保护自己，如果没有敌对生物则不执行任何动作。
如果你专注被打断，该元素生物并不会因此消失不见，但你会因此失去该元素生物的控制权。失控的元素生物对你和你的伙伴变为敌对，并随时准备发动攻击。不受控的元素生物无法被你解散，并在你的召唤开始算起1小时后消失不见。
该元素生物的具体数值由DM掌控。
升环施法效应：使用六环或更高法术位施展该法术时，你使用的法术位每比五环高一环，召唤生物挑战等级就增加1。</t>
  </si>
  <si>
    <t>暴风龙纹，伊捷工程师，大地结社海岸，混沌手下，粹丽学生</t>
  </si>
  <si>
    <t>万箭齐发</t>
  </si>
  <si>
    <t>Conjure Volley</t>
  </si>
  <si>
    <t>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尺，高20尺的柱状区域，其内的每个生物都必须进行一次敏捷豁免，豁免失败者将受到8d8点伤害，豁免成功则伤害减半。法术所造成伤害的类型与用作法术成分材料的弹药或武器相同。</t>
  </si>
  <si>
    <t>异界探知</t>
  </si>
  <si>
    <t>Contact Other Plane</t>
  </si>
  <si>
    <t>你与一名半神，或者一个古老的贤者亡魂，又或是其他异位面的神秘实体建立了精神的连接。与这些跨位面亚种生物进行的知性接触可能会增加你的精神负担，甚至导致精神崩溃。当你施展此法术时，进行一个DC15的智力豁免。豁免失败时，你受到6d6点心灵伤害并因此而变得错乱，直至完成一个长休以结束该状态。处于错乱状态时，你不能执行动作，不能理解其他生物说的话也无法阅读，你说出口的也都是一些含糊不清的语句。对你施放法术高等复原术可以直接终止该效应。
豁免成功时，你可以询问该实体五个问题。你必须在法术结束前提出你的问题。而你所提出的每条问题DM都可以用一个单词作回答，比如“是”“不是”“可能”“不可能”“没关系”或是“不清楚”（如果该实体不知道该问题答案时）。如果一个单词的答案可能导致误导，DM可能会用一句短语来作为问题的答案。</t>
  </si>
  <si>
    <t>疫病术</t>
  </si>
  <si>
    <t>Contagion</t>
  </si>
  <si>
    <t>你的触碰带着疾病。你对触及范围内一个生物发动一次近战法术攻击。若命中，则该目标中毒。
该中毒目标的每一回合结束时，必须进行一次体质豁免。若该目标累计三次该豁免成功，则其不再中毒且该法术终止。若该目标累计三次该豁免失败，其亦不再中毒，但必须从以下描述的疾病中选择其一。随后该目标将受选定的疾病影响直至该法术持续时间结束。
由于法术对目标引发的是自然疾病，因此任何移除疾病或改善疾病状况的效应都可以对受术生物产生影响：
失明症：痛苦缠绕着患病者的意志，并使其眼睛变成奶白色。患病生物进行感知检定和感知豁免时具有劣势，并且承受目盲状态。
腐热症：患者身体发起严重的高烧。患病生物进行力量检定和力量豁免时，以及发动基于力量的攻击检定时具有劣势。
烂肉症：患者的肌肤逐渐腐朽。患病生物进行魅力检定时具有劣势，并且具有所有伤害类型的伤害易受。
脑热症：患者头脑发热。患病生物进行智力检定和智力豁免时具有劣势，并且其在战斗中视为受到困惑术confusion效应影响。
癫痫症：患者全身颤抖不止。患病生物进行敏捷检定和敏捷豁免时，以及发动基于敏捷的攻击检定时具劣势。
恶心症：患者开始不受控地流血。患病生物进行体质检定和体质豁免时具有劣势。另外每当该生物受到伤害时都会陷入震慑状态，直至其下一回合结束。</t>
  </si>
  <si>
    <t>孢子结社，破誓者，不朽者</t>
  </si>
  <si>
    <t>造物术</t>
  </si>
  <si>
    <t>Creation</t>
  </si>
  <si>
    <t>所创造物品的一小部分</t>
  </si>
  <si>
    <t>你从堕影冥界取来一些暗影物质，并在施法距离内创造一个非活体的物件。你可以创造一个植物质（类似纺织品、绳索、木质等）的物件。也可以创造一个矿物质（类似石质、水晶、金属等）的物件。创造出来的物件大小必需在5立方尺内，且其形态与材质你必需曾经见过。
法术的持续时间由所创造物件的材质决定。如果所创造物件由多种材质组合而成，则其存在时间取其中最短者。
施展其他法术时，如果以这些创造物作为其材料成分将会使该法术施法失败。
升环施法效应：使用六环或更高法术位施展该法术时，你使用的法术位每比五环高一环，创造物尺寸的立方边长就加大5尺。
材质，持续时间：
植物质，1日
石质、水晶，12小时
贵金属，1小时
宝石，10分钟
精金、秘银，1分钟</t>
  </si>
  <si>
    <t>创造龙纹，析米克科学家，锻造领域，巨灵宗主</t>
  </si>
  <si>
    <t>湮灭波</t>
  </si>
  <si>
    <t>Destructive Wave</t>
  </si>
  <si>
    <t>你击打地面，并从身上爆发出一阵神圣能量。30尺范围内每个你所指定的生物都必须进行一次体质豁免。豁免失败者将受到5d6点雷鸣伤害以及5d6点光耀或黯蚀伤害（由你选择）并应击倒地，豁免成功则伤害减半且不会应击倒地。</t>
  </si>
  <si>
    <t>古鲁反抗者，风暴领域，力量领域，热忱领域</t>
  </si>
  <si>
    <t>反制善恶</t>
  </si>
  <si>
    <t>Dispel Evil And Good</t>
  </si>
  <si>
    <t>圣水或银铁粉末</t>
  </si>
  <si>
    <t>发光的能量环绕着你，并保护你免受来自精类生物、不死生物和源于主物质位面外异域生物的伤害。天界生物、元素生物、精类生物、邪魔、不死生物对你发动攻击检定时具有劣势。
你可以通过以下方式提前终止此法术：
破除附魔：你使用动作触碰一个触及范围内的生物。如果该生物受天界生物、元素生物、精类生物、邪魔或不死生物影响而陷入魅惑、恐慌，或是被附身状态，则生物的这些状态即时结束。
驱逐：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</si>
  <si>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反逆者</t>
  </si>
  <si>
    <t>支配人类</t>
  </si>
  <si>
    <t>Dominate Person</t>
  </si>
  <si>
    <t>你试图安抚一个施法距离内你能看见的类人生物，目标生物必须必须成功通过一次感知豁免，否则将在法术持续时间内被你魅惑。若它正与你或你的友方生物战斗，则其进行该豁免时具有优势。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六环法术位施展该法术时，持续时间变为：专注，至多10分钟。使用七环法术位施展该法术时，持续时间变为：专注，至多1小时。使用八环或更高法术位施展该法术时，持续时间变为：专注，至多8小时。</t>
  </si>
  <si>
    <t>俄佐立官员，拉铎斯邪教徒，诡术领域，秩序领域，野心领域，破誓者，征服圣誓，至高妖精，旧日支配者，银毫学生</t>
  </si>
  <si>
    <t>托梦术</t>
  </si>
  <si>
    <t>Dream</t>
  </si>
  <si>
    <t>一把沙子，一点墨水，和一支从沉睡的鸟儿身上拔下的可书写羽毛</t>
  </si>
  <si>
    <t>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你可以让信使以可怕的形象出现。但此时信使只能提供不超过十个单词的信息，而且目标必须成功通过一次感知豁免。豁免失败时，怪影萦绕的噩梦就会影响目标的睡眠，使其无法从休息中获益。并且在其醒来时受到3d6点心灵伤害。
如果你拥有目标身体的部分，比如头发，指甲或类似的东西。则目标进行该豁免时具有劣势。</t>
  </si>
  <si>
    <t>抄录龙纹，大地结社草原，梦境结社</t>
  </si>
  <si>
    <t>焰击术</t>
  </si>
  <si>
    <t>Flame Strike</t>
  </si>
  <si>
    <t>一小撮硫磺</t>
  </si>
  <si>
    <t>一支圣火立柱从天堂带着呼啸降落在你指定的一处地点。圣火以施法距离内指定点为源点形成一处半径10尺、高40尺柱状区域，其内的每个生物必须进行一次敏捷豁免。豁免失败者将受到4d6点火焰伤害和4d6点光耀伤害，豁免成功则伤害减半。
升环施法效应：使用六环或更高法术位施展该法术时，你使用的法术位每比五环高一环，其火焰伤害或光耀伤害（自选其一）就增加1d6。</t>
  </si>
  <si>
    <t>波洛斯军团兵，光明领域，战争领域，热忱领域，野火结社，奉献圣誓，荣耀圣誓，邪魔宗主，天界宗主，巨灵宗主火巨灵，衡鉴学生</t>
  </si>
  <si>
    <t>指使术</t>
  </si>
  <si>
    <t>Geas</t>
  </si>
  <si>
    <t>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点心灵伤害。该伤害一日至多生效一次。且不能理解你意思的生物不受该法术影响。
除了涉及导致必死结果的行为外，你向目标下达的任何命令都会生效。如果你发布自杀指令则法术即时终止。
你可以用一个动作解除命令并终止法术。法术如移除诅咒，高等复原术或祈愿术同样可以终止该法术。
升环施法效应：使用七环或八环法术位施展该法术时，持续时间变为1年。使用九环法术位施展该法术时，法术将一直持续至被上文提及的法术所终止。</t>
  </si>
  <si>
    <t>欧佐夫议员，王冠圣誓</t>
  </si>
  <si>
    <t>高等复原术</t>
  </si>
  <si>
    <t>Greater Restoration</t>
  </si>
  <si>
    <t>价值至少100gp的钻石粉，作为该法术的耗材</t>
  </si>
  <si>
    <t>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</si>
  <si>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医疗龙纹，和平领域，时械之魂，天界宗主，炼金师，靡华学生</t>
  </si>
  <si>
    <t>圣居</t>
  </si>
  <si>
    <t>Hallow</t>
  </si>
  <si>
    <t>价值至少1000gp的草药、油与熏香，作为该法术的耗材</t>
  </si>
  <si>
    <t>你触碰一点并将神圣（或邪秽）的力量注入该点周围。区域半径至多60尺，若此区域内包含了已被另一个圣居术影响的区域，则此次施法失败。受法术影响的区域具有以下效应。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其次，你可以为该区域绑定一种额外效应。从下列效应选项中选择其一，或从DM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胆量：区域内的受影响生物不受恐慌。
黑暗：区域内处于黑暗环境，普通光源以及比本法术施展法术位更低环阶法术所创造的光源均无法照亮该区域。
昼明：区域内处于明亮光照，比本法术施展法术位更环节法术所创造的黑暗无法掩盖亮光。
能量防护：区域内受影响生物对一种由你指定的伤害类型具有抗性，所选类型不包括钝击、穿刺和挥砍。
能量易伤：区域内的受影响生物对一种由你指定的伤害类型具有易伤，所选类型不包括钝击、穿刺和挥砍。
永恒安息：区域内埋葬的尸体不能被转化成不死生物。
次元干涉：受影响生物不能通过传送，也不能通过异次元或跨位面途径作移动和旅行。
恐惧：区域内的受影响生物陷入恐慌。
沉默：声音无法从区域内发出，区域外的声音也不能传到区域内。
巧言：受影响生物与区域内的任何其他生物即使语言不通也可以随意交流。</t>
  </si>
  <si>
    <t>招待龙纹，邪魔宗主</t>
  </si>
  <si>
    <t>怪物定身术</t>
  </si>
  <si>
    <t>Hold Monster</t>
  </si>
  <si>
    <t>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升环施法效应：使用六环或更高法术位施展该法术时，你使用的法术位每比五环高一环，你就可以额外指定一个生物。指定目标时，每个目标生物必须身处其他目标30尺范围内。</t>
  </si>
  <si>
    <t>战争领域，复仇圣誓，救赎圣誓，守望圣誓，怪物杀手，卡瑟利之链</t>
  </si>
  <si>
    <t>疫病虫群</t>
  </si>
  <si>
    <t>Insect Plague</t>
  </si>
  <si>
    <t>少许糖，一些脱壳的谷粒和一抹油脂</t>
  </si>
  <si>
    <t>你指定施法距离内一点，并以该点为中心使半径20尺的球状区域内堆满成群的噬人蝗虫。虫群会绕过拐角扩散并使整个区域成为困难地形，且处于轻度遮蔽。虫群在法术终止前都会持续存在。当虫群显现时，其区域内的每个生物都必须进行一次体质豁免，豁免失败则受到4d10的穿刺伤害，豁免成功则伤害减半。生物在一个回合内第一次进入该区域内，或者在区域内结束其回合时，也必须进行该豁免。
升环施法效应：使用六环或更高法术位施展该法术时，你使用的法术位每比六环高一环，伤害就增加1d10。</t>
  </si>
  <si>
    <t>葛加理成员，自然领域，风暴领域，力量领域，大地结社荒漠，大地结社草原，大地结社幽暗地域，大地结社沼泽，集群守卫</t>
  </si>
  <si>
    <t>通晓传奇</t>
  </si>
  <si>
    <t>Legend Lore</t>
  </si>
  <si>
    <t>价值至少250gp的熏香，作为该法术的耗材。以及每块价值至少50gp的四块象牙板</t>
  </si>
  <si>
    <t>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时才能将其唤醒。”</t>
  </si>
  <si>
    <t>侦测龙纹，知识领域，不朽者，衡鉴学生</t>
  </si>
  <si>
    <t>群体疗伤术</t>
  </si>
  <si>
    <t>Mass Cure Wounds</t>
  </si>
  <si>
    <t>一波治愈的能量从施法距离内你指定的一点奔涌而出。你在该点周边30尺半径的球状区域内指定至多六个生物，并使每个目标生物恢复一定的生命值，其数值等于3d8+你的施法关键属性调整值。该法术对不死生物和构装生物无效。
升环施法效应：使用六环或更高法术位施展该法术时，你使用的法术位每比五环高一环，其治疗量就增加1d8。</t>
  </si>
  <si>
    <t>生命领域，团结领域，野火结社，战地匠师</t>
  </si>
  <si>
    <t>假象术</t>
  </si>
  <si>
    <t>Mislead</t>
  </si>
  <si>
    <t>你变为隐形，同时在你站的地方出现一个和你一样的幻象分身。分身会持续存在至法术持续时间结束；但如果你发动攻击或施展法术，则终止该隐形效应。
你可以用你的动作将分身以至多两倍于你的速度移动，并且可以让他打手势、说话，以及以任何你指定的方式行事。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</si>
  <si>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阴影龙纹，暮光领域，妖精漫游者</t>
  </si>
  <si>
    <t>篡改记忆</t>
  </si>
  <si>
    <t>Modify Memory</t>
  </si>
  <si>
    <t>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该魅惑状态持续时，你可以改变目标关于过去24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也可以判定某段修改过的记忆太过荒谬，而无法影响生物的关键行为。
对目标施展法术移除诅咒或高等复原术后即可使目标恢复真实的记忆。
升环施法效应：使用六环或更高法术位施展该法术时，你可以改变目标关于过去7日内（六环）、30日内（七环）、1年内（八环）或者在过去任意时刻（九环）所发生事件的记忆。</t>
  </si>
  <si>
    <t>底密尔特务，诡术领域，野心领域</t>
  </si>
  <si>
    <t>穿墙术</t>
  </si>
  <si>
    <t>Passwall</t>
  </si>
  <si>
    <t>一撮芝麻</t>
  </si>
  <si>
    <t>你指定施法距离内你能看见的表面上一点，并使该处在法术终止前持续显现一条通道。所选表面必须属于木质，灰质或石质（比如墙，屋顶或地面）。而开口的大小则由你指定：其尺寸至多5尺宽，8尺高，20尺深。另外，该通道并不会使其周围结构产生不稳定。
开口消失时，任何还留在该通道中的生物或物件都会被安全的弹至距受术表面最近的未占据空间。</t>
  </si>
  <si>
    <t>大地结社山地，装甲师，量析学生</t>
  </si>
  <si>
    <t>异界誓缚</t>
  </si>
  <si>
    <t>Planar Binding</t>
  </si>
  <si>
    <t>一枚价值至少1000gp的宝石，作为该法术的耗材</t>
  </si>
  <si>
    <t>你尝试以该法术与一个生物建立誓约使其为你服务，该生物可以是天界生物、元素生物、精类生物、邪魔等生物种类之一。该生物在整个施法过程中必须在法术的施法距离内。典型的情况下，在施展该法术前，生物会先被召唤到一个反向作用的防护法阵中困住。施法完成后，目标必须进行一次魅力豁免。豁免失败则目标在法术持续时间内与你建立誓约并服务于你。如果该生物由其他法术所召唤或创造，则维持其存在的法术持续时间被延长至符合本法术的持续时间。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升环施法效应：使用六环法术位施展该法术时，法术持续时间增为10日，七环则增为30日，八环为180日，九环为一年零一日。</t>
  </si>
  <si>
    <t>死者复活</t>
  </si>
  <si>
    <t>Raise Dead</t>
  </si>
  <si>
    <t>一颗至少价值500gp的钻石，作为该法术的耗材</t>
  </si>
  <si>
    <t>你触碰一个已死的生物，使其复活。该生物的死亡时间必须不超过10日。如果该生物的灵魂愿意并且能够回到其身体中，则它将以1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该法术能治愈所有致命伤，但无法恢复失去的身体部位。如果该生物缺失了它生存所必要的身体部位或器官（比如头），则该法术自动失败。
死而复生是一个痛苦的体验。复活的目标在随后进行攻击检定、豁免检定和属性检定时具有-4减值。该目标每完成一次长休，其减值就减少1，依次叠加直至减值完全消失。</t>
  </si>
  <si>
    <t>生命领域，坟墓领域，变化宗师，炼金师</t>
  </si>
  <si>
    <t>拉瑞心灵联结</t>
  </si>
  <si>
    <t>Rary's Telepathic Bond</t>
  </si>
  <si>
    <t>两种不同生物的蛋壳碎片</t>
  </si>
  <si>
    <t>你与施法距离内至多八个自愿生物建立心灵连线。在法术持续时间内，连线的每个生物的心灵都和其他全部受术生物相连。智力值为2或更低的生物不受该法术影响。
在该法术终止前，所有受术生物都可以通过心灵连线与其他受术生物进行心灵交流，而不论他们是否语言相通。该交流方式可以跨越任意远近的距离但不能跨位面进行。</t>
  </si>
  <si>
    <t>和平领域，畸变心智，银毫学生</t>
  </si>
  <si>
    <t>转生术</t>
  </si>
  <si>
    <t>Reincarnate</t>
  </si>
  <si>
    <t>价值至少1000gp的稀有油和软膏，作为该法术的耗材</t>
  </si>
  <si>
    <t>你触碰一个类人生物的遗体或遗体的一部分，以此创造出一具新的成年身体，并呼唤该生物的灵魂进入此新身躯。该生物死亡时间必须不超过10日。此外，如果目标生物的灵魂此时不能或者不愿意完成该过程，则法术失败。
该法术要为目标生物创造出一具新的身体，因此很可能导致该生物的种族发生变动。DM可以投一个d100来判定该生物以何种形态复生，也可以直接由DM选择一种形态。
转生后的生物保留其前生记忆和经验。受术者保留原形的一切能力，不过其种族特性将以新种族的相应特性做更替。</t>
  </si>
  <si>
    <t>探知</t>
  </si>
  <si>
    <t>Scrying</t>
  </si>
  <si>
    <t>一个至少价值1000gp的聚焦镜，例如水晶球、银镜、圣水盆</t>
  </si>
  <si>
    <t>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如果对方豁免成功，则目标不受该法术影响，并且在24小时内你不能尝试探知同一个目标。
如果对方豁免失败，则你在目标身边10尺内创造出一个隐形的传感器。通过传感器，你可以身临其境地看见和听见周围的环境。传感器会跟随目标移动，并在法术持续时间内始终保持在目标10尺之内。在能够看破隐形的生物眼中，你的探传感器是一个拳头大小的光球。
除生物之外，你也可以选择一个你以前见过的地点作为该法术的目标。这时，传感器会出现在目标地点且不会移动。
了解程度，豁免调整值：
二手信息（你曾经听说过受术者），+5
直接信息（你曾经见过受术者），+0
熟悉（你对受术者很了解），-5
联系程度，豁免调整值：
肖像或图像，-2
所有物或衣物，-4
身体部位，头发，指甲或类似物件，-10</t>
  </si>
  <si>
    <t>知识领域，光明领域，大地结社海岸，大地结社幽暗地域，梦境结社，复仇圣誓，守望圣誓</t>
  </si>
  <si>
    <t>伪装术</t>
  </si>
  <si>
    <t>Seeming</t>
  </si>
  <si>
    <t>该法术允许你修改施法距离内你能看见的任意数量生物的外观。你对指定的每个目标生物分别赋予一个虚假的新外貌。不愿意受该法术影响的目标可以进行一次魅力豁免，豁免成功则不受该法术影响。
该法术能改变生物的物理外观，也能伪装出服装、护甲、武器和装备。肉眼看来目标的身高可以有1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一个生物可以使用其动作仔细观察一个目标，并进行一次对抗法术豁免DC的智力（调查）检定以。检定成功则观察者将一时到目标进行了伪装。</t>
  </si>
  <si>
    <t>幽域追踪者，至高妖精，巨灵宗主气巨灵</t>
  </si>
  <si>
    <t>迅捷箭袋</t>
  </si>
  <si>
    <t>Swift Quiver</t>
  </si>
  <si>
    <t>一个箭袋，其内至少要有一发弹药</t>
  </si>
  <si>
    <t>你对箭袋施展该法术，使其可以凭空创造出无尽的非魔法弹药，而你只要把手伸进箭袋里就会有弹药自己跳到你的手中。
直至法术结束前，你的每一回合都可以用一个附赠动作发动两次攻击，但用以发动攻击的武器必须使用受术箭袋中的弹药。你每次完成这种攻击时，箭袋上的魔法便会自动创造出一发同样的非魔法弹药作为补充。法术终止时，该法术创造出来的所有弹药都将自行分解消失。当你不再持有该箭袋时，该法术也即刻终止。</t>
  </si>
  <si>
    <t>心灵遥控</t>
  </si>
  <si>
    <t>Telekinesis</t>
  </si>
  <si>
    <t>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生物：你可以尝试移动一个巨型或更小的生物。以你的施法关键属性进行一次属性检定，并与目标生物的力量检定进行对抗。如果你在对抗中胜出，则你可以使该生物朝任何方向（包括竖直向上）移动30尺，但不能让它离开施法距离。在你的下一回合结束前，该生物将被你的遥控抓握束缚。而被朝正上方抬起的生物会在半空中悬停。
在随后的回合中，你可以再次进行前面进行过的对抗来尝试继续抓住该生物（消耗一个动作）。
物件：你可以尝试移动一个重量不超过1000磅的物件。如果该物品没有被任何生物所着装或携带，则你可以自动使它朝任何方向移动30尺，但不能让它离开施法距离。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尺（但不能让它离开施法距离）。
你可以使用心灵遥控来对物体进行精密操作，例如操纵一件简单的工具，打开一扇门或一个容器，把东西放进或拿出一个打开的容器中，或是把一个小瓶子里的东西倒出来。</t>
  </si>
  <si>
    <t>灵能武士，畸变心智，旧日支配者</t>
  </si>
  <si>
    <t>传送法阵</t>
  </si>
  <si>
    <t>Teleportation Circle</t>
  </si>
  <si>
    <t>稀有粉笔和浸有价值50gp珍稀宝石的墨水，作为该法术的耗材</t>
  </si>
  <si>
    <t>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尺内（如果该空间已被占据，则出现在最靠近目标法阵的未被占据空间）。
许多神殿、公会和其他重要的场所都在其中某处设有永久的传送法阵。这种法阵各有自己的符文序列——按特定顺序排列的一串魔法符文。当你最初获得施放该法术的能力时，你会知道物质位面上两个永久法阵的符文序列（由DM决定），随后你还可以在旅途中习得更多的符文序列。你只要花一分钟仔细研究一个新的符文序列就能够将其记录下来。
当你在一年里对同一地点每日连续施展该法术后，将创造出一个永久的传送法阵。而你在如此创造法阵时并不需要使用该法阵进行传送。</t>
  </si>
  <si>
    <t>通行龙纹，奥秘领域，梦境结社，边界行者</t>
  </si>
  <si>
    <t>树跃术</t>
  </si>
  <si>
    <t>Tree Stride</t>
  </si>
  <si>
    <t>你能够进入树木中，并从树木内部移动到500尺内的一棵同类树木内。两棵树必须都是活的，而且至少要和你一样大。你进入一棵树时必须消耗5尺移动力。你将在进入树木后知道附近500尺内所有同类树木的位置。作为进入树木所用移动的一部分，你可以移动到这些同类树木的其中一棵，或走出你所在的树木。你会出现在作为目的地的树木5尺范围内自选的一点，并因此消耗5尺移动力。如果你的移动力已经耗尽，则你将出现在你进入的树木周围5尺范围内某处。
你可以在法术持续时间内的每轮里使用一次这样的传送能力。而且你必须在树外结束你的回合。</t>
  </si>
  <si>
    <t>自然领域，大地结社森林，古贤圣誓</t>
  </si>
  <si>
    <t>力场墙</t>
  </si>
  <si>
    <t>Wall Of Force</t>
  </si>
  <si>
    <t>由纯净的宝石原石碾成的一小撮粉末</t>
  </si>
  <si>
    <t>一面看不见的力墙出现在施法距离内你指定的一点。这面力墙的方向由你决定：你可以使力墙成为水平或垂直的结界，亦可以使它形成一定倾角。它可以浮在空中，也可以立于地上。你可以将它塑成半球状或球状（半径最长10尺），也可以塑成一个由十个10尺×10尺的方板块构成的平面，而每块板块都必须要和至少一块其他板块相连。不管形状如何，力墙的厚度总是¼寸。力场墙将持续存在至法术终止。如果力墙形成时穿过了某个生物所占据的空间，则该生物会被推到力墙的一侧（由你决定推到哪一侧）。
没有任何事物可以通过物理方式穿过力墙。力墙免疫所有伤害，也不能被解除魔法所解除，但法术解离术可以使其立即摧毁。力墙能够延伸进以太位面，因此可以阻断进入以太位面穿过墙壁旅行。</t>
  </si>
  <si>
    <t>救赎圣誓，时械之魂，魔炮师，装甲师</t>
  </si>
  <si>
    <t>石墙术</t>
  </si>
  <si>
    <t>Wall Of Stone</t>
  </si>
  <si>
    <t>一小块花岗岩</t>
  </si>
  <si>
    <t>一面坚硬的非魔法石墙出现在施法距离内你指定的一点。该石墙厚达6寸，由十个10×10尺的方板块组成。每块板块都必须要和至少一块其他板块相连。另外你也可以选择以十个10×20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该墙是一个可以因受到伤害而被打破的石制物件。每块板块的AC为15，每寸厚得石墙具有30点生命值。当一块板块的生命值降至0时则该板块被摧毁，而且与它相连的板块也可能会崩塌（具体由DM判断）。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</si>
  <si>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大地结社荒漠，大地结社山地，四象宗，巨灵宗主土巨灵</t>
  </si>
  <si>
    <t>操控风力</t>
  </si>
  <si>
    <t>Control Wind</t>
  </si>
  <si>
    <t>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你操控的空气中产生了一阵狂风，持续的向一个由你选择的水平方向吹去。你选择风力的强度：微风，大风和强风。若风力为大风或强风，进入或者离开区域，或者是穿过其中的远程武器攻击在其攻击检定中得到劣势。若风力为强风，逆风而行的生物每移动1尺需要额外消耗1尺的移动力。
下沉气流：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上升气流：你操控的空气产生了向上的气流，从空间的底部开始上升。在该空间内结束摔落的生物只会因为该摔落受到一半的伤害。处于该空间内的生物垂直跳跃时，其能比正常情况下跳跃的高度高出10尺。</t>
  </si>
  <si>
    <t>骷髅之舞</t>
  </si>
  <si>
    <t>Danse Macabre</t>
  </si>
  <si>
    <t>黑暗力量的线从你的指尖延伸，刺穿了法术距离内最多5具你可见的小型或中型的尸体。每具尸体都立即站起变为亡灵。你自由决定它是僵尸或者骷髅（僵尸和骷髅的数据参考怪物图鉴），并且它们在攻击和伤害检定中得到等同你的施法属性调整值的加值。
你可以用你的附赠动作精神性地指挥你用这个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升环施法效应：当你使用六环或更高的法术位施放该法术时，使用的法术位每高一环，你就可以活化额外的两具尸体。</t>
  </si>
  <si>
    <t>拂晓</t>
  </si>
  <si>
    <t>Dawn</t>
  </si>
  <si>
    <t>价值至少100gp的旭日坠饰</t>
  </si>
  <si>
    <t>拂晓之光落在施法距离内你指定的地点，形成一道30尺半径、40尺高度的明亮光柱。这个光芒被视为阳光。
当光柱出现时，每个处于其中的生物都必须进行体质豁免，失败将受到4d10光耀伤害，成功则只承受一半。在光柱中结束回合的生物也必须再次进行这个豁免。
如果你在光柱60尺内，你可以在你的回合以一个附赠动作将它移动60尺。</t>
  </si>
  <si>
    <t>汲能术</t>
  </si>
  <si>
    <t>Enervation</t>
  </si>
  <si>
    <t>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法术射程外或对你有全掩蔽，法术同样会结束。
每次法术对目标造成伤害，你都可以恢复目标受到的黯蚀伤害量的一半生命值。
升环施法效应：当你使用六环或更高的法术位施放该法术时，使用的法术位每高一环，伤害便增加1d8。</t>
  </si>
  <si>
    <t>渺远步</t>
  </si>
  <si>
    <t>Far Step</t>
  </si>
  <si>
    <t>你传送至60尺内一处你可见且未被占据的空间。在法术结束之前你的每个回合，你都可以用附赠动作再次通过这个方法传送。</t>
  </si>
  <si>
    <t>神圣武器</t>
  </si>
  <si>
    <t>Holy Weapon</t>
  </si>
  <si>
    <t>你为你触碰的武器注入神圣的力量。直到法术结束之前，武器都会发散出30尺半径的明亮照明和额外30尺的微亮照明。此外，用这把武器击中时会造成额外2d8光耀伤害。武器在持续期间转变为魔法武器如果原本它并非
在你自己的回合中以一个附赠动作，你可以解散这个法术并使武器爆发出强光。在武器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</si>
  <si>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焚烧</t>
  </si>
  <si>
    <t>Immolation</t>
  </si>
  <si>
    <t>火焰环绕了距离之内，你能看到的一个生物。该目标必须进行一次敏捷豁免检定。若豁免失败，其受到8d6火焰伤害，豁免成功则只受到上述伤害的一半。若豁免失败，目标同时会在此法术的持续时间内被点燃。燃烧的目标会照亮周围30尺半径的区域，并在外围30尺范围内产生微弱的亮光。在其每个回合的结束，目标重复进行豁免检定。检定失败则受到4d6火焰伤害。而豁免成功则刺法术终结。这些魔法火焰无法被非魔法的方式熄灭。
若此法术造成的伤害杀死了目标，目标化为灰烬。</t>
  </si>
  <si>
    <t>地狱呼唤</t>
  </si>
  <si>
    <t>Infernal Calling</t>
  </si>
  <si>
    <t>一块至少价值999gp的红宝石</t>
  </si>
  <si>
    <t>说出黑暗的咒语，你从九狱之中召唤来魔鬼。你选择挑战等级在6或更低的一种魔鬼的类型，例如猬魔或须魔。魔鬼出现在施法距离内你可以看见的一处未被占据的空间。魔鬼在生命值降低至0或法术结束时消失。
魔鬼对你和你的同伴是不友好的。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升环施法效应：当你使用六环或更高的法术位施放该法术时，使用的法术位每高一环，允许召唤的魔鬼挑战等级就+1。</t>
  </si>
  <si>
    <t>大漩涡</t>
  </si>
  <si>
    <t>Maelstrom</t>
  </si>
  <si>
    <t>漏斗形状的纸张或叶片</t>
  </si>
  <si>
    <t>大量的水出现在距离之内，你能看到的一点处，形成了5尺深、30尺半径的大漩涡。该点必须处于地面或者水体表面。直到法术终结，该区域成为困难地形，所有在该区域开始其回合的生物必须通过一次力量豁免检定，否则收到6d6钝击伤害并被拉向中心10尺。</t>
  </si>
  <si>
    <t>负能量洪流</t>
  </si>
  <si>
    <t>Negative Energy Flood</t>
  </si>
  <si>
    <t>一块破碎的骨头和一块方形的黑色丝绸</t>
  </si>
  <si>
    <t>你向距离内一个可见生物发出丝带状的负能量。如果目标不是不死生物，他必须进行一次体质豁免检定，并在豁免失败时受到5d12黯蚀伤害，若豁免成功则只承受一半。被这个伤害杀死的目标将在你的下回合开始被唤起为一只僵尸。僵尸会追杀距离他最近的、他可以看见的任何生物。僵尸的数据参考怪物图鉴。
如果你以不死生物作为目标使用这个法术，目标不需要进行豁免检定，取而代之的是目标得到5d12的一半作为临时生命。</t>
  </si>
  <si>
    <t>授予技能</t>
  </si>
  <si>
    <t>Skill Empowerment</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</si>
  <si>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t>
  </si>
  <si>
    <t>钢风斩</t>
  </si>
  <si>
    <t>Steel Wind Strike</t>
  </si>
  <si>
    <t>一把价值至少1sp的近战武器</t>
  </si>
  <si>
    <t>你舞动用于施法的武器，随后忽然消失并发起袭击，恰如同一阵钢铁的疾风。选择施法距离内最多5个可见生物。向每个生物分别进行一次近战法术攻击。若击中，目标承受6d10力场伤害。
在这之后，你可以传送到一个你击中或未击中的生物周围5尺内，你可以看见的未被占据的空间。</t>
  </si>
  <si>
    <t>突触静止</t>
  </si>
  <si>
    <t>Synaptic Static</t>
  </si>
  <si>
    <t>你选择距离内的一点，并在那里引发心灵能量的爆炸。以那一点为圆形，20尺半径球形范围内的每个生物必须进行一次智力豁免检定。智力值为2或更低的生物不受这个法术的影响。豁免失败的生物受到8d6心灵伤害，成功则只承受一半。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</si>
  <si>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转化岩石</t>
  </si>
  <si>
    <t>Transmute Rock</t>
  </si>
  <si>
    <t>陶土和水</t>
  </si>
  <si>
    <t>你选定距离内，你能看到的，不超过40立方尺区域内的岩石或泥土，并选择下述效果之一：
化石为泥：该区域内任何种类的非魔法石块在法术的持续时间内变成等量的稀薄、可流动的泥浆。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若你对天花板施放此法术，泥浆会掉落。在泥浆掉落时处于其下方的所有生物必须进行一次敏捷豁免检定。若检定失败则该生物受到4d8钝击伤害，检定成功者只受到上述伤害的一半。
化泥为石：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AC15和25HP，并且免疫毒素和心灵伤害。</t>
  </si>
  <si>
    <t>光墙术</t>
  </si>
  <si>
    <t>Wall Of Light</t>
  </si>
  <si>
    <t>一面手镜</t>
  </si>
  <si>
    <t>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觉线，但是生物和物体可以穿过它。它发出120尺的明亮照明和额外120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升环施法效应：当你使用六环或更高的法术位施放该法术时，使用的法术位每高一环，伤害便增加1d8。</t>
  </si>
  <si>
    <t>自然之怒</t>
  </si>
  <si>
    <t>Wrath Of Nature</t>
  </si>
  <si>
    <t>你唤醒自然界的精魂对抗你的敌人。选择施法距离内你可见的一点，精魂令那一点为中心60尺立方区域内的树木、岩石和草丛被活化，直到法术结束：
草丛和灌木：立方区域内被草丛或灌木覆盖的地面对你的敌人而言是困难地形。
树木：在你的每个回合开始，在立方区域内的任何树木周围10尺范围内的每个你的敌人都必须成功进行敏捷豁免检定，否则会因为树枝的挥打受到4d6挥砍伤害。
根与藤：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投石：在你的回合中以一个附赠动作，你可以使一块立方区域中的松动岩石投掷向同样在区域里的一个你可见的生物。若击中，目标受到3d8非魔法钝击伤害，并且必须成功进行力量豁免检定否则被击倒。</t>
  </si>
  <si>
    <t>时流刹转</t>
  </si>
  <si>
    <t>Temporal Shunt</t>
  </si>
  <si>
    <t>你以触发法术的生物为目标，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这个法术或自己被这个法术影响。
升环施法效应：当你使用六环或更高环位的法术位施展该法术时，每比五环高出一环的法术位可以使你多指定一个目标。所有的目标都需要在互相的30尺内。</t>
  </si>
  <si>
    <t>天界召唤术</t>
  </si>
  <si>
    <t>Summon Celestial</t>
  </si>
  <si>
    <t>一个的金制圣物匣，价值至少500gp</t>
  </si>
  <si>
    <t>你唤来一个天界生物灵魄。其在施法距离内你可见的一个未占据位置化为实体。这一实体使用下面的天界灵魄的数据。当你施展法术时，从复仇圣灵或守护圣灵中选择一个。此生物资料表中的攻击方式由你的选择决定。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升环施法效应：使用六环或更高法术位施展该法术时，该生物数据中使用更高的法术环数。
天界灵魄
大型天界生物
AC：11+法术等级(天生护甲)+2（仅限守护圣灵）
HP：40+10每比五环高的法术等级
速度：30尺；飞行40尺
力量，敏捷，体质，智力，感知，魅力
16[+3]，14[+2]，16[+3]，10[+0]，14[+2]，16[+3]
伤害抗性：光耀
状态免疫：魅惑，恐慌
感官：黑暗视觉60尺，被动察觉12
语言：天界语，理解你说的语言
熟练加值与你相等
动作：
多重攻击：天界生物发动等同于法术环数一半的次数的攻击（向下取整）。
光耀之弓（仅限复仇圣灵）：远程武器攻击：命中+你的法术攻击调整值，射程150/600尺，单一目标。伤害：2d6+2+法术环数的光耀伤害。
光耀之锤（仅限守护圣灵）：近战武器攻击：命中+你的法术攻击调整值，触及5尺，单一目标。伤害：1d10+3+法术环数的光耀伤害，且天界生物可选择自己或其10尺内可见的另一生物。选定生物获得1d10临时生命值。
治愈之触：（1/日）。天界生物触碰另一生物。目标魔法性地恢复目标等同于2d8+法术环数的生命值。</t>
  </si>
  <si>
    <t>龙类精魂召唤术</t>
  </si>
  <si>
    <t>Summon Draconic Spirit</t>
  </si>
  <si>
    <t>一件带有巨龙图案的物品，价值至少500金币</t>
  </si>
  <si>
    <t>你唤出一只巨龙精魂。它于施法范围内一处未被占据的空间显现。该肉体形态使用龙类精魂的数据。当你施展此法术时，选择一个龙种科目：色彩龙，宝石龙，或金属龙。该生物的长相与你所选择的龙种相似，这会决定其数据中的某些特性。该生物在法术结束或其生命值降至0时消失。
该生物对你和你的同伴友善。在战斗中，该生物与你共享先攻，它在你的回合结束后行动。它听从你的口头命令（无需动作）。如果你不发出指令，该生物执行回避动作，并用自己的移动力来回避危险。
升环施法效应：使用六环或更高法术位施展该法术时，用对应的环数决定数据栏中与法术环数有关的数据。</t>
  </si>
  <si>
    <t xml:space="preserve">创造法驱魔舵 </t>
  </si>
  <si>
    <t>Create Spelljamming Helm</t>
  </si>
  <si>
    <t>一根价值至少 5000gp 的水晶权杖，作为该法术的耗材</t>
  </si>
  <si>
    <t>持握用于施法成分的那根权杖并触碰一个不超过大型、未被占据的座椅。水晶权杖消失，且这个座椅被转变为法驱魔舵。
法驱魔舵
奇物，稀有（需与一名施法者同调） 
这把华丽的椅子的功能是在大气与宇宙中推动并操纵安装了它的舰船。它同时也能在水上或水下推动并操纵舰船，前提是舰船本身是为这类航行而打造的。舰船的重量不能少于1吨。
与法驱魔舵同调后的感觉像是人类入睡后手臂或腿经历的针刺效应，当然，其实也并没有那么痛苦。
当你和一个法驱魔舵同调并坐在其中时，只要你保持专注（如同正专注于一个法术）你可以获得如下能力：
你可以使用法驱魔舵来在太空，大气，或者水中以舰船的速度来移动船体。如果舰船处在太空中，且附近一英里内没有超过1吨重的物体，你可以使用法驱魔舵来让舰船以每24小时1亿英里的速度行进。
你可以一种较为笨拙的感觉来操纵舰船，如同使用舰船舵或者舰船桨来操纵航海舰船一样。
在任何时间，你都可以听见和看到在舰船上和舰船周遭发生的事情，就好像你站在舰船上任意由你选择的位置一样。</t>
  </si>
  <si>
    <t>秘法门</t>
  </si>
  <si>
    <t>Arcane Gate</t>
  </si>
  <si>
    <t>你创造两个相连的传送门。指定地面上你能看见的两点，一点在你身边10尺内，另一点则在500尺内。随后，10尺直径的圆形传送门将分别在两点打开。如果你选择的点被生物占据，则法术失败且被消耗。
传送门边缘为闪烁的二维环形，其内布满迷雾，且整个垂直的悬浮在离地几尺处。环形只有一面可见（由你选择），那一面即是传送门生效的一面。
任何进入其中一个传送门的生物将从另一个传送门走出，如同两个传送门邻接一样。从传送门不生效的那一面走过则不会有任何效果。门中满布的迷雾阻挡了视线因此无法看到任何影像。你可以在自己的回合里使用一个附赠动作改变传送门的朝向。</t>
  </si>
  <si>
    <t>剑刃护壁</t>
  </si>
  <si>
    <t>Blade Barrier</t>
  </si>
  <si>
    <t>你立起一道由旋转的魔法利刃组成的墙。墙壁出现在施法距离内一个你指定的位置，并维持到法术持续时间结束。你可以选择创造长不过100尺、高不过20尺、厚不过5尺的直墙；或是直径不过60尺、高不过20尺、厚不过5尺的环形墙。墙为位于其后方的生物提供四分之三掩护。而墙体所占据的空间则视为困难地形。
任何生物在一个回合内第一次进入墙体区域，或者在区域内开始其回合时，必须进行一次敏捷豁免。豁免失败者将受到6d10点挥砍伤害。豁免成功则伤害减半。</t>
  </si>
  <si>
    <t>连锁闪电</t>
  </si>
  <si>
    <t>Chain Lightning</t>
  </si>
  <si>
    <t>一些毛皮，一块琥珀，玻璃或一柄水晶权杖，以及三根银质别针。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</si>
  <si>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每个目标必须进行一次敏捷豁免。豁免失败者将受到10d8点闪电伤害，豁免成功则伤害减半。
升环施法效应：使用七环或更高法术位施展该法术时，你使用的法术位每比六环高一环，跳跃后闪电就多分出一束射向一个不同的目标。</t>
  </si>
  <si>
    <t>死亡法阵</t>
  </si>
  <si>
    <t>Circle Of Death</t>
  </si>
  <si>
    <t>研磨过的黑珍珠粉末，价值至少500gp</t>
  </si>
  <si>
    <t>一阵负能量波从施法距离内某点放出，冲击60尺半径的球状区域。区域内的生物必须进行一次体质豁免。豁免失败者将受到8d6点黯蚀伤害，豁免成功则伤害减半。
升环施法效应：使用七环或更高法术位施展该法术时，你使用的法术位每比六环高一环，法术的伤害就增加2d6。</t>
  </si>
  <si>
    <t>召唤精类生物</t>
  </si>
  <si>
    <t>Conjure Fey</t>
  </si>
  <si>
    <t>你召唤一个挑战等级6或更低的精类生物，或者一个挑战等级6或更低的野兽形态精魄。被召唤生物显现在施法距离内一处你能看见且未被占据的空间。该精类生物在生命值降至0时，或者法术终止时消失不见。
被召唤的精类生物对你和你的伙伴保持友善关系。你为召唤出来的精类生物骰先攻，它也依此获得其自己的行动回合。该精类生物服从你发出的所有语言命令（不需要你作动作），前提是该命令必须不违反其所属阵营。如果你不发出任何命令，该生物会在敌对生物前保护自己，如果没有敌对生物则不执行任何动作。
如果你的专注被打断，该精类生物并不会因此消失不见，但你会因此失去该生物的控制权。失去控制的精类生物对你和你的伙伴变为敌对，并随时准备发动攻击。不受控的精类生物无法被你解散，并在你的召唤开始算起1小时后消失不见。
该精类生物的具体数值由DM掌控。
升环施法效应：使用七环或更高法术位施展该法术时，你使用的法术位每比六环高一环，召唤生物挑战等级就增加1。</t>
  </si>
  <si>
    <t>触发术</t>
  </si>
  <si>
    <t>Contingency</t>
  </si>
  <si>
    <t>一尊你自己的塑像，其材质为象牙并以宝石作装饰，其价值至少为1500gp</t>
  </si>
  <si>
    <t>选择一个你可以施展的五环或更低环阶法术，该法术的施法时间必须为1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一起施放可以确保水下呼吸可以在你被水或其他液体淹没时自动触发其效应。
随因法术的效应在相应状况第一次出现时立即生效，而无论你是否想要这么做，在这之后触发术终止。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</si>
  <si>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唤起死灵</t>
  </si>
  <si>
    <t>Create Undead</t>
  </si>
  <si>
    <t>一个装满坟土的陶壶和一个装满苦水的陶壶，并为每具尸体准备一枚150gp的黑玛瑙</t>
  </si>
  <si>
    <t>在施法距离内指定至多三具中型或小型类人生物遗体，并使每具受术尸体变成一只受你控制的食尸鬼（这些生物的具体游戏资料由DM掌控）。该法术只能在夜晚施展。
在你的任一回合内，你可以使用一个附赠动作并以精神命令操纵120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
被操纵的生物只会在24小时内服从你的命令。若你在当前的24小时时间段终止前再次施展此法术，则你对该生物的操纵时间再延长24小时。法术的此种用法只能延长你对至多三个你使用此法术所创造生物的控制时间，不会造出新的生物。
升环施法效应：使用七环法术位施展该法术时，你可以唤起或者维持四只食尸鬼。使用八环法术位施展该法术时，你可以唤起或维持五只食尸鬼，或者两只妖鬼，或者两个尸妖。当你使用九环法术位施展该法术时，你可以唤起或维持六只食尸鬼，或者三只妖鬼，或者三个尸妖，或者两个木乃伊。</t>
  </si>
  <si>
    <t>解离术</t>
  </si>
  <si>
    <t>Disintegrate</t>
  </si>
  <si>
    <t>一块磁石和一撮灰尘</t>
  </si>
  <si>
    <t>一束纤细的绿射线从你的指尖射向施法距离内一个你能看见的目标。该目标可以是一个生物或一个物件，或者是一个魔法力场（比如由力场墙创造的墙壁）。
目标生物必须进行一次敏捷豁免，豁免失败则受10d6+40点力场伤害，若目标生命值因此降至0，则目标被解离。
除魔法物品外，被解离的生物连同其穿着携带的所有随身物品一起变成一堆灰尘。此后该生物只能通过完全复生术和祈愿术复活。
此法术会直接解离大型或更小的非魔法物件或魔法力场。如果目标是巨型或更大的物件或魔法力场，则此法术会解离其10尺立方大小的部分。魔法物品不受此法术影响。
升环施法效应：使用七环或更高法术位施展该法术时，你使用的法术位每比六环高一环，伤害就提高3d6。</t>
  </si>
  <si>
    <t>卓姆吉瞬间召唤</t>
  </si>
  <si>
    <t>Drawmij's Instant Summons</t>
  </si>
  <si>
    <t>一枚价值1000gp的蓝宝石</t>
  </si>
  <si>
    <t>你触碰一个重量至多10磅，长度至多6尺的物件。该法术将在该物品表面留下一个隐形的印记，并在你用以施法的蓝宝石上留下该物件的名称。你每次施展该法术时都必须使用不同的蓝宝石作为其材料成分。
在随后的时间里，你可以使用动作唤出该物件的名称并粉碎这颗蓝宝石，该物件将无视任何距离和位面的限制立即出现在你的手上。物件出现后该随即法术终止。
如果另一个生物正持握或携带着该物件，则粉碎蓝宝石的动作无法将该物品传送过来。不过你会知晓是谁占有了该物品，以及其此刻身处的何处。
解除魔法或成功生效的类似效应作用于这颗蓝宝石时，将提前终止该法术。</t>
  </si>
  <si>
    <t>摄心目光</t>
  </si>
  <si>
    <t>Eyebite</t>
  </si>
  <si>
    <t>在法术持续时间内，你的眼睛变成充满恐怖力量的漆黑空洞。指定一个60尺内你能看见的生物，并迫使其进行一次感知豁免，豁免失败者将承受下列效应之一（由你选择）。在法术终止前的每个自己回合，你都可以使用动作来指定一个目标。不过不能指定那些已经成功通过该豁免的生物：
沉睡：目标陷入昏迷。其在受到伤害，或另一个生物使用动作摇晃它时，即可再次醒来。
惊慌：目标因你而恐慌，它必须在每个其自己回合里执行疾走动作并移动，且以最短、最安全的路径尽可能的逃离你，直至其无路可逃为止。如果目标移至离你60尺远且看不见你的地方，则法术效应终止。
患病：目标发动攻击检定和进行能力检定时具有劣势。目标在每个其自己回合结束时都可以进行另一个感知豁免，豁免成功则该效应终止。</t>
  </si>
  <si>
    <t>寻路术</t>
  </si>
  <si>
    <t>Find The Path</t>
  </si>
  <si>
    <t>一套占卜用具，比如骨头、象牙、卡片、牙齿、雕刻符文等，其价值至少为100gp，此外还需要一个来自你所寻找地点的物件</t>
  </si>
  <si>
    <t>该法术可以搜寻同一位面的另一处你熟悉的特定地点，法术会找出通往该处最短、最直接的道路。如果你寻找的目的地在另一位面，或者其会不断移动（例如一座移动堡垒），或者描述不够具体（例如一个“绿龙的巢穴”），该法术失效。
你在法术持续时间内只要和目的地在同一位面，就知晓目的地的远近和所在方向。向目的地移动并遇到岔路时，你会本能的选择通往目的地最近、最直接的路（但不一定最安全）。</t>
  </si>
  <si>
    <t>石化术</t>
  </si>
  <si>
    <t>Flesh To Stone</t>
  </si>
  <si>
    <t>一小撮石灰、水和土壤</t>
  </si>
  <si>
    <t>你尝试将施法距离内一个你能看见的生物变为石头。如果该目标的身体由血肉组成，则其必须进行一次体质豁免。豁免失败者的肉体将变得生硬并因此而受到束缚。豁免成功者将不受该效应的影响。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如果该生物被石化的身体遭破坏，则其在恢复原形时将遭受同样的破坏。
如果你在为该法术维持了最长持续时间的专注，则该生物变为石头的效应将保持至被移除为止。</t>
  </si>
  <si>
    <t>禁制术</t>
  </si>
  <si>
    <t>Forbiddance</t>
  </si>
  <si>
    <t>少量圣水，稀有焚香，以及至少价值1000gp的红宝石粉末</t>
  </si>
  <si>
    <t>你创造一个对抗魔法旅行的结界，该结界区域至多覆盖40000平方尺地面及其上30尺高空。在法术持续时间内，生物无法传送进区域内或使用传送门（诸如法术异界之门的作用）进入其内。该法术使该区域无法进行位面旅行，因此生物无法通过星界位面，以太位面，妖精荒野，堕影冥界，或是通过法术异界传送来连接该区域。
此外，该法术可以对你所选定类别的生物造成伤害。从一下选项中选择一项或多项：天界生物、元素生物、精类生物、邪魔以及不死生物。所选定生物在一个回合内第一次进入法术区域或者在其内开始其回合时，将受到5d10点光耀伤害或黯蚀伤害（由你在施法时选择其一）。
施展该法术时，你可以设定一段密语。说出密语的生物就算进入区域也不会受到该法术的伤害。
该法术的效应区域不能与另一个禁制术的区域相重叠。你可以通过对同一区域连续30日每日施展禁制术来使其效应持续至被解除，并在最后一次施法时将该法术对材料成分消耗殆尽。</t>
  </si>
  <si>
    <t>法术无效结界</t>
  </si>
  <si>
    <t>Globe Of Invulnerability</t>
  </si>
  <si>
    <t>一个玻璃质或水晶质的珠子，其将在法术终止时破碎</t>
  </si>
  <si>
    <t>一个固定的微光屏障从你周围半径10尺区域内涌现并在法术持续时间内维持存在。
任何在屏障外施放的五环或更低环阶的法术无法影响其内的生物或物件，这些法术即使以升环施法施展也无法突破该限制。这些法术可以以屏障内的生物或物件为目标，但无法对其生效。其效果有如屏障内的区域被排除在法术效应范围之外。
升环施法效应：当你使用七环或更高法术位施展该法术时，你使用的法术位每比六环高一环，屏障能阻挡的法术就高一环。</t>
  </si>
  <si>
    <t>铜墙铁壁</t>
  </si>
  <si>
    <t>Guards And Wards</t>
  </si>
  <si>
    <t>燃烧的熏香，少许硫磺和油，一条打结的绳子，少量土巨怪的血和一把至少价值10gp的小型银权杖</t>
  </si>
  <si>
    <t>你制造一个保护区域覆盖至多2500平方尺地面面积（一个50尺的方形区域，或一百个5尺的方状区域，或二十五个10尺的方形区域）。保护区域至高可达20尺，并随你的意愿塑形。只要你施法时可以走进每一个连续区域，你就可以分割区域来护卫一座要塞的几个楼层。
施展该法术时，你可以指明特定个体以让其不受法术某些或全部效应的影响。你还可以指明一句口令，当其被大声说出时，即可让说出口令的人对这些效应免疫。
铜墙铁壁在保护区域内创造下列效应：
过道：浓雾充斥受保护的过道使其处于重度遮蔽。此外，除你以外的生物在过道上遇到需要选择方向的分叉路口时，有50%机会误认错的方向为正确的前进方向。
门：所有保护区域内的门都以魔法上锁，等同于使用法术秘法锁封门。此外，你还可以用一个幻象掩盖至多10扇门（相当于法术次级幻影的虚幻物件效果）来让其看起来有如平整的墙面。
楼梯：蛛网从上到下布满了保护区域内的楼梯，等同于法术蛛网术web的效应。铜墙铁壁法术持续时，即使这些蛛网被焚烧或撕毁，也可以在10分钟后重生。
其他法术效应。你可以在要塞的保护区域内布置你指定的下列魔法效应之一：
在四条走廊布置舞光术你可以安排一个简单的灯光舞动程序，使其在铜墙铁壁法术持续时反复运作。
在两个地点布置魔嘴术。
在两个地点布置臭云术。其云雾显现在由你安排的位置。在铜墙铁壁法术持续时，即使其云雾被风吹散也会在10分钟后重新生成。
在一条走廊或一个房间布置一个持续存在的造风术。
在一个地点布置一个暗示术。你指定一个至多5尺的方状区域，任何进入或穿过该区域的生物将受到法术的精神暗示。
整个保护区域辐射着魔法。对某个特定效应施展解除魔法时，如果法术成功则移除该特定效应。
当你在一年里对同一处每日连续施展该法术后，将创造出一个永久的铜墙铁壁效果。</t>
  </si>
  <si>
    <t>重伤术</t>
  </si>
  <si>
    <t>Harm</t>
  </si>
  <si>
    <t>你将致命的病害释放到施法距离内一个你能看见的生物身上。目标必须进行一次体质豁免，豁免失败则受到14d6的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恢复至正常值。</t>
  </si>
  <si>
    <t>医疗术</t>
  </si>
  <si>
    <t>Heal</t>
  </si>
  <si>
    <t>指定施法距离内一个你能看见的生物。汹涌澎湃的正能量将充盈该生物，使其恢复70点生命值。该法术也会终止正在影响目标的目盲、耳聋以及任何疾病效应。该法术对构装体与不死生物无效。
升环施法效应：使用七环或更高法术位施展该法术时，你使用的法术位每比六环高一环，治疗量就增加10点。</t>
  </si>
  <si>
    <t>英雄宴</t>
  </si>
  <si>
    <t>Hero's Feast</t>
  </si>
  <si>
    <t>一个价值至少1000gp的镶饰宝石的碗，作为该法术的耗材</t>
  </si>
  <si>
    <t>你创造出一席盛宴，其中包括了上等的食物和饮品。宴席需要1小时来享用，并会在这段时间结束后消失不见，而且下述增益效应在该小时结束前不会生效。你可以让至多十二个生物一同分享该大餐。
所有享用了大餐的生物都会获得几种增益。这些生物的所有疾病和中毒状态都会被治愈，并且免疫毒素和恐慌状态，其进行感知豁免时具有优势，生命值上限也将提高2d10点，并获得等量的生命值。这些增益将持续24小时。</t>
  </si>
  <si>
    <t>魔魂壶</t>
  </si>
  <si>
    <t>Magic Jar</t>
  </si>
  <si>
    <t>一块宝石或水晶，或者一个圣物匣，又或者他带装饰的容器，其价值不能低于500gp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</si>
  <si>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尺的距离，或者回到你仍活着的身体中去（并终止该法术），或者尝试占据另一个类人生物的身体。
你可以附身于任何距你100尺内你能看见的类人生物（受法术防护善恶或防护法阵所保护的生物无法被附身）。该目标必须进行一次魅力豁免。豁免失败，则你的灵魂进入目标的身体，而目标的灵魂被困在容器中；豁免成功，则目标抵抗了你的附身，而随后的24小时内你将无法再次尝试附身该生物。
附身成功后，目标生物的身体将由你控制。你的游戏资料将替换为该生物的属性数据，不过你将保留自己的阵营以及智力、感知、魅力属性值。你的职业特性增益也会在附身时维持，但你无法使用目标可能具有的任何职业特性。
此外，被附身生物的灵魂可以用它自己的感官从容器内部观察外部，但它既不能移动也不能使用动作。
附身于一具躯体时，如果容器处在你身边100尺内，则你可以用一个动作从宿主的身体回到容器中，并让宿主的灵魂回到它自己的身体里。在你处于宿主的身体中时，如果宿主的身体死亡，则你必须进行一次对抗该法术豁免DC的魅力豁免。豁免成功且容器距你不超过100尺时，你回归容器内。豁免失败则即时死亡。
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
该法术终止时，其容器将随之被摧毁。</t>
  </si>
  <si>
    <t>群体暗示术</t>
  </si>
  <si>
    <t>Mass Suggestion</t>
  </si>
  <si>
    <t>一条蛇的舌头外加一小块蜂窝或一滴橄榄油</t>
  </si>
  <si>
    <t>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升环施法效应：使用七环法术位施展该法术时，持续时间变为10日。使用八环法术位施展该法术时，持续时间变为30日。使用九环法术位施展该法术时，持续时间变为一年零一日。</t>
  </si>
  <si>
    <t>地动术</t>
  </si>
  <si>
    <t>Move Earth</t>
  </si>
  <si>
    <t>一把铁刃以及一个小袋子，袋内装着黏土、壤土、砂土等混成的泥土</t>
  </si>
  <si>
    <t>指定施法距离内边长不大于40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尺方状区域，则你可以创造一根至多20尺高的立柱，将地面升高或降低至多20尺，挖一条至多20尺深的壕沟，等等。这些改变需要花10分钟的时间来完成。
每为法术维持10分钟专注，你都可以选择一片新的地形区域再施以影响。
由于地形的变化发生得很缓慢，区域内的生物通常不会被地面的移动困住或者受伤。
该法术无法改变天然的岩石或石制建筑。但石头和建筑仍会因适应地形的变化而被改变。如果你改变地形的方式会使得建筑不稳定，则它有可能倒塌。
此外，该法术也无法直接影响植物生长。而被移走的土壤会带走任何生长在其上的植物。</t>
  </si>
  <si>
    <t>欧提路克冰封法球</t>
  </si>
  <si>
    <t>Otiluke's Freezing Sphere</t>
  </si>
  <si>
    <t>一个小水晶球</t>
  </si>
  <si>
    <t>一个冷冻能量形成的冰球从你的指尖射向施法距离内一处指定点，并在该处迸裂为一个半径60尺的球状区域。区域内的每个生物必须进行一次体质豁免。豁免失败者将受到10d6点冷冻伤害。豁免成功则伤害减半。
如果冰球击中某处水体或者某处以水分为主的液态表面（不包括由水组成的生物），其触及的水面将凝结出6寸厚、30尺宽的方形冻结区域。任何在其中游泳的生物将被冰面所困。受困的生物可以用一个动作进行一次对抗法术豁免DC的力量检定以破冰挣脱。
你可以在完成该法术后延迟发射冰。此时你手上将形成一个弹丸般大小，摸起来感觉冰冷的小冰球。你或者任意从你手上获得冰球的生物可以随时将冰球投出去（以40尺射程）或者用投石索将其弹射出去（以投石索的正常射程），并以冲击将其打破再产生正常施法时相同的效应。你还可以将冰球设置好，然后使其在不需要打破的情况下维持1分钟后自动迸裂。
升环施法效应：使用七环或更高法术位施展该法术时，你使用的法术位每比六环高一环，其伤害就增加1d6。</t>
  </si>
  <si>
    <t>奥图迷舞</t>
  </si>
  <si>
    <t>Otto's Irresistible Dance</t>
  </si>
  <si>
    <t>指定施法距离内一个你能看见的生物，并使目标生物会在原地跳起滑稽的舞蹈：它将在持续时间内不住的曳步、踏脚和蹦跳。不会被魅惑的生物将免疫该法术。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</si>
  <si>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异界誓盟</t>
  </si>
  <si>
    <t>Planar Ally</t>
  </si>
  <si>
    <t>你祈求一个异界个体的援助。你必须对该存在个体有所了解，它可以是一个神祗，一位原祖，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选择）。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粗略计算，一个可以按分钟计算的任务需要每分钟100gp的报酬。一个可以按小时计算的任务需要每小时1000gp的报酬。一个可以按日计算的任务（至多10日）需要每日10000gp的报酬。DM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生物完成任务后，或当协议服务时间结束后，如果任务合适并在可能的情况下，生物会在回来向你报告后再返回自己的家乡位面。如果你不能同意生物的服务价格，则其将立即返回其家乡位面。
应召加入你队伍的生物算作队伍成员，并正常分享获得的经验值。</t>
  </si>
  <si>
    <t>预置幻影</t>
  </si>
  <si>
    <t>Programmed Illusion</t>
  </si>
  <si>
    <t>一点羊毛和价值至少25gp的翡翠粉末</t>
  </si>
  <si>
    <t>你在施法距离内创造一个幻象，其外观为一个物件，一个生物或其他可视的现象，并使其在特定情况下激活。该幻象在被激活前无法被察觉。它必须不大于30尺立方区域，而你将在施放该法术时决定幻象该如何行动和发出什么声音。而这种按脚本执行的表演可以持续至多5分钟。
你所指定的情况发生时，幻象会迅速成型并按设定的方式表演。表演结束后，幻象将消失并潜伏10分钟。这段时间过后，幻象就可以再次被激活。
触发幻象的情况可以是一般事件，也可以按你的要求进行细化，但是它必须是发生在目标区域周边30尺范围内的能看到或听到的状况。例如，你可以制造一个自己的幻象，在其他人试图打开一扇设置了陷阱的门时出现并发出警告，或者你也可以设置一个在生物说出正确单词或短语才触发的幻象。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</si>
  <si>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阳炎射线</t>
  </si>
  <si>
    <t>Sunbeam</t>
  </si>
  <si>
    <t>一面放大镜</t>
  </si>
  <si>
    <t>一道耀眼的光芒从你手中射出并形成一条5尺宽、60尺长的线状区域。所有区域内的生物必须进行一次体质豁免。豁免失败者将受到6d8点光耀伤害，并且在你的下一回合前陷入目盲。豁免成功则伤害减半，且不会陷入目盲。不死生物和泥怪在进行该豁免时具有劣势。
你可以在法术终止前的任一回合内以一个动作重新创造一道线状光芒。
在法术持续时间内，你的手中一点散发出耀眼的光芒。其光耀为周围提供30尺的明亮光照，以及该范围外30尺的微光光照。这些光芒均视为等同于阳光。</t>
  </si>
  <si>
    <t>木遁术</t>
  </si>
  <si>
    <t>Transport Via Plants</t>
  </si>
  <si>
    <t>该法术将施法距离内一棵大型或更大的静态植物用魔法与同位面上任意距离外的另一棵植物相连接。施法时，你必须见过或触碰过出口植物至少一次。此后，任何生物都可以在法术持续时间内花费5尺移动力进入目标植物内，然后从出口植物处出来。</t>
  </si>
  <si>
    <t>真知术</t>
  </si>
  <si>
    <t>True Seeing</t>
  </si>
  <si>
    <t>由蘑菇粉、藏红花和油脂制成得眼药膏，价值为25gp，作为该法术的耗材</t>
  </si>
  <si>
    <t>你触碰一个自愿的生物，让该法术赋予其看到事物真实面目的能力。受术者在法术持续时间内拥有120尺的真实视觉，其能发现被魔法隐藏的暗门，也能看到以太位面。</t>
  </si>
  <si>
    <t>冰墙术</t>
  </si>
  <si>
    <t>Wall Of Ice</t>
  </si>
  <si>
    <t>一小块石英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</si>
  <si>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如果冰墙形成时穿过了某生物所占据的空间，则该生物会被推到冰墙的一侧且必须进行一次敏捷豁免。豁免失败者将受到10d6点冷冻伤害，豁免成功则伤害减半。
作为一个物件，冰墙可以因受到伤害而被打破。冰墙的AC为12，每段10尺长的冰墙有30点生命值，而且冰墙对火焰伤害具有易伤。当一段10尺长的冰墙的生命值降至0时，这段冰墙就会被摧毁，但原地会留下一片冰冷刺骨的空气。生物在一个回合内第一次通过这片寒气时，必须进行一次体质豁免。豁免失败者将受到5d6的冷冻伤害，成功则伤害减半。
升环施法效应：使用七环或更高法术位施展该法术时，你使用的法术位每比六环高一环，冰墙出现时造成的伤害就增加2d6，并且通过寒气时受到的伤害也增加1d6。</t>
  </si>
  <si>
    <t>棘墙术</t>
  </si>
  <si>
    <t>Wall Of Thorns</t>
  </si>
  <si>
    <t>一把荆棘</t>
  </si>
  <si>
    <t>你创造出一面坚韧、纠缠、长满锐利棘刺的灌木之墙。棘墙出现在施法距离内一处坚实的地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棘墙出现时所有位于其内的生物要进行一次敏捷豁免。豁免失败者将受到7d8点穿刺伤害，豁免成功则伤害减半。
生物可以移动穿过棘墙，但这是个十分缓慢且痛苦的过程。生物在棘墙中每移动1尺要消耗4尺的移动力。另外，生物在一个回合内第一次进入棘墙或在棘墙里结束其回合时，必须进行一次敏捷豁免。豁免失败者将受到7d8点挥砍伤害，豁免成功则伤害减半。
升环施法效应：使用七环或更高法术位施展该法术时，你使用的法术位每比六环高一环，两种类型的伤害就都增加1d8。</t>
  </si>
  <si>
    <t>御风而行</t>
  </si>
  <si>
    <t>Wind Walk</t>
  </si>
  <si>
    <t>明火和圣水</t>
  </si>
  <si>
    <t>你和施法距离内你能看见的至多十个自愿生物在法术持续时间内变为气化形态，其外观有如一团云雾。处于该云雾形态的生物具有300尺的飞行速度，并且对非魔法武器造成的伤害具有抗性。该形态下的生物除疾走和变回原形以外不能执行其他动作。变回原形需要花一分钟的时间，在这段时间内该生物处于失能状态且不能移动。在法术终止前，该生物还可以再次变成云雾形态，而再次进行变形同样要花一分钟时间。
如果法术终止时受术生物正以云雾形态飞行，则该生物将在1分钟内以每轮60尺的速度降落直至安全着陆。如果该生物降落1分钟后还没着陆，则在余下的距离中它将会如正常情况一样坠落。</t>
  </si>
  <si>
    <t>回返真言</t>
  </si>
  <si>
    <t>Word Of Recall</t>
  </si>
  <si>
    <t>你和你身边5尺内的至多五个自愿生物一起瞬间传送到一个你事先设置好的避难所。你和与你一起传送的生物将出现在你准备避难所时指定的地点旁边最近的未被占据位置。如果你在施放法术前没有事先准备好避难所，则该法术将不产生任何效应。
设置避难所时，你必须身处一个你所信仰神祇的神庙或与该神祇密切相关的地点，然后在该处施展此法术。如果你试图在一个并不供奉你所信仰神祇的地方施展此法术，则该法术将不产生任何效应。</t>
  </si>
  <si>
    <t>地之骨</t>
  </si>
  <si>
    <t>Bones Of The Earth</t>
  </si>
  <si>
    <t>你令距离内你能看见的地面处升起六根石柱。每根石柱为直径5尺，高度至多30尺的圆柱。升起石柱的地表必须具有足以容纳其直径的空间，你可以以一个体型不超过中型的生物的脚下作为目标。每根石柱的AC为5，具有30HP。当其HP被降为0时，石柱将变为碎石，在10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事物因为天花板或其他障碍未能达到其最大高度，在石柱上的生物受到6d6钝击伤害，并被束缚，在石柱与障碍物间动弹不得。被束缚的生物可以以一个动作来进行一次力量或敏捷检定（由该生物选择），对抗此法术的豁免检定DC。若成功，该生物不再被束缚，必须选择从石柱上移动下来或摔落下来。
升环施法效应：当你使用七环或更高的法术位施放该法术时，使用的法术位每高一环，你便能额外升起两根石柱。</t>
  </si>
  <si>
    <t>创造小人</t>
  </si>
  <si>
    <t>Create Homunculus</t>
  </si>
  <si>
    <t>价值1000gp的镶嵌宝石的匕首</t>
  </si>
  <si>
    <t>黏土，灰尘，曼德拉草根，以上材料作为该法术的耗材</t>
  </si>
  <si>
    <t>说出复杂咒语的同时，你用一把镶嵌宝石的匕首刺穿自己，并受到不能被任何方式降低的2d4穿刺伤害。随后你将血液滴落在法术的其他成分上并接触它们，将它们转变为一种名为造妖的特殊构装体。
造妖的数据参见怪物图鉴。它是你的忠实伙伴，并且会随着你死亡。每次你完成一次长休息，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息时还原，在那之前你的最大生命降低效果不能被移除，除非你的造妖死亡。
同一时间你只能拥有一只造妖。如果你在你的造妖还存活时施展，法术将会失败。</t>
  </si>
  <si>
    <t>德鲁伊林地</t>
  </si>
  <si>
    <t>Druid Grove</t>
  </si>
  <si>
    <t>一个在满月之光下以黄金镰刀收割的槲寄生，作为该法术的耗材</t>
  </si>
  <si>
    <t>你呼唤自然之灵来守护一块户外区域或者是地底。这片区域最小为边长30尺的立方体，最大则可达边长90尺的立方体。建筑物和其他构造物会被排除在受影响区域外。如果你在一年内每天对同一区域施展这个法术，法术将持续到被解除。
法术将在区域内产生如下效果。当你施展这个法术时，你可以指定生物作为友伴免疫这些效果。你也可以指定一个口令，大声说出口令的人也同样免疫这些效果。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纠缠灌木：你可以在没有被填充雾气的地面上分布纠缠的藤蔓和杂草填充任意数量的5尺方格，如同它们受到了纠缠术的影响。对免疫这个效果的生物而言这些野草和藤蔓都是柔软的，甚至可以重塑形态成为临时的座椅和床铺
林地守卫：你可以活化区域内最多四棵树木，使它们从地面上拔根而起。这些树木与怪物图鉴中的启蒙树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额外法术效果：你可以从以下魔法效果中选择其一放置在被保护的区域：
在你选择的两个位置布置持续的造风术效果。
在你选择的一个位置布置荆棘丛生效果。
在你选择的两个位置布置风墙术效果。
对免疫这个效果的生物而言，风是带着芳香的微风，而布置荆棘丛生的区域是无害的。</t>
  </si>
  <si>
    <t>炽焰赋权</t>
  </si>
  <si>
    <t>Investiture Of Flame</t>
  </si>
  <si>
    <t>火焰环绕着你的身体，照亮周围30尺半径的区域，并在外围30尺范围内产生微弱的亮光。这些火焰不会伤害到你。直到此法术终结，你得到如下的好处：
你免疫于火焰伤害并对冷冻伤害具有抗力。
任何在回合中第一次进入你周围5尺范围之内，或是在你周围5尺范围之内结束回合的生物受到1d10火焰伤害。
你可以使用你的动作以创造出一条以你为起始点，向由你选择的方向延伸的15尺长、5尺宽的火线。在线中的每个生物都必须进行一次敏捷豁免检定。豁免失败的生物受到4d8火焰伤害，豁免成功者受到上述伤害的一半。</t>
  </si>
  <si>
    <t>寒冰赋权</t>
  </si>
  <si>
    <t>Investiture Of Ice</t>
  </si>
  <si>
    <t>直到此法术终结，寒冰浸沐了你的躯体，你得到如下好处：
你免疫冷冻伤害，并对火焰伤害具有抗力。
你可以在由冰或雪形成的困难地形上移动而无需额外消耗移动力。
以你为中心，周围10尺半径的区域被冻结了，对于你之外的生物而言，其被视为困难地形。此范围会随着你移动而移动。
你可以使用你的动作以创造出一道15尺的寒风锥，以你张开的手为起始点，向由你选择的任意方向延伸。在锥内的每个生物均必须进行一次体质豁免检定。检定失败则受到4d6寒冷伤害，若成功则受到上述伤害的一半。在对抗此效应的豁免检定中失败的生物，直到你的下个回合开始，其速度减半。</t>
  </si>
  <si>
    <t>磐石赋权</t>
  </si>
  <si>
    <t>Investiture Of Stone</t>
  </si>
  <si>
    <t>直到法术终结，岩石颗粒布满了你的躯体，你得到如下好处：
你对于来自非魔法攻击的钝击，穿刺和挥砍伤害得到抗力。
你可以使用你的动作，在以你为中心周围15尺半径的地表创造出一阵小型地震。在地表上的其他生物必须通过一次敏捷豁免检定，否则会摔倒。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处于震慑状态。</t>
  </si>
  <si>
    <t>清风赋权</t>
  </si>
  <si>
    <t>Investiture Of Wind</t>
  </si>
  <si>
    <t>直到此法术终止，风在你的身旁回旋，而你得到下述好处：
对你进行的远程武器攻击，在其攻击检定中具有劣势。
你得到60尺的飞行速度。若此法术终止时，你仍处于飞行状态，你会坠落，除非你有其他方法避免坠落。
你可以使用你的动作以在你60尺范围内，以你能看到的一点为中心，制造出15立方尺的呼啸之风。每个在该空间内的生物必须进行一次体质豁免检定。豁免失败的生物受到2d10钝击伤害，豁免成功者受到上述伤害的一半。若体型不超过大型的生物在此豁免中失败。该生物将在远离该空间中心的方向上被推离10尺。</t>
  </si>
  <si>
    <t>精神监狱</t>
  </si>
  <si>
    <t>Mental Prison</t>
  </si>
  <si>
    <t>你试图将目标生物束缚在一个只有他自己能感知的幻觉牢房中。在距离内你可见的一个生物必须进行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</si>
  <si>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原初守护</t>
  </si>
  <si>
    <t>Primordial Ward</t>
  </si>
  <si>
    <t>你在本法术的持续时间内具有对强酸，寒冷，火焰，闪电和雷鸣伤害的抗力
当你收到上述类型之一的伤害时，你可以使用你的反应来得到对该种类型伤害的免疫，这包括了对触发此效果的伤害。若你如此做，则抗力效果结束，而你在直到你的下个回合结束前具有对应的免疫，之后此法术终结。</t>
  </si>
  <si>
    <t>散射术</t>
  </si>
  <si>
    <t>Scatter</t>
  </si>
  <si>
    <t>你选择距离之内最多5个可见生物，震颤的空气将环绕他们周围。一个非自愿的生物必须成功进行感知豁免检定来抵抗这个法术。你将每个受影响的生物传送至120尺内任意你可以看见且未被占据的空间。这个空间必须在地面上或在地板上。</t>
  </si>
  <si>
    <t>灵魂牢笼</t>
  </si>
  <si>
    <t>Soul Cage</t>
  </si>
  <si>
    <t>1反应，当你看见60尺内类人生物死去时执行</t>
  </si>
  <si>
    <t>一个价值100gp的银笼子</t>
  </si>
  <si>
    <t>这个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窃取生命：你可以用一个附赠动作从灵魂中吸取活力并恢复2d8生命值。
灵魂质问：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借鉴经验：你可以使用一个附赠动作让灵魂的人生经验来支撑你，令你的下一次攻击检定，能力检定和豁免检定具有优势。如果在你的下个回合开始之前你没有使用这个增益，它将会丢失。
亡者之眼：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能看到这个传感器的生物（例如使用了识破隐形法术或是拥有真实视觉）将会看到被你关在笼中的受难者半透明的影像。</t>
  </si>
  <si>
    <t>谭森变形术</t>
  </si>
  <si>
    <t>Tenser'S Transformation</t>
  </si>
  <si>
    <t>一缕公牛毛发</t>
  </si>
  <si>
    <t>你以魔法为燃料赋予自己耐久和武艺。直到法术结束之前，你不能施展法术，并且得到如下增益：
你得到50点临时生命。如果这些临时生命保持到了法术结束，它们会失去
你在使用简易或军用武器时，攻击检定具有优势。
当你用武器攻击击中一个目标，它将受到额外2d12力场伤害。
你熟练于所有盔甲，盾牌，简易武器和军用武器。
你熟练于力量豁免和体质豁免。
当你在自己的回合采取攻击动作时，你可以攻击两次而非一次。如果已经有类似的能力给予你额外攻击，例如额外攻击，你无视这项增益。
在法术结束时你需要立即成功通过一次DC15的体质豁免检定，否则将承受一级力竭。</t>
  </si>
  <si>
    <t>重力分裂</t>
  </si>
  <si>
    <t>Gravity Fissure</t>
  </si>
  <si>
    <t>一把铁料</t>
  </si>
  <si>
    <t>你以自身为原点咒现出一条长100尺，宽5尺的重力能量。。所有在线上的生物需要进行一个体质豁免，若失败，则受到8d8点力场伤害，若豁免成功则受到一半伤害。
所有距离这条线10尺或以内但不在线当中的生物需要通过一个体质豁免，若失败则受到8d8点力场伤害并且会被拉向线的区域中。
升环施法效应。当你使用七环或更高环位的法术位施展该法术时，每比六环高出一环的法术位能使该法术的伤害增加1d8。</t>
  </si>
  <si>
    <t>邪魔召唤术</t>
  </si>
  <si>
    <t>Summon Fiend</t>
  </si>
  <si>
    <t>装有类人生物血液的红宝石瓶，价值至少600gp</t>
  </si>
  <si>
    <t>你唤来一个邪魔灵魄。其在施法距离内你可见的一个未占据位置化为实体。这一实体使用下面的精类灵魄的数据。当你施展法术时，从恶魔，魔鬼或尤格罗斯魔中选择一种。此生物外形如同你所选择类型的邪魔，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升环施法效应：使用七环或更高法术位施展该法术时，该生物数据中使用更高的法术环数。
邪魔灵魄
大型邪魔
AC：12+法术等级(天生护甲)
HP：50（仅限恶魔）或40（仅限魔鬼）或60（仅限尤格罗斯魔）+15每比六环高的法术等级
速度：40尺，攀爬40尺（仅限恶魔），飞行60尺（仅限魔鬼）
力量，敏捷，体质，智力，感知，魅力
13[+1]，16[+3]，15[+2]，10[+0]，10[+0]，16[+3]
伤害抗性：火焰
伤害免疫：毒素
状态免疫：中毒
感官：黑暗视觉60尺，被动察觉10
语言：深渊语，炼狱语，心灵感应60尺
熟练加值与你相等
焚身爆（仅限恶魔）：邪魔生命值降为0时或法术结束时将爆炸，其周围10尺内每个生物必须进行一次敏捷豁免对抗你的法术豁免DC，豁免失败则将受到2d10+法术环位的火焰伤害，豁免成功则伤害减半。
魔鬼视界（仅限魔鬼）：魔法黑暗不会阻碍邪魔的黑暗视觉。
魔法抗性：邪魔为抵抗法术和其他魔法效应而作的豁免检定具有优势。
动作：
多重攻击：邪魔发动等同于法术环数一半的次数的攻击（向下取整）。
啃咬（仅限于恶魔）：近战武器攻击：命中+你的法术攻击调整值，触及5尺，单一目标。伤害：1d12+3+法术环数的黯蚀伤害。
爪击（仅限于尤格罗斯魔）：近战武器攻击：命中+你的法术攻击调整值，触及5尺，单一目标。伤害：1d8+3+法术环数的挥砍伤害。发动攻击后，邪魔可以魔法性地传送至一处30尺内其可见且未被占据的空间。
投掷烈焰（仅限于魔鬼）：远程法术攻击：命中+你的法术攻击调整值，射程150尺，单一目标。伤害：2d6+3+法术环数的火焰伤害。如果目标时未被着装或携带的可燃物件，则将被点燃。</t>
  </si>
  <si>
    <t>塔莎超凡形态</t>
  </si>
  <si>
    <t>Tasha's Otherworldly Guise</t>
  </si>
  <si>
    <t>一件的镶嵌有外层位面标记的物件，价值至少500gp</t>
  </si>
  <si>
    <t>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当你在自己的回合进行攻击动作时，你可以攻击两次而非一次。如果已经有类似的能力给予你额外的攻击次数，例如额外攻击，你无视这项增益。</t>
  </si>
  <si>
    <t>费茨本铂金盾</t>
  </si>
  <si>
    <t>Fizban's Platinum Shield</t>
  </si>
  <si>
    <t>一枚镀上铂金的龙鳞，价值至少500金币</t>
  </si>
  <si>
    <t>你创造一道闪着银光的力场，环绕在施法距离内你所选择的一个生物周围（你可以选择你自己）。该力场散发5尺微光光照。被力场保护的生物获得以下好处：
掩护：该生物具有半身掩护。
伤害抗力：该生物获得对强酸，寒冷，火焰，闪电以及毒素伤害的抗性。
反射闪避：如果该生物受到可以由成功通过敏捷豁免来使伤害减半的效应影响，该生物在成功通过豁免时改为不受任何伤害，失败则受到一半伤害。
在之后的回合内以一个附赠动作，你可以将该力场移动至力场周围60尺内的另一个生物身上。</t>
  </si>
  <si>
    <t>召唤天界生物</t>
  </si>
  <si>
    <t>Conjure Celestial</t>
  </si>
  <si>
    <t>你召唤一个挑战等级4或更低的天界生物，并使其显现在施法范围内一处你能看见且未被占据的空间。该天界生物在生命值降至0时，或者法术终止时消失不见。
被召唤的天界生物对你和你的伙伴保持友善关系。你为召唤出来的天界生物骰先攻，它也依此获得其自己的行动回合。该天界生物服从你发出的所有语言命令（不需要你作动作），前提是该命令必须不违反其所属阵营。如果你不发出任何命令，该生物会在敌对生物前保护自己，如果没有敌对生物则不执行任何动作。
该天界生物的具体数值由DM掌控。
升环施法效应：使用九环法术位施展该法术时，你将召唤一个挑战等级5或者更低的天界生物。</t>
  </si>
  <si>
    <t>延迟爆裂火球</t>
  </si>
  <si>
    <t>Delayed Blast Fireball</t>
  </si>
  <si>
    <t>一颗蝙蝠粪和硫磺混合的小球</t>
  </si>
  <si>
    <t>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尺内的每个生物都必须进行一次敏捷豁免。豁免失败者将承受全部累积的火焰伤害，豁免成功则伤害减半。
该法术的基础伤害为12d6。如果你在回合结束时，珠子尚未引爆，则其伤害增加1d6。
如果珠子爆炸前被生物触碰到，则该生物必须进行一次敏捷豁免。豁免失败则法术立即终止并触发爆炸效应。豁免成功则该生物可将珠子抛开至多40尺。当珠子被生物或固态物件撞击时，法术立即终止并且触发爆炸效应。
火焰伤害区域内没被着装携带的易燃物品将被烈焰点燃。
升环施法效应：使用八环或更高法术位施展该法术时，你使用的法术位每比七环高一环，基础伤害就提高1d6。</t>
  </si>
  <si>
    <t>圣言术</t>
  </si>
  <si>
    <t>Divine Word</t>
  </si>
  <si>
    <t>你吟诵一句神圣的箴言，其中充盈了创世黎明的力量。在施法距离内指定任意数量的你能看见的生物，并迫使每个能够听到圣言的生物进行一次魅力豁免。豁免失败者基于其当前生命值承受以下效应：
生命值为50或更少：耳聋1分钟。
生命值为40或更少：耳聋并目盲10分钟。
生命值为30或更少：耳聋、目盲并被震慑1小时。
生命值为20或更少：即死。
对于受术的天界生物、元素生物、精类生物或邪魔，其豁免失败时不需考虑其当前生命值，并直接将其遣返回其原属位面（本来就处于原属位面则无效）。在随后24小时内，该生物不能通过任何方式回到当前位面，除非使用祈愿术的效应。</t>
  </si>
  <si>
    <t>以太化</t>
  </si>
  <si>
    <t>Etherealness</t>
  </si>
  <si>
    <t>你进入当前所处位面与以太位面边缘的重叠空间。你可以在法术持续时间内一直呆在该以太边缘，也可以使用动作解除法术。此时你可以向任意方向移动。如果向上或向下移动，则你移动的每尺距离需要额外消耗一尺的移动力。你可以看见并听见你原来的位面，但是所有事物都以灰度显示，而你也看不到60尺外的东西。
在以太位面时，只有同样处在以太位面的其他生物才能被你影响或影响你。不在以太位面的生物无法察觉你，也无法与你互动，除非其具相应的特殊能力或魔法。
你将无视所有不在以太位面的物品和效应，这使你可以穿越你能看见的原属位面物件。
法术终止时，你立刻回到原本所在的位面，占据当前所在的空间位置。如果你的位置已经有一件固体的物件或一个生物，则你立刻被转移到最近一处你可占据而未被占据的空间位置，并受到两倍于你移动尺数的力场伤害。
如果你正处于以太位面，或所在位面与以太位面不相连（比如某个外层位面），则该法术无效。
升环施法效应：使用八环或更高法术位施展该法术时，你使用的法术位每比七环高一环，你就可以多指定三个自愿生物作为法术目标（包括你在内）。这些生物在你施法时必须在你10尺内。</t>
  </si>
  <si>
    <t>死亡一指</t>
  </si>
  <si>
    <t>Finger Of Death</t>
  </si>
  <si>
    <t>你发出负能量并贯穿施法距离内你能看见的一个生物使其承受苦痛。该生物必须进行以此体质豁免。豁免失败则受到7d8+30点黯蚀伤害，豁免成功则伤害减半。
被该法术杀死的类人生物将在你下一回合开始时唤起为一只受你操控的僵尸，并在随后尽力遵循你的语言指令。</t>
  </si>
  <si>
    <t>火焰风暴</t>
  </si>
  <si>
    <t>Fire Storm</t>
  </si>
  <si>
    <t>一片由烈焰形成的风暴扫过施法距离内一处你指定的区域。该区域由至多十个10尺立方区域组成。你可以自行安排各立方区域的组合方式，而每个立方区域必须至少有一面与其他立方区域相连。区域内每个生物必须进行一次敏捷豁免。豁免失败者将受到7d10点火焰伤害，豁免成功则伤害减半。
风暴的烈焰将对区域内的物件造成伤害，并点燃区域内所有未被着装或携带的可燃物件。你可以选择让区域内的植物生命免受该法术效应的影响。</t>
  </si>
  <si>
    <t>魔力监牢</t>
  </si>
  <si>
    <t>Forcecage</t>
  </si>
  <si>
    <t>价值1500gp的红宝石尘</t>
  </si>
  <si>
    <t>你围绕施法距离内一处指定地点以魔力形成一个固定的立方状隐形监牢。你可以选择监牢的形式为笼状或密封体。
笼状监牢为各边长至多20尺的立方体，其墙体由½寸粗的力场栅栏杆组成，每杆指间相距½寸。
密封监牢为各边长至多10尺的立方体，其墙体为由力场墙密封，并阻隔一切物质和法术从牢笼里进出。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线进行一次魅力豁免。豁免成功则该生物可以用该魔法离开牢笼。豁免失败者将无法以此离开牢笼并浪费掉该法术或效应。该牢笼同时延伸至以太位面从而屏蔽掉从以太位面旅行逃脱。
该法术不能被法术解除魔法所解除。</t>
  </si>
  <si>
    <t>海市蜃楼</t>
  </si>
  <si>
    <t>Mirage Arcane</t>
  </si>
  <si>
    <t>你使至多1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</si>
  <si>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摩登肯豪宅术</t>
  </si>
  <si>
    <t>Mordenkainen's Magnificent</t>
  </si>
  <si>
    <t>一个象牙雕琢的拱门小模型、一块打磨过的大理石和一把微型银汤匙，每件物品至少价值5gp</t>
  </si>
  <si>
    <t>你在施法距离内创造出一个异次元的居所，并维持至法术持续时间结束。居所唯一的入口宽5尺，高10尺而微微发光，其具体位置由你指定。只要该入口保持开启，你和你施展该法术时指定的任意生物都可以进入该异次元居所中。你可以在距入口不超过30尺处开启或关闭入口。而入口关闭时即其处于隐形状态。
入口内是一个连接着许多房间的华丽大厅。其内空气洁净清新而温暖舒适。
你可以随意创造自己喜欢的房间构造，但其总体积不得超过50个边长10尺的立方体。房间内依你喜好配置好家具和装饰，其内储备的食材足以制作供100人享用的九道菜大餐。一组共100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里开宅子。由该法术创造的家具和其他物品如果被移出豪宅，就会消散成烟雾。该法术终止时，任何处于该异次元空间内的生物都将被移出空间内，并出现在距离入口最近的开放空间内。</t>
  </si>
  <si>
    <t>摩登肯之剑</t>
  </si>
  <si>
    <t>Mordenkainen's Sword</t>
  </si>
  <si>
    <t>一把剑柄和柄端由铜与锌打造的微缩铂金剑，价值250gp</t>
  </si>
  <si>
    <t>你在施法距离内创造出一个闪闪发光的剑形力场，并使其在法术持续时间内维持存在。
秘法剑出现时，你可以对该剑5尺内的一个自选目标发动一次近战法术攻击。命中时，目标受到3d10点力场伤害。在法术持续时间内，你可以在自己回合使用一个附赠动作将剑移动至多20尺。移动的目的地你必须能够看见，而移动完成后你还可以对同一目标或不同的目标再发动一次该攻击。</t>
  </si>
  <si>
    <t>异界传送</t>
  </si>
  <si>
    <t>Plane Shift</t>
  </si>
  <si>
    <t>一根与某个位面完成同调，价值至少250gp的分叉金属短棒</t>
  </si>
  <si>
    <t>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另外，如果你知道某个处于另一位面的传送法阵的印记序列，则该法术可以把你带到该法阵处。如果该传送法阵太小而装不下所有你传送的生物，则他们会出现在离传送法阵最近的未占据空间里。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</si>
  <si>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虹光喷射</t>
  </si>
  <si>
    <t>Prismatic Spray</t>
  </si>
  <si>
    <t>八条多彩射线从你的手上闪出。每条射线颜色不同且具有不同的威力和作用。在60尺锥状区域内的每个生物必须进行一次敏捷豁免同时掷一次d8决定生效哪种颜色的射线：
1、红：目标豁免失败时受10d6的火焰伤害，成功则伤害减半。
2、橙：目标豁免失败时受10d6的强酸伤害，成功则伤害减半。
3、黄：目标豁免失败时受10d6的闪电伤害，成功则伤害减半。
4、绿：目标豁免失败时受10d6的毒素伤害，成功则伤害减半。
5、蓝：目标豁免失败时受10d6的冷冻伤害，成功则伤害减半。
6、靛：目标豁免失败时受束缚。它必须在其每回合结束时进行一次体质豁免。三次豁免成功后法术终止。三次豁免失败后目标将永久陷入石化状态。成功或失败的豁免不需要连续，只需记下两边的数量直至其中一种达到三次。
7、紫：目标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
8、特殊：目标被两条射线打中。再掷两次，结果为8时再重掷。</t>
  </si>
  <si>
    <t>投影术</t>
  </si>
  <si>
    <t>Project Image</t>
  </si>
  <si>
    <t>价值至少5gp的材料制成的一个你自身的微缩模型</t>
  </si>
  <si>
    <t>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你可以用你的动作移动该分身至多两倍于你速度的尺数，而其姿态、言语和行为均按照你的指定作表现。此外幻象还可以完美的模仿你的举止。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</si>
  <si>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再生术</t>
  </si>
  <si>
    <t>Regenerate</t>
  </si>
  <si>
    <t>一个转经筒和圣水</t>
  </si>
  <si>
    <t>你触碰一个生物并加快其自愈速度。目标恢复4d8+15点生命值。在法术持续时间内，目标在它的每回合开始时恢复1点生命值（每分钟10点）。
如果目标失去了某些身体部位（手指、腿、尾巴等等），则这些部位将在2分钟后会重新长出。如果你持有失去的身体部位并且将其手动固定到创口上，则该法术会使该身体部位和创口立即接合。</t>
  </si>
  <si>
    <t>复生术</t>
  </si>
  <si>
    <t>Resurrection</t>
  </si>
  <si>
    <t>一颗至少价值1000gp的钻石，作为该法术的耗材</t>
  </si>
  <si>
    <t>你触碰一个已死的生物，并使之复活。该目标的死亡时间必须没有超过一百年，其死因不能是老死，且不能是不死生物。此时，如果该生物的灵魂愿意并且能够回来，则受术生物以生命值全满的状态复活。
该法术同样会中和该生物生前体内的毒素以及罹患的普通疾病，但对于魔法造成的疾病、诅咒和类似的效应则无能为力；如果没有在复活前治愈这些效应，则该生物重获生命的时该效应将继续生效。
该法术能治愈致命的伤口，也能恢复失去的身体部位。
死而复生是一个痛苦的体验。复活的目标在随后进行攻击检定、豁免检定和属性检定时具有-4减值。该目标每完成一次长休，其减值就减少1，依次叠加直至减值完全消失。
使用该法术复活一个已死去一年或更久的生物会使你耗费大量精力。你将无法在完成一次长休前再施放任何法术，且此时你进行的一切攻击检定、属性检定和豁免检定具有劣势。</t>
  </si>
  <si>
    <t>反重力</t>
  </si>
  <si>
    <t>Reverse Gravity</t>
  </si>
  <si>
    <t>一块磁石和一些铁屑</t>
  </si>
  <si>
    <t>该法术以施法距离内一点为中心，创造一个半径50尺、高100尺柱状的重力反转区域。施展该法术时，区域内一切没有被固定在地面上的生物和物件都会向上落去，直到碰到该区域顶端为止。受术生物可以进行一次敏捷豁免以抓住一件他能触及的固定物件，从而避免向上坠落。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</si>
  <si>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隔离术</t>
  </si>
  <si>
    <t>Sequester</t>
  </si>
  <si>
    <t>钻石、绿宝石、红宝石、蓝宝石得粉尘混合而成的粉末，其价值至少5000gp，作为该法术的耗材</t>
  </si>
  <si>
    <t>该法术能够将一个自愿的生物或物体藏匿起来，使其在法术结束前都无法被侦测。施展该法术并且触碰目标时，目标变为隐形且不能被作为预言系法术的目标，也无法被预言系法术创造出的传感器所感知。
如果法术的目标是一个生物，则目标将进入假死状态。时间在受术者的世界中停止了流动，因此它不会衰老。
你可以设置一个让该法术提前终止的条件。该条件由你自由设定，但必须是发生在目标周围1里内或目标在周围一里内能看见的事件。例如：“1000年以后”或者“当泰拉斯奎巨兽觉醒时”。如果受术者受到任何伤害，则该法术立刻终止。</t>
  </si>
  <si>
    <t>拟像术</t>
  </si>
  <si>
    <t>Simulacrum</t>
  </si>
  <si>
    <t>一些雪或冰，用来给模拟对象制作一个真人大小的模型；放置在模型上的模拟对象身体的一部分，比如毛发或指甲；以及撒在分身上至少价值1500gp的红宝石粉，作为该法术的耗材</t>
  </si>
  <si>
    <t>你花费整段施法时间为施法距离内一个野兽或类人生物塑造出一个幻象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不过生物类型是构装生物。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拟像受损后，你可以在炼金实验室里修理它。拟像每恢复一点生命值就要消耗价值100gp的稀有矿物和药草。拟像会一直持续到其生命值降至0，随后就变回冰雪并立刻融化。
再次施放该法术时，任何你已用该法术创造出来并且正在活动中的分身都会立刻被摧毁。</t>
  </si>
  <si>
    <t>魔法徽记</t>
  </si>
  <si>
    <t>Symbol</t>
  </si>
  <si>
    <t>水银和磷，以及总计价值至少1000gp的钻石和蛋白石粉末，作为该法术的耗材</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</si>
  <si>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动超过10尺，则其符纹被破坏且法术不被触发即告终止。
该符纹近乎隐形，其需要以法术的豁免DC进行一次智力（调查）检定才能被发现。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文时，你可以从下列选项中选择其一作为该法术的效应。符文一旦被触发就会开始发光，使其周围60尺半径的球状区域处于微光光照并持续10分钟。该时间段过后法术即告终止。符文生效时，所有位于球状区域内的生物即成为法术效应的目标。生物在其回合内第一次进入该区域内或在其中结束其回合时，也同样会成为符文效应的目标：
死亡：所有目标必须进行一次体质豁免，豁免失败者将受到10d10点黯蚀伤害，豁免成功则伤害减半。
争斗：所有目标必须进行一次体质豁免。豁免失败者将在接下来的1分钟内将不停地与其他生物争吵。该时间段内它无法进行任何有意义的沟通，并且其进行的所有攻击检定和属性检定都具有劣势。
恐惧：所有目标必须进行一次感知豁免，豁免失败者将陷入1分钟的恐慌状态。被恐慌时，该生物将丢弃其所有持握物，并在其每回合里尽力向远离符文的方向移动至少30尺。
绝望：所有目标必须进行一次魅力豁免，豁免失败者将陷入持续1分钟的绝望。该时间段内它不能进行攻击，也不能对任何生物使用伤害性的能力，法术或其他魔法效应。
错乱：所有目标必须进行一次智力豁免，豁免失败者将陷入持续1分钟的错乱。陷入错乱的生物不能执行动作，也听不懂其他生物的话语看不懂任何文字，而只会胡言乱语。此时将由DM来控制其胡乱的移动。
苦痛：所有目标必须进行一次体质豁免，豁免失败者将因极度的痛苦而陷入1分钟的失能状态。
睡眠：所有目标必须进行一次感知豁免，豁免失败者将陷入10分钟的昏迷状态。该睡眠者受到伤害时将会被惊醒，也可以被其他人用一个动作摇醒或打醒。
震慑：所有目标必须进行一次感知豁免，豁免失败则陷入1分钟的被震慑状态。</t>
  </si>
  <si>
    <t>传送术</t>
  </si>
  <si>
    <t>Teleport</t>
  </si>
  <si>
    <t>该法术将你以及施法距离内你能看见的至多八个自愿生物，或者施法距离内你能看见的一个物件传送到你指定的某处地点。如果你指定一个物件作为法术目标，则该物件必须能被整个放进一个边长10尺的立方体中，且必须没有被一个非自愿生物所着装或携带。
你只能指定你知道的地点作为传送目的地，而目的地必须与你位于同一个存在位面中。你对目的地的熟悉程度决定你是否能成功抵达。DM可以掷一个d100并查阅法术详细说明。
熟悉程度：“永久法阵”指你知道某永久传送法阵的相关符文序列。“相关物件”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
“查无此地”指根本不存在的地点。也许你尝试探知敌人的密室但看到的只是幻象，或者是一个你曾经熟悉但如今已不再存在的地点。
正中目标：你和你的队伍（或目标物件）出现在你意料中的地点。
偏离目标：你和你的队伍（或目标物件）出现在目的地随机方向上随机距离的一点。距离误差等于原定移动距离×1d10×1d10×1%。例如，假设你尝试移动120里而不幸偏离目标，并且在掷距离误差时两个d10投出了5和3，那么你的传送距离误差是原定移动距离的15%，也就是18里。DM通过掷一次d8来判误差出现在目的地的哪个方向。1为正北，2为东北，3为正东，依此类推。如果你们想要传送到一个海滨城市但却出现在离岸18里远的海上，那你们可有麻烦了。
相似地区：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该法术的意外魔法效果导致这次旅行特别艰难。尝试传送的所有生物（或目标物件）受到3d10点力场伤害，随后DM重投d100并查阅上表来决定你们出现在哪里（你们可能再次遇难，而每次遇难都要承受该伤害）。</t>
  </si>
  <si>
    <t>众星冠冕</t>
  </si>
  <si>
    <t>Crown Of Stars</t>
  </si>
  <si>
    <t>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如果你还留存4个或更多的光点，它们会发出30尺半径的明亮照明和额外30尺的微亮照明。如果你还留存1至3个光点，它们只会发出30尺的微亮照明
升环施法效应：当你使用八环或更高的法术位施放该法术时，使用的法术位每高一环，你就可以多创造两枚额外的光点。</t>
  </si>
  <si>
    <t>律令痛苦</t>
  </si>
  <si>
    <t>Power Word Pain</t>
  </si>
  <si>
    <t>你说出饱含力量的真言，引发距离内一个你可见生物的剧痛波浪。如果目标的生命值为100点或更少，它将遭受强烈的痛苦。否则，法术将对它没有作用。免疫魅惑的生物同样不受这个法术影响。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</si>
  <si>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神庙术</t>
  </si>
  <si>
    <t>Temple Of The Gods</t>
  </si>
  <si>
    <t>一个价值至少5gp的圣徽</t>
  </si>
  <si>
    <t>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这个法术的时候，你选择数种生物类型被神庙所敌对。从以下列表中选择一项或更多：天界生物，元素生物，精类，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最后，每次在神庙里的任何生物从一环或更高环的法术中恢复生命时，它将恢复等同于你感知调整值的额外生命值（至少1点）。
神庙由不透明的魔法力场所创造并延伸至以太位面，因此会阻碍任何试图从以太旅行中进入神庙内部的行为。没有东西能物理性地穿过神庙的外部。它不会被解除魔法所解消，也不会受到反魔场的影响。一道解离术能立即摧毁神庙。
如果你在一年中每天都对同一地点施展这个法术，法术的效果将持续永久。</t>
  </si>
  <si>
    <t>旋风</t>
  </si>
  <si>
    <t>Whirlwind</t>
  </si>
  <si>
    <t>一根稻草</t>
  </si>
  <si>
    <t>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在回合中第一次进入旋风的生物，或所在空间被旋风进入的生物（包括旋风第一次出现时的）必须进行一次敏捷豁免检定。豁免失败的生物受到10d6钝击伤害，豁免成功者只受到上述伤害的一半。此外，体型不超过大型Large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被束缚的生物可以使用一个动作来进行一次力量或敏捷检定，对抗你的法术豁免DC。若成功，该生物不再被旋风束缚，并被向随机方向抛离3d6×10尺远。</t>
  </si>
  <si>
    <t>系结本源</t>
  </si>
  <si>
    <t>Tether Essence</t>
  </si>
  <si>
    <t>一卷至少价值250金币的铂金丝线，在施法时被消耗</t>
  </si>
  <si>
    <t>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若其中一人受到伤害，另外一人也会受到等额的伤害。若其中一人恢复了生命值，另外一人也会恢复等额的生命值。如果被系结的双方中任意一方的HP减少到了0，那么该法术结束。该法术在任意一方身上结束时，另外一方的法术也结束。</t>
  </si>
  <si>
    <t>蓝纱一梦</t>
  </si>
  <si>
    <t>Dream Of The Blue Veil</t>
  </si>
  <si>
    <t>来自目标世界的一个魔法物品或一个自愿生物</t>
  </si>
  <si>
    <t>你与最多8个自愿生物在法术持续时间内进入昏迷，并梦见物质位面中的另一处世界，比如奥斯、托瑞尔、克莱恩或艾伯伦。如果这道法术达到了完整的持续时间，梦境会在你们所有人相遇，并拉开一面神秘的蓝色幕帘时停止。这道法术随后结束，并将你们物质和精神上传送到梦境所在的世界。
要施展这道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这道法术，但目的地变为该生物出生地1里内的安全地点。
如果有一个生物受到任何伤害，则此法术在该生物上提前结束，该生物不会被传送。如果你受到任何伤害，则你和其他所有生物上的此法术会提前结束，你们都不会被传送。</t>
  </si>
  <si>
    <t>龙类变形</t>
  </si>
  <si>
    <t>Draconic Transformation</t>
  </si>
  <si>
    <t>一个龙形小雕像，价值至少500金币</t>
  </si>
  <si>
    <t>伴随着一声怒吼，你用龙族的魔法变化自身，获得多种龙族特征。直至法术结束，你获得以下好处：
盲视：你获得30尺盲视。此范围内，任何不处于全身掩护后的东西对于你来说清晰可见，即使你处于目盲状态或黑暗中。此外，你可以看见隐形的生物，除非该生物对你处于躲藏状态。
吐息武器：当你施展此法术时，以及在持续时间内随后的回合以一个附赠动作，你可以在60尺锥形内呼出一道闪着光的能量。范围内的每个生物都必须成功通过一次敏捷豁免，否则受到6d8点力场伤害，成功则伤害减半。
飞翼：无形之翼从你背后长出，使你获得60尺飞行速度。</t>
  </si>
  <si>
    <t>动物形态</t>
  </si>
  <si>
    <t>Animal Shapes</t>
  </si>
  <si>
    <t>你施法把其他生物变成野兽。指定施法距离内任意数量的自愿生物，并使每个目标变形为一只挑战等级不超过4，体型不大于大型的野兽。你可以在法术持续时间内以一个动作将受术生物变成其他野兽形态。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受术生物只能使用新形态的动作，且无法说话或施法。
目标的装备融入其新形态，而且不能激活或持用装备，也无法以其他任何方式从其装备上获益。</t>
  </si>
  <si>
    <t>反魔法力场</t>
  </si>
  <si>
    <t>Antimagic Field</t>
  </si>
  <si>
    <t>一撮铁粉或铁屑</t>
  </si>
  <si>
    <t>半径10尺的隐形球状反魔法能量环绕着你，将该区域与弥漫在多元宇宙间的魔法能量隔离开来。在该球状力场内：法术无法施放；召唤生物消失无踪；魔法物品也失去其效应。该力场以你为中心移动，直至法术终止。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目标效应：法术或其他魔法效应以生物或物件为目标时（比如魔法飞弹和魅惑人类），无法对力场内的目标生效。
魔法区域：法术和其他魔法效应产生的区域影响（比如火球术），无法波及力场内部。如果力场与某一魔法效应重叠，则该效应在重叠部分被压制。例如，当力场与火墙术产生的火焰重叠时，重叠区域的火焰被压制。如果重叠区域够大，甚至可以将火墙从中间截断。
法术：力场中的生物或物件身上生效的法术或其他魔法效应会受到压制。
魔法物品：魔法物品的属性和威能在力场中受到压制。例如，一把长剑+1在力场中视为一把非魔法长剑。
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魔法旅行：以力场内区域为起点或终点的传送或位面旅行效应无法生效。在力场内，通往某地、某世界或某位面的传送门，以及次元空间的入口（诸如魔绳术所创造的区域）都被暂时关闭。
生物和物件：在力场内，由魔法创造或召唤的生物或物件暂时消失。如此消失的生物，在力场不再覆盖其所占据空间时立刻在该处重新出现。
解除魔法：法术和其他魔法效应产生的类似法术解除魔法的效应对力场无效。另外，不同来源的反魔法力场之间不会相互抵消。</t>
  </si>
  <si>
    <t>嫌恶/关怀术</t>
  </si>
  <si>
    <t>Antipathy/Sympathy</t>
  </si>
  <si>
    <t>嫌恶术时用一小块醋浸湿的明矾；关怀术则为一滴蜂蜜</t>
  </si>
  <si>
    <t>此法术吸引或驱赶你指定的生物。在施法距离内指定一个巨型或更小体型的物件或生物，或是一处不超过200尺的立方区域。你指定一类智慧生物（例如红龙、地精、吸血鬼等），并为目标注入能吸引或是驱赶所选类型生物的灵光。你可以选择嫌恶或是关怀作为法术的效应：
嫌恶：法术的影响让你选定类型的生物不可遏止的想要远离受术目标。当符合条件的生物看到目标或是距离目标不足60尺时，该生物必须进行一次感知豁免并成功通过，否则将陷入恐慌。只要还能看到目标或是在目标60尺内，该生物就会维持恐慌状态。陷入该恐慌状态的生物必须自主移动至附近无法看到目标的安全地点。离开目标至少60尺且无法看到目标后，该生物的恐慌状态终止。但再次看到目标或是进入目标60尺内时他也将再次陷入恐慌。
关怀：法术的影响让你选定类型的生物不可遏止的想要接近受术目标。当符合条件的生物看到目标或是距离目标不足60尺时，该生物必须进行一次感知豁免并成功通过，否则便会每回合自主移动并靠近目标。靠近后，该生物不能自主的远离目标。若目标对该生物造成伤害或是以其他方式对其造成危害，则该生物可以再进行一次感知豁免以终止效应，详情见下节。
终止效应：如果受影响的生物在距离目标60尺外或是无法看到目标的地方终止其回合，则其可以进行一次感知豁免，豁免成功则不再受法术影响并意识到厌恶感或诱惑力是来自魔法的影响。另外，在法术持续时间内，受影响的生物每24小时可以再进行一次感知豁免。
对该法术效应豁免成功的生物在1分钟内免疫该效应，但随后仍会受该效应影响。</t>
  </si>
  <si>
    <t>克隆术</t>
  </si>
  <si>
    <t>Clone</t>
  </si>
  <si>
    <t>一副至少价值2000gp的带密封功能的大容器，其尺寸必须足以存放一个中型生物，例如一个巨大的瓮或灵柩，或是立在地上充满浆状物质的卵囊，又或者充满盐水的水晶棺</t>
  </si>
  <si>
    <t>一枚至少价值1000gp的钻石以及被克隆生物1立方寸的肉，作为该法术的耗材。</t>
  </si>
  <si>
    <t>此法术用以培养一个活体生物的无意识复制体作为其死亡时的保险措施。该克隆体在一个密封容器中成长，并在120日后成熟；你还可以为同一个生物制作较年轻版本的肉体。在未被使用前，该躯体会一直保持无意识的静止状态。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</si>
  <si>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操控天气</t>
  </si>
  <si>
    <t>Control Weather</t>
  </si>
  <si>
    <t>点燃的焚香和一点混有泥土和木屑的水</t>
  </si>
  <si>
    <t>你在法术持续时间内控制自身5里范围内的天气状况。施展该法术时你必须身处户外，而一旦移动到无法直接看到天空的地点时，法术也会随即终止。
本来由DM基于季节和气候所决定的天气状况，在你施展此法术时可以由你随意操控。你可以改变降水、气温以及风势等状况。新的天气状况生效需要经过1d4×10分钟的时间才能完成。状况改变完成后，你可以再次对当前对天气状况作改变。法术终止时，天气将渐渐恢复成平常状态。
改变天气状况时，你可以从以下表格查明与目前对应的等级，再选择同一表格中高一级或低一级的状况作为其改变结果。改变风势时，你还可以同时改变其风向：
降水：
等级，状况
1，天晴
2，薄云
3，多云、有雾
4，有雨、冰雹、有雪
5，暴雨、冰暴、暴雪
气温：
等级，状况
1，酷热
2，炎热
3，暖和
4，清凉
5，寒冷
6，极寒
风势：
等级，状况
1，无风
2，和风
3，强风
4，狂风
5，暴风</t>
  </si>
  <si>
    <t>创造半位面</t>
  </si>
  <si>
    <t>Demiplane</t>
  </si>
  <si>
    <t>你在施法距离内一处能看见的平面上创造一扇形状模糊的门。门的大小足以让中型生物在其间通行无阻。门开启时，其通向一个边长30尺，由木质或石质组成的空房间半位面。法术终止时，门消失不见，而半位面中的门也消失不见，并把任何还在半位面的生物或物件困在其内。
你每次施展此法术时都可以创造一个新的半位面，也可以连向用此法术创造的旧有的半位面。另外，如果你知晓了某个其他生物用此法术创造的半位面，则你也可以通过此法术连接到那里。</t>
  </si>
  <si>
    <t>支配怪物</t>
  </si>
  <si>
    <t>Dominate Monster</t>
  </si>
  <si>
    <t>你试图安抚一个施法距离内你能看见的生物，必须成功通过一次感知豁免，否则将在法术持续时间内被你魅惑。若它正与你或你的友方生物战斗，则其进行该豁免时具有优势。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升环施法效应：使用九环法术位施展该法术时，持续时间变为：专注，至多8小时。</t>
  </si>
  <si>
    <t>地震术</t>
  </si>
  <si>
    <t>Earthquake</t>
  </si>
  <si>
    <t>一撮泥土、一块岩石和一坨粘土</t>
  </si>
  <si>
    <t>你在施法距离内一处能看见的地面上指定一点，并在其上制造地震扰动。在法术持续时间内，一阵强烈的震颤在震源周边半径100尺的圆形范围内传递，并使区域内地上的生物和建筑都受到震动影响。
受影响区域内的地面变为困难地形。而区域地面上的每个正在进行专注的生物都必须进行一次体质豁免，豁免失败则其专注被打断。
在你施展此法术以及随后保持专注的每回合结束时，区域地面上的每个生物都必须进行一次敏捷豁免，豁免失败则生物应击倒地。
根据施法区域的地形，DM可以决定是否应用额外的效应：
裂缝：在施展此法术的下一个回合开始时，法术影响区域会撕开一道道裂缝。1d6条裂缝在DM安排的位置出现。每条裂缝深1d10×10尺，宽10尺，并由影响区域的一边向另一边延伸。裂缝撕开时，将处于其位置上的生物必须成功通过一次敏捷豁免，否则将坠落其中。豁免成功则该生物移动到裂缝旁边。
裂缝上的建筑会直接崩塌，详情如下：
建筑：在你施展此法术及法术终止前你的每个回合开始时，地震对影响区域内的所有建筑都造成50点钝击伤害。建筑生命值降为0时立即崩塌，且可能对附近生物造成伤害。与该建筑距离不大于该建筑高度一半的生物，都必须进行一次敏捷豁免。豁免失败则受5d6的钝击伤害并应击倒地且埋于废墟之下。该生物可用一个动作来进行一次DC20的力量（运动）检定来尝试逃离废墟。DM可根据废墟的情况调整DC高低。豁免成功时伤害减半，且不会倒地或被掩埋。</t>
  </si>
  <si>
    <t>弱智术</t>
  </si>
  <si>
    <t>Feeblemind</t>
  </si>
  <si>
    <t>一把粘土，水晶，玻璃或矿物球</t>
  </si>
  <si>
    <t>指定施法距离内一个你能看见的生物，并尝试摧毁其理智与人格。目标受4d6点心灵伤害且须进行一次智力豁免。
豁免失败时，该生物的智力和魅力变为1。受术生物将不能施法，也不能启动魔法物品，甚至不能听懂语言或以智慧方式沟通。但该生物仍可以辨识、跟随伙伴，甚至保护他们。
受术生物每过30日即可在当日结束时重新进行一次豁免，豁免成功则该法术效应终止。
另外，高等复原术，医疗术或者祈愿术可直接终止该法术的效应。</t>
  </si>
  <si>
    <t>花言巧语</t>
  </si>
  <si>
    <t>Glibness</t>
  </si>
  <si>
    <t>直至法术终止前，你每次进行魅力检定时可以用15代替你掷出的数值。此外，无论你说什么，判断你是否说谎的魔法都会将你的话视为真实。</t>
  </si>
  <si>
    <t>圣洁灵光</t>
  </si>
  <si>
    <t>Holy Aura</t>
  </si>
  <si>
    <t>一个价值至少1000gp的小圣物箱，内含一件圣遗物，例如某位圣者长袍上的一片碎布，或者某本宗教典籍中的一张羊皮纸</t>
  </si>
  <si>
    <t>神圣的光芒从你身体中奔涌而出，在你身边汇聚成半径30尺的柔光。施展该法术时，你指定处于柔光范围内的若干生物。被指定生物散发出半径5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</si>
  <si>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焚云术</t>
  </si>
  <si>
    <t>Incendiary Cloud</t>
  </si>
  <si>
    <t>一片充满了炽热灰烬的旋转烟云显现，并以施法距离内一点为中心的蔓延至半径20尺的球状区域。烟云会绕过拐角扩散并使整个区域处于重度遮蔽，并在法术终止前持续存在。此外烟云还可以被和风或强度等级更高的风势（风速至少每小时10里）所吹散。
烟云出现时，每个处在其内的生物都必须进行一次敏捷豁免，豁免失败者将受到10d8的火焰伤害，豁免成功则伤害减半。生物在一个回合内第一次进入烟云内，或者在烟云内结束其回合时，也必须进行该豁免。
在你的每回合开始时，烟云会向你指定的方向直线移动10尺。</t>
  </si>
  <si>
    <t>迷宫术</t>
  </si>
  <si>
    <t>Maze</t>
  </si>
  <si>
    <t>你将施法距离内一个你能看见的生物放逐到一个迷宫般错综复杂的半位面。目标将一直留在该处直至法术持续时间结束，或者直到它逃出该迷宫。
目标可以使用其动作尝试逃出迷宫。此时它可以进行一次DC20的智力检定，检定成功者将逃出迷宫，而该法术随之终止。牛头人和巨牛魔进行该检定时直接成功。
法术终止时，目标将重新出现在它之前消失的位置。如果该位置被占据，则目标出现在最近的未占据位置。</t>
  </si>
  <si>
    <t>心灵屏障</t>
  </si>
  <si>
    <t>Mind Blank</t>
  </si>
  <si>
    <t>直至法术终止前，你所触碰的一个自愿生物对下列项目具有免疫：心灵伤害；任何可以感知到其情绪或阅读其思想的效应；预言法术；魅惑状态。当目标受祈愿术或者其他威力相当的法术或效应影响心智或窃获信息时，其也能以该法术进行阻挡。</t>
  </si>
  <si>
    <t>律令震慑</t>
  </si>
  <si>
    <t>Power Word Stun</t>
  </si>
  <si>
    <t>你说出一蕴含威力的单词，其足以使施法距离内一个你能看见的生物意志受压迫而震惊。如果你所指定的生物现有生命值为150或更少，则其被震慑。否则该法术不产生任何效应。
被震慑目标必须在其每回合结束时进行一次体质豁免。豁免成功，则此震慑效果终止。</t>
  </si>
  <si>
    <t>阳炎爆</t>
  </si>
  <si>
    <t>Sunburst</t>
  </si>
  <si>
    <t>一块猫眼石和一团明火</t>
  </si>
  <si>
    <t>灿烂的阳光照耀施法距离内指定的一点为中心周围60尺半径的区域。所有位于该光芒中的生物必须进行一次体质豁免。豁免失败者将受到12d6点光耀伤害，并陷入1分钟的目盲状态。豁免成功则伤害减半，且不会陷入目盲。不死生物和泥怪进行该豁免时具有劣势。
因该法术陷入目盲的生物在其每回合结束时都可以再进行一次体质豁免。豁免成功则不再目盲。
该法术将驱散法术区域内所有由法术所创造的黑暗。</t>
  </si>
  <si>
    <t>心灵感应</t>
  </si>
  <si>
    <t>Telepathy</t>
  </si>
  <si>
    <t>一对相连的银戒指</t>
  </si>
  <si>
    <t>你与一个你熟识的自愿生物建起心灵连接。该生物可以身处你所在的位面的任意位置。一旦你与目标生物不再位于同一位面则该法术随即终止。
直至法术终止前，你可以和目标生物通过心灵连接即时共享任何言语、图像、声音以及其他形式的感官信息，而目标也能够辨认出与之交流的对象正是你本人。该法术可以让智力值至少为1的目标生物理解你的言语并接收任何你所发送的感官信息。</t>
  </si>
  <si>
    <t>海啸术</t>
  </si>
  <si>
    <t>Tsunami</t>
  </si>
  <si>
    <t>你指定施法距离内一点并从中升起一面水墙。水墙长不过300尺，高不过300尺，厚不过50尺，且持续存在至法术终止。
水墙出现时，所有位于水墙内的生物都要进行一次力量豁免。豁免失败者将受到6d10点钝击伤害，豁免成功则伤害减半。
水墙出现后，将在你每一回合开始时带着其内的所有生物一起向远离你的方向移动50尺。当水墙进入一个巨型或更小体型生物所占据空间，或他们原本就处于墙内时，该生物必须进行一次力量豁免，豁免失败则受到5d10点钝击伤害。该伤害一轮里对同一个生物只生效一次。在你的回合结束时，水墙的高度减少50尺，且其随后每轮对生物造成的伤害也减少1d10。当水墙高度变为0尺时法术终止。
淹没在水墙中的生物可以用游泳的方式移动，由于波涛阻力影响，该生物必须要进行一次对抗该法术DC的力量（运动）检定以决定起能否成功移动，而检定失败者则无法移动。通过移动离开水墙区域的生物会直接掉到地上。</t>
  </si>
  <si>
    <t>亚比达奇凋死术</t>
  </si>
  <si>
    <t>Abi-Dalzim's Horrid Wilting</t>
  </si>
  <si>
    <t>一小块海绵</t>
  </si>
  <si>
    <t>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黯蚀伤害，而豁免成功则只受到上述伤害的一半。
在这个区域内的非魔法、非生物植物，例如树木和灌木，会立即死亡。</t>
  </si>
  <si>
    <t>幻影巨龙</t>
  </si>
  <si>
    <t>Illusory Dragon</t>
  </si>
  <si>
    <t>你汇聚、编织从堕影冥界收集的阴影物质，随后在施法距离内你可见的未占据空间创造出巨型阴影龙。这个幻象会占据所在空间并持续到法术结束，就好像是一个真实生物。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尺。选择它进行移动的任意一点，你可以使它以那个位置作为起源点并喷吐出60尺锥形的爆发性能量。在你创造巨龙时选择一种伤害类型：强酸，寒冷，火焰，闪电，黯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</si>
  <si>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疯狂之暗</t>
  </si>
  <si>
    <t>Maddening Darkness</t>
  </si>
  <si>
    <t>一滴沥青与一滴水银的混合物</t>
  </si>
  <si>
    <t>魔法黑暗从范围内你指定的一点延伸至半径60尺的球形范围，直到法术结束。黑暗会蔓延过拐角。生物的黑暗视觉不能看穿这片黑暗。非魔法的光源，以及八环和八环以下法术创造的光亮不能照亮这片区域。
尖叫声，低语声，以及疯狂的大笑声时不时能从球形范围内听见。每当一名生物在范围内开始回合，它必须进行一次感知豁免，失败时将受到8d8心灵伤害，成功则只承受一半。</t>
  </si>
  <si>
    <t>坚固堡垒</t>
  </si>
  <si>
    <t>Mighty Fortress</t>
  </si>
  <si>
    <t>一颗价值至少500gp的钻石，作为该法术的耗材</t>
  </si>
  <si>
    <t>一座岩石的堡垒从施法距离内你选择的一处可见的方形地面升起。这块区域需要在每一边上有至少120尺，并且必须没有任何建筑或其他构造物立于其上。所有处于区域内的生物在堡垒升起时将会被无害地举起。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寸，室内房间的门户式样（石门或者开放式拱门）由你选择。城堡内部的家具和装潢以你喜欢的方式布置，它每天可以提供足够100人享用的、包含九道菜肴的盛宴。从堡垒中被带走的家具、食物和其他由这个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x10尺的岩石部件都有AC15，以及每寸厚度30的生命值。它免疫毒素和心灵伤害。将某一部分的岩石生命值降低至0会摧毁它，并且也许会引起与它连接的部分变形和垮塌，具体由你的DM裁量。
在7天之后，或当你在别处再次施展这个法术，堡垒会无害地坍塌并沉入地面，把其中的任何生物安全地留在地上。
在一年之间，每7天一次在相同的位置施展这个法术会让堡垒永久存在。</t>
  </si>
  <si>
    <t>暗黑星辰</t>
  </si>
  <si>
    <t>Dark Star</t>
  </si>
  <si>
    <t>一小块碎玛瑙与一滴施法者的血液，在施法时被消耗</t>
  </si>
  <si>
    <t>该法术在施法距离内以你选择的一点为圆心创造一个球形范围。该圆形半径至多为40尺。区域内充斥着魔法黑暗与毁灭性的重力能量。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任何在自己回合中第一次进入该区域的生物或在该区域内开始其回合的生物需要进行一次体质豁免。若豁免失败，该生物受到8d10点力场伤害，成功则只受到一半伤害。当一个生物的HP被这个法术降低到0时，该生物被解离。被解离的生物与其身上穿着的，携带着的一切，除了魔法物品外，都会化为一缕灰色的烟尘。</t>
  </si>
  <si>
    <t>崩坏现实</t>
  </si>
  <si>
    <t>Reality Break</t>
  </si>
  <si>
    <t>一个水晶棱镜</t>
  </si>
  <si>
    <t>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在其回合结束时，受影响的生物能重复其感知豁免，若成功，则法术结束
崩坏现实效果：
效果
1–2，遥远国度之瞥。目标受到6d12点心灵伤害并且陷入震慑到本轮结束。
3–5，崩碎裂缝。目标必须通过一个敏捷豁免，若失败则受到8d12点力场伤害，若豁免成功则受到一半伤害。
6–8，虫洞。该目标与其身上所着装、携带的一切东西被传送到他30尺内你能看到的未被占据的空间。目标受到12d10点力场伤害并倒地。
9–10，暗虚之冻。目标受到12d10点冷冻伤害并且目盲到本回合结束。</t>
  </si>
  <si>
    <t>星界投影</t>
  </si>
  <si>
    <t>Astral Projection</t>
  </si>
  <si>
    <t>你必须为此法术影响的每个生物准备一枚至少价值1000gp的红锆石jacinth，以及一根做工精细，至少价值100gp的银棒，作为该法术的耗材</t>
  </si>
  <si>
    <t>你和施法距离内至多八名自愿的生物将躯体投影到星界（如果你已经在星界，则法术失败且被消耗）。你原本的躯体昏迷并进入静止状态，即其不需要空气和食物也不会衰老。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你可以使用一个动作来解散法术，并终止其对你与同伴产生的效应。法术终止时，受术的生物回到其原本的躯体并苏醒。
你或你的某位同伴会存在提前终止法术效应的情况。对某生物的本体或星界躯体成功施展解除魔法将终止生物的投影效应。如果某生物的本体或星界躯体的生命值降至0，则该生物自身的投影效应终止。如果法术终止时银线依然保持连接，则受术生物会被拉回原本的躯体，并脱离静止状态。
如果你在法术终止前被送回本体，你的同伴将被留在星界，只能自行返回（通常通过生命值降至0的方式）。</t>
  </si>
  <si>
    <t>预警术</t>
  </si>
  <si>
    <t>Foresight</t>
  </si>
  <si>
    <t>一根蜂鸟的羽毛</t>
  </si>
  <si>
    <t>你触碰一个自愿生物，并授予其预示最近未来事件的有限能力。该目标在法术持续时间内无法被突袭，并且其进行的攻击检定、属性检定和豁免检定均具有优势。而其他生物对其进行攻击检定时具有劣势。
如果你在法术持续时间结束前再施展该法术，则原法术效应即时终止。</t>
  </si>
  <si>
    <t>异界之门</t>
  </si>
  <si>
    <t>Gate</t>
  </si>
  <si>
    <t>一枚价值至少5000gp的钻石</t>
  </si>
  <si>
    <t>你召唤一扇传送门将施法距离内你能看到的一处未被占据空间与一个不同位面的特定地点连接在一起。传送门是你打开的一个直径5到20尺的圆形开口。其开口朝向你指定的任意方向，并持续至法术终止。
传送门在某个位面显现时有着明确的正反面。只有从正面穿过传送门的事物才能实现其传送功能，从而传送至另一位面，并在离传送门最近的未占据空间中显现。
神祗和其他位面统治者可以阻止该法术在其所在或属于其领域的任何地点创造传送门。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认为合适的行动。它可能离开，也可以攻击你或协助你。</t>
  </si>
  <si>
    <t>禁锢术</t>
  </si>
  <si>
    <t>Imprisonment</t>
  </si>
  <si>
    <t>一张写有对目标详细描述的牛皮纸或者一个与目标相似的小雕像，以及对应所选择法术版本的特殊材料，其价值为对应目标每粒生命骰至少花费500gp</t>
  </si>
  <si>
    <t>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埋葬：目标被深埋在远离地表的球状魔法力场内，其大小刚好能包覆住目标。任何事物均无法穿过该力场，且任何生物均无法通过传送或位面旅行进出该力场。
此版本法术需要的特殊材料为一个秘银小球。
锁链：沉重的锁链牢固地深植于大地，将目标禁锢在原地。目标被束缚至法术终止，其间它不能移动或以任何方式被移动。
此版本法术需要的特殊材料为一截精美的贵金属链。
避世监牢：该法术将目标传送至一个隔绝了传送和位面旅行的小型半位面。该半位面可以是一个迷宫，一间牢房，一座塔楼，或是任意由你选择的幽闭建筑或区域。
此版本法术需要的特殊材料为一个玉制的监牢微缩模型。
微缩牢笼：目标被缩小到1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
该版本法术需要的特殊材料为一大块透明的宝石，例如刚玉，钻石或红宝石。
沉睡：目标陷入昏睡且无法被唤醒。
该版本法术需要的特殊材料为稀有的催眠药草。
终止法术：无论是法术的哪个版本，你都可以在施法过程中设定一个使法术终止并释放目标的条件。此条件可以按你的意愿设定其明确或复杂的程度，但必须经由DM认可该条件的合理性及可实现性。此条件可以根据一个生物的名字，身份或神格来设定，但在其他方面必须基于可观察到的行为或特性，而不能基于诸如等级，职业或生命值这类无形之物。
法术解除魔法可以终止该法术，但只有使用九环法术位并针对监牢或针对创造监牢效果的特殊物质施展时才有效。
你在同一时间内，使用同一种特殊材料只能创造一个监牢。如果你使用了同样的材料再次施展该法术，则先前被监禁的生物立刻从禁锢中解脱摆脱恢复自由。</t>
  </si>
  <si>
    <t>群体医疗术</t>
  </si>
  <si>
    <t>Mass Heal</t>
  </si>
  <si>
    <t>泉涌般的治愈能量从你流向你周围受伤的生物。你为施法距离内任意数量你能看见的生物恢复总计至多700点生命值，而具体治疗量则由你随意分配。受该法术所治疗的生物其所有疾病以及导致它们目盲或耳聋的效应也一并被治愈。该法术对不死生物和构装生物无效。</t>
  </si>
  <si>
    <t>流星爆</t>
  </si>
  <si>
    <t>Meteor Swarm</t>
  </si>
  <si>
    <t>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的火焰伤害和20d6的钝击伤害，豁免成功则伤害减半。另外，同时处于多个爆炸范围内的生物仍只受一次效应影响。
该法术会对区域内的物件造成伤害，并点燃所有未被着装或携带的易燃物。</t>
  </si>
  <si>
    <t>律令医疗</t>
  </si>
  <si>
    <t>Power Word Heal</t>
  </si>
  <si>
    <t>一波治疗能量覆盖你所触碰的生物，并使目标恢复其所有的生命值。如果该生物正处于魅惑，惊惧，麻痹或震慑状态，则终止相应状态。如果该生物正处于倒地状态，则他可以执行其反应站起。该法术无法对不死生物和构装生物生效。</t>
  </si>
  <si>
    <t>律令死亡</t>
  </si>
  <si>
    <t>Power Word Kill</t>
  </si>
  <si>
    <t>你读出一威力满溢的单词，其足以使施法距离内一个你能看见的生物立即死亡。如果你所指定的生物现有生命值为100或更少，则其立即死亡。否则该法术不产生任何效应。</t>
  </si>
  <si>
    <t>虹光法墙</t>
  </si>
  <si>
    <t>Prismatic Wall</t>
  </si>
  <si>
    <t>由光构成的闪光多彩平面形成一幅不透光的墙壁。墙壁垂直于地面，其至多长90尺，高30尺，厚1寸，并以施法距离内你能看见的一点为源点。你也可以将此墙塑造成一个直径至多30尺的球体，并以施法距离内你能看到的一点为中心。法墙在法术持续时间内维持在原地。如果定位法墙位置时可能使其穿过有生物占据的空间，则本次施法失败，而你的动作和法术位仍然会被浪费。
法墙延伸出100尺的明亮光照外加100尺的微光光照。你和施放该法术时指定的生物可以穿过法墙或停留在法墙附近而不受伤害。如果其他能看见法墙的生物移动到距墙20尺内区域或在该处开始其回合，则该生物必须进行一次体质豁免，豁免失败则陷入1分钟的目盲状态。
法墙由七层组成，每层都有不同颜色。生物试图进入或穿过法墙时，将一层层穿过法墙所有的光层。其每穿过一层就必须进行一次敏捷豁免，豁免失败则受下列光层特性影响。
法墙可以被摧毁，不过也必须由红到紫的顺序一次一个光层的通过具体每层。某个光层一旦被摧毁则其在法术持续时间内保持被摧毁状态。反魔法力场无法对法墙生效，法术解除魔法只对紫墙有效：
红：生物豁免失败时受到10d6的火焰伤害，豁免成功则伤害减半。此光层存在时，非魔法远程攻击无法穿过法墙。光层受至少25点冷冻伤害时被摧毁。
橙：生物豁免失败时受到10d6的强酸伤害，豁免成功则伤害减半。此光层存在时，魔法远程攻击不能穿过法墙。光层受强风吹袭后被摧毁。
黄：生物豁免失败时受到10d6的闪电伤害，豁免成功则伤害减半。光层受至少60点力场伤害时被摧毁。
绿：生物豁免失败时受到10d6的毒素伤害，豁免成功则伤害减半。光层在受法术穿墙术，或者其它相同或更高环阶法术在固态表面开口的效应影响时被摧毁。
蓝：生物豁免失败时受到10d6的冷冻伤害，豁免成功则伤害减半。光层受至少25点火焰伤害时被摧毁。
靛：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日光术，或者其他相同或更高环阶法术发出的明亮光线照射时被摧毁。
紫：生物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该光层在受法术解除魔法，或者其他类似的相同或更高环阶法术所产生的终止法术魔法效应的影响时被摧毁。</t>
  </si>
  <si>
    <t>形体变化</t>
  </si>
  <si>
    <t>Shapechange</t>
  </si>
  <si>
    <t>至少价值1500gp的玉环，施法时将环戴在头上</t>
  </si>
  <si>
    <t>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你的生命值和生命骰变成和新形态一样。当你变回原形时，你的生命值恢复变形前的状态。如果你因为生命值降至0以下而变回原形，则你的正常形态将承受所有溢出的伤害。只要该伤害不足以把你在正常形态下的生命值也降至0，你就不会因此陷入昏迷。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在法术持续时间内，你可以用你的动作转换为另一形态。重新变形的规则与限制与第一次变形相同，只有一点不同：如果新形态的生命值比你当前的形态要多，那么你的生命值将保持为当前值不变。</t>
  </si>
  <si>
    <t>复仇风暴</t>
  </si>
  <si>
    <t>Storm Of Vengeance</t>
  </si>
  <si>
    <t>一团翻腾搅动的乌云并以你能看见的一点为中心一直扩散至半径360尺的区域，并使该区域内充斥着电闪雷鸣与狂风呼啸。所有位于云团下的生物（处于云团下方5000尺内）必须进行一次体质豁免。豁免失败者将受到2d6点雷鸣伤害，并陷入持续5分钟的耳聋状态。
你每维持一轮该法术的专注，风暴就会在你的回合里产生不同的效应：
第2轮：云层中降下酸雨。所有位于云团下方的生物和物件受到1d6点强酸伤害。
第3轮：你从云中召下六束闪电击向你指定的六个位于云团下的生物或物件，其中任一生物或物件都只能被该闪电击中一次。遭电击的生物必须进行一次敏捷豁免，豁免失败者将受到10d6点闪电伤害，豁免成功则伤害减半。
第4轮：冰雹从云团中倾泻而下。所有位于云团下方的生物将受到2d6点钝击伤害。
第5~10轮：狂风和冰雨冲袭着云团下的区域，使该区域变为困难地形并造成重度遮蔽。该区域内的所有生物受到1d6点冷冻伤害。该区域内无法进行远程武器攻击。而其内的强风和暴雨将对维持法术专注造成严重干扰。此外，区域内的强风（风速在每小时20到50里）会自动吹散区域内的一切魔法或非魔法的烟雾以及其他类似现象。</t>
  </si>
  <si>
    <t>时间停止</t>
  </si>
  <si>
    <t>Time Stop</t>
  </si>
  <si>
    <t>你使时间在除你之外所有生物的世界中暂时停止流动。你一次性进行1d4+1个回合，在这段过程内时间对于其他生物来说是静止的，但你可以像正常一样移动和使用动作。
在法术持续时间内，如果你的一个动作或任何你创造出来的效应影响到除你之外的任何生物，或影响到其他生物着装或携带的物件时，该法术将立即终止。此外，如果你在施法后移动离开施法位置超过1000尺，则法术也将因此终止。</t>
  </si>
  <si>
    <t>完全变形术</t>
  </si>
  <si>
    <t>True Polymorph</t>
  </si>
  <si>
    <t>一滴水银，一团阿拉伯胶以及一缕烟</t>
  </si>
  <si>
    <t>你指定施法距离内一个你能看见的生物或物件并使其变形。该法术无法对0生命值目标生效。你可以将目标生物变成另一个不同的生物，或将目标生物变成一个非魔法物件，又或者将目标物件变成一个生物（该物件必须没有被任何生物着装或携带）。变形效应持续到法术持续时间结束，或直至目标生命值降至0或目标死亡。如果你在法术持续时间内一直保持该法术的专注，则该变形将一直持续到被解除。
该法术对变形生物以及生命值为0的目标无效。而不愿被变形的生物可以进行一次感知豁免，豁免成功则不受该法术影响：
生物变生物：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
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
目标的装备融入其新形态，而且不能激活或持用装备，也无法以其他任何方式从其装备上获益。
物件变生物：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来判定其行动结果如何。
如果该法术变成永久有效，则你将不再控制该生物。此后，该生物将根据你对待他的方式决定是否对你保持友善。
生物变物件：如果你将一个生物变形成一个物件，则它连同其穿着携带物一起变成新的形态。变成物件的体型不能比原生物大。受术者的数据变成和该物件一样，在法术终止而受术者变回原形后，它将不会记得在变成物件时所发生的任何事情。</t>
  </si>
  <si>
    <t>完全复生术</t>
  </si>
  <si>
    <t>True Resurrection</t>
  </si>
  <si>
    <t>少量圣水和至少价值25000gp的钻石，作为该法术的耗材</t>
  </si>
  <si>
    <t>你触碰一个已死的生物使其复活。该生物的死亡时间必须不超过200年，且死因不能是老死。如果该生物的灵魂愿意并且能够回到其身体中，则它将以生命值全满的状态复活。
该法术能治愈所有致命伤，中和一切毒素与疾病，并解除其生前所受的一切诅咒。该法术甚至能恢复其损伤或失去的器官和肢体。若生物曾经是不死生物，则它恢复至其非不死生物形态。
如果受术生物的遗体已经不再存在，该法术甚至能给它再造一个新的身体。此时，你必须喊出该生物的名字，随后该生物便出现在你指定点周围10尺内一处未被占据的空间。</t>
  </si>
  <si>
    <t>怪影杀手</t>
  </si>
  <si>
    <t>Weird</t>
  </si>
  <si>
    <t>你利用一群生物最恐惧的事物，在它们的心中创造出一个只有它们自己能看见的虚幻生物。指定施法距离内一点为中心，其周边半径30尺球状区域内的所有生物必须进行一次感知豁免。豁免失败者将在法术终止前陷入恐慌。该法术造出的幻象能唤起受术者心中最深的恐惧，使它最恐怖的噩梦显现为一个永远无法摆脱的威胁。如果生物因该法术陷入恐慌，则它在自己每回合结束时必须进行一次感知豁免，豁免失败则受到4d10点心灵伤害。豁免成功则此法术在该生物身上的效应终止。</t>
  </si>
  <si>
    <t>祈愿术</t>
  </si>
  <si>
    <t>Wish</t>
  </si>
  <si>
    <t>祈愿术是凡间生物所能施展的最强大法术。你只需要大声说出自己的愿望就能将现实世界的根基操弄于手中。此法术最基础的用法是用来模仿任意一个八环或更低环阶的法术。你不需要满足目标法术所需的任何前提条件（包括昂贵的材料成分）就可以让该法术生效。
除此之外，你也可以选择创造下列效应其中之一：
你创造出一个价值不超过25000gp的物件。该物件不能是魔法物品。该物件最长尺寸不能超过300尺，并随法术出现在地面上你能看见的一处未被占据位置。
你让至多二十个你能看见的生物恢复其全部生命值，并且终止它们身上一切在高等复原术中描述过的效应。
你让至多十个你能看见的生物对你所指定的一种伤害类型具有抗性。
你让最多十个你能看见的生物在八小时内免疫某种法术或其他魔法效应。例如，你可以使你自己和你的所有同伴免疫巫妖的吸取生命攻击。
你改变一件刚刚发生的事件。重掷前一轮的任意一次掷骰（包括你前一回合进行的掷骰），并让现实随着你的新掷骰结果改变。例如，祈愿术可以撤销对手的成功豁免，敌人的重击或同伴的失败豁免。你可以迫使重新进行的掷骰具有优势或劣势，并且可以选择是使用重投后的结果还是使用原来的结果。
上述范例效应之外，你也许还能达成其他某些结果。你可以详细的跟DM说明你的愿望，并由DM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施放该法术来达成除了模仿其他法术外的任何目的都会使你承受极大的负担。承受这种负担之后，直到你完成一次长休息之前，你每次施放法术时都将受到一定伤害（伤害数值与施放法术的环阶相关，每环1d10的黯蚀伤害）。你无法以任何方式减轻或防止这种伤害，而你的力量值在也将在2d4日内降至3（除非它已经是3或更低）。在这段时间里，你每花一整日休息（不从事任何费力的工作），恢复需要的日数就减少2日。最后，如果你承受了这种负担，你将有33%的概率再也无法施放祈愿术。</t>
  </si>
  <si>
    <t>无敌术</t>
  </si>
  <si>
    <t>Invulnerability</t>
  </si>
  <si>
    <t>一小块价值至少500gp的精金，作为该法术的耗材</t>
  </si>
  <si>
    <t>你免疫所有伤害直到法术结束。</t>
  </si>
  <si>
    <t>群体变形术</t>
  </si>
  <si>
    <t>Mass Polymorph</t>
  </si>
  <si>
    <t>一个毛毛虫的茧</t>
  </si>
  <si>
    <t>你可以转变施法距离内最多10个由你选择的可见生物。非自愿的目标必须通过一次感知豁免检定来对抗变形。非自愿的变形者在这次豁免中自动成功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</si>
  <si>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心灵尖啸</t>
  </si>
  <si>
    <t>Psychic Scream</t>
  </si>
  <si>
    <t>你释放你的心灵力量，轰击施法距离内至多10个由你选择的可见生物的心智。智力值为2或更低的生物不受影响。
每个目标都必须进行一次智力豁免检定。若豁免失败，目标受到14d6心灵伤害并且被震慑。豁免成功则只承受一半且不被震慑。如果一个有头的目标被这个伤害杀死，它的头会爆炸。
一个被震慑的生物可以在它每个回合结束时重新进行智力豁免。若豁免成功，震慑效果将结束。</t>
  </si>
  <si>
    <t>饕餮虚空</t>
  </si>
  <si>
    <t>Ravenous Void</t>
  </si>
  <si>
    <t>一只铁制的小九芒星</t>
  </si>
  <si>
    <t>你以施法距离内你可见的一点为源点创造一个半径20尺的毁灭性球形力场。在法术持续时间内，球形力场与其100尺范围内的空间视为困难地形，且完全处于力场内的未被着装与携带的非魔法物件会被摧毁。
当力场出现时或者在你的每回合开始时，力场的100尺范围内未被着装的物件将被直直拉向力场的中心，并在距离力场中心最近的未被占据的空间停止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</si>
  <si>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时光蹂躏</t>
  </si>
  <si>
    <t>Time Ravage</t>
  </si>
  <si>
    <t>一个装满了钻石粉尘的沙漏，其价值至少为5000金币，会在施法时消耗</t>
  </si>
  <si>
    <t>你选定一个施法距离内的目标，使他的身体形态受到飞速衰老的破坏。目标必须进行一个体质豁免并在豁免失败时受到12D10点黯蚀伤害，或在豁免成功时只受到一半的伤害。若其豁免失败，目标还会快速老化至离老死只有三十天的时间点。在这个年龄段，目标在攻击掷骰上，属性检定上与豁免检定上承受劣势，其步行速度也减少一半。只有祈愿术或以九环法术位施展的高等复原术才能使这些效果消除并使其恢复原先的年龄。</t>
  </si>
  <si>
    <t>灾厄之刃</t>
  </si>
  <si>
    <t>Blade Of Disaster</t>
  </si>
  <si>
    <t>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力场伤害。该攻击在d20投出18或更高时造成重击，并在重击时造成额外8d12力场伤害（共计12d12力场伤害）。
你可以在自己回合内以一个附赠动作让该武器移动至多30尺到一个你可以看见的未被占据的空间，随后再用其进行两次近战法术攻击。
该剑刃可以无害地通过任何屏障，包括一道力场墙。</t>
  </si>
  <si>
    <t>备选赠礼</t>
  </si>
  <si>
    <t>超自然赠礼</t>
  </si>
  <si>
    <t>我崇敬，并从龙神处汲取力量——最有可能的是巴哈姆特与提亚马特，但也有可能是萨迪沃或其他具备高度实力的巨龙，如阿丝特莱雅，阿莎德隆或库若尼普斯。</t>
  </si>
  <si>
    <t>我崇敬或被某个龙类精魂所寄宿着，就如同自然或先祖之魂一般。</t>
  </si>
  <si>
    <t>生物特点</t>
  </si>
  <si>
    <t>一位在普罗烽斯的熔炉工作的山灵是我最为接近父母的人。</t>
  </si>
  <si>
    <t>普罗烽斯制造出我为祂服务。</t>
  </si>
  <si>
    <t>我在数十年前被创造出来，由于害怕自己将要被废弃，我在最近逃出了维鲁斯山。</t>
  </si>
  <si>
    <t>普罗烽斯后悔创造出了我，并想要将我重新铸造成更优秀的东西。</t>
  </si>
  <si>
    <t>普罗烽斯希望我能继续祂的工作，并创造出一件我自己的、更加伟大的作品。</t>
  </si>
  <si>
    <t>维鲁斯山中的某人为我灌输了一个可怕的秘密，并希望我能将它带到这个世界上。</t>
  </si>
  <si>
    <t>我是某个传承巨龙师祖教诲的教团之一员。</t>
  </si>
  <si>
    <t>天命</t>
  </si>
  <si>
    <t>我注定会成为一门技术或行业中最精湛的行家。</t>
  </si>
  <si>
    <t>我注定会在尼兹的星辰中间赢得自己的一席之地。</t>
  </si>
  <si>
    <t>我注定成为一位神灵。</t>
  </si>
  <si>
    <t>我注定要将我的挚爱从冥界的桎梏中解放。</t>
  </si>
  <si>
    <t>我在一只克拉肯袭击迈勒提斯的时候出生，而我注定要将它毁灭。</t>
  </si>
  <si>
    <t>我注定会发现诸神力量的秘密。</t>
  </si>
  <si>
    <t>我有一位巨龙导师或宗主。</t>
  </si>
  <si>
    <t>我将一位所挂念之人的死亡归咎于诸神。</t>
  </si>
  <si>
    <t>多个神灵都想要利用我达到他们的目的，因此我尽力避开和神的纠葛。</t>
  </si>
  <si>
    <t>显然，变化无常的诸神不值得崇拜。</t>
  </si>
  <si>
    <t>我知晓世界的未来在于凡人，而非诸神。</t>
  </si>
  <si>
    <t>我认为诸神希望我死去。</t>
  </si>
  <si>
    <t>我拒绝成为神灵计划中的棋子。</t>
  </si>
  <si>
    <t>我使用我的职业特性时会表现出某些龙类特征。</t>
  </si>
  <si>
    <t>我在达克拉群岛上受过一只斯芬克斯教育。</t>
  </si>
  <si>
    <t>我是一个迈勒提斯哲学学派的虔诚追随者。</t>
  </si>
  <si>
    <t>我说话的时候总是用过去式，就像我说的一切都已经发生了一样。</t>
  </si>
  <si>
    <t>我发誓绝不让活人看到我脸上面具之后的样子。</t>
  </si>
  <si>
    <t>为什么我不用问句来说每一句话呢？</t>
  </si>
  <si>
    <t>我作为一只斯芬克斯而出生，但一位神灵诅咒了我，将我化作凡人，限制在凡人的知识中。在打破这个诅咒之前，我绝不放弃。</t>
  </si>
  <si>
    <t>我拥有一件龙牙、龙角、龙爪或龙鳞，并用它们作为我的法器。</t>
  </si>
  <si>
    <t>伴侣关系</t>
  </si>
  <si>
    <t>另一位角色是我的爱人或最为亲密的朋友。</t>
  </si>
  <si>
    <t>另一位角色是我的手足。</t>
  </si>
  <si>
    <t>另一位角色是我的父母或孩子。</t>
  </si>
  <si>
    <t>另一位角色我的神灵的斗士。</t>
  </si>
  <si>
    <t>在远远欣赏另一位角色之后，我终于赢得了一个他们身边的位置。</t>
  </si>
  <si>
    <t>我只想另一位角色能认识到我的奉献，并回报以爱。</t>
  </si>
  <si>
    <t>某位巨龙先祖，或给予我先祖的巨龙赋礼，让我获得了力量。</t>
  </si>
  <si>
    <t>我的父母之一是一位天裔，一位宁芙，或者其他超自然的生物。</t>
  </si>
  <si>
    <t>我作为神的使者在尼兹被一位神灵所创造。</t>
  </si>
  <si>
    <t>我是一种其他神性行为的副产物。</t>
  </si>
  <si>
    <t>一位神灵见证了我的出生，并造就了我。</t>
  </si>
  <si>
    <t>我被从冥界解救出来，当重获新生之时，我获得了一些超自然的特性。</t>
  </si>
  <si>
    <t>我是一支歌谣，或者其他被赋予了生命的艺术作品。</t>
  </si>
  <si>
    <t>异象</t>
  </si>
  <si>
    <t>每当我的武器击中什么东西，我的武器上就会洒落闪亮的火花。</t>
  </si>
  <si>
    <t>我的头发像是在不息的微风中一样飘扬。</t>
  </si>
  <si>
    <t>我生气时闻起来像是燃烧的秋日落叶。</t>
  </si>
  <si>
    <t>当阳光照到我的时候，我的身体上会有斑斓的光芒在闪烁。</t>
  </si>
  <si>
    <t>我的笑声会让周围的鸟儿歌唱。</t>
  </si>
  <si>
    <t>在我身旁睡觉的人总是会梦到海洋。</t>
  </si>
  <si>
    <t>我与自然的连结让我与某条龙建立了奇异的链接，因其存在改变了周遭自然环境的结构。</t>
  </si>
  <si>
    <t>诅咒</t>
  </si>
  <si>
    <t>我明确地知道我的死期，而我不打算说或做任何事来阻止它的到来。</t>
  </si>
  <si>
    <t>来向我咨询消息的人很少相信我给予他们的回答。</t>
  </si>
  <si>
    <t>我为噩梦所扰，在梦中，我预见到素昧平生之人的死亡。</t>
  </si>
  <si>
    <t>我常常因为他人看不见的事物的景象和声音而分散注意力。</t>
  </si>
  <si>
    <t>一只尼兹的可怕怪物监视着我，每当我冒险外出时都会看到它。</t>
  </si>
  <si>
    <t>每当我和某人关系变得密切时，我就会看到他们逐渐年长、衰老和死去。</t>
  </si>
  <si>
    <t>每当我受到神灵的预示时，我都会有强烈的头疼或胸痛。</t>
  </si>
  <si>
    <t>无论我是否想听到，众神中的一位都想要使用我作为祂的先知。</t>
  </si>
  <si>
    <t>我最近发现我某位所爱之人或所信之人的真身是头巨龙。</t>
  </si>
  <si>
    <t>我经常偶然以我的神灵（或另一个神灵）的名字称呼他人。</t>
  </si>
  <si>
    <t>我熬夜观察星空，希望我的神灵能给予我信息。</t>
  </si>
  <si>
    <t>我非常嫉妒我的神灵的先知，他们似乎和神之间有比我希望得到的更加密切的关系。</t>
  </si>
  <si>
    <t>我梦想有朝一日能进入尼兹，在我的神灵身旁有一处永恒的席位。</t>
  </si>
  <si>
    <t>我唯一的家是我的神的庙宇。</t>
  </si>
  <si>
    <t>我无法证明这一点，但我猜测我的神可能真的是我的生身父母中的一位。</t>
  </si>
  <si>
    <t>我从巨龙的宝库中偷得了某件看似平平无奇的玩意儿，但当我把它带在身上时就会发生不可思议的事情。</t>
  </si>
  <si>
    <t>还是一个婴儿的时候，我曾经被沐浴在多头龙的血液中，而我的伤口很快就会愈合，不会演变成致命的伤害。</t>
  </si>
  <si>
    <t>我吞下过一块来自尼兹的魔法石头，它让我的皮肤如同岩石一般坚硬。</t>
  </si>
  <si>
    <t>当我是个孩子的时候，我曾经受过一次伤，而一位神灵治愈了我。如今伤痕都不愿意让祂的成果消失。</t>
  </si>
  <si>
    <t>我被从冥界解救出来，而不确定我是真的完整复活了——我总是感到很冰冷。</t>
  </si>
  <si>
    <t>我出生在达克拉群岛中的一座。我的同胞们生而坚韧，而直到我背井离乡，在世界上流浪的时候才意识到这一点。</t>
  </si>
  <si>
    <t>我不知道我我双亲中的一位或两位是何许人也，但我的韧性（和其他迹象）为他们的不朽身份提供线索。</t>
  </si>
  <si>
    <t>灵魂回荡</t>
  </si>
  <si>
    <t>我的灵魂与其他地方的人相连——那个人或许是另外个领域，世界乃至于位面。</t>
  </si>
  <si>
    <t>我已经活了很多次了。每次当我死亡的时候我的灵魂都会转换到另外个身体里——而不是投胎转世</t>
  </si>
  <si>
    <t>我原本的意识已经从我原本的身体中移除并植入到了这个新的身体</t>
  </si>
  <si>
    <t>我在身体和精神上已经和另外个人合为一体了</t>
  </si>
  <si>
    <t>我与一种无形而又超凡脱俗的力量共享一具身体</t>
  </si>
  <si>
    <t>时空在我身边被撕裂，我有的时候会与自己的过去和未来发生些冲突</t>
  </si>
  <si>
    <t>低语之灵</t>
  </si>
  <si>
    <t>一群我已故的，正在注视着我的先祖。</t>
  </si>
  <si>
    <t>争夺我灵魂的邪恶存在们。</t>
  </si>
  <si>
    <t>被我吸引而来，寻求安宁的不安亡魂。</t>
  </si>
  <si>
    <t>滞留在我身边的刀下鬼。</t>
  </si>
  <si>
    <t>一个侵入我的思想的外星智慧。</t>
  </si>
  <si>
    <t>一个已经被我排斥出去，不再拥有这个身体占据权利的另外一个人格</t>
  </si>
  <si>
    <t>影子怪癖</t>
  </si>
  <si>
    <t>我的影子经常持有武器或承受了不存在的创伤</t>
  </si>
  <si>
    <t>当我分心的时候，我的影子会惊慌失措，试图引起别人的注意，好像它拼命地想逃离我。</t>
  </si>
  <si>
    <t>当我的影子不被注视的时候，它会做出威胁性的手势或者向人们爬去。</t>
  </si>
  <si>
    <t>我的影子的动作和我呈镜像——当我举起左手时，我的影子会举起右手。</t>
  </si>
  <si>
    <t>我的影子会不断摆弄小东西或偶尔打破微小的，非磁性的物体。</t>
  </si>
  <si>
    <t>在我的动作和我的影子之间有一个轻微但明显的延迟。</t>
  </si>
  <si>
    <t>迷雾穿梭</t>
  </si>
  <si>
    <t>你得知了一个秘密，关于雾的性质。从此以后，你可以操纵它们，但是你脚下的土地会与你作对。</t>
  </si>
  <si>
    <t>你为了逃离一个正在狩猎你的人或事物，来到雾中。你不能休息太长时间，因为你知道你仍被追赶着。</t>
  </si>
  <si>
    <t>你属于一个组织，一个家族，或是一个巡回团体，他们拥有着穿梭于雾中的经验。他们传授你如何以相同的方式对待。</t>
  </si>
  <si>
    <t>雾将你从你的家中窃出，并将关于你从何处来的记忆切断。从那之后，你的要求便是找到一个回去的路。</t>
  </si>
  <si>
    <t>形式</t>
  </si>
  <si>
    <t>夸张夸大，矫揉造作的你</t>
  </si>
  <si>
    <t>人兽混血儿</t>
  </si>
  <si>
    <t>天使，恶魔或者畸形的形体</t>
  </si>
  <si>
    <t>一种由粘液构成的模糊不清的人形生物</t>
  </si>
  <si>
    <t>有妖精一样的形状，性格不是险恶阴森就是怒不可遏</t>
  </si>
  <si>
    <t>由金属，石头，或者机械构成的身体</t>
  </si>
  <si>
    <t>因素</t>
  </si>
  <si>
    <t>看到月亮的某一阶段</t>
  </si>
  <si>
    <t>某种花的香味</t>
  </si>
  <si>
    <t>寺院的钟声</t>
  </si>
  <si>
    <t>听到特定的旋律</t>
  </si>
  <si>
    <t>用裸露的皮肤触摸纯银</t>
  </si>
  <si>
    <t>看到某个人正在和某个特定的人谈话</t>
  </si>
  <si>
    <t>共生体</t>
  </si>
  <si>
    <t>如同人类面庞的特征突显在你的躯干，手掌，或是你的后脑勺。</t>
  </si>
  <si>
    <t>一个在尚未愈合的伤口中的外来寄生物</t>
  </si>
  <si>
    <t>一个掘洞的，如同蠕虫一般的生物。</t>
  </si>
  <si>
    <t>一个困扰着你的想法，它栖息于你的脑海中</t>
  </si>
  <si>
    <t>一个拥有生命的纹身。</t>
  </si>
  <si>
    <t>你身体的一部分被成长中的结晶替代。</t>
  </si>
  <si>
    <t>共生体契约</t>
  </si>
  <si>
    <t>共生体寻求去毁灭一个特定的存在，比如恶魔，巨魔或圣武士。</t>
  </si>
  <si>
    <t>共生体渴求知识，并决意要解开一个奥秘或理解一个秘密。</t>
  </si>
  <si>
    <t>共生体想要带一个使一个预言的结果成真亦或是挫败这个预言让它变得子虚乌有</t>
  </si>
  <si>
    <t>共生体寻求去保护属于一个强大存在的组织的随从以及他的利益。</t>
  </si>
  <si>
    <t>共生体想要竭尽全力使你避免危险并让你相信它知道什么是对你好的。</t>
  </si>
  <si>
    <t>共生体寻求体验全新的感觉，越怪异越好。</t>
  </si>
  <si>
    <t>致命触摸表现</t>
  </si>
  <si>
    <t>你的身体被炼金术或生物实验所改变，实验给你注入了致命的化学物质。</t>
  </si>
  <si>
    <t>当你出现时，堕落德鲁伊或妖精的魔法让小植物更苦，你周边的昆虫死掉</t>
  </si>
  <si>
    <t>你是邪恶预言的预告者。任何被你触摸所伤害的生物都会用暂时性的伤痕被一个团体，恶魔，神灵或其他对你感兴趣的力量所标记</t>
  </si>
  <si>
    <t>你本该死在一次会让你死掉的经历里，但你幸存了下来。从那次之后，死亡和邪恶就常伴你身。</t>
  </si>
  <si>
    <t>你与时间或现实不同步。你所解除的任何东西都会被扭曲。</t>
  </si>
  <si>
    <t>每次你触摸一个生物，你都会听到你曾经所伤害过的人的讥笑声</t>
  </si>
  <si>
    <t>注视者</t>
  </si>
  <si>
    <t>食腐生物：豺狼、乌鸦、秃鹫</t>
  </si>
  <si>
    <t>不可赦的审判：活化刑具、漂浮的眼球、宗教相关的图像标志</t>
  </si>
  <si>
    <t>夜间飞行物：蝙蝠、飞蛾、猫头鹰</t>
  </si>
  <si>
    <t>鼠疫携带者：跳蚤、老鼠、松鼠</t>
  </si>
  <si>
    <t>非自然的观察者：活动的物体、发条装置、世外的窥视者</t>
  </si>
  <si>
    <t>海上生物：螃蟹、鳗鱼、水母</t>
  </si>
  <si>
    <t>迷失的灵魂：鬼珠、阴影、星质的小束</t>
  </si>
  <si>
    <t>毒虫：蝎子、蛇、蜘蛛</t>
  </si>
  <si>
    <t>空洞者</t>
  </si>
  <si>
    <t>不老</t>
  </si>
  <si>
    <t>紧拥生命</t>
  </si>
  <si>
    <t>还魂</t>
  </si>
  <si>
    <t>不安存在</t>
  </si>
  <si>
    <t>巨人饰品</t>
  </si>
  <si>
    <r>
      <rPr>
        <sz val="11"/>
        <color theme="1"/>
        <rFont val="宋体"/>
        <charset val="134"/>
        <scheme val="minor"/>
      </rPr>
      <t>一根巨人的牙签</t>
    </r>
    <r>
      <rPr>
        <i/>
        <sz val="11"/>
        <color rgb="FF808080"/>
        <rFont val="Arial"/>
        <charset val="134"/>
      </rPr>
      <t>（一把匕首）</t>
    </r>
  </si>
  <si>
    <r>
      <rPr>
        <sz val="11"/>
        <color theme="1"/>
        <rFont val="宋体"/>
        <charset val="134"/>
        <scheme val="minor"/>
      </rPr>
      <t>一张巨人的手绢</t>
    </r>
    <r>
      <rPr>
        <i/>
        <sz val="11"/>
        <color rgb="FF808080"/>
        <rFont val="Arial"/>
        <charset val="134"/>
      </rPr>
      <t>（一张毯子）</t>
    </r>
  </si>
  <si>
    <r>
      <rPr>
        <sz val="11"/>
        <color theme="1"/>
        <rFont val="宋体"/>
        <charset val="134"/>
        <scheme val="minor"/>
      </rPr>
      <t>一颗巨人的弹珠</t>
    </r>
    <r>
      <rPr>
        <i/>
        <sz val="11"/>
        <color rgb="FF808080"/>
        <rFont val="Arial"/>
        <charset val="134"/>
      </rPr>
      <t>（一颗水晶法球）</t>
    </r>
  </si>
  <si>
    <r>
      <rPr>
        <sz val="11"/>
        <color theme="1"/>
        <rFont val="宋体"/>
        <charset val="134"/>
        <scheme val="minor"/>
      </rPr>
      <t>一根巨人的火柴</t>
    </r>
    <r>
      <rPr>
        <i/>
        <sz val="11"/>
        <color rgb="FF808080"/>
        <rFont val="Arial"/>
        <charset val="134"/>
      </rPr>
      <t>（一根火把）</t>
    </r>
  </si>
  <si>
    <r>
      <rPr>
        <sz val="11"/>
        <color theme="1"/>
        <rFont val="宋体"/>
        <charset val="134"/>
        <scheme val="minor"/>
      </rPr>
      <t>一把巨人的拆信刀</t>
    </r>
    <r>
      <rPr>
        <i/>
        <sz val="11"/>
        <color rgb="FF808080"/>
        <rFont val="Arial"/>
        <charset val="134"/>
      </rPr>
      <t>（一把长剑）</t>
    </r>
  </si>
  <si>
    <r>
      <rPr>
        <sz val="11"/>
        <color theme="1"/>
        <rFont val="宋体"/>
        <charset val="134"/>
        <scheme val="minor"/>
      </rPr>
      <t>一枚巨人的针箍</t>
    </r>
    <r>
      <rPr>
        <i/>
        <sz val="11"/>
        <color rgb="FF808080"/>
        <rFont val="Arial"/>
        <charset val="134"/>
      </rPr>
      <t>（一个铁壶</t>
    </r>
  </si>
  <si>
    <t>你不会变老，那些会导致你变老的效应也对你没有作用</t>
  </si>
  <si>
    <t>当你进行死亡豁免，并骰出16或更高时，你恢复1点生命值</t>
  </si>
  <si>
    <t>你保留你的生物种类。但你对侦测不死生物种类存在的法术或其他效应显示为不死生物</t>
  </si>
  <si>
    <t>以一个动作，你可以使15英尺范围内一个你能看见的生物不安。目标在接下来一分钟内进行的下一次豁免骰有劣势。构装生物，不死生物和不会被恐慌的生物对该特性免疫。一旦你使用了该特性，直到你完成了一次长休你不能再次使用它</t>
  </si>
  <si>
    <t>元素徽记</t>
  </si>
  <si>
    <t>像石粒或水珠一样的元素能量小颗粒漂浮在你的头部周围。</t>
  </si>
  <si>
    <t>你的皮肤会无害的让人感到炽热、或冰冷（由你选择）。</t>
  </si>
  <si>
    <t>你身上弥漫着一股淡淡的气味，让人联想到你的原初枢纽家园，例如下雨时泥土的芳香、海边的新鲜空气、或燃烧产生的烟雾。</t>
  </si>
  <si>
    <t>当你生气或兴奋时，你的眼中就会闪烁起火花。</t>
  </si>
  <si>
    <t>你皮肤上的纹路就好似某种石头一样，像是大理石或黑曜石之类的。</t>
  </si>
  <si>
    <t>你的头发荡漾着，就如同被一股不可见的水流翻动着。</t>
  </si>
  <si>
    <t>锻砧生物</t>
  </si>
  <si>
    <t>地底古怪</t>
  </si>
  <si>
    <t>你几乎没见过几种颜色，对你来说这个世界几乎就是全黑白的。</t>
  </si>
  <si>
    <t>你的眼睛缺乏色素，让它看上去是半透明的。</t>
  </si>
  <si>
    <t>你依稀记得有一种叫做“雨”的奇观。在这种奇观下，无数的清水会从天而降。</t>
  </si>
  <si>
    <t>你的耳朵习惯了空荡洞穴中的回声，而那些地面上熙熙攘攘的嘈杂声让你心烦意乱。</t>
  </si>
  <si>
    <t>你会因为这里没有天花板而感到无比的恐惧。</t>
  </si>
  <si>
    <t>你渴望去触碰云层。虽然你不知道云是什么感觉，但你希望它是蓬松的。</t>
  </si>
  <si>
    <t>你进行对抗毒素的豁免时具有优势，并且拥有毒素伤害的抗性
你不需要吃、喝和呼吸
你对疾病免疫
你不需要睡眠，也不会因为魔法效果而陷入睡眠</t>
  </si>
  <si>
    <t>当你进行长休时，你必须花费6小时处于一种静止的、非激活的状态，以代替睡眠。处于该状态时，你变得迟缓，但不会失去意识，并能够保持正常的视力和听力</t>
  </si>
  <si>
    <t>高大传说</t>
  </si>
  <si>
    <t>小时候，你踏入过某座巨大的空中城堡，但没人相信你的故事。你想证明那是真的。</t>
  </si>
  <si>
    <t>你所珍爱的某人莫名其妙的死在了海上。你发誓，这场谋杀的罪魁祸首是一个被其他人认定为神话传说的大海怪。你追寻着它的下落，并宣誓要向它复仇。</t>
  </si>
  <si>
    <t>传说，你是某位传奇巨人杀手的后裔。而你在努力维系这一传承下来的头衔。</t>
  </si>
  <si>
    <t>某个城市的传奇故事里，将附近的景观描绘为某个古代巨型雕刻家或肆虐的泰坦巨兽的杰作，亦或者将其本身描绘为一个仍在沉睡的真巨人。你尝试探索这片土地，寻找它起源的真相。</t>
  </si>
  <si>
    <t>你的某个亲戚在回家后，声称他发现了一座奇怪的岛屿，岛上居住着古老的、不凡的生物。就因为这个，你的家族成了镇上的大笑柄，而你正努力挽回家族的声誉。</t>
  </si>
  <si>
    <t>你的兄弟姐妹说，巨人与其他巨大生物就是个幼稚的儿童故事。你希望你能击败这样生物，并带回它们存在的证据。</t>
  </si>
  <si>
    <t>英雄天命</t>
  </si>
  <si>
    <t>抗拒死亡</t>
  </si>
  <si>
    <t>难以杀死</t>
  </si>
  <si>
    <t>你在死亡豁免中具有优势</t>
  </si>
  <si>
    <t>当你的生命值被降低到0而没有直接死亡时，你可以改为将生命值降低到1。当你使用该特质时，直到你完成一次长休以前你无法再次使用</t>
  </si>
  <si>
    <t>启化防护</t>
  </si>
  <si>
    <t>反抗诸神</t>
  </si>
  <si>
    <t>你能以该特性仅以你自己为目标施展防护善恶，而不需要任何材料成分。旦你这么做，直到结束一次长休以前你无法再次以这种方式施展它
感知是你该特性的施法关键属性</t>
  </si>
  <si>
    <t>你无法获得或失去任何神灵的虔信值。作为替代，你随着角色等级获得其他特质</t>
  </si>
  <si>
    <t>5级起，你能以该特性施展解除魔法，而不需要任何材料成分。旦你这么做，直到结束一次长休以前你无法再次以这种方式施展它</t>
  </si>
  <si>
    <t>11级起，你能以该特性施展反制善恶，而不需要任何材料成分。旦你这么做，直到结束一次长休以前你无法再次以这种方式施展它。感知是你以特性施展法术时的关键属性。此外，当你以反逆英雄特质施展解除魔法时，你可以以四环施展</t>
  </si>
  <si>
    <t>17级起，你能以该特性施展反魔法力场，而不需要任何材料成分。旦你这么做，直到结束一次长休以前你无法再次以这种方式施展它。此外，当你以反逆英雄特质施展解除魔法时，你可以以五环施展</t>
  </si>
  <si>
    <t>莫测者</t>
  </si>
  <si>
    <t>心灵之盾</t>
  </si>
  <si>
    <t>斯芬克斯之帷</t>
  </si>
  <si>
    <t>你具有心灵伤害的抗性</t>
  </si>
  <si>
    <t>你免疫让其他生物感知你的情绪或想法的效果。为了揣测你的意图或诚意而做出的感知（洞悉）检定具有劣势</t>
  </si>
  <si>
    <t>毕生伙伴</t>
  </si>
  <si>
    <t>助益灵光</t>
  </si>
  <si>
    <t>友伴保护</t>
  </si>
  <si>
    <t>只要你不陷入失能，你5尺内的盟友在对抗魅惑和恐慌的豁免骰上具有优势</t>
  </si>
  <si>
    <t>当一个5尺内你能看见的生物被一次攻击击中时，你可以以使用你的反应动作让攻击改为命中你，一旦你使用了该特性，直到你完成一次长休前你无法再次使用</t>
  </si>
  <si>
    <t>天裔生物</t>
  </si>
  <si>
    <t>星辰荫蔽</t>
  </si>
  <si>
    <t>天裔抗性</t>
  </si>
  <si>
    <t>以一个动作，你能以星光的遮蔽掩藏身形，让自己看起仿佛一块夜空的剪影。当你如此做时，对你进行的攻击检定具有劣势。直到你解除它（不需要动作）或死亡之前，荫蔽会存在一分钟。一旦你使用该特性，直到结束一次长休以前你无法再次使用</t>
  </si>
  <si>
    <t>你具有对黯蚀和光耀伤害的抗性</t>
  </si>
  <si>
    <t>先知</t>
  </si>
  <si>
    <t>聆听神谕</t>
  </si>
  <si>
    <t>神谕洞察</t>
  </si>
  <si>
    <t>先知虔信</t>
  </si>
  <si>
    <t>占卜者</t>
  </si>
  <si>
    <t>预言者</t>
  </si>
  <si>
    <t>神谕者</t>
  </si>
  <si>
    <t>神之先知</t>
  </si>
  <si>
    <t>你能说、读和写天界语。此外，一位神灵可能会通过你来传播信息，而你可以选择是使用你自己的声音还是让神灵的声音通过你的口中送出信息，并翻译为你所说的任何语言</t>
  </si>
  <si>
    <t>当你进行属性鉴定时，你可以投一个d10并将结果加到检定中。你可以在投d20之后，但必须在dm宣布成功还是失败之前决定是否添加d10。一旦你使用了该特质，直到你完成一次短休或长休前你无法再次使用</t>
  </si>
  <si>
    <t>你的先知能力随着你的虔信值提升而提升。你获得先知特质替换你从神灵那里获得的虔信值增益
感知是你以这些特性施展的所有法术的施法关键属性</t>
  </si>
  <si>
    <t>虔信值3
你可以通过该特质以仪式施展卜筮术。一旦你这么做，直到结束一次长休以前你无法再次以这种方式施展它</t>
  </si>
  <si>
    <t>虔信值10
你可以通过该特质以仪式施展预言术。一旦你这么做，直到结束一次长休以前你无法再次以这种方式施展它</t>
  </si>
  <si>
    <t>虔信值25
你可以通过该特质以仪式施展通神术。一旦你这么做，直到结束一次长休以前你无法再次以这种方式施展它
只要你没有陷入失能，你无法被突袭</t>
  </si>
  <si>
    <t>虔信值50
你的智力或感知增加2，你所选择那项属性的上限也增加2</t>
  </si>
  <si>
    <t>虔敬者</t>
  </si>
  <si>
    <t>虔信护盾</t>
  </si>
  <si>
    <t>宗教学习</t>
  </si>
  <si>
    <t>起始虔信值</t>
  </si>
  <si>
    <t>如果你在一次豁免检定中失败，你可以重新掷骰，但必须使用新的结果。一旦你使用了该特质，直到你完成一次长休前你无法再次使用</t>
  </si>
  <si>
    <t>你在任何关于你所选择的神的智力（宗教）检定上具有优势</t>
  </si>
  <si>
    <t>你一开始具有3点你所选神灵的虔信值</t>
  </si>
  <si>
    <t>无伤者</t>
  </si>
  <si>
    <t>无伤坚韧</t>
  </si>
  <si>
    <t>当你受到伤害时，你可以使用你的反应并投一个d12。并把你的体质调整值加到投出的数值上，从伤害中减去总和。在你使用该特质后，直到一次短休或长休结束你无法再次使用</t>
  </si>
  <si>
    <t>通灵能力</t>
  </si>
  <si>
    <t>原初之声</t>
  </si>
  <si>
    <t>恼人回音</t>
  </si>
  <si>
    <t>你可以额外选择两项熟练技能</t>
  </si>
  <si>
    <t>你可以说，读，写你选择的另外一门语言</t>
  </si>
  <si>
    <t>当你在进行攻击检定，属性检定或豁免检定的d20上骰出1时，骰一个恼人回音表获得回声带来的记忆，直到你完成一个短休或一个长休前你都无法再次使用该能力
1：你被一个你能看到的生物魅惑1分钟直到该生物伤害你
2：你被一个你能看到的生物所恐慌1分钟直到该生物伤害你
3：在你的下一个回合结束之前，你感官会感知到你周围另外一个时空或地点，在此期间你对你周围的实际环境处于目盲状态
4：你感知到另外一个不同的时空或地点与你周围的环境重叠在一起。你的速度减半直到你的下个回合结束
5：直到你的下个回合开始前你处于失能状态
6：你可以重骰这次攻击检定，属性检定或豁免检定。你必须使用新的掷骰结果</t>
  </si>
  <si>
    <t>汇灵低语</t>
  </si>
  <si>
    <t>灵魂低语</t>
  </si>
  <si>
    <t>意外杂音</t>
  </si>
  <si>
    <t>悠远之声</t>
  </si>
  <si>
    <t>你将学会传讯术，如果它不是你的已知法术，且释放不需要成分。在你释放法术时，这份信息会被你其中一个低语之灵传递，而不是你或者目标的声音。你释放这个法术的施法关键属性是智力，感知或是魅力（你在得到暗黑赠礼时进行选择）</t>
  </si>
  <si>
    <t>当你被一次攻击命中，你可以使用你的反应动作引导你的祟灵，让它们的嚎叫由你发出。如果敌人没有陷入耳聋，将你的熟练加值增加到你抵御这次攻击的ac，有导致攻击落空的可能性。当这个特性导致一次攻击失败，你将不能再使用这个特性直到完成一次长休</t>
  </si>
  <si>
    <t>在你进行攻击检定，施法检定，或豁免检定，并在d20的骰中掷出1时，参照悠远之声的表格，投掷骰子来决定声音的效果。当其中一个效果出现，其他的声音便不会再显现，直到你完成一次短休或长休
1：你在下一次攻击检定，属性检定或豁免检定上具有劣势
2：你持续耳聋一分钟。期间你听不到周围的声音
3：你将会对离你最近的生物感到恐慌，除了你自己。直到你的下一个回合。如果有多个生物距离你最近，由DM来选择一个你所恐慌的生物
4：在接下来的十分钟内，你可以询问你身边的低语之灵关于接下来30分钟你想做的事情的结果。你会像释放了法术卜筮术一样收到一个预兆，这个预兆表现为只有你才能察觉到的灵魂低语</t>
  </si>
  <si>
    <t>活性阴影</t>
  </si>
  <si>
    <t>攫取之影</t>
  </si>
  <si>
    <t>暗影打击</t>
  </si>
  <si>
    <t>不祥意志</t>
  </si>
  <si>
    <t>如果你还未学习法术法师之手，你可以学习它，并且不需要任何成分来施展它。该法术创造的手是暗影，但并不绑定到你的影子上。这个法术的关键属性是智力、感知或魅力（当你获得这个黑暗赠礼由你选择）</t>
  </si>
  <si>
    <t>当你进行近战攻击掷骰时，你可以增加你的触及范围10英尺。你的影子会像你一样展开攻击，你可以使用这个能力的使用次数等于你的熟练加值，当你完成一次长休时，你恢复所有的使用次数</t>
  </si>
  <si>
    <t>当你在进行攻击检定，属性检定或豁免检定的d20上骰出1时。在下一次当你或你能看到的30英尺范围内的生物进行攻击检定、属性检定或豁免检定时，掷一个d4。如果数值是奇数，则掷骰总数减少该骰值。如果数字是偶数，则将掷骰总数增加该骰值。一旦这种效应发生，它不会再被启用，直到你完成一次短休或长休</t>
  </si>
  <si>
    <t>薄雾行者</t>
  </si>
  <si>
    <t>迷雾穿行者</t>
  </si>
  <si>
    <t>已被毒害的根源</t>
  </si>
  <si>
    <t>你可以使用法术迷踪步，不需要法术位，你需要完成一次长休后，才能再次以此特性施展迷踪步。这项法术需要的施法属性是智力，感知，或魅力（你在获得这份黑暗赠礼时进行选择）。如果你拥有二环或以上的法术位，你可以使用更高的法术位来施展这个法术</t>
  </si>
  <si>
    <t>当你进入雾中，意图抵达一片特定的地域时，你将会像是拥有一个与那片地域相符的迷雾护身符一般。当你使用这个特性时，你必须知道你所选择的目的地区域的名字，但是你并不需要曾抵达过那片土地。这个特性不会允许你绕过因为一位暗黑领主的意愿，而封闭的地域边境</t>
  </si>
  <si>
    <t>你可以安全地在一片区域停留与你体质调整值相同数值的周数（最少一周）。之后，每次你在那片区域完成一次长休，你必须成功通过一次DC15的体质豁免检定，或是获得一层当你在那片区域内，不可被移除的力竭</t>
  </si>
  <si>
    <t>第二形态</t>
  </si>
  <si>
    <t>变形</t>
  </si>
  <si>
    <t>被迫改变</t>
  </si>
  <si>
    <t>你可以施放法术变身术，使其以你的第二形态出现。当你这么做时，你获得了该法术的“改变外貌”选项的效果，并且不能结束它来获得其他选项的好处。以这种方式施法不消耗法术位，并且你必须在一次长休之后才能再次以这种方式施法。该法术的关键属性是智力、感知或魅力（当你获得这个黑暗赠礼时由你选择）。如果你有2环或更高的法术位，你可以用它们来再次使用该特性
当你使用这个特性施放变身术时，你的第二个形体的一些装饰性的部分会在法术结束后保留下来。除非你主动隐藏或伪装，否则这会明显地标记你的位置。这种痕迹是一种明显的变化，如鳞状皮肤、翅膀发育不良、眼睛没有瞳孔或角。这种痕迹在你长休后会消失</t>
  </si>
  <si>
    <t>某些情况会激活你的黑暗赠礼。在你经历了你的变化因素后，在你的下一个回合开始时，你必须成功通过一次DC15的魅力豁免，否则你将使用你的动作来施展变形特质中描述的变身术，即使你已经使用了这个特性</t>
  </si>
  <si>
    <t>共生存在</t>
  </si>
  <si>
    <t>不缠不休的存在</t>
  </si>
  <si>
    <t>永不完结的共生</t>
  </si>
  <si>
    <t>共生契约</t>
  </si>
  <si>
    <t>你的共生体是一个单独的实体，它自己的物理形态与你的绑定。它不是一个独立的生物，而是依靠你生存。它有智力、感知和魅力属性。由DM设置共生体的属性或随机决定（每个属性掷4d6，取三者最高）。共生体可以通过你的感官来观察或听闻事情
共生体可以说、读、懂两种语言；其中一门是你所说的，另一门则是适合于他的性质的语言
选择以下技能之一：奥秘、欺骗、历史、恐吓、洞悉、调查、自然、宗教、察觉或说服。如果你还没有熟练熟于这项技能，你就可以拥有这项技能的熟练，代表共生体给予你的知识或帮助
如果你死了，你的共生体也会跟随你死去。如果你随后恢复了生命，你的共生体也会随之复活</t>
  </si>
  <si>
    <t>当你的豁免检定失败时，你可以选择让你的共生体消耗你的一个生命骰并将骰值加到豁免检定中，这可能会让失败变的成功。如果你在死亡豁免中使用此功能，则你的死亡豁免必定成功，并且无论这次d20的骰值多少，你都会获得1点生命值
一旦你因为这个特性成功的进行了一次豁免，这个特性就不能再次使用除非你完成一次长休</t>
  </si>
  <si>
    <t>你的共生体有一个使他为你服务的契约。它希望你能协助它实现这些目标。它在实现它的契约时的宽容程度或耐心程度取决于它的个性（与您的DM合作确定这些细节）。如果你有机会完成契约或推进契约的进度却不采取行动，共生体可以尝试操控你的身体来迫使你去实现。你必须成功通过一次魅力豁免（DC为12+共生体的魅力调整值），否则你会被共生体所魅惑1d12小时。当你被魅惑时，你必须听从共生体的命令。如果你受到了伤害且该伤害不是你自己造成的，你可以重复这次豁免掷骰，如果成功则将结束它对你的影响</t>
  </si>
  <si>
    <t>死亡之触</t>
  </si>
  <si>
    <t>无法逃避的死亡</t>
  </si>
  <si>
    <t>枯萎之触</t>
  </si>
  <si>
    <t>你可以集中你的致命的触摸攻击你的敌人。以一个动作，你进行一次徒手攻击。命中时，目标会额外受到1d10黯蚀伤害。当你达到5级（2d10），11级（3d10）,17级（4d10）时，此伤害增加1d10</t>
  </si>
  <si>
    <t>当你用攻击骰命中目标并造成黯蚀伤害时，你忽略目标对该伤害的抗力</t>
  </si>
  <si>
    <t>你的回合开始时，若你擒抱住一个生物，或你被一个生物所擒抱，该生物会受到1d10的黯蚀伤害</t>
  </si>
  <si>
    <t>借目</t>
  </si>
  <si>
    <t>恐惧存在</t>
  </si>
  <si>
    <t>以一个动作，你可以影响并操控注视者1小时。在这段时间里，你在智力（调查）和感知（察觉）检定上获得优势，在此期间你不会被目盲。一旦你使用了这个能力，你就不能再使用它，直到你完成一个长休</t>
  </si>
  <si>
    <t>你在对能看到注视者的生物的欺骗、表演和说服检定上具有劣势。并且你在豁免探知法术时具有劣势
你可以通过一些努力暂时驱散或隐藏注视者。通过一分钟的工作（个人理解：驱逐或者采用其他手段赶走）和一次成功的DC 15魅力（驯兽）检定，你可以抑制借目和恐惧存在1小时。一旦成功地抑制了这些特性，在你完成一个长休之前你都不能再这样做了</t>
  </si>
  <si>
    <t>法术速查工具</t>
  </si>
  <si>
    <t>感谢各位翻译人员的伟大贡献，在你们努力的基础上，我才能做出这份东西来让大家更好地偷懒。
另外还有一句话，这份东西做出来是为了方便大家用的，如果你有更好或者更习惯的方法，你可以不用这个，但是不要说给我听，这没有任何逼格。谢谢
BY:做一个好条条</t>
  </si>
  <si>
    <t>查询条件</t>
  </si>
  <si>
    <t>查询结果</t>
  </si>
  <si>
    <t>同样感谢所有翻译人员的贡献，以及不全书的整理者们，我才能在前者的基础上继续进行更新
因为这个东西做出来就是为了方便大家用的，所以如果你有更好的方法，非常欢迎说给我听，我争取学会之后下个版本方便更多人，谢谢！
By：喵拜</t>
  </si>
  <si>
    <t>关键词1</t>
  </si>
  <si>
    <t>关键词2</t>
  </si>
  <si>
    <t>关键词3</t>
  </si>
  <si>
    <t>言语</t>
  </si>
  <si>
    <t>姿势</t>
  </si>
  <si>
    <t>购点计算器</t>
  </si>
  <si>
    <t>法力值计算器</t>
  </si>
  <si>
    <t>冒险物品价格计算器</t>
  </si>
  <si>
    <t>英制单位换算器</t>
  </si>
  <si>
    <t>属性值</t>
  </si>
  <si>
    <t>花费点数</t>
  </si>
  <si>
    <t>最大法力值</t>
  </si>
  <si>
    <t>购买总价</t>
  </si>
  <si>
    <t>英尺</t>
  </si>
  <si>
    <t>英寸</t>
  </si>
  <si>
    <t>=</t>
  </si>
  <si>
    <t>米</t>
  </si>
  <si>
    <t>剩余法力值</t>
  </si>
  <si>
    <t>商品</t>
  </si>
  <si>
    <t>单价</t>
  </si>
  <si>
    <t>环位</t>
  </si>
  <si>
    <t>生成数</t>
  </si>
  <si>
    <t>1环</t>
  </si>
  <si>
    <t>磅</t>
  </si>
  <si>
    <t>千克</t>
  </si>
  <si>
    <t>2环</t>
  </si>
  <si>
    <t>3环</t>
  </si>
  <si>
    <t>4环</t>
  </si>
  <si>
    <t>总花费</t>
  </si>
  <si>
    <t>5环</t>
  </si>
  <si>
    <t>6环</t>
  </si>
  <si>
    <t>7环</t>
  </si>
  <si>
    <t>8环</t>
  </si>
  <si>
    <t>总施法等级</t>
  </si>
  <si>
    <t>9环</t>
  </si>
  <si>
    <t>数据密码：goddessfantasy</t>
  </si>
  <si>
    <t>更新记录</t>
  </si>
  <si>
    <t>↓更新想做的东西（大概）↓</t>
  </si>
  <si>
    <t>联系方式</t>
  </si>
  <si>
    <t>Q&amp;A</t>
  </si>
  <si>
    <t>v0版本：初代目作者——猫斯基（留下NekoWorks标记的作者）版本，Nekoworks最晚记录为x2.1版本，此卡也是在该版本上进行修改的</t>
  </si>
  <si>
    <t>异界传送翻译完成之后补充数据</t>
  </si>
  <si>
    <t>?</t>
  </si>
  <si>
    <t>猫斯基（初代目作者）</t>
  </si>
  <si>
    <t>Q：这张卡免费使用吗？</t>
  </si>
  <si>
    <t>补充种族可选项</t>
  </si>
  <si>
    <t>联系方式暂缺</t>
  </si>
  <si>
    <t>A：当然，如果你是付费拿到的，请立马去追回自己的小钱钱！</t>
  </si>
  <si>
    <t>v1版本：AC最大敏捷结算订正</t>
  </si>
  <si>
    <t>补充赠礼特性</t>
  </si>
  <si>
    <t>v2版本：法术速查整合，法术书添加</t>
  </si>
  <si>
    <t>微波叮桃子（微改人物卡的家伙）</t>
  </si>
  <si>
    <t>v3：NMD，WSM……咳咳！</t>
  </si>
  <si>
    <t>QQ：2900829948</t>
  </si>
  <si>
    <t>Q：我找到了更早一代的作者诶</t>
  </si>
  <si>
    <t>v4版本：排版更改为竖排</t>
  </si>
  <si>
    <t>A：请尽可能快的联系现在的几位作者！拜托了！拜托了！拜托了！</t>
  </si>
  <si>
    <t>v4.2版本：添加角色描述</t>
  </si>
  <si>
    <t>做一个好条条（法术速查工具作者）</t>
  </si>
  <si>
    <t>v4.3版本：人物血量计算小工具添加</t>
  </si>
  <si>
    <t>v4.3.2版本：下拉菜单添加</t>
  </si>
  <si>
    <t>Q：更新频率是多少啊？</t>
  </si>
  <si>
    <t>v4.3.4版本：主要页面施法栏变更</t>
  </si>
  <si>
    <t>欧阳天麟（参与修订的作者）</t>
  </si>
  <si>
    <t>A：看官方更新数据速度
      ……以及用户的报错频率（？）</t>
  </si>
  <si>
    <t>v4.3.5版本：属性下拉菜单更改为复选框</t>
  </si>
  <si>
    <t>QQ：895445383</t>
  </si>
  <si>
    <t>v4.3.6版本：额外添加两本法术书</t>
  </si>
  <si>
    <t>v4.3.7版本：添加准备法术菜单</t>
  </si>
  <si>
    <t>雷猫如此慵懒（参与修订的作者）</t>
  </si>
  <si>
    <t>Q：有bug或者更新建议要反馈怎么办</t>
  </si>
  <si>
    <t>v4.3.8版本：种族属性查询工具添加</t>
  </si>
  <si>
    <t>部分作者找不到联系方式了呜呜呜呜……</t>
  </si>
  <si>
    <t>QQ：906555822</t>
  </si>
  <si>
    <t>A：按顺序找最新的作者名单里的各个作者</t>
  </si>
  <si>
    <t>v4.3.9版本：装备同调选项添加</t>
  </si>
  <si>
    <t>有人知道的话请联系可以新的作者们</t>
  </si>
  <si>
    <t>v4.3.10版本：修复Bug</t>
  </si>
  <si>
    <t>拜托了！拜托了！拜托了！</t>
  </si>
  <si>
    <t>喵拜（对着表格乱改的猫）</t>
  </si>
  <si>
    <t>v4.3.11版本：法术重复项提示功能加入</t>
  </si>
  <si>
    <t>QQ：423523960</t>
  </si>
  <si>
    <t>↓↓人物卡更新及资料整理链接↓↓</t>
  </si>
  <si>
    <t>v4.3.12版本：专注法术绿标功能加入</t>
  </si>
  <si>
    <t>这张卡不禁止二次修改</t>
  </si>
  <si>
    <t>喵拜百度盘</t>
  </si>
  <si>
    <t>天麟网盘</t>
  </si>
  <si>
    <t>v4.3.13版本：灵巧武器攻击骰调整</t>
  </si>
  <si>
    <t>也欢迎联系作者反馈bug或增加新功能</t>
  </si>
  <si>
    <t>v4.3.14版本：技能修正值统合</t>
  </si>
  <si>
    <t>修订组增加成员</t>
  </si>
  <si>
    <t>v new0.1版本：融合太易人物卡1.67功能，完善法术书，修改经验条及AC公式</t>
  </si>
  <si>
    <t>v4.3.15版本：负重判定Bug修正</t>
  </si>
  <si>
    <t>v new0.2版本：重做种族数据，补充到完整不全书</t>
  </si>
  <si>
    <t>v4.3.16版本：小优化</t>
  </si>
  <si>
    <t>v new0.3版本：再次重做种族数据，调整版式，重做职业数据，补充到完整不全书</t>
  </si>
  <si>
    <t>v4.3.17版本：武器伤害预设添加</t>
  </si>
  <si>
    <t>v new0.4版本：重做背景数据，调整版式，补充到完整不全书，增添个人翻译内容</t>
  </si>
  <si>
    <t>v4.3.18版本：加值武器结算功能追加（仅命中），背包重量修正</t>
  </si>
  <si>
    <t>v new0.5版本：修复过往版本各项bug，重做装备数据，修改装备算法，调整版式</t>
  </si>
  <si>
    <t>v4.3.19版本：添加了部分职业能力预设</t>
  </si>
  <si>
    <t>v new0.6版本：重做专长数据，补充到完整不全书，增加职业特性判定</t>
  </si>
  <si>
    <t>v4.3.20版本：添加了部分专长能力预设</t>
  </si>
  <si>
    <t>v new0.7版本：重做法术数据及法术书，增加异常状态模块，调整版式</t>
  </si>
  <si>
    <t>v4.3.21版本：Bug修复</t>
  </si>
  <si>
    <t>v new0.8版本：增加版本选择模块，再次重做装备数据，调整下拉菜单项目</t>
  </si>
  <si>
    <t>v4.3.22版本：主要界面改版</t>
  </si>
  <si>
    <t>v new0.9版本：修复过往版本各项bug，预备赠礼数据，去除种族查询页</t>
  </si>
  <si>
    <t>v4.3.23版本：额外法术添加功能试作</t>
  </si>
  <si>
    <t>v new1.0版本：修复过往版本各项bug，增加计算器，参考卡德加3R卡重做法术查询</t>
  </si>
  <si>
    <t>v4.3.24版本：Bug修复</t>
  </si>
  <si>
    <t>v4.4.0版本：个人据点信息独立成页，主要页大幅修改，恢复种族查询页
版权信息修正及更改，此卡由喵拜基于该版本进行修改</t>
  </si>
  <si>
    <t>v4.4.1版本：塔莎书部分数据添加，公式函数优化</t>
  </si>
  <si>
    <t>v4.4.2版本：修正错误数据</t>
  </si>
  <si>
    <t>额外法术 Additional Spell</t>
  </si>
  <si>
    <t>成分</t>
  </si>
  <si>
    <t>效果描述</t>
  </si>
  <si>
    <t>10天</t>
  </si>
  <si>
    <t>１小时</t>
  </si>
  <si>
    <t>幻术(仪式)</t>
  </si>
  <si>
    <t>咒法(仪式)</t>
  </si>
  <si>
    <t>500英里</t>
  </si>
  <si>
    <t>预言(仪式)</t>
  </si>
  <si>
    <t>变化(仪式)</t>
  </si>
  <si>
    <t>附魔(仪式)</t>
  </si>
  <si>
    <t>即时</t>
  </si>
  <si>
    <t>死灵(仪式)</t>
  </si>
  <si>
    <t>90英尺</t>
  </si>
  <si>
    <t>塑能(仪式)</t>
  </si>
  <si>
    <t>立即或1个小时</t>
  </si>
  <si>
    <t>防护(仪式)</t>
  </si>
  <si>
    <t>接触</t>
  </si>
  <si>
    <t>直到被解除</t>
  </si>
  <si>
    <t>直至被解除或被触发</t>
  </si>
  <si>
    <t>直至被驱散</t>
  </si>
  <si>
    <t>自身(100尺线状)</t>
  </si>
  <si>
    <t>自身(10尺半径)</t>
  </si>
  <si>
    <t>自身(10尺半径半球状)</t>
  </si>
  <si>
    <t>专注，至多10分钟</t>
  </si>
  <si>
    <t>自身(10尺半径球状)</t>
  </si>
  <si>
    <t>专注，至多1分钟</t>
  </si>
  <si>
    <t>自身(15尺立方)</t>
  </si>
  <si>
    <t>专注，至多１分钟</t>
  </si>
  <si>
    <t>自身(15尺锥状)</t>
  </si>
  <si>
    <t>专注，至多1轮</t>
  </si>
  <si>
    <t>自身(30尺半径)</t>
  </si>
  <si>
    <t>专注，至多1日</t>
  </si>
  <si>
    <t>自身(30尺锥状)</t>
  </si>
  <si>
    <t>专注，至多1小时</t>
  </si>
  <si>
    <t>自身(5尺半径)</t>
  </si>
  <si>
    <t>专注，至多2小时</t>
  </si>
  <si>
    <t>自身(60尺线状)</t>
  </si>
  <si>
    <t>专注，至多6轮</t>
  </si>
  <si>
    <t>自身(60尺直线)</t>
  </si>
  <si>
    <t>专注，至多8小时</t>
  </si>
  <si>
    <t>自身(60尺锥状)</t>
  </si>
  <si>
    <t>专注，至多一小时</t>
  </si>
  <si>
    <t>自身(半径15尺)</t>
  </si>
  <si>
    <t>专注，最多10分钟</t>
  </si>
  <si>
    <t>自身(半径30尺)</t>
  </si>
  <si>
    <t>专注，最长1分钟</t>
  </si>
  <si>
    <t>自身(半径5里)</t>
  </si>
  <si>
    <t>专注、至多1小时</t>
  </si>
  <si>
    <t>专注、至多24小时</t>
  </si>
  <si>
    <t>最长8小时</t>
  </si>
  <si>
    <t>DND 5E 人物卡 &lt;NekoWorks ver2.0&gt;</t>
  </si>
  <si>
    <t>个人据点</t>
  </si>
  <si>
    <t>据点名称</t>
  </si>
  <si>
    <t>据点位置</t>
  </si>
  <si>
    <t>据点描述</t>
  </si>
  <si>
    <t>物品名称</t>
  </si>
  <si>
    <t>物品描述</t>
  </si>
  <si>
    <t>币种</t>
  </si>
  <si>
    <t>来源</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</si>
</sst>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GP&quot;"/>
    <numFmt numFmtId="177" formatCode="0.00_ "/>
    <numFmt numFmtId="178" formatCode="#\ ?/?"/>
    <numFmt numFmtId="179" formatCode="00"/>
    <numFmt numFmtId="180" formatCode="General&quot;磅&quot;"/>
    <numFmt numFmtId="181" formatCode="\L\v\ 0"/>
    <numFmt numFmtId="182" formatCode="0&quot;岁&quot;"/>
    <numFmt numFmtId="183" formatCode="General&quot;厘&quot;&quot;米&quot;"/>
    <numFmt numFmtId="184" formatCode="General&quot;千&quot;&quot;克&quot;"/>
    <numFmt numFmtId="185" formatCode="0&quot;尺&quot;"/>
    <numFmt numFmtId="186" formatCode="&quot;+&quot;@"/>
    <numFmt numFmtId="187" formatCode="0&quot;个&quot;"/>
    <numFmt numFmtId="188" formatCode="&quot;×&quot;0"/>
  </numFmts>
  <fonts count="103">
    <font>
      <sz val="11"/>
      <color theme="1"/>
      <name val="宋体"/>
      <charset val="134"/>
      <scheme val="minor"/>
    </font>
    <font>
      <sz val="11"/>
      <color theme="1"/>
      <name val="微软雅黑"/>
      <charset val="134"/>
    </font>
    <font>
      <sz val="10"/>
      <color theme="0"/>
      <name val="微软雅黑"/>
      <charset val="134"/>
    </font>
    <font>
      <sz val="8"/>
      <color theme="1"/>
      <name val="微软雅黑"/>
      <charset val="134"/>
    </font>
    <font>
      <sz val="8"/>
      <color theme="0" tint="-0.499984740745262"/>
      <name val="微软雅黑"/>
      <charset val="134"/>
    </font>
    <font>
      <sz val="7"/>
      <color theme="1"/>
      <name val="微软雅黑"/>
      <charset val="134"/>
    </font>
    <font>
      <sz val="8"/>
      <color theme="0"/>
      <name val="微软雅黑"/>
      <charset val="134"/>
    </font>
    <font>
      <b/>
      <sz val="10"/>
      <color rgb="FFFFFCEB"/>
      <name val="微软雅黑"/>
      <charset val="134"/>
    </font>
    <font>
      <b/>
      <sz val="10"/>
      <color theme="0" tint="-0.0499893185216834"/>
      <name val="微软雅黑"/>
      <charset val="134"/>
    </font>
    <font>
      <b/>
      <sz val="10"/>
      <color rgb="FFFEEF00"/>
      <name val="微软雅黑"/>
      <charset val="134"/>
    </font>
    <font>
      <b/>
      <sz val="10"/>
      <color theme="0"/>
      <name val="微软雅黑"/>
      <charset val="134"/>
    </font>
    <font>
      <b/>
      <sz val="10"/>
      <color rgb="FFB87333"/>
      <name val="微软雅黑"/>
      <charset val="134"/>
    </font>
    <font>
      <sz val="10"/>
      <color theme="1"/>
      <name val="微软雅黑"/>
      <charset val="134"/>
    </font>
    <font>
      <sz val="8"/>
      <color theme="1" tint="0.499984740745262"/>
      <name val="微软雅黑"/>
      <charset val="134"/>
    </font>
    <font>
      <sz val="8"/>
      <color theme="0" tint="-0.349986266670736"/>
      <name val="微软雅黑"/>
      <charset val="134"/>
    </font>
    <font>
      <sz val="10"/>
      <color rgb="FFF7F7EB"/>
      <name val="微软雅黑"/>
      <charset val="134"/>
    </font>
    <font>
      <sz val="11"/>
      <color theme="0"/>
      <name val="宋体"/>
      <charset val="134"/>
      <scheme val="minor"/>
    </font>
    <font>
      <b/>
      <sz val="28"/>
      <color theme="1"/>
      <name val="微软雅黑"/>
      <charset val="134"/>
    </font>
    <font>
      <b/>
      <sz val="12"/>
      <color rgb="FFFF0000"/>
      <name val="微软雅黑"/>
      <charset val="134"/>
    </font>
    <font>
      <b/>
      <sz val="10"/>
      <color theme="1"/>
      <name val="微软雅黑"/>
      <charset val="134"/>
    </font>
    <font>
      <u/>
      <sz val="11"/>
      <color theme="10"/>
      <name val="宋体"/>
      <charset val="134"/>
      <scheme val="minor"/>
    </font>
    <font>
      <b/>
      <sz val="22"/>
      <color rgb="FF00B0F0"/>
      <name val="微软雅黑"/>
      <charset val="134"/>
    </font>
    <font>
      <b/>
      <sz val="10"/>
      <color rgb="FFFF0000"/>
      <name val="微软雅黑"/>
      <charset val="134"/>
    </font>
    <font>
      <sz val="9"/>
      <color theme="0" tint="-0.499984740745262"/>
      <name val="微软雅黑"/>
      <charset val="134"/>
    </font>
    <font>
      <b/>
      <sz val="10"/>
      <color theme="4"/>
      <name val="微软雅黑"/>
      <charset val="134"/>
    </font>
    <font>
      <sz val="10"/>
      <name val="微软雅黑"/>
      <charset val="134"/>
    </font>
    <font>
      <sz val="14"/>
      <color theme="1"/>
      <name val="微软雅黑"/>
      <charset val="134"/>
    </font>
    <font>
      <b/>
      <i/>
      <u/>
      <sz val="11"/>
      <color rgb="FFFF0000"/>
      <name val="宋体"/>
      <charset val="134"/>
    </font>
    <font>
      <b/>
      <i/>
      <sz val="11"/>
      <color rgb="FFFF0000"/>
      <name val="宋体"/>
      <charset val="134"/>
      <scheme val="minor"/>
    </font>
    <font>
      <sz val="11"/>
      <name val="宋体"/>
      <charset val="134"/>
    </font>
    <font>
      <b/>
      <sz val="11"/>
      <color theme="1"/>
      <name val="宋体"/>
      <charset val="134"/>
      <scheme val="minor"/>
    </font>
    <font>
      <sz val="11"/>
      <name val="宋体"/>
      <charset val="134"/>
      <scheme val="minor"/>
    </font>
    <font>
      <b/>
      <sz val="11"/>
      <name val="宋体"/>
      <charset val="134"/>
    </font>
    <font>
      <sz val="11"/>
      <color rgb="FF000000"/>
      <name val="宋体"/>
      <charset val="134"/>
      <scheme val="minor"/>
    </font>
    <font>
      <b/>
      <sz val="12"/>
      <color theme="1"/>
      <name val="宋体"/>
      <charset val="134"/>
      <scheme val="minor"/>
    </font>
    <font>
      <sz val="12"/>
      <color theme="1"/>
      <name val="宋体"/>
      <charset val="134"/>
      <scheme val="minor"/>
    </font>
    <font>
      <sz val="11"/>
      <color rgb="FFFF0000"/>
      <name val="宋体"/>
      <charset val="134"/>
      <scheme val="minor"/>
    </font>
    <font>
      <sz val="11"/>
      <color rgb="FF00B050"/>
      <name val="宋体"/>
      <charset val="134"/>
      <scheme val="minor"/>
    </font>
    <font>
      <sz val="11"/>
      <color rgb="FF00B0F0"/>
      <name val="宋体"/>
      <charset val="134"/>
      <scheme val="minor"/>
    </font>
    <font>
      <sz val="11"/>
      <color theme="5" tint="-0.249977111117893"/>
      <name val="宋体"/>
      <charset val="134"/>
      <scheme val="minor"/>
    </font>
    <font>
      <sz val="11"/>
      <color rgb="FF009F00"/>
      <name val="宋体"/>
      <charset val="134"/>
      <scheme val="minor"/>
    </font>
    <font>
      <sz val="11"/>
      <color rgb="FF00B0F0"/>
      <name val="宋体"/>
      <charset val="134"/>
    </font>
    <font>
      <sz val="11"/>
      <color rgb="FFFF0000"/>
      <name val="宋体"/>
      <charset val="134"/>
    </font>
    <font>
      <sz val="11"/>
      <color rgb="FF0070C0"/>
      <name val="宋体"/>
      <charset val="134"/>
    </font>
    <font>
      <b/>
      <i/>
      <sz val="11"/>
      <color theme="1"/>
      <name val="宋体"/>
      <charset val="134"/>
      <scheme val="minor"/>
    </font>
    <font>
      <sz val="24"/>
      <color theme="1"/>
      <name val="微软雅黑"/>
      <charset val="134"/>
    </font>
    <font>
      <sz val="9"/>
      <color theme="0"/>
      <name val="微软雅黑"/>
      <charset val="134"/>
    </font>
    <font>
      <sz val="10"/>
      <color theme="0" tint="-0.499984740745262"/>
      <name val="微软雅黑"/>
      <charset val="134"/>
    </font>
    <font>
      <b/>
      <sz val="11"/>
      <color theme="1"/>
      <name val="微软雅黑"/>
      <charset val="134"/>
    </font>
    <font>
      <b/>
      <sz val="11"/>
      <color rgb="FFFF0000"/>
      <name val="微软雅黑"/>
      <charset val="134"/>
    </font>
    <font>
      <b/>
      <sz val="10"/>
      <color rgb="FFFFFF00"/>
      <name val="微软雅黑"/>
      <charset val="134"/>
    </font>
    <font>
      <sz val="9"/>
      <name val="微软雅黑"/>
      <charset val="134"/>
    </font>
    <font>
      <sz val="11"/>
      <color theme="0" tint="-0.499984740745262"/>
      <name val="微软雅黑"/>
      <charset val="134"/>
    </font>
    <font>
      <sz val="9"/>
      <color theme="1"/>
      <name val="微软雅黑"/>
      <charset val="134"/>
    </font>
    <font>
      <sz val="10"/>
      <name val="微软雅黑"/>
      <charset val="1"/>
    </font>
    <font>
      <b/>
      <sz val="12"/>
      <name val="微软雅黑"/>
      <charset val="134"/>
    </font>
    <font>
      <sz val="12"/>
      <color theme="0" tint="-0.249977111117893"/>
      <name val="微软雅黑"/>
      <charset val="134"/>
    </font>
    <font>
      <sz val="10"/>
      <name val="微软雅黑"/>
      <charset val="129"/>
    </font>
    <font>
      <b/>
      <sz val="16"/>
      <color theme="4" tint="-0.249977111117893"/>
      <name val="微软雅黑"/>
      <charset val="134"/>
    </font>
    <font>
      <sz val="10"/>
      <color theme="0" tint="-0.349986266670736"/>
      <name val="微软雅黑"/>
      <charset val="134"/>
    </font>
    <font>
      <sz val="5"/>
      <color rgb="FFF7F7EB"/>
      <name val="微软雅黑"/>
      <charset val="134"/>
    </font>
    <font>
      <sz val="12"/>
      <color theme="1"/>
      <name val="微软雅黑"/>
      <charset val="134"/>
    </font>
    <font>
      <b/>
      <sz val="11"/>
      <color theme="7" tint="-0.249977111117893"/>
      <name val="微软雅黑"/>
      <charset val="134"/>
    </font>
    <font>
      <sz val="12"/>
      <color theme="0" tint="-0.499984740745262"/>
      <name val="微软雅黑"/>
      <charset val="134"/>
    </font>
    <font>
      <b/>
      <sz val="12"/>
      <color theme="7" tint="-0.249977111117893"/>
      <name val="微软雅黑"/>
      <charset val="134"/>
    </font>
    <font>
      <b/>
      <sz val="12"/>
      <color theme="4" tint="-0.249977111117893"/>
      <name val="微软雅黑"/>
      <charset val="134"/>
    </font>
    <font>
      <b/>
      <sz val="12"/>
      <color theme="0"/>
      <name val="微软雅黑"/>
      <charset val="134"/>
    </font>
    <font>
      <b/>
      <sz val="16"/>
      <color theme="9"/>
      <name val="微软雅黑"/>
      <charset val="134"/>
    </font>
    <font>
      <b/>
      <sz val="12"/>
      <color theme="9"/>
      <name val="微软雅黑"/>
      <charset val="134"/>
    </font>
    <font>
      <b/>
      <sz val="14"/>
      <color theme="9"/>
      <name val="微软雅黑"/>
      <charset val="134"/>
    </font>
    <font>
      <sz val="12"/>
      <name val="微软雅黑"/>
      <charset val="134"/>
    </font>
    <font>
      <b/>
      <sz val="12"/>
      <color theme="4"/>
      <name val="微软雅黑"/>
      <charset val="134"/>
    </font>
    <font>
      <b/>
      <sz val="10"/>
      <color theme="7" tint="-0.249977111117893"/>
      <name val="微软雅黑"/>
      <charset val="134"/>
    </font>
    <font>
      <b/>
      <sz val="9"/>
      <color theme="4"/>
      <name val="微软雅黑"/>
      <charset val="134"/>
    </font>
    <font>
      <sz val="10"/>
      <color theme="0" tint="-0.249977111117893"/>
      <name val="微软雅黑"/>
      <charset val="134"/>
    </font>
    <font>
      <sz val="10"/>
      <color theme="7" tint="-0.249977111117893"/>
      <name val="微软雅黑"/>
      <charset val="134"/>
    </font>
    <font>
      <b/>
      <sz val="11"/>
      <color theme="4"/>
      <name val="微软雅黑"/>
      <charset val="134"/>
    </font>
    <font>
      <u/>
      <sz val="8"/>
      <color theme="1"/>
      <name val="微软雅黑"/>
      <charset val="134"/>
    </font>
    <font>
      <b/>
      <sz val="10"/>
      <color theme="4" tint="-0.249977111117893"/>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MS Gothic"/>
      <charset val="128"/>
    </font>
    <font>
      <sz val="11"/>
      <color theme="1"/>
      <name val="Arial"/>
      <charset val="134"/>
    </font>
    <font>
      <i/>
      <sz val="11"/>
      <color rgb="FF808080"/>
      <name val="Arial"/>
      <charset val="134"/>
    </font>
    <font>
      <i/>
      <sz val="11"/>
      <color rgb="FF800080"/>
      <name val="微软雅黑"/>
      <charset val="134"/>
    </font>
    <font>
      <b/>
      <sz val="9"/>
      <name val="宋体"/>
      <charset val="134"/>
    </font>
    <font>
      <sz val="9"/>
      <name val="宋体"/>
      <charset val="134"/>
    </font>
  </fonts>
  <fills count="60">
    <fill>
      <patternFill patternType="none"/>
    </fill>
    <fill>
      <patternFill patternType="gray125"/>
    </fill>
    <fill>
      <patternFill patternType="solid">
        <fgColor rgb="FFF7F7EB"/>
        <bgColor indexed="64"/>
      </patternFill>
    </fill>
    <fill>
      <patternFill patternType="solid">
        <fgColor theme="5" tint="-0.499984740745262"/>
        <bgColor indexed="64"/>
      </patternFill>
    </fill>
    <fill>
      <patternFill patternType="solid">
        <fgColor theme="0"/>
        <bgColor indexed="64"/>
      </patternFill>
    </fill>
    <fill>
      <patternFill patternType="solid">
        <fgColor theme="0" tint="-0.0499893185216834"/>
        <bgColor indexed="64"/>
      </patternFill>
    </fill>
    <fill>
      <patternFill patternType="solid">
        <fgColor theme="0" tint="-0.249977111117893"/>
        <bgColor indexed="64"/>
      </patternFill>
    </fill>
    <fill>
      <patternFill patternType="solid">
        <fgColor theme="4"/>
        <bgColor indexed="64"/>
      </patternFill>
    </fill>
    <fill>
      <patternFill patternType="solid">
        <fgColor rgb="FFBDFFBD"/>
        <bgColor indexed="64"/>
      </patternFill>
    </fill>
    <fill>
      <patternFill patternType="solid">
        <fgColor theme="4" tint="0.799951170384838"/>
        <bgColor indexed="64"/>
      </patternFill>
    </fill>
    <fill>
      <patternFill patternType="solid">
        <fgColor theme="0" tint="-0.499984740745262"/>
        <bgColor indexed="64"/>
      </patternFill>
    </fill>
    <fill>
      <patternFill patternType="solid">
        <fgColor theme="0" tint="-0.149998474074526"/>
        <bgColor indexed="64"/>
      </patternFill>
    </fill>
    <fill>
      <patternFill patternType="solid">
        <fgColor theme="4" tint="0.799981688894314"/>
        <bgColor indexed="64"/>
      </patternFill>
    </fill>
    <fill>
      <patternFill patternType="solid">
        <fgColor rgb="FF00B0F0"/>
        <bgColor indexed="64"/>
      </patternFill>
    </fill>
    <fill>
      <patternFill patternType="solid">
        <fgColor rgb="FF00B050"/>
        <bgColor indexed="64"/>
      </patternFill>
    </fill>
    <fill>
      <patternFill patternType="solid">
        <fgColor rgb="FF7030A0"/>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7"/>
        <bgColor indexed="64"/>
      </patternFill>
    </fill>
    <fill>
      <patternFill patternType="solid">
        <fgColor rgb="FFC6E0B4"/>
        <bgColor indexed="64"/>
      </patternFill>
    </fill>
    <fill>
      <patternFill patternType="solid">
        <fgColor rgb="FFFF0000"/>
        <bgColor indexed="64"/>
      </patternFill>
    </fill>
    <fill>
      <patternFill patternType="solid">
        <fgColor rgb="FFFFFF00"/>
        <bgColor indexed="64"/>
      </patternFill>
    </fill>
    <fill>
      <patternFill patternType="solid">
        <fgColor rgb="FFFF9999"/>
        <bgColor indexed="64"/>
      </patternFill>
    </fill>
    <fill>
      <patternFill patternType="solid">
        <fgColor theme="8" tint="0.399975585192419"/>
        <bgColor indexed="64"/>
      </patternFill>
    </fill>
    <fill>
      <patternFill patternType="solid">
        <fgColor theme="3"/>
        <bgColor indexed="64"/>
      </patternFill>
    </fill>
    <fill>
      <patternFill patternType="solid">
        <fgColor rgb="FF0070C0"/>
        <bgColor indexed="64"/>
      </patternFill>
    </fill>
    <fill>
      <patternFill patternType="solid">
        <fgColor theme="7" tint="0.399975585192419"/>
        <bgColor indexed="64"/>
      </patternFill>
    </fill>
    <fill>
      <patternFill patternType="solid">
        <fgColor theme="5" tint="-0.249977111117893"/>
        <bgColor indexed="64"/>
      </patternFill>
    </fill>
    <fill>
      <patternFill patternType="solid">
        <fgColor theme="2"/>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theme="8" tint="0.599993896298105"/>
        <bgColor indexed="64"/>
      </patternFill>
    </fill>
    <fill>
      <patternFill patternType="solid">
        <fgColor rgb="FF00BA00"/>
        <bgColor indexed="64"/>
      </patternFill>
    </fill>
    <fill>
      <patternFill patternType="solid">
        <fgColor theme="1"/>
        <bgColor indexed="64"/>
      </patternFill>
    </fill>
    <fill>
      <patternFill patternType="solid">
        <fgColor theme="1" tint="0.0499893185216834"/>
        <bgColor indexed="64"/>
      </patternFill>
    </fill>
    <fill>
      <patternFill patternType="solid">
        <fgColor rgb="FFB4C6E7"/>
        <bgColor indexed="64"/>
      </patternFill>
    </fill>
    <fill>
      <patternFill patternType="solid">
        <fgColor rgb="FFDDEBF7"/>
        <bgColor indexed="64"/>
      </patternFill>
    </fill>
    <fill>
      <patternFill patternType="solid">
        <fgColor theme="7" tint="-0.249977111117893"/>
        <bgColor indexed="64"/>
      </patternFill>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8"/>
        <bgColor indexed="64"/>
      </patternFill>
    </fill>
    <fill>
      <patternFill patternType="solid">
        <fgColor theme="9"/>
        <bgColor indexed="64"/>
      </patternFill>
    </fill>
    <fill>
      <patternFill patternType="solid">
        <fgColor theme="9" tint="0.399975585192419"/>
        <bgColor indexed="64"/>
      </patternFill>
    </fill>
  </fills>
  <borders count="10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auto="1"/>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style="thin">
        <color theme="5" tint="-0.499984740745262"/>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theme="5" tint="-0.499984740745262"/>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dotted">
        <color auto="1"/>
      </left>
      <right/>
      <top/>
      <bottom/>
      <diagonal/>
    </border>
    <border>
      <left/>
      <right style="dotted">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theme="0"/>
      </right>
      <top style="thin">
        <color auto="1"/>
      </top>
      <bottom style="thin">
        <color auto="1"/>
      </bottom>
      <diagonal/>
    </border>
    <border>
      <left style="thin">
        <color theme="0"/>
      </left>
      <right style="medium">
        <color auto="1"/>
      </right>
      <top style="thin">
        <color auto="1"/>
      </top>
      <bottom style="thin">
        <color auto="1"/>
      </bottom>
      <diagonal/>
    </border>
    <border>
      <left style="medium">
        <color auto="1"/>
      </left>
      <right/>
      <top/>
      <bottom style="thin">
        <color theme="0"/>
      </bottom>
      <diagonal/>
    </border>
    <border>
      <left style="thin">
        <color theme="0"/>
      </left>
      <right style="medium">
        <color auto="1"/>
      </right>
      <top/>
      <bottom style="thin">
        <color theme="0"/>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theme="0"/>
      </right>
      <top style="thin">
        <color theme="0"/>
      </top>
      <bottom style="thin">
        <color theme="0"/>
      </bottom>
      <diagonal/>
    </border>
    <border>
      <left style="thin">
        <color theme="0"/>
      </left>
      <right style="medium">
        <color auto="1"/>
      </right>
      <top style="thin">
        <color theme="0"/>
      </top>
      <bottom style="thin">
        <color theme="0"/>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right style="medium">
        <color auto="1"/>
      </right>
      <top style="thin">
        <color theme="0"/>
      </top>
      <bottom style="thin">
        <color theme="0"/>
      </bottom>
      <diagonal/>
    </border>
    <border>
      <left style="medium">
        <color auto="1"/>
      </left>
      <right style="thin">
        <color theme="0"/>
      </right>
      <top style="thin">
        <color theme="0"/>
      </top>
      <bottom/>
      <diagonal/>
    </border>
    <border>
      <left style="thin">
        <color theme="0"/>
      </left>
      <right style="medium">
        <color auto="1"/>
      </right>
      <top style="thin">
        <color theme="0"/>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theme="0"/>
      </top>
      <bottom/>
      <diagonal/>
    </border>
    <border>
      <left/>
      <right style="thin">
        <color auto="1"/>
      </right>
      <top style="thin">
        <color theme="0"/>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theme="0"/>
      </left>
      <right/>
      <top style="thin">
        <color auto="1"/>
      </top>
      <bottom/>
      <diagonal/>
    </border>
    <border>
      <left/>
      <right style="thin">
        <color theme="0"/>
      </right>
      <top style="thin">
        <color auto="1"/>
      </top>
      <bottom/>
      <diagonal/>
    </border>
    <border>
      <left/>
      <right style="thin">
        <color theme="0"/>
      </right>
      <top style="thin">
        <color auto="1"/>
      </top>
      <bottom style="thin">
        <color auto="1"/>
      </bottom>
      <diagonal/>
    </border>
    <border diagonalDown="1">
      <left style="thin">
        <color theme="0"/>
      </left>
      <right style="thin">
        <color theme="0"/>
      </right>
      <top style="thin">
        <color theme="0"/>
      </top>
      <bottom style="thin">
        <color auto="1"/>
      </bottom>
      <diagonal style="thin">
        <color auto="1"/>
      </diagonal>
    </border>
    <border>
      <left style="thin">
        <color theme="0"/>
      </left>
      <right/>
      <top style="thin">
        <color theme="0"/>
      </top>
      <bottom style="thin">
        <color auto="1"/>
      </bottom>
      <diagonal/>
    </border>
    <border>
      <left/>
      <right/>
      <top style="thin">
        <color theme="0"/>
      </top>
      <bottom style="thin">
        <color auto="1"/>
      </bottom>
      <diagonal/>
    </border>
    <border>
      <left/>
      <right style="thin">
        <color theme="0"/>
      </right>
      <top style="thin">
        <color theme="0"/>
      </top>
      <bottom style="thin">
        <color auto="1"/>
      </bottom>
      <diagonal/>
    </border>
    <border>
      <left style="thin">
        <color auto="1"/>
      </left>
      <right style="thin">
        <color theme="0" tint="-0.249977111117893"/>
      </right>
      <top style="thin">
        <color auto="1"/>
      </top>
      <bottom style="thin">
        <color auto="1"/>
      </bottom>
      <diagonal/>
    </border>
    <border>
      <left/>
      <right style="thin">
        <color theme="0" tint="-0.249977111117893"/>
      </right>
      <top style="thin">
        <color auto="1"/>
      </top>
      <bottom style="thin">
        <color auto="1"/>
      </bottom>
      <diagonal/>
    </border>
    <border diagonalDown="1">
      <left/>
      <right style="thin">
        <color theme="0"/>
      </right>
      <top style="thin">
        <color theme="0"/>
      </top>
      <bottom style="thin">
        <color auto="1"/>
      </bottom>
      <diagonal style="thin">
        <color auto="1"/>
      </diagonal>
    </border>
    <border>
      <left style="thin">
        <color auto="1"/>
      </left>
      <right/>
      <top/>
      <bottom style="thin">
        <color theme="0"/>
      </bottom>
      <diagonal/>
    </border>
    <border>
      <left/>
      <right style="thin">
        <color auto="1"/>
      </right>
      <top/>
      <bottom style="thin">
        <color theme="0"/>
      </bottom>
      <diagonal/>
    </border>
    <border>
      <left style="thin">
        <color auto="1"/>
      </left>
      <right style="thin">
        <color auto="1"/>
      </right>
      <top/>
      <bottom/>
      <diagonal/>
    </border>
    <border>
      <left/>
      <right style="dashed">
        <color auto="1"/>
      </right>
      <top style="thin">
        <color auto="1"/>
      </top>
      <bottom style="thin">
        <color auto="1"/>
      </bottom>
      <diagonal/>
    </border>
    <border>
      <left style="dashed">
        <color auto="1"/>
      </left>
      <right/>
      <top style="thin">
        <color auto="1"/>
      </top>
      <bottom style="thin">
        <color auto="1"/>
      </bottom>
      <diagonal/>
    </border>
    <border>
      <left style="thin">
        <color theme="5" tint="-0.499984740745262"/>
      </left>
      <right/>
      <top style="thin">
        <color theme="5" tint="-0.499984740745262"/>
      </top>
      <bottom style="thin">
        <color theme="5" tint="-0.499984740745262"/>
      </bottom>
      <diagonal/>
    </border>
    <border>
      <left/>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
      <left style="thin">
        <color theme="5" tint="-0.499984740745262"/>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0" fillId="45" borderId="96" applyNumberFormat="0" applyFon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97" applyNumberFormat="0" applyFill="0" applyAlignment="0" applyProtection="0">
      <alignment vertical="center"/>
    </xf>
    <xf numFmtId="0" fontId="84" fillId="0" borderId="97" applyNumberFormat="0" applyFill="0" applyAlignment="0" applyProtection="0">
      <alignment vertical="center"/>
    </xf>
    <xf numFmtId="0" fontId="85" fillId="0" borderId="98" applyNumberFormat="0" applyFill="0" applyAlignment="0" applyProtection="0">
      <alignment vertical="center"/>
    </xf>
    <xf numFmtId="0" fontId="85" fillId="0" borderId="0" applyNumberFormat="0" applyFill="0" applyBorder="0" applyAlignment="0" applyProtection="0">
      <alignment vertical="center"/>
    </xf>
    <xf numFmtId="0" fontId="86" fillId="46" borderId="99" applyNumberFormat="0" applyAlignment="0" applyProtection="0">
      <alignment vertical="center"/>
    </xf>
    <xf numFmtId="0" fontId="87" fillId="47" borderId="100" applyNumberFormat="0" applyAlignment="0" applyProtection="0">
      <alignment vertical="center"/>
    </xf>
    <xf numFmtId="0" fontId="88" fillId="47" borderId="99" applyNumberFormat="0" applyAlignment="0" applyProtection="0">
      <alignment vertical="center"/>
    </xf>
    <xf numFmtId="0" fontId="89" fillId="48" borderId="101" applyNumberFormat="0" applyAlignment="0" applyProtection="0">
      <alignment vertical="center"/>
    </xf>
    <xf numFmtId="0" fontId="90" fillId="0" borderId="102" applyNumberFormat="0" applyFill="0" applyAlignment="0" applyProtection="0">
      <alignment vertical="center"/>
    </xf>
    <xf numFmtId="0" fontId="91" fillId="0" borderId="103" applyNumberFormat="0" applyFill="0" applyAlignment="0" applyProtection="0">
      <alignment vertical="center"/>
    </xf>
    <xf numFmtId="0" fontId="92" fillId="49" borderId="0" applyNumberFormat="0" applyBorder="0" applyAlignment="0" applyProtection="0">
      <alignment vertical="center"/>
    </xf>
    <xf numFmtId="0" fontId="93" fillId="50" borderId="0" applyNumberFormat="0" applyBorder="0" applyAlignment="0" applyProtection="0">
      <alignment vertical="center"/>
    </xf>
    <xf numFmtId="0" fontId="94" fillId="51" borderId="0" applyNumberFormat="0" applyBorder="0" applyAlignment="0" applyProtection="0">
      <alignment vertical="center"/>
    </xf>
    <xf numFmtId="0" fontId="95" fillId="7" borderId="0" applyNumberFormat="0" applyBorder="0" applyAlignment="0" applyProtection="0">
      <alignment vertical="center"/>
    </xf>
    <xf numFmtId="0" fontId="96" fillId="12" borderId="0" applyNumberFormat="0" applyBorder="0" applyAlignment="0" applyProtection="0">
      <alignment vertical="center"/>
    </xf>
    <xf numFmtId="0" fontId="96" fillId="52" borderId="0" applyNumberFormat="0" applyBorder="0" applyAlignment="0" applyProtection="0">
      <alignment vertical="center"/>
    </xf>
    <xf numFmtId="0" fontId="95" fillId="17" borderId="0" applyNumberFormat="0" applyBorder="0" applyAlignment="0" applyProtection="0">
      <alignment vertical="center"/>
    </xf>
    <xf numFmtId="0" fontId="95" fillId="36" borderId="0" applyNumberFormat="0" applyBorder="0" applyAlignment="0" applyProtection="0">
      <alignment vertical="center"/>
    </xf>
    <xf numFmtId="0" fontId="96" fillId="16" borderId="0" applyNumberFormat="0" applyBorder="0" applyAlignment="0" applyProtection="0">
      <alignment vertical="center"/>
    </xf>
    <xf numFmtId="0" fontId="96" fillId="18" borderId="0" applyNumberFormat="0" applyBorder="0" applyAlignment="0" applyProtection="0">
      <alignment vertical="center"/>
    </xf>
    <xf numFmtId="0" fontId="95" fillId="53" borderId="0" applyNumberFormat="0" applyBorder="0" applyAlignment="0" applyProtection="0">
      <alignment vertical="center"/>
    </xf>
    <xf numFmtId="0" fontId="95" fillId="54" borderId="0" applyNumberFormat="0" applyBorder="0" applyAlignment="0" applyProtection="0">
      <alignment vertical="center"/>
    </xf>
    <xf numFmtId="0" fontId="96" fillId="20" borderId="0" applyNumberFormat="0" applyBorder="0" applyAlignment="0" applyProtection="0">
      <alignment vertical="center"/>
    </xf>
    <xf numFmtId="0" fontId="96" fillId="55" borderId="0" applyNumberFormat="0" applyBorder="0" applyAlignment="0" applyProtection="0">
      <alignment vertical="center"/>
    </xf>
    <xf numFmtId="0" fontId="95" fillId="56" borderId="0" applyNumberFormat="0" applyBorder="0" applyAlignment="0" applyProtection="0">
      <alignment vertical="center"/>
    </xf>
    <xf numFmtId="0" fontId="95" fillId="22" borderId="0" applyNumberFormat="0" applyBorder="0" applyAlignment="0" applyProtection="0">
      <alignment vertical="center"/>
    </xf>
    <xf numFmtId="0" fontId="96" fillId="33" borderId="0" applyNumberFormat="0" applyBorder="0" applyAlignment="0" applyProtection="0">
      <alignment vertical="center"/>
    </xf>
    <xf numFmtId="0" fontId="96" fillId="21" borderId="0" applyNumberFormat="0" applyBorder="0" applyAlignment="0" applyProtection="0">
      <alignment vertical="center"/>
    </xf>
    <xf numFmtId="0" fontId="95" fillId="30" borderId="0" applyNumberFormat="0" applyBorder="0" applyAlignment="0" applyProtection="0">
      <alignment vertical="center"/>
    </xf>
    <xf numFmtId="0" fontId="95" fillId="57" borderId="0" applyNumberFormat="0" applyBorder="0" applyAlignment="0" applyProtection="0">
      <alignment vertical="center"/>
    </xf>
    <xf numFmtId="0" fontId="96" fillId="34" borderId="0" applyNumberFormat="0" applyBorder="0" applyAlignment="0" applyProtection="0">
      <alignment vertical="center"/>
    </xf>
    <xf numFmtId="0" fontId="96" fillId="37" borderId="0" applyNumberFormat="0" applyBorder="0" applyAlignment="0" applyProtection="0">
      <alignment vertical="center"/>
    </xf>
    <xf numFmtId="0" fontId="95" fillId="27" borderId="0" applyNumberFormat="0" applyBorder="0" applyAlignment="0" applyProtection="0">
      <alignment vertical="center"/>
    </xf>
    <xf numFmtId="0" fontId="95" fillId="58" borderId="0" applyNumberFormat="0" applyBorder="0" applyAlignment="0" applyProtection="0">
      <alignment vertical="center"/>
    </xf>
    <xf numFmtId="0" fontId="96" fillId="35" borderId="0" applyNumberFormat="0" applyBorder="0" applyAlignment="0" applyProtection="0">
      <alignment vertical="center"/>
    </xf>
    <xf numFmtId="0" fontId="96" fillId="19" borderId="0" applyNumberFormat="0" applyBorder="0" applyAlignment="0" applyProtection="0">
      <alignment vertical="center"/>
    </xf>
    <xf numFmtId="0" fontId="95" fillId="59" borderId="0" applyNumberFormat="0" applyBorder="0" applyAlignment="0" applyProtection="0">
      <alignment vertical="center"/>
    </xf>
    <xf numFmtId="0" fontId="29" fillId="0" borderId="0">
      <alignment vertical="center"/>
    </xf>
    <xf numFmtId="0" fontId="0" fillId="0" borderId="0">
      <alignment vertical="center"/>
    </xf>
  </cellStyleXfs>
  <cellXfs count="1172">
    <xf numFmtId="0" fontId="0" fillId="0" borderId="0" xfId="0">
      <alignment vertical="center"/>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2" borderId="0" xfId="0" applyFont="1" applyFill="1" applyAlignment="1">
      <alignment horizontal="center" vertical="center"/>
    </xf>
    <xf numFmtId="0" fontId="4" fillId="2" borderId="0" xfId="0" applyFont="1" applyFill="1" applyAlignment="1">
      <alignment horizontal="center"/>
    </xf>
    <xf numFmtId="0" fontId="5" fillId="4" borderId="1" xfId="0" applyFont="1" applyFill="1" applyBorder="1" applyAlignment="1">
      <alignment horizontal="center" vertical="center"/>
    </xf>
    <xf numFmtId="0" fontId="3" fillId="4" borderId="1" xfId="0" applyFont="1" applyFill="1" applyBorder="1" applyAlignment="1" applyProtection="1">
      <alignment horizontal="center" vertical="center"/>
      <protection locked="0"/>
    </xf>
    <xf numFmtId="0" fontId="3" fillId="4" borderId="1" xfId="0" applyFont="1" applyFill="1" applyBorder="1" applyAlignment="1" applyProtection="1">
      <alignment horizontal="left" vertical="center" wrapText="1"/>
      <protection locked="0"/>
    </xf>
    <xf numFmtId="0" fontId="5" fillId="5" borderId="1" xfId="0" applyFont="1" applyFill="1" applyBorder="1" applyAlignment="1">
      <alignment horizontal="center" vertical="center"/>
    </xf>
    <xf numFmtId="0" fontId="3" fillId="5" borderId="1" xfId="0" applyFont="1" applyFill="1" applyBorder="1" applyAlignment="1" applyProtection="1">
      <alignment horizontal="center" vertical="center"/>
      <protection locked="0"/>
    </xf>
    <xf numFmtId="0" fontId="3" fillId="5" borderId="1" xfId="0" applyFont="1" applyFill="1" applyBorder="1" applyAlignment="1" applyProtection="1">
      <alignment horizontal="left" vertical="center" wrapText="1"/>
      <protection locked="0"/>
    </xf>
    <xf numFmtId="0" fontId="6" fillId="3" borderId="0" xfId="0" applyFont="1" applyFill="1" applyAlignment="1">
      <alignment horizontal="center" vertical="center"/>
    </xf>
    <xf numFmtId="0" fontId="3" fillId="4" borderId="2" xfId="0"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protection locked="0"/>
    </xf>
    <xf numFmtId="0" fontId="3" fillId="4" borderId="4" xfId="0" applyFont="1" applyFill="1" applyBorder="1" applyAlignment="1" applyProtection="1">
      <alignment horizontal="center" vertical="center"/>
      <protection locked="0"/>
    </xf>
    <xf numFmtId="0" fontId="3" fillId="4" borderId="1" xfId="0" applyFont="1" applyFill="1" applyBorder="1" applyAlignment="1" applyProtection="1">
      <alignment horizontal="left" vertical="center"/>
      <protection locked="0"/>
    </xf>
    <xf numFmtId="0" fontId="7" fillId="6" borderId="1" xfId="0" applyFont="1" applyFill="1" applyBorder="1" applyAlignment="1">
      <alignment horizontal="center" vertical="center" wrapText="1"/>
    </xf>
    <xf numFmtId="0" fontId="3" fillId="5" borderId="2" xfId="0" applyFont="1" applyFill="1" applyBorder="1" applyAlignment="1" applyProtection="1">
      <alignment horizontal="center" vertical="center"/>
      <protection locked="0"/>
    </xf>
    <xf numFmtId="0" fontId="3" fillId="5" borderId="3" xfId="0" applyFont="1" applyFill="1" applyBorder="1" applyAlignment="1" applyProtection="1">
      <alignment horizontal="center" vertical="center"/>
      <protection locked="0"/>
    </xf>
    <xf numFmtId="0" fontId="3" fillId="5" borderId="4" xfId="0" applyFont="1" applyFill="1" applyBorder="1" applyAlignment="1" applyProtection="1">
      <alignment horizontal="center" vertical="center"/>
      <protection locked="0"/>
    </xf>
    <xf numFmtId="0" fontId="3" fillId="5" borderId="1" xfId="0" applyFont="1" applyFill="1" applyBorder="1" applyAlignment="1" applyProtection="1">
      <alignment horizontal="left" vertical="center"/>
      <protection locked="0"/>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0" fillId="2" borderId="0" xfId="0" applyFill="1">
      <alignment vertical="center"/>
    </xf>
    <xf numFmtId="0" fontId="2" fillId="3" borderId="0" xfId="0" applyFont="1" applyFill="1" applyAlignment="1">
      <alignment horizontal="center" vertical="center"/>
    </xf>
    <xf numFmtId="0" fontId="2" fillId="3" borderId="0" xfId="0" applyFont="1" applyFill="1">
      <alignment vertical="center"/>
    </xf>
    <xf numFmtId="0" fontId="12" fillId="2" borderId="0" xfId="0" applyFont="1" applyFill="1" applyAlignment="1">
      <alignment horizontal="center" vertical="center"/>
    </xf>
    <xf numFmtId="0" fontId="2" fillId="3" borderId="5" xfId="0" applyFont="1" applyFill="1" applyBorder="1" applyAlignment="1">
      <alignment horizontal="center" vertical="center" wrapText="1"/>
    </xf>
    <xf numFmtId="0" fontId="13" fillId="2" borderId="0" xfId="0" applyFont="1" applyFill="1" applyAlignment="1">
      <alignment horizontal="center"/>
    </xf>
    <xf numFmtId="0" fontId="4" fillId="2" borderId="0" xfId="0" applyFont="1" applyFill="1" applyAlignment="1">
      <alignment horizontal="center" wrapText="1"/>
    </xf>
    <xf numFmtId="0" fontId="14" fillId="2" borderId="0" xfId="0" applyFont="1" applyFill="1" applyAlignment="1">
      <alignment horizontal="center" wrapText="1"/>
    </xf>
    <xf numFmtId="0" fontId="4" fillId="2" borderId="0" xfId="0" applyFont="1" applyFill="1" applyAlignment="1"/>
    <xf numFmtId="0" fontId="12" fillId="2" borderId="0" xfId="0" applyFont="1" applyFill="1" applyAlignment="1">
      <alignment horizontal="center" vertical="center" wrapText="1"/>
    </xf>
    <xf numFmtId="0" fontId="12" fillId="4" borderId="1" xfId="0" applyFont="1" applyFill="1" applyBorder="1" applyAlignment="1" applyProtection="1">
      <alignment horizontal="center" vertical="center" wrapText="1"/>
      <protection locked="0"/>
    </xf>
    <xf numFmtId="0" fontId="12" fillId="4" borderId="1" xfId="0" applyFont="1" applyFill="1" applyBorder="1" applyAlignment="1" applyProtection="1">
      <alignment horizontal="left" vertical="center" wrapText="1"/>
      <protection locked="0"/>
    </xf>
    <xf numFmtId="0" fontId="15" fillId="2" borderId="0" xfId="0" applyFont="1" applyFill="1" applyAlignment="1">
      <alignment horizontal="left" vertical="center"/>
    </xf>
    <xf numFmtId="0" fontId="12" fillId="5" borderId="1" xfId="0" applyFont="1" applyFill="1" applyBorder="1" applyAlignment="1" applyProtection="1">
      <alignment horizontal="center" vertical="center" wrapText="1"/>
      <protection locked="0"/>
    </xf>
    <xf numFmtId="0" fontId="12" fillId="5" borderId="1" xfId="0" applyFont="1" applyFill="1" applyBorder="1" applyAlignment="1" applyProtection="1">
      <alignment horizontal="left" vertical="center" wrapText="1"/>
      <protection locked="0"/>
    </xf>
    <xf numFmtId="0" fontId="0" fillId="0" borderId="6" xfId="0" applyBorder="1">
      <alignment vertical="center"/>
    </xf>
    <xf numFmtId="0" fontId="16" fillId="0" borderId="0" xfId="0" applyFont="1" applyProtection="1">
      <alignment vertical="center"/>
      <protection locked="0"/>
    </xf>
    <xf numFmtId="0" fontId="1" fillId="0" borderId="7" xfId="0" applyFont="1" applyBorder="1">
      <alignment vertical="center"/>
    </xf>
    <xf numFmtId="0" fontId="1" fillId="0" borderId="6" xfId="0" applyFont="1" applyBorder="1">
      <alignment vertical="center"/>
    </xf>
    <xf numFmtId="0" fontId="1" fillId="0" borderId="8" xfId="0" applyFont="1" applyBorder="1">
      <alignment vertical="center"/>
    </xf>
    <xf numFmtId="0" fontId="2" fillId="7" borderId="9" xfId="0" applyFont="1" applyFill="1" applyBorder="1" applyAlignment="1">
      <alignment horizontal="center" vertical="center"/>
    </xf>
    <xf numFmtId="0" fontId="12" fillId="0" borderId="10" xfId="0" applyFont="1" applyBorder="1" applyAlignment="1">
      <alignment vertical="center" wrapText="1"/>
    </xf>
    <xf numFmtId="0" fontId="2" fillId="7" borderId="9" xfId="0" applyFont="1" applyFill="1" applyBorder="1" applyAlignment="1">
      <alignment horizontal="center" vertical="center" wrapText="1"/>
    </xf>
    <xf numFmtId="0" fontId="12" fillId="0" borderId="11" xfId="0" applyFont="1" applyBorder="1" applyAlignment="1">
      <alignment vertical="center" wrapText="1"/>
    </xf>
    <xf numFmtId="0" fontId="2" fillId="7" borderId="7" xfId="0" applyFont="1" applyFill="1" applyBorder="1" applyAlignment="1">
      <alignment horizontal="center" vertical="center" wrapText="1"/>
    </xf>
    <xf numFmtId="0" fontId="12" fillId="0" borderId="6" xfId="0" applyFont="1" applyBorder="1" applyAlignment="1">
      <alignment vertical="center" wrapText="1"/>
    </xf>
    <xf numFmtId="0" fontId="12" fillId="8" borderId="9" xfId="0" applyFont="1" applyFill="1" applyBorder="1" applyAlignment="1">
      <alignment horizontal="left" vertical="center" wrapText="1"/>
    </xf>
    <xf numFmtId="0" fontId="12" fillId="0" borderId="9" xfId="0" applyFont="1" applyBorder="1" applyAlignment="1">
      <alignment horizontal="left" vertical="center" wrapText="1"/>
    </xf>
    <xf numFmtId="0" fontId="17" fillId="0" borderId="9" xfId="0" applyFont="1" applyBorder="1" applyAlignment="1">
      <alignment horizontal="center" vertical="center" wrapText="1"/>
    </xf>
    <xf numFmtId="0" fontId="12" fillId="4" borderId="9" xfId="0" applyFont="1" applyFill="1" applyBorder="1" applyAlignment="1">
      <alignment horizontal="left" vertical="center"/>
    </xf>
    <xf numFmtId="0" fontId="12" fillId="0" borderId="12" xfId="0" applyFont="1" applyBorder="1" applyAlignment="1">
      <alignment vertical="center" wrapText="1"/>
    </xf>
    <xf numFmtId="0" fontId="12" fillId="0" borderId="8" xfId="0" applyFont="1" applyBorder="1" applyAlignment="1">
      <alignment vertical="center" wrapText="1"/>
    </xf>
    <xf numFmtId="0" fontId="12" fillId="0" borderId="9" xfId="0" applyFont="1" applyBorder="1" applyAlignment="1">
      <alignment horizontal="center" vertical="center" wrapText="1"/>
    </xf>
    <xf numFmtId="0" fontId="12" fillId="0" borderId="12" xfId="0" applyFont="1" applyBorder="1" applyAlignment="1">
      <alignment horizontal="left" vertical="center" wrapText="1"/>
    </xf>
    <xf numFmtId="0" fontId="12" fillId="0" borderId="9" xfId="0" applyFont="1" applyBorder="1" applyAlignment="1">
      <alignment horizontal="left" vertical="center"/>
    </xf>
    <xf numFmtId="0" fontId="12" fillId="0" borderId="13" xfId="0" applyFont="1" applyBorder="1" applyAlignment="1">
      <alignment vertical="center" wrapText="1"/>
    </xf>
    <xf numFmtId="0" fontId="0" fillId="0" borderId="12" xfId="0" applyBorder="1">
      <alignment vertical="center"/>
    </xf>
    <xf numFmtId="0" fontId="12" fillId="4" borderId="6" xfId="0" applyFont="1" applyFill="1" applyBorder="1" applyAlignment="1">
      <alignment horizontal="center" vertical="center"/>
    </xf>
    <xf numFmtId="0" fontId="18" fillId="4" borderId="6" xfId="0" applyFont="1" applyFill="1" applyBorder="1" applyAlignment="1">
      <alignment horizontal="center" vertical="center"/>
    </xf>
    <xf numFmtId="0" fontId="0" fillId="0" borderId="7" xfId="0" applyBorder="1">
      <alignment vertical="center"/>
    </xf>
    <xf numFmtId="0" fontId="0" fillId="0" borderId="14" xfId="0" applyFon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2" fillId="0" borderId="11" xfId="0" applyFont="1" applyBorder="1">
      <alignment vertical="center"/>
    </xf>
    <xf numFmtId="0" fontId="19" fillId="4" borderId="6" xfId="0" applyFont="1" applyFill="1" applyBorder="1" applyAlignment="1">
      <alignment horizontal="center" vertical="center"/>
    </xf>
    <xf numFmtId="0" fontId="0" fillId="0" borderId="13" xfId="0" applyBorder="1">
      <alignment vertical="center"/>
    </xf>
    <xf numFmtId="0" fontId="20" fillId="0" borderId="13" xfId="6" applyBorder="1">
      <alignment vertical="center"/>
    </xf>
    <xf numFmtId="0" fontId="20" fillId="0" borderId="14" xfId="6" applyBorder="1" applyAlignment="1">
      <alignment horizontal="center" vertical="center"/>
    </xf>
    <xf numFmtId="0" fontId="20" fillId="0" borderId="15" xfId="6" applyBorder="1" applyAlignment="1">
      <alignment horizontal="center" vertical="center"/>
    </xf>
    <xf numFmtId="0" fontId="20" fillId="0" borderId="16" xfId="6" applyBorder="1" applyAlignment="1">
      <alignment horizontal="center" vertical="center"/>
    </xf>
    <xf numFmtId="0" fontId="20" fillId="0" borderId="6" xfId="6" applyBorder="1" applyAlignment="1">
      <alignment vertical="center"/>
    </xf>
    <xf numFmtId="0" fontId="20" fillId="0" borderId="17" xfId="6" applyBorder="1" applyAlignment="1">
      <alignment horizontal="center" vertical="center"/>
    </xf>
    <xf numFmtId="0" fontId="20" fillId="0" borderId="18" xfId="6" applyBorder="1" applyAlignment="1">
      <alignment horizontal="center" vertical="center"/>
    </xf>
    <xf numFmtId="0" fontId="20" fillId="0" borderId="19" xfId="6" applyBorder="1" applyAlignment="1">
      <alignment horizontal="center" vertical="center"/>
    </xf>
    <xf numFmtId="0" fontId="21" fillId="0" borderId="6" xfId="0" applyFont="1" applyBorder="1" applyAlignment="1">
      <alignment vertical="center" wrapText="1"/>
    </xf>
    <xf numFmtId="0" fontId="12" fillId="0" borderId="7" xfId="0" applyFont="1" applyBorder="1" applyAlignment="1">
      <alignment vertical="center" wrapText="1"/>
    </xf>
    <xf numFmtId="0" fontId="22" fillId="9" borderId="9" xfId="0" applyFont="1" applyFill="1" applyBorder="1" applyAlignment="1">
      <alignment horizontal="center" vertical="center"/>
    </xf>
    <xf numFmtId="0" fontId="12" fillId="4" borderId="9" xfId="0" applyFont="1" applyFill="1" applyBorder="1" applyAlignment="1">
      <alignment horizontal="left" vertical="center" wrapText="1"/>
    </xf>
    <xf numFmtId="0" fontId="0" fillId="0" borderId="8" xfId="0" applyBorder="1">
      <alignment vertical="center"/>
    </xf>
    <xf numFmtId="0" fontId="12" fillId="0" borderId="6" xfId="0" applyFont="1" applyBorder="1">
      <alignment vertical="center"/>
    </xf>
    <xf numFmtId="0" fontId="0" fillId="0" borderId="11" xfId="0" applyBorder="1">
      <alignment vertical="center"/>
    </xf>
    <xf numFmtId="0" fontId="12" fillId="2" borderId="0" xfId="50" applyFont="1" applyFill="1" applyAlignment="1">
      <alignment horizontal="center" vertical="center"/>
    </xf>
    <xf numFmtId="176" fontId="12" fillId="2" borderId="0" xfId="50" applyNumberFormat="1" applyFont="1" applyFill="1" applyAlignment="1">
      <alignment horizontal="center" vertical="center"/>
    </xf>
    <xf numFmtId="0" fontId="2" fillId="3" borderId="20" xfId="50" applyFont="1" applyFill="1" applyBorder="1" applyAlignment="1">
      <alignment horizontal="center" vertical="center" wrapText="1"/>
    </xf>
    <xf numFmtId="0" fontId="2" fillId="3" borderId="21" xfId="50" applyFont="1" applyFill="1" applyBorder="1" applyAlignment="1">
      <alignment horizontal="center" vertical="center" wrapText="1"/>
    </xf>
    <xf numFmtId="0" fontId="2" fillId="3" borderId="22" xfId="50" applyFont="1" applyFill="1" applyBorder="1" applyAlignment="1">
      <alignment horizontal="center" vertical="center" wrapText="1"/>
    </xf>
    <xf numFmtId="0" fontId="2" fillId="3" borderId="0" xfId="50" applyFont="1" applyFill="1" applyAlignment="1">
      <alignment horizontal="center" vertical="center" wrapText="1"/>
    </xf>
    <xf numFmtId="0" fontId="2" fillId="3" borderId="23" xfId="50" applyFont="1" applyFill="1" applyBorder="1" applyAlignment="1">
      <alignment horizontal="center" vertical="center" wrapText="1"/>
    </xf>
    <xf numFmtId="0" fontId="23" fillId="2" borderId="24" xfId="50" applyFont="1" applyFill="1" applyBorder="1" applyAlignment="1">
      <alignment horizontal="center" wrapText="1"/>
    </xf>
    <xf numFmtId="0" fontId="23" fillId="2" borderId="21" xfId="50" applyFont="1" applyFill="1" applyBorder="1" applyAlignment="1">
      <alignment horizontal="center" wrapText="1"/>
    </xf>
    <xf numFmtId="0" fontId="23" fillId="2" borderId="25" xfId="50" applyFont="1" applyFill="1" applyBorder="1" applyAlignment="1">
      <alignment horizontal="center" wrapText="1"/>
    </xf>
    <xf numFmtId="0" fontId="23" fillId="2" borderId="0" xfId="50" applyFont="1" applyFill="1" applyAlignment="1">
      <alignment horizontal="center" wrapText="1"/>
    </xf>
    <xf numFmtId="0" fontId="2" fillId="10" borderId="26" xfId="50" applyFont="1" applyFill="1" applyBorder="1" applyAlignment="1">
      <alignment horizontal="center" vertical="center" wrapText="1"/>
    </xf>
    <xf numFmtId="0" fontId="24" fillId="4" borderId="26" xfId="50" applyFont="1" applyFill="1" applyBorder="1" applyAlignment="1">
      <alignment horizontal="center" vertical="center" wrapText="1"/>
    </xf>
    <xf numFmtId="176" fontId="12" fillId="11" borderId="20" xfId="50" applyNumberFormat="1" applyFont="1" applyFill="1" applyBorder="1" applyAlignment="1">
      <alignment horizontal="center" vertical="center"/>
    </xf>
    <xf numFmtId="176" fontId="12" fillId="11" borderId="22" xfId="50" applyNumberFormat="1" applyFont="1" applyFill="1" applyBorder="1" applyAlignment="1">
      <alignment horizontal="center" vertical="center"/>
    </xf>
    <xf numFmtId="0" fontId="12" fillId="4" borderId="27" xfId="50" applyFont="1" applyFill="1" applyBorder="1" applyAlignment="1" applyProtection="1">
      <alignment horizontal="center" vertical="center" wrapText="1"/>
      <protection locked="0"/>
    </xf>
    <xf numFmtId="0" fontId="12" fillId="2" borderId="0" xfId="50" applyFont="1" applyFill="1" applyAlignment="1">
      <alignment horizontal="left" vertical="center"/>
    </xf>
    <xf numFmtId="0" fontId="12" fillId="2" borderId="5" xfId="50" applyFont="1" applyFill="1" applyBorder="1" applyAlignment="1">
      <alignment horizontal="left" vertical="center"/>
    </xf>
    <xf numFmtId="0" fontId="12" fillId="4" borderId="26" xfId="50" applyFont="1" applyFill="1" applyBorder="1" applyAlignment="1" applyProtection="1">
      <alignment horizontal="center" vertical="center" wrapText="1"/>
      <protection locked="0"/>
    </xf>
    <xf numFmtId="0" fontId="12" fillId="2" borderId="23" xfId="50" applyFont="1" applyFill="1" applyBorder="1" applyAlignment="1">
      <alignment horizontal="left" vertical="center"/>
    </xf>
    <xf numFmtId="0" fontId="12" fillId="2" borderId="0" xfId="50" applyFont="1" applyFill="1" applyAlignment="1">
      <alignment horizontal="center" vertical="center" wrapText="1"/>
    </xf>
    <xf numFmtId="0" fontId="12" fillId="4" borderId="26" xfId="50" applyFont="1" applyFill="1" applyBorder="1" applyAlignment="1">
      <alignment horizontal="center" vertical="center" wrapText="1"/>
    </xf>
    <xf numFmtId="0" fontId="2" fillId="10" borderId="20" xfId="50" applyFont="1" applyFill="1" applyBorder="1" applyAlignment="1">
      <alignment horizontal="center" vertical="center" wrapText="1"/>
    </xf>
    <xf numFmtId="0" fontId="23" fillId="2" borderId="28" xfId="50" applyFont="1" applyFill="1" applyBorder="1" applyAlignment="1">
      <alignment horizontal="center" wrapText="1"/>
    </xf>
    <xf numFmtId="0" fontId="23" fillId="2" borderId="29" xfId="50" applyFont="1" applyFill="1" applyBorder="1" applyAlignment="1">
      <alignment horizontal="center" wrapText="1"/>
    </xf>
    <xf numFmtId="176" fontId="23" fillId="2" borderId="29" xfId="50" applyNumberFormat="1" applyFont="1" applyFill="1" applyBorder="1" applyAlignment="1">
      <alignment horizontal="center" wrapText="1"/>
    </xf>
    <xf numFmtId="177" fontId="12" fillId="4" borderId="26" xfId="50" applyNumberFormat="1" applyFont="1" applyFill="1" applyBorder="1" applyAlignment="1" applyProtection="1">
      <alignment horizontal="center" vertical="center" wrapText="1"/>
      <protection locked="0"/>
    </xf>
    <xf numFmtId="0" fontId="12" fillId="2" borderId="0" xfId="50" applyFont="1" applyFill="1">
      <alignment vertical="center"/>
    </xf>
    <xf numFmtId="0" fontId="25" fillId="4" borderId="26" xfId="50" applyFont="1" applyFill="1" applyBorder="1" applyAlignment="1" applyProtection="1">
      <alignment horizontal="center" vertical="center" wrapText="1"/>
      <protection locked="0"/>
    </xf>
    <xf numFmtId="176" fontId="25" fillId="4" borderId="26" xfId="50" applyNumberFormat="1" applyFont="1" applyFill="1" applyBorder="1" applyAlignment="1">
      <alignment horizontal="center" vertical="center" wrapText="1"/>
    </xf>
    <xf numFmtId="0" fontId="24" fillId="4" borderId="26" xfId="50" applyFont="1" applyFill="1" applyBorder="1" applyAlignment="1" applyProtection="1">
      <alignment horizontal="center" vertical="center" wrapText="1"/>
      <protection locked="0"/>
    </xf>
    <xf numFmtId="0" fontId="25" fillId="2" borderId="0" xfId="50" applyFont="1" applyFill="1" applyAlignment="1" applyProtection="1">
      <alignment horizontal="center" vertical="center" wrapText="1"/>
      <protection locked="0"/>
    </xf>
    <xf numFmtId="176" fontId="25" fillId="2" borderId="0" xfId="50" applyNumberFormat="1" applyFont="1" applyFill="1" applyAlignment="1">
      <alignment horizontal="center" vertical="center" wrapText="1"/>
    </xf>
    <xf numFmtId="0" fontId="12" fillId="4" borderId="20" xfId="50" applyFont="1" applyFill="1" applyBorder="1" applyAlignment="1" applyProtection="1">
      <alignment horizontal="center" vertical="center" wrapText="1"/>
      <protection locked="0"/>
    </xf>
    <xf numFmtId="0" fontId="12" fillId="4" borderId="22" xfId="50" applyFont="1" applyFill="1" applyBorder="1" applyAlignment="1" applyProtection="1">
      <alignment horizontal="center" vertical="center" wrapText="1"/>
      <protection locked="0"/>
    </xf>
    <xf numFmtId="0" fontId="2" fillId="10" borderId="30" xfId="50" applyFont="1" applyFill="1" applyBorder="1" applyAlignment="1">
      <alignment horizontal="center" vertical="center" wrapText="1"/>
    </xf>
    <xf numFmtId="0" fontId="2" fillId="10" borderId="29" xfId="50" applyFont="1" applyFill="1" applyBorder="1" applyAlignment="1">
      <alignment horizontal="center" vertical="center" wrapText="1"/>
    </xf>
    <xf numFmtId="0" fontId="2" fillId="10" borderId="31" xfId="50" applyFont="1" applyFill="1" applyBorder="1" applyAlignment="1">
      <alignment horizontal="center" vertical="center" wrapText="1"/>
    </xf>
    <xf numFmtId="0" fontId="2" fillId="10" borderId="23" xfId="50" applyFont="1" applyFill="1" applyBorder="1" applyAlignment="1">
      <alignment horizontal="center" vertical="center" wrapText="1"/>
    </xf>
    <xf numFmtId="0" fontId="2" fillId="10" borderId="0" xfId="50" applyFont="1" applyFill="1" applyAlignment="1">
      <alignment horizontal="center" vertical="center" wrapText="1"/>
    </xf>
    <xf numFmtId="0" fontId="3" fillId="2" borderId="32" xfId="0" applyFont="1" applyFill="1" applyBorder="1" applyAlignment="1">
      <alignment horizontal="left" vertical="center" wrapText="1"/>
    </xf>
    <xf numFmtId="0" fontId="3" fillId="2" borderId="33" xfId="0" applyFont="1" applyFill="1" applyBorder="1" applyAlignment="1">
      <alignment horizontal="left" vertical="center" wrapText="1"/>
    </xf>
    <xf numFmtId="0" fontId="3" fillId="2" borderId="34" xfId="0" applyFont="1" applyFill="1" applyBorder="1" applyAlignment="1">
      <alignment horizontal="left" vertical="center" wrapText="1"/>
    </xf>
    <xf numFmtId="0" fontId="26" fillId="12" borderId="35" xfId="0" applyFont="1" applyFill="1" applyBorder="1" applyAlignment="1" applyProtection="1">
      <alignment horizontal="center" vertical="center" wrapText="1"/>
      <protection locked="0"/>
    </xf>
    <xf numFmtId="0" fontId="26" fillId="12" borderId="36" xfId="0" applyFont="1" applyFill="1" applyBorder="1" applyAlignment="1" applyProtection="1">
      <alignment horizontal="center" vertical="center" wrapText="1"/>
      <protection locked="0"/>
    </xf>
    <xf numFmtId="0" fontId="26" fillId="12" borderId="37" xfId="0" applyFont="1" applyFill="1" applyBorder="1" applyAlignment="1" applyProtection="1">
      <alignment horizontal="center" vertical="center" wrapText="1"/>
      <protection locked="0"/>
    </xf>
    <xf numFmtId="0" fontId="2" fillId="10" borderId="38" xfId="0" applyFont="1" applyFill="1" applyBorder="1" applyAlignment="1">
      <alignment horizontal="center" vertical="center" wrapText="1"/>
    </xf>
    <xf numFmtId="0" fontId="2" fillId="10" borderId="39" xfId="0" applyFont="1" applyFill="1" applyBorder="1" applyAlignment="1">
      <alignment horizontal="center" vertical="center" wrapText="1"/>
    </xf>
    <xf numFmtId="0" fontId="2" fillId="10" borderId="40" xfId="0" applyFont="1" applyFill="1" applyBorder="1" applyAlignment="1">
      <alignment horizontal="center" vertical="center" wrapText="1"/>
    </xf>
    <xf numFmtId="0" fontId="2" fillId="10" borderId="41" xfId="0" applyFont="1" applyFill="1" applyBorder="1" applyAlignment="1">
      <alignment horizontal="center" vertical="center" wrapText="1"/>
    </xf>
    <xf numFmtId="0" fontId="3" fillId="2" borderId="42"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43" xfId="0" applyFont="1" applyFill="1" applyBorder="1" applyAlignment="1">
      <alignment horizontal="left" vertical="center" wrapText="1"/>
    </xf>
    <xf numFmtId="0" fontId="26" fillId="12" borderId="44" xfId="0" applyFont="1" applyFill="1" applyBorder="1" applyAlignment="1" applyProtection="1">
      <alignment horizontal="center" vertical="center" wrapText="1"/>
      <protection locked="0"/>
    </xf>
    <xf numFmtId="0" fontId="26" fillId="12" borderId="45" xfId="0" applyFont="1" applyFill="1" applyBorder="1" applyAlignment="1" applyProtection="1">
      <alignment horizontal="center" vertical="center" wrapText="1"/>
      <protection locked="0"/>
    </xf>
    <xf numFmtId="0" fontId="26" fillId="12" borderId="46" xfId="0" applyFont="1" applyFill="1" applyBorder="1" applyAlignment="1" applyProtection="1">
      <alignment horizontal="center" vertical="center" wrapText="1"/>
      <protection locked="0"/>
    </xf>
    <xf numFmtId="0" fontId="2" fillId="10" borderId="47" xfId="0" applyFont="1" applyFill="1" applyBorder="1" applyAlignment="1">
      <alignment horizontal="center" vertical="center" wrapText="1"/>
    </xf>
    <xf numFmtId="0" fontId="12" fillId="12" borderId="48" xfId="0" applyFont="1" applyFill="1" applyBorder="1" applyAlignment="1" applyProtection="1">
      <alignment horizontal="center" vertical="center"/>
      <protection locked="0"/>
    </xf>
    <xf numFmtId="0" fontId="12" fillId="0" borderId="49" xfId="0" applyFont="1" applyBorder="1" applyAlignment="1">
      <alignment horizontal="center" vertical="center"/>
    </xf>
    <xf numFmtId="0" fontId="12" fillId="0" borderId="50" xfId="0" applyFont="1" applyBorder="1" applyAlignment="1">
      <alignment horizontal="center" vertical="center"/>
    </xf>
    <xf numFmtId="0" fontId="12" fillId="0" borderId="51" xfId="0" applyFont="1" applyBorder="1" applyAlignment="1">
      <alignment horizontal="left" vertical="center"/>
    </xf>
    <xf numFmtId="0" fontId="12" fillId="0" borderId="18" xfId="0" applyFont="1" applyBorder="1" applyAlignment="1">
      <alignment horizontal="left" vertical="center"/>
    </xf>
    <xf numFmtId="0" fontId="12" fillId="0" borderId="19" xfId="0" applyFont="1" applyBorder="1" applyAlignment="1">
      <alignment horizontal="left" vertical="center"/>
    </xf>
    <xf numFmtId="0" fontId="12" fillId="0" borderId="13" xfId="0" applyFont="1" applyBorder="1" applyAlignment="1">
      <alignment horizontal="center" vertical="center"/>
    </xf>
    <xf numFmtId="0" fontId="12" fillId="0" borderId="52" xfId="0" applyFont="1" applyBorder="1" applyAlignment="1">
      <alignment horizontal="center" vertical="center"/>
    </xf>
    <xf numFmtId="0" fontId="12" fillId="5" borderId="53" xfId="0" applyFont="1" applyFill="1" applyBorder="1" applyAlignment="1">
      <alignment horizontal="center" vertical="center"/>
    </xf>
    <xf numFmtId="0" fontId="12" fillId="5" borderId="54" xfId="0" applyFont="1" applyFill="1" applyBorder="1" applyAlignment="1">
      <alignment horizontal="center" vertical="center"/>
    </xf>
    <xf numFmtId="0" fontId="12" fillId="0" borderId="55" xfId="0" applyFont="1" applyBorder="1" applyAlignment="1">
      <alignment horizontal="left" vertical="center" wrapText="1"/>
    </xf>
    <xf numFmtId="0" fontId="12" fillId="0" borderId="6" xfId="0" applyFont="1" applyBorder="1" applyAlignment="1">
      <alignment horizontal="left" vertical="center" wrapText="1"/>
    </xf>
    <xf numFmtId="0" fontId="12" fillId="0" borderId="56" xfId="0" applyFont="1" applyBorder="1" applyAlignment="1">
      <alignment horizontal="left" vertical="center" wrapText="1"/>
    </xf>
    <xf numFmtId="0" fontId="12" fillId="0" borderId="55" xfId="0" applyFont="1" applyBorder="1" applyAlignment="1">
      <alignment horizontal="left" vertical="center"/>
    </xf>
    <xf numFmtId="0" fontId="12" fillId="0" borderId="6" xfId="0" applyFont="1" applyBorder="1" applyAlignment="1">
      <alignment horizontal="left" vertical="center"/>
    </xf>
    <xf numFmtId="0" fontId="22" fillId="0" borderId="6" xfId="0" applyFont="1" applyBorder="1" applyAlignment="1">
      <alignment horizontal="center" vertical="center"/>
    </xf>
    <xf numFmtId="0" fontId="22" fillId="0" borderId="56" xfId="0" applyFont="1" applyBorder="1" applyAlignment="1">
      <alignment horizontal="center" vertical="center"/>
    </xf>
    <xf numFmtId="0" fontId="3" fillId="2" borderId="57" xfId="0" applyFont="1" applyFill="1" applyBorder="1" applyAlignment="1">
      <alignment horizontal="left" vertical="center" wrapText="1"/>
    </xf>
    <xf numFmtId="0" fontId="3" fillId="2" borderId="58" xfId="0" applyFont="1" applyFill="1" applyBorder="1" applyAlignment="1">
      <alignment horizontal="left" vertical="center" wrapText="1"/>
    </xf>
    <xf numFmtId="0" fontId="3" fillId="2" borderId="59" xfId="0" applyFont="1" applyFill="1" applyBorder="1" applyAlignment="1">
      <alignment horizontal="left" vertical="center" wrapText="1"/>
    </xf>
    <xf numFmtId="0" fontId="12" fillId="0" borderId="8" xfId="0" applyFont="1" applyBorder="1" applyAlignment="1">
      <alignment horizontal="center" vertical="center"/>
    </xf>
    <xf numFmtId="0" fontId="12" fillId="0" borderId="60" xfId="0" applyFont="1" applyBorder="1" applyAlignment="1">
      <alignment horizontal="center" vertical="center"/>
    </xf>
    <xf numFmtId="0" fontId="12" fillId="0" borderId="61" xfId="0" applyFont="1" applyBorder="1" applyAlignment="1">
      <alignment horizontal="left" vertical="center" wrapText="1"/>
    </xf>
    <xf numFmtId="0" fontId="12" fillId="0" borderId="7" xfId="0" applyFont="1" applyBorder="1" applyAlignment="1">
      <alignment horizontal="left" vertical="center" wrapText="1"/>
    </xf>
    <xf numFmtId="0" fontId="12" fillId="0" borderId="62" xfId="0" applyFont="1" applyBorder="1" applyAlignment="1">
      <alignment horizontal="left" vertical="center" wrapText="1"/>
    </xf>
    <xf numFmtId="0" fontId="12" fillId="0" borderId="35" xfId="0" applyFont="1" applyBorder="1" applyAlignment="1">
      <alignment horizontal="left" vertical="top" wrapText="1"/>
    </xf>
    <xf numFmtId="0" fontId="12" fillId="0" borderId="36" xfId="0" applyFont="1" applyBorder="1" applyAlignment="1">
      <alignment horizontal="left" vertical="top" wrapText="1"/>
    </xf>
    <xf numFmtId="0" fontId="12" fillId="0" borderId="37" xfId="0" applyFont="1" applyBorder="1" applyAlignment="1">
      <alignment horizontal="left" vertical="top" wrapText="1"/>
    </xf>
    <xf numFmtId="0" fontId="2" fillId="10" borderId="53" xfId="0" applyFont="1" applyFill="1" applyBorder="1" applyAlignment="1">
      <alignment horizontal="center" vertical="center" wrapText="1"/>
    </xf>
    <xf numFmtId="0" fontId="2" fillId="10" borderId="54" xfId="0" applyFont="1" applyFill="1" applyBorder="1" applyAlignment="1">
      <alignment horizontal="center" vertical="center" wrapText="1"/>
    </xf>
    <xf numFmtId="0" fontId="12" fillId="0" borderId="63" xfId="0" applyFont="1" applyBorder="1" applyAlignment="1">
      <alignment horizontal="left" vertical="top" wrapText="1"/>
    </xf>
    <xf numFmtId="0" fontId="12" fillId="0" borderId="0" xfId="0" applyFont="1" applyAlignment="1">
      <alignment horizontal="left" vertical="top" wrapText="1"/>
    </xf>
    <xf numFmtId="0" fontId="12" fillId="0" borderId="64" xfId="0" applyFont="1" applyBorder="1" applyAlignment="1">
      <alignment horizontal="left" vertical="top" wrapText="1"/>
    </xf>
    <xf numFmtId="0" fontId="2" fillId="10" borderId="65" xfId="0" applyFont="1" applyFill="1" applyBorder="1" applyAlignment="1">
      <alignment horizontal="center" vertical="center" wrapText="1"/>
    </xf>
    <xf numFmtId="0" fontId="12" fillId="12" borderId="66" xfId="0" applyFont="1" applyFill="1" applyBorder="1" applyAlignment="1" applyProtection="1">
      <alignment horizontal="center" vertical="center"/>
      <protection locked="0"/>
    </xf>
    <xf numFmtId="0" fontId="12" fillId="0" borderId="44" xfId="0" applyFont="1" applyBorder="1" applyAlignment="1">
      <alignment horizontal="left" vertical="top" wrapText="1"/>
    </xf>
    <xf numFmtId="0" fontId="12" fillId="0" borderId="45" xfId="0" applyFont="1" applyBorder="1" applyAlignment="1">
      <alignment horizontal="left" vertical="top" wrapText="1"/>
    </xf>
    <xf numFmtId="0" fontId="12" fillId="0" borderId="46" xfId="0" applyFont="1" applyBorder="1" applyAlignment="1">
      <alignment horizontal="left" vertical="top" wrapText="1"/>
    </xf>
    <xf numFmtId="0" fontId="0" fillId="0" borderId="0" xfId="0" applyAlignment="1">
      <alignment vertical="center" wrapText="1"/>
    </xf>
    <xf numFmtId="0" fontId="0" fillId="0" borderId="67" xfId="0" applyFont="1" applyBorder="1" applyAlignment="1">
      <alignment vertical="center" wrapText="1"/>
    </xf>
    <xf numFmtId="0" fontId="0" fillId="0" borderId="35" xfId="0" applyFont="1" applyBorder="1" applyAlignment="1">
      <alignment horizontal="center" vertical="center" wrapText="1"/>
    </xf>
    <xf numFmtId="0" fontId="0" fillId="0" borderId="36" xfId="0" applyBorder="1" applyAlignment="1">
      <alignment horizontal="center" vertical="center" wrapText="1"/>
    </xf>
    <xf numFmtId="0" fontId="27" fillId="0" borderId="67" xfId="49" applyFont="1" applyBorder="1" applyAlignment="1">
      <alignment horizontal="center" vertical="center"/>
    </xf>
    <xf numFmtId="0" fontId="0" fillId="0" borderId="35" xfId="0" applyFont="1" applyBorder="1" applyAlignment="1">
      <alignment vertical="center" wrapText="1"/>
    </xf>
    <xf numFmtId="0" fontId="28" fillId="0" borderId="36" xfId="0" applyFont="1" applyBorder="1" applyAlignment="1">
      <alignment vertical="center" wrapText="1"/>
    </xf>
    <xf numFmtId="0" fontId="0" fillId="0" borderId="36" xfId="0" applyBorder="1" applyAlignment="1">
      <alignment vertical="center" wrapText="1"/>
    </xf>
    <xf numFmtId="0" fontId="0" fillId="0" borderId="37" xfId="0" applyBorder="1" applyAlignment="1">
      <alignment vertical="center" wrapText="1"/>
    </xf>
    <xf numFmtId="0" fontId="0" fillId="0" borderId="68" xfId="0" applyBorder="1" applyAlignment="1">
      <alignment vertical="center" wrapText="1"/>
    </xf>
    <xf numFmtId="0" fontId="0" fillId="0" borderId="68" xfId="0" applyFont="1" applyBorder="1" applyAlignment="1">
      <alignment vertical="center" wrapText="1"/>
    </xf>
    <xf numFmtId="0" fontId="0" fillId="0" borderId="63" xfId="0" applyBorder="1" applyAlignment="1">
      <alignment horizontal="center" vertical="center" wrapText="1"/>
    </xf>
    <xf numFmtId="0" fontId="0" fillId="0" borderId="0" xfId="0" applyAlignment="1">
      <alignment horizontal="center" vertical="center" wrapText="1"/>
    </xf>
    <xf numFmtId="0" fontId="27" fillId="0" borderId="68" xfId="49" applyFont="1" applyBorder="1" applyAlignment="1">
      <alignment horizontal="center" vertical="center"/>
    </xf>
    <xf numFmtId="0" fontId="29" fillId="13" borderId="63" xfId="49" applyFill="1" applyBorder="1" applyAlignment="1">
      <alignment horizontal="center" vertical="center" wrapText="1"/>
    </xf>
    <xf numFmtId="0" fontId="0" fillId="0" borderId="64" xfId="0" applyBorder="1" applyAlignment="1">
      <alignment vertical="center" wrapText="1"/>
    </xf>
    <xf numFmtId="0" fontId="29" fillId="14" borderId="63" xfId="49" applyFill="1" applyBorder="1" applyAlignment="1">
      <alignment horizontal="center" vertical="center" wrapText="1"/>
    </xf>
    <xf numFmtId="0" fontId="0" fillId="0" borderId="0" xfId="0" applyFont="1" applyAlignment="1">
      <alignment vertical="center" wrapText="1"/>
    </xf>
    <xf numFmtId="0" fontId="0" fillId="0" borderId="69" xfId="0" applyBorder="1" applyAlignment="1">
      <alignment vertical="center" wrapText="1"/>
    </xf>
    <xf numFmtId="0" fontId="0" fillId="0" borderId="64" xfId="0" applyBorder="1" applyAlignment="1">
      <alignment horizontal="center" vertical="center" wrapText="1"/>
    </xf>
    <xf numFmtId="0" fontId="0" fillId="0" borderId="69" xfId="0" applyFont="1" applyBorder="1" applyAlignment="1">
      <alignment vertical="center" wrapText="1"/>
    </xf>
    <xf numFmtId="0" fontId="0" fillId="15" borderId="63" xfId="0" applyFont="1" applyFill="1" applyBorder="1" applyAlignment="1">
      <alignment horizontal="center" vertical="center" wrapText="1"/>
    </xf>
    <xf numFmtId="0" fontId="0" fillId="0" borderId="64" xfId="0" applyFont="1" applyBorder="1" applyAlignment="1">
      <alignment vertical="center" wrapText="1"/>
    </xf>
    <xf numFmtId="0" fontId="0" fillId="0" borderId="44" xfId="0" applyBorder="1" applyAlignment="1">
      <alignment horizontal="center" vertical="center" wrapText="1"/>
    </xf>
    <xf numFmtId="0" fontId="0" fillId="0" borderId="46" xfId="0" applyBorder="1" applyAlignment="1">
      <alignment horizontal="center" vertical="center" wrapText="1"/>
    </xf>
    <xf numFmtId="0" fontId="0" fillId="15" borderId="44" xfId="0" applyFont="1" applyFill="1" applyBorder="1" applyAlignment="1">
      <alignment horizontal="center" vertical="center" wrapText="1"/>
    </xf>
    <xf numFmtId="0" fontId="0" fillId="0" borderId="45" xfId="0" applyBorder="1" applyAlignment="1">
      <alignment vertical="center" wrapText="1"/>
    </xf>
    <xf numFmtId="0" fontId="0" fillId="0" borderId="45" xfId="0" applyFont="1" applyBorder="1" applyAlignment="1">
      <alignment vertical="center" wrapText="1"/>
    </xf>
    <xf numFmtId="0" fontId="0" fillId="0" borderId="46" xfId="0" applyFont="1" applyBorder="1" applyAlignment="1">
      <alignment vertical="center" wrapText="1"/>
    </xf>
    <xf numFmtId="0" fontId="29" fillId="13" borderId="35" xfId="49" applyFill="1" applyBorder="1" applyAlignment="1">
      <alignment horizontal="center" vertical="center" wrapText="1"/>
    </xf>
    <xf numFmtId="0" fontId="0" fillId="0" borderId="36" xfId="0" applyFont="1" applyBorder="1" applyAlignment="1">
      <alignment vertical="center" wrapText="1"/>
    </xf>
    <xf numFmtId="0" fontId="0" fillId="0" borderId="63" xfId="0" applyFont="1" applyBorder="1" applyAlignment="1">
      <alignment vertical="center" wrapText="1"/>
    </xf>
    <xf numFmtId="0" fontId="0" fillId="0" borderId="44" xfId="0" applyFont="1" applyBorder="1" applyAlignment="1">
      <alignment vertical="center" wrapText="1"/>
    </xf>
    <xf numFmtId="0" fontId="0" fillId="0" borderId="46" xfId="0" applyBorder="1" applyAlignment="1">
      <alignment vertical="center" wrapText="1"/>
    </xf>
    <xf numFmtId="0" fontId="29" fillId="14" borderId="44" xfId="49" applyFill="1" applyBorder="1" applyAlignment="1">
      <alignment horizontal="center" vertical="center" wrapText="1"/>
    </xf>
    <xf numFmtId="0" fontId="0" fillId="15" borderId="36" xfId="0" applyFill="1" applyBorder="1" applyAlignment="1">
      <alignment horizontal="center" vertical="center" wrapText="1"/>
    </xf>
    <xf numFmtId="0" fontId="0" fillId="15" borderId="0" xfId="0" applyFill="1" applyAlignment="1">
      <alignment horizontal="center" vertical="center" wrapText="1"/>
    </xf>
    <xf numFmtId="0" fontId="0" fillId="0" borderId="36" xfId="0" applyFont="1" applyBorder="1" applyAlignment="1">
      <alignment horizontal="center" vertical="center" wrapText="1"/>
    </xf>
    <xf numFmtId="0" fontId="0" fillId="0" borderId="37" xfId="0" applyBorder="1" applyAlignment="1">
      <alignment horizontal="center" vertical="center" wrapText="1"/>
    </xf>
    <xf numFmtId="0" fontId="0" fillId="0" borderId="37" xfId="0" applyFont="1" applyBorder="1" applyAlignment="1">
      <alignment horizontal="center" vertical="center" wrapText="1"/>
    </xf>
    <xf numFmtId="0" fontId="0" fillId="0" borderId="67" xfId="0" applyFont="1" applyBorder="1" applyAlignment="1">
      <alignment horizontal="center" vertical="center" wrapText="1"/>
    </xf>
    <xf numFmtId="0" fontId="0" fillId="0" borderId="63" xfId="0" applyFont="1" applyBorder="1" applyAlignment="1">
      <alignment horizontal="center" vertical="center" wrapText="1"/>
    </xf>
    <xf numFmtId="0" fontId="0" fillId="0" borderId="64" xfId="0" applyFont="1" applyBorder="1" applyAlignment="1">
      <alignment horizontal="center" vertical="center" wrapText="1"/>
    </xf>
    <xf numFmtId="0" fontId="0" fillId="0" borderId="0" xfId="0" applyFont="1" applyAlignment="1">
      <alignment horizontal="center" vertical="center" wrapText="1"/>
    </xf>
    <xf numFmtId="0" fontId="0" fillId="0" borderId="68" xfId="0" applyBorder="1" applyAlignment="1">
      <alignment horizontal="center" vertical="center" wrapText="1"/>
    </xf>
    <xf numFmtId="0" fontId="0" fillId="16" borderId="0" xfId="0" applyFont="1" applyFill="1" applyAlignment="1">
      <alignment horizontal="center" vertical="center" wrapText="1"/>
    </xf>
    <xf numFmtId="0" fontId="0" fillId="17" borderId="0" xfId="0" applyFont="1" applyFill="1" applyAlignment="1">
      <alignment horizontal="center" vertical="center" wrapText="1"/>
    </xf>
    <xf numFmtId="0" fontId="0" fillId="11" borderId="0" xfId="0" applyFont="1" applyFill="1" applyAlignment="1">
      <alignment horizontal="center" vertical="center" wrapText="1"/>
    </xf>
    <xf numFmtId="0" fontId="0" fillId="18" borderId="0" xfId="0" applyFill="1" applyAlignment="1">
      <alignment horizontal="center" vertical="center" wrapText="1"/>
    </xf>
    <xf numFmtId="0" fontId="0" fillId="0" borderId="44" xfId="0" applyFont="1" applyBorder="1" applyAlignment="1">
      <alignment horizontal="center" vertical="center" wrapText="1"/>
    </xf>
    <xf numFmtId="0" fontId="0" fillId="19" borderId="0" xfId="0" applyFill="1" applyAlignment="1">
      <alignment horizontal="center" vertical="center" wrapText="1"/>
    </xf>
    <xf numFmtId="0" fontId="0" fillId="0" borderId="68" xfId="0" applyFont="1" applyBorder="1" applyAlignment="1">
      <alignment horizontal="center" vertical="center" wrapText="1"/>
    </xf>
    <xf numFmtId="0" fontId="0" fillId="20" borderId="0" xfId="0" applyFill="1" applyAlignment="1">
      <alignment horizontal="center" vertical="center" wrapText="1"/>
    </xf>
    <xf numFmtId="0" fontId="0" fillId="0" borderId="45" xfId="0" applyFont="1" applyBorder="1" applyAlignment="1">
      <alignment horizontal="center" vertical="center" wrapText="1"/>
    </xf>
    <xf numFmtId="0" fontId="0" fillId="0" borderId="45" xfId="0" applyBorder="1" applyAlignment="1">
      <alignment horizontal="center" vertical="center" wrapText="1"/>
    </xf>
    <xf numFmtId="0" fontId="0" fillId="0" borderId="70" xfId="0" applyFont="1" applyBorder="1" applyAlignment="1">
      <alignment horizontal="center" vertical="center" wrapText="1"/>
    </xf>
    <xf numFmtId="0" fontId="0" fillId="0" borderId="71" xfId="0" applyBorder="1" applyAlignment="1" applyProtection="1">
      <alignment horizontal="center" vertical="center" wrapText="1"/>
      <protection locked="0"/>
    </xf>
    <xf numFmtId="0" fontId="0" fillId="21" borderId="0" xfId="0" applyFill="1" applyAlignment="1">
      <alignment horizontal="center" vertical="center" wrapText="1"/>
    </xf>
    <xf numFmtId="0" fontId="0" fillId="0" borderId="71" xfId="0" applyFont="1" applyBorder="1" applyAlignment="1">
      <alignment horizontal="center" vertical="center" wrapText="1"/>
    </xf>
    <xf numFmtId="0" fontId="0" fillId="16" borderId="0" xfId="0" applyFill="1" applyAlignment="1">
      <alignment horizontal="center" vertical="center" wrapText="1"/>
    </xf>
    <xf numFmtId="0" fontId="0" fillId="12" borderId="0" xfId="0" applyFill="1" applyAlignment="1">
      <alignment horizontal="center" vertical="center" wrapText="1"/>
    </xf>
    <xf numFmtId="0" fontId="0" fillId="17" borderId="0" xfId="0" applyFill="1" applyAlignment="1">
      <alignment horizontal="center" vertical="center" wrapText="1"/>
    </xf>
    <xf numFmtId="0" fontId="0" fillId="11" borderId="0" xfId="0" applyFill="1" applyAlignment="1">
      <alignment horizontal="center" vertical="center" wrapText="1"/>
    </xf>
    <xf numFmtId="0" fontId="29" fillId="12" borderId="0" xfId="49" applyFill="1" applyAlignment="1">
      <alignment horizontal="center" vertical="center"/>
    </xf>
    <xf numFmtId="0" fontId="0" fillId="22" borderId="0" xfId="0" applyFont="1" applyFill="1" applyAlignment="1">
      <alignment horizontal="center" vertical="center"/>
    </xf>
    <xf numFmtId="0" fontId="29" fillId="14" borderId="0" xfId="49" applyFill="1" applyAlignment="1">
      <alignment horizontal="center" vertical="center"/>
    </xf>
    <xf numFmtId="0" fontId="29" fillId="23" borderId="0" xfId="49" applyFill="1" applyAlignment="1">
      <alignment horizontal="center" vertical="center"/>
    </xf>
    <xf numFmtId="0" fontId="29" fillId="24" borderId="0" xfId="49" applyFill="1" applyAlignment="1">
      <alignment horizontal="center" vertical="center"/>
    </xf>
    <xf numFmtId="0" fontId="0" fillId="0" borderId="46" xfId="0" applyFont="1" applyBorder="1" applyAlignment="1">
      <alignment horizontal="center" vertical="center" wrapText="1"/>
    </xf>
    <xf numFmtId="0" fontId="29" fillId="25" borderId="0" xfId="49" applyFill="1" applyAlignment="1">
      <alignment horizontal="center" vertical="center"/>
    </xf>
    <xf numFmtId="0" fontId="29" fillId="26" borderId="0" xfId="49" applyFill="1" applyAlignment="1">
      <alignment horizontal="center" vertical="center"/>
    </xf>
    <xf numFmtId="0" fontId="0" fillId="0" borderId="35" xfId="0" applyBorder="1" applyAlignment="1">
      <alignment horizontal="center" vertical="center" wrapText="1"/>
    </xf>
    <xf numFmtId="0" fontId="0" fillId="13" borderId="0" xfId="0" applyFill="1" applyAlignment="1">
      <alignment horizontal="center" vertical="center" wrapText="1"/>
    </xf>
    <xf numFmtId="0" fontId="0" fillId="27" borderId="0" xfId="0" applyFont="1" applyFill="1" applyAlignment="1">
      <alignment horizontal="center" vertical="center" wrapText="1"/>
    </xf>
    <xf numFmtId="0" fontId="0" fillId="28" borderId="0" xfId="0" applyFont="1" applyFill="1" applyAlignment="1">
      <alignment horizontal="center" vertical="center" wrapText="1"/>
    </xf>
    <xf numFmtId="0" fontId="0" fillId="29" borderId="0" xfId="0" applyFont="1" applyFill="1" applyAlignment="1">
      <alignment horizontal="center" vertical="center" wrapText="1"/>
    </xf>
    <xf numFmtId="0" fontId="29" fillId="10" borderId="0" xfId="49" applyFill="1" applyAlignment="1">
      <alignment horizontal="center" vertical="center"/>
    </xf>
    <xf numFmtId="0" fontId="0" fillId="13" borderId="0" xfId="0" applyFont="1" applyFill="1" applyAlignment="1">
      <alignment horizontal="center" vertical="center" wrapText="1"/>
    </xf>
    <xf numFmtId="0" fontId="0" fillId="0" borderId="69" xfId="0" applyBorder="1" applyAlignment="1">
      <alignment horizontal="center" vertical="center" wrapText="1"/>
    </xf>
    <xf numFmtId="0" fontId="0" fillId="16" borderId="45" xfId="0" applyFill="1" applyBorder="1" applyAlignment="1">
      <alignment horizontal="center" vertical="center" wrapText="1"/>
    </xf>
    <xf numFmtId="0" fontId="29" fillId="24" borderId="45" xfId="49" applyFill="1" applyBorder="1" applyAlignment="1">
      <alignment horizontal="center" vertical="center"/>
    </xf>
    <xf numFmtId="0" fontId="0" fillId="0" borderId="35" xfId="0" applyFont="1" applyBorder="1">
      <alignment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29" fillId="21" borderId="0" xfId="49" applyFill="1" applyAlignment="1">
      <alignment horizontal="center" vertical="center"/>
    </xf>
    <xf numFmtId="0" fontId="29" fillId="19" borderId="0" xfId="49" applyFill="1" applyAlignment="1">
      <alignment horizontal="center" vertical="center"/>
    </xf>
    <xf numFmtId="0" fontId="0" fillId="25" borderId="0" xfId="0" applyFont="1" applyFill="1" applyAlignment="1">
      <alignment horizontal="center" vertical="center"/>
    </xf>
    <xf numFmtId="0" fontId="0" fillId="13" borderId="0" xfId="0" applyFont="1" applyFill="1" applyAlignment="1">
      <alignment horizontal="center" vertical="center"/>
    </xf>
    <xf numFmtId="0" fontId="0" fillId="14" borderId="0" xfId="0" applyFont="1" applyFill="1" applyAlignment="1">
      <alignment horizontal="center" vertical="center"/>
    </xf>
    <xf numFmtId="0" fontId="0" fillId="30" borderId="0" xfId="0" applyFont="1" applyFill="1" applyAlignment="1">
      <alignment horizontal="center" vertical="center"/>
    </xf>
    <xf numFmtId="0" fontId="0" fillId="31" borderId="0" xfId="0" applyFont="1" applyFill="1">
      <alignment vertical="center"/>
    </xf>
    <xf numFmtId="0" fontId="0" fillId="32" borderId="0" xfId="0" applyFont="1" applyFill="1">
      <alignment vertical="center"/>
    </xf>
    <xf numFmtId="0" fontId="0" fillId="0" borderId="63" xfId="0" applyFont="1" applyBorder="1">
      <alignment vertical="center"/>
    </xf>
    <xf numFmtId="0" fontId="0" fillId="0" borderId="63" xfId="0" applyBorder="1">
      <alignment vertical="center"/>
    </xf>
    <xf numFmtId="0" fontId="0" fillId="0" borderId="64" xfId="0" applyBorder="1">
      <alignment vertical="center"/>
    </xf>
    <xf numFmtId="0" fontId="0" fillId="0" borderId="0" xfId="0" applyFont="1">
      <alignment vertical="center"/>
    </xf>
    <xf numFmtId="0" fontId="0" fillId="0" borderId="64" xfId="0" applyFill="1" applyBorder="1">
      <alignment vertical="center"/>
    </xf>
    <xf numFmtId="0" fontId="0" fillId="0" borderId="63" xfId="0" applyBorder="1" applyAlignment="1">
      <alignment vertical="center" wrapText="1"/>
    </xf>
    <xf numFmtId="0" fontId="0" fillId="0" borderId="44" xfId="0" applyFont="1" applyBorder="1">
      <alignment vertical="center"/>
    </xf>
    <xf numFmtId="0" fontId="0" fillId="0" borderId="45" xfId="0" applyBorder="1">
      <alignment vertical="center"/>
    </xf>
    <xf numFmtId="0" fontId="0" fillId="0" borderId="46" xfId="0" applyBorder="1">
      <alignment vertical="center"/>
    </xf>
    <xf numFmtId="0" fontId="0" fillId="22" borderId="63" xfId="0" applyFont="1" applyFill="1" applyBorder="1" applyAlignment="1">
      <alignment horizontal="center" vertical="center"/>
    </xf>
    <xf numFmtId="0" fontId="0" fillId="25" borderId="0" xfId="0" applyFont="1" applyFill="1" applyAlignment="1">
      <alignment vertical="center" wrapText="1"/>
    </xf>
    <xf numFmtId="0" fontId="29" fillId="21" borderId="63" xfId="49" applyFill="1" applyBorder="1" applyAlignment="1">
      <alignment horizontal="center" vertical="center"/>
    </xf>
    <xf numFmtId="0" fontId="29" fillId="19" borderId="63" xfId="49" applyFill="1" applyBorder="1" applyAlignment="1">
      <alignment horizontal="left" vertical="center"/>
    </xf>
    <xf numFmtId="0" fontId="0" fillId="25" borderId="63" xfId="0" applyFont="1" applyFill="1" applyBorder="1" applyAlignment="1">
      <alignment horizontal="center" vertical="center"/>
    </xf>
    <xf numFmtId="0" fontId="0" fillId="13" borderId="63" xfId="0" applyFont="1" applyFill="1" applyBorder="1" applyAlignment="1">
      <alignment horizontal="center" vertical="center"/>
    </xf>
    <xf numFmtId="0" fontId="0" fillId="14" borderId="0" xfId="0" applyFill="1">
      <alignment vertical="center"/>
    </xf>
    <xf numFmtId="0" fontId="0" fillId="30" borderId="0" xfId="0" applyFill="1">
      <alignment vertical="center"/>
    </xf>
    <xf numFmtId="0" fontId="0" fillId="32" borderId="0" xfId="0" applyFill="1">
      <alignment vertical="center"/>
    </xf>
    <xf numFmtId="0" fontId="29" fillId="10" borderId="63" xfId="49" applyFill="1" applyBorder="1" applyAlignment="1">
      <alignment horizontal="center" vertical="center"/>
    </xf>
    <xf numFmtId="0" fontId="29" fillId="10" borderId="44" xfId="49" applyFill="1" applyBorder="1" applyAlignment="1">
      <alignment horizontal="center" vertical="center"/>
    </xf>
    <xf numFmtId="0" fontId="27" fillId="0" borderId="0" xfId="49" applyFont="1" applyAlignment="1">
      <alignment horizontal="center" vertical="center"/>
    </xf>
    <xf numFmtId="0" fontId="0" fillId="12" borderId="36" xfId="0" applyFont="1" applyFill="1" applyBorder="1" applyAlignment="1">
      <alignment horizontal="center" vertical="center" wrapText="1"/>
    </xf>
    <xf numFmtId="0" fontId="30" fillId="0" borderId="63" xfId="0" applyFont="1" applyBorder="1" applyAlignment="1">
      <alignment horizontal="center" vertical="center" wrapText="1"/>
    </xf>
    <xf numFmtId="0" fontId="0" fillId="12" borderId="0" xfId="0" applyFont="1" applyFill="1" applyAlignment="1">
      <alignment horizontal="center" vertical="center" wrapText="1"/>
    </xf>
    <xf numFmtId="0" fontId="0" fillId="20" borderId="0" xfId="0" applyFont="1" applyFill="1" applyAlignment="1">
      <alignment horizontal="center" vertical="center" wrapText="1"/>
    </xf>
    <xf numFmtId="0" fontId="0" fillId="33" borderId="0" xfId="0" applyFill="1" applyAlignment="1">
      <alignment horizontal="center" vertical="center" wrapText="1"/>
    </xf>
    <xf numFmtId="0" fontId="0" fillId="34" borderId="0" xfId="0" applyFill="1" applyAlignment="1">
      <alignment horizontal="center" vertical="center" wrapText="1"/>
    </xf>
    <xf numFmtId="0" fontId="0" fillId="35" borderId="0" xfId="0" applyFill="1" applyAlignment="1">
      <alignment horizontal="center" vertical="center" wrapText="1"/>
    </xf>
    <xf numFmtId="0" fontId="0" fillId="12" borderId="64" xfId="0" applyFill="1" applyBorder="1" applyAlignment="1">
      <alignment horizontal="center" vertical="center" wrapText="1"/>
    </xf>
    <xf numFmtId="0" fontId="0" fillId="0" borderId="69" xfId="0" applyFont="1" applyBorder="1" applyAlignment="1">
      <alignment horizontal="center" vertical="center" wrapText="1"/>
    </xf>
    <xf numFmtId="0" fontId="0" fillId="36" borderId="63" xfId="0" applyFont="1" applyFill="1" applyBorder="1" applyAlignment="1">
      <alignment horizontal="center" vertical="center" wrapText="1"/>
    </xf>
    <xf numFmtId="0" fontId="31" fillId="0" borderId="0" xfId="0" applyFont="1" applyAlignment="1">
      <alignment horizontal="center" vertical="center" wrapText="1"/>
    </xf>
    <xf numFmtId="0" fontId="29" fillId="0" borderId="0" xfId="49" applyAlignment="1">
      <alignment horizontal="center" vertical="center" wrapText="1"/>
    </xf>
    <xf numFmtId="0" fontId="0" fillId="0" borderId="63" xfId="0" applyFont="1" applyBorder="1" applyAlignment="1">
      <alignment horizontal="center" vertical="center"/>
    </xf>
    <xf numFmtId="0" fontId="29" fillId="12" borderId="0" xfId="49" applyFill="1" applyAlignment="1">
      <alignment horizontal="center" vertical="center" wrapText="1"/>
    </xf>
    <xf numFmtId="0" fontId="29" fillId="37" borderId="0" xfId="49" applyFill="1" applyAlignment="1">
      <alignment horizontal="center" vertical="center" wrapText="1"/>
    </xf>
    <xf numFmtId="0" fontId="29" fillId="19" borderId="0" xfId="49" applyFill="1" applyAlignment="1">
      <alignment horizontal="center" vertical="center" wrapText="1"/>
    </xf>
    <xf numFmtId="0" fontId="29" fillId="13" borderId="0" xfId="49" applyFill="1" applyAlignment="1">
      <alignment horizontal="center" vertical="center" wrapText="1"/>
    </xf>
    <xf numFmtId="0" fontId="29" fillId="25" borderId="0" xfId="49" applyFill="1" applyAlignment="1">
      <alignment horizontal="center" vertical="center" wrapText="1"/>
    </xf>
    <xf numFmtId="0" fontId="29" fillId="14" borderId="0" xfId="49" applyFill="1" applyAlignment="1">
      <alignment horizontal="center" vertical="center" wrapText="1"/>
    </xf>
    <xf numFmtId="0" fontId="0" fillId="24" borderId="0" xfId="0" applyFont="1" applyFill="1" applyAlignment="1">
      <alignment horizontal="center" vertical="center" wrapText="1"/>
    </xf>
    <xf numFmtId="0" fontId="0" fillId="36" borderId="0" xfId="0" applyFill="1" applyAlignment="1">
      <alignment horizontal="center" vertical="center" wrapText="1"/>
    </xf>
    <xf numFmtId="0" fontId="32" fillId="12" borderId="63" xfId="49" applyFont="1" applyFill="1" applyBorder="1" applyAlignment="1">
      <alignment horizontal="center" vertical="center" wrapText="1"/>
    </xf>
    <xf numFmtId="0" fontId="32" fillId="12" borderId="0" xfId="49" applyFont="1" applyFill="1" applyAlignment="1">
      <alignment horizontal="center" vertical="center" wrapText="1"/>
    </xf>
    <xf numFmtId="0" fontId="0" fillId="30" borderId="0" xfId="0" applyFont="1" applyFill="1" applyAlignment="1">
      <alignment horizontal="center" vertical="center" wrapText="1"/>
    </xf>
    <xf numFmtId="0" fontId="0" fillId="38" borderId="0" xfId="0" applyFont="1" applyFill="1" applyAlignment="1">
      <alignment horizontal="center" vertical="center" wrapText="1"/>
    </xf>
    <xf numFmtId="0" fontId="0" fillId="0" borderId="44" xfId="0" applyBorder="1" applyAlignment="1">
      <alignment vertical="center" wrapText="1"/>
    </xf>
    <xf numFmtId="0" fontId="0" fillId="31" borderId="0" xfId="0" applyFont="1" applyFill="1" applyAlignment="1">
      <alignment vertical="center" wrapText="1"/>
    </xf>
    <xf numFmtId="0" fontId="32" fillId="37" borderId="63" xfId="49" applyFont="1" applyFill="1" applyBorder="1" applyAlignment="1">
      <alignment horizontal="center" vertical="center" wrapText="1"/>
    </xf>
    <xf numFmtId="0" fontId="32" fillId="37" borderId="0" xfId="49" applyFont="1" applyFill="1" applyAlignment="1">
      <alignment horizontal="center" vertical="center" wrapText="1"/>
    </xf>
    <xf numFmtId="0" fontId="0" fillId="0" borderId="67" xfId="0" applyBorder="1" applyAlignment="1">
      <alignment horizontal="center" vertical="center" wrapText="1"/>
    </xf>
    <xf numFmtId="0" fontId="0" fillId="36" borderId="0" xfId="0" applyFont="1" applyFill="1" applyAlignment="1">
      <alignment vertical="center" wrapText="1"/>
    </xf>
    <xf numFmtId="0" fontId="32" fillId="19" borderId="63" xfId="49" applyFont="1" applyFill="1" applyBorder="1" applyAlignment="1">
      <alignment horizontal="center" vertical="center" wrapText="1"/>
    </xf>
    <xf numFmtId="0" fontId="32" fillId="19" borderId="0" xfId="49" applyFont="1" applyFill="1" applyAlignment="1">
      <alignment horizontal="center" vertical="center" wrapText="1"/>
    </xf>
    <xf numFmtId="0" fontId="32" fillId="13" borderId="63" xfId="49" applyFont="1" applyFill="1" applyBorder="1" applyAlignment="1">
      <alignment horizontal="center" vertical="center" wrapText="1"/>
    </xf>
    <xf numFmtId="0" fontId="32" fillId="13" borderId="0" xfId="49" applyFont="1" applyFill="1" applyAlignment="1">
      <alignment horizontal="center" vertical="center" wrapText="1"/>
    </xf>
    <xf numFmtId="0" fontId="32" fillId="25" borderId="63" xfId="49" applyFont="1" applyFill="1" applyBorder="1" applyAlignment="1">
      <alignment horizontal="center" vertical="center" wrapText="1"/>
    </xf>
    <xf numFmtId="0" fontId="32" fillId="25" borderId="0" xfId="49" applyFont="1" applyFill="1" applyAlignment="1">
      <alignment horizontal="center" vertical="center" wrapText="1"/>
    </xf>
    <xf numFmtId="0" fontId="32" fillId="14" borderId="63" xfId="49" applyFont="1" applyFill="1" applyBorder="1" applyAlignment="1">
      <alignment horizontal="center" vertical="center" wrapText="1"/>
    </xf>
    <xf numFmtId="0" fontId="32" fillId="14" borderId="0" xfId="49" applyFont="1" applyFill="1" applyAlignment="1">
      <alignment horizontal="center" vertical="center" wrapText="1"/>
    </xf>
    <xf numFmtId="0" fontId="30" fillId="36" borderId="63" xfId="0" applyFont="1" applyFill="1" applyBorder="1" applyAlignment="1">
      <alignment horizontal="center" vertical="center" wrapText="1"/>
    </xf>
    <xf numFmtId="0" fontId="30" fillId="36" borderId="0" xfId="0" applyFont="1" applyFill="1" applyAlignment="1">
      <alignment horizontal="center" vertical="center" wrapText="1"/>
    </xf>
    <xf numFmtId="0" fontId="30" fillId="29" borderId="63" xfId="0" applyFont="1" applyFill="1" applyBorder="1" applyAlignment="1">
      <alignment horizontal="center" vertical="center" wrapText="1"/>
    </xf>
    <xf numFmtId="0" fontId="30" fillId="29" borderId="0" xfId="0" applyFont="1" applyFill="1" applyAlignment="1">
      <alignment horizontal="center" vertical="center" wrapText="1"/>
    </xf>
    <xf numFmtId="0" fontId="30" fillId="24" borderId="63" xfId="0" applyFont="1" applyFill="1" applyBorder="1" applyAlignment="1">
      <alignment horizontal="center" vertical="center" wrapText="1"/>
    </xf>
    <xf numFmtId="0" fontId="30" fillId="24" borderId="0" xfId="0" applyFont="1" applyFill="1" applyAlignment="1">
      <alignment horizontal="center" vertical="center" wrapText="1"/>
    </xf>
    <xf numFmtId="0" fontId="30" fillId="30" borderId="63" xfId="0" applyFont="1" applyFill="1" applyBorder="1" applyAlignment="1">
      <alignment horizontal="center" vertical="center" wrapText="1"/>
    </xf>
    <xf numFmtId="0" fontId="30" fillId="30" borderId="0" xfId="0" applyFont="1" applyFill="1" applyAlignment="1">
      <alignment horizontal="center" vertical="center" wrapText="1"/>
    </xf>
    <xf numFmtId="0" fontId="30" fillId="38" borderId="63" xfId="0" applyFont="1" applyFill="1" applyBorder="1" applyAlignment="1">
      <alignment horizontal="center" vertical="center" wrapText="1"/>
    </xf>
    <xf numFmtId="0" fontId="30" fillId="38" borderId="0" xfId="0" applyFont="1" applyFill="1" applyAlignment="1">
      <alignment horizontal="center" vertical="center" wrapText="1"/>
    </xf>
    <xf numFmtId="0" fontId="30" fillId="31" borderId="63" xfId="0" applyFont="1" applyFill="1" applyBorder="1" applyAlignment="1">
      <alignment horizontal="center" vertical="center" wrapText="1"/>
    </xf>
    <xf numFmtId="0" fontId="30" fillId="31" borderId="0" xfId="0" applyFont="1" applyFill="1" applyAlignment="1">
      <alignment horizontal="center" vertical="center" wrapText="1"/>
    </xf>
    <xf numFmtId="0" fontId="30" fillId="31" borderId="63" xfId="0" applyFont="1" applyFill="1" applyBorder="1" applyAlignment="1">
      <alignment vertical="center" wrapText="1"/>
    </xf>
    <xf numFmtId="0" fontId="32" fillId="10" borderId="44" xfId="49" applyFont="1" applyFill="1" applyBorder="1" applyAlignment="1">
      <alignment horizontal="center" vertical="center" wrapText="1"/>
    </xf>
    <xf numFmtId="0" fontId="32" fillId="10" borderId="45" xfId="49" applyFont="1" applyFill="1" applyBorder="1" applyAlignment="1">
      <alignment horizontal="center" vertical="center" wrapText="1"/>
    </xf>
    <xf numFmtId="0" fontId="0" fillId="12" borderId="45" xfId="0" applyFont="1" applyFill="1" applyBorder="1" applyAlignment="1">
      <alignment horizontal="center" vertical="center" wrapText="1"/>
    </xf>
    <xf numFmtId="0" fontId="0" fillId="20" borderId="45" xfId="0" applyFont="1" applyFill="1" applyBorder="1" applyAlignment="1">
      <alignment horizontal="center" vertical="center" wrapText="1"/>
    </xf>
    <xf numFmtId="0" fontId="0" fillId="20" borderId="45" xfId="0" applyFill="1" applyBorder="1" applyAlignment="1">
      <alignment horizontal="center" vertical="center" wrapText="1"/>
    </xf>
    <xf numFmtId="0" fontId="0" fillId="33" borderId="45" xfId="0" applyFill="1" applyBorder="1" applyAlignment="1">
      <alignment horizontal="center" vertical="center" wrapText="1"/>
    </xf>
    <xf numFmtId="0" fontId="0" fillId="34" borderId="45" xfId="0" applyFill="1" applyBorder="1" applyAlignment="1">
      <alignment horizontal="center" vertical="center" wrapText="1"/>
    </xf>
    <xf numFmtId="0" fontId="0" fillId="35" borderId="45" xfId="0" applyFill="1" applyBorder="1" applyAlignment="1">
      <alignment horizontal="center" vertical="center" wrapText="1"/>
    </xf>
    <xf numFmtId="0" fontId="0" fillId="12" borderId="45" xfId="0" applyFill="1" applyBorder="1" applyAlignment="1">
      <alignment horizontal="center" vertical="center" wrapText="1"/>
    </xf>
    <xf numFmtId="0" fontId="0" fillId="12" borderId="45" xfId="0" applyFill="1" applyBorder="1" applyAlignment="1">
      <alignment horizontal="center" vertical="center"/>
    </xf>
    <xf numFmtId="0" fontId="0" fillId="12" borderId="46" xfId="0" applyFill="1" applyBorder="1" applyAlignment="1">
      <alignment horizontal="center" vertical="center" wrapText="1"/>
    </xf>
    <xf numFmtId="0" fontId="30" fillId="0" borderId="63" xfId="0" applyFont="1" applyBorder="1" applyAlignment="1">
      <alignment horizontal="center" vertical="center"/>
    </xf>
    <xf numFmtId="0" fontId="0" fillId="33" borderId="0" xfId="0" applyFont="1" applyFill="1" applyAlignment="1">
      <alignment horizontal="center" vertical="center" wrapText="1"/>
    </xf>
    <xf numFmtId="0" fontId="0" fillId="34" borderId="0" xfId="0" applyFont="1" applyFill="1" applyAlignment="1">
      <alignment horizontal="center" vertical="center" wrapText="1"/>
    </xf>
    <xf numFmtId="0" fontId="0" fillId="35" borderId="64" xfId="0" applyFill="1" applyBorder="1" applyAlignment="1">
      <alignment horizontal="center" vertical="center" wrapText="1"/>
    </xf>
    <xf numFmtId="0" fontId="30" fillId="23" borderId="44" xfId="0" applyFont="1" applyFill="1" applyBorder="1" applyAlignment="1">
      <alignment horizontal="center" vertical="center"/>
    </xf>
    <xf numFmtId="0" fontId="0" fillId="35" borderId="46" xfId="0" applyFill="1" applyBorder="1" applyAlignment="1">
      <alignment horizontal="center" vertical="center" wrapText="1"/>
    </xf>
    <xf numFmtId="0" fontId="0" fillId="0" borderId="37" xfId="0" applyFont="1" applyBorder="1" applyAlignment="1">
      <alignment vertical="center" wrapText="1"/>
    </xf>
    <xf numFmtId="178" fontId="0" fillId="0" borderId="0" xfId="0" applyNumberFormat="1">
      <alignment vertical="center"/>
    </xf>
    <xf numFmtId="0" fontId="0" fillId="0" borderId="67" xfId="0" applyFont="1" applyBorder="1">
      <alignment vertical="center"/>
    </xf>
    <xf numFmtId="0" fontId="0" fillId="0" borderId="36" xfId="0" applyFont="1" applyBorder="1">
      <alignment vertical="center"/>
    </xf>
    <xf numFmtId="0" fontId="0" fillId="0" borderId="67" xfId="0" applyFont="1" applyBorder="1" applyAlignment="1">
      <alignment horizontal="center" vertical="center"/>
    </xf>
    <xf numFmtId="0" fontId="0" fillId="0" borderId="37" xfId="0" applyBorder="1" applyAlignment="1">
      <alignment horizontal="center" vertical="center"/>
    </xf>
    <xf numFmtId="0" fontId="0" fillId="0" borderId="37" xfId="0" applyFont="1" applyBorder="1" applyAlignment="1" applyProtection="1">
      <alignment horizontal="center" vertical="center"/>
      <protection locked="0"/>
    </xf>
    <xf numFmtId="178" fontId="0" fillId="0" borderId="0" xfId="0" applyNumberFormat="1" applyFont="1" applyAlignment="1">
      <alignment horizontal="center" vertical="center" wrapText="1"/>
    </xf>
    <xf numFmtId="0" fontId="0" fillId="0" borderId="0" xfId="0" applyAlignment="1">
      <alignment horizontal="center" vertical="center"/>
    </xf>
    <xf numFmtId="0" fontId="0" fillId="0" borderId="0" xfId="0" applyFont="1" applyAlignment="1">
      <alignment horizontal="center" vertical="center"/>
    </xf>
    <xf numFmtId="0" fontId="0" fillId="0" borderId="64" xfId="0" applyFont="1"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68" xfId="0" applyBorder="1" applyAlignment="1">
      <alignment horizontal="center" vertical="center"/>
    </xf>
    <xf numFmtId="0" fontId="0" fillId="0" borderId="69" xfId="0" applyBorder="1" applyAlignment="1" applyProtection="1">
      <alignment horizontal="center" vertical="center"/>
      <protection locked="0"/>
    </xf>
    <xf numFmtId="178" fontId="0" fillId="0" borderId="0" xfId="0" applyNumberFormat="1" applyAlignment="1">
      <alignment horizontal="center" vertical="center" wrapText="1"/>
    </xf>
    <xf numFmtId="0" fontId="0" fillId="0" borderId="44" xfId="0" applyBorder="1" applyAlignment="1">
      <alignment horizontal="center" vertical="center"/>
    </xf>
    <xf numFmtId="0" fontId="0" fillId="0" borderId="45"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4" xfId="0" applyFont="1" applyBorder="1" applyAlignment="1">
      <alignment horizontal="center" vertical="center"/>
    </xf>
    <xf numFmtId="0" fontId="33" fillId="0" borderId="63" xfId="0" applyFont="1" applyBorder="1" applyAlignment="1">
      <alignment horizontal="center" vertical="center"/>
    </xf>
    <xf numFmtId="0" fontId="0" fillId="0" borderId="0" xfId="0" applyProtection="1">
      <alignment vertical="center"/>
      <protection locked="0"/>
    </xf>
    <xf numFmtId="0" fontId="27" fillId="0" borderId="45" xfId="49" applyFont="1" applyBorder="1" applyAlignment="1">
      <alignment horizontal="center" vertical="center"/>
    </xf>
    <xf numFmtId="0" fontId="0" fillId="0" borderId="45" xfId="0" applyBorder="1" applyProtection="1">
      <alignment vertical="center"/>
      <protection locked="0"/>
    </xf>
    <xf numFmtId="0" fontId="0" fillId="0" borderId="36" xfId="0" applyBorder="1" applyAlignment="1">
      <alignment horizontal="center" vertical="center"/>
    </xf>
    <xf numFmtId="178" fontId="0" fillId="0" borderId="64" xfId="0" applyNumberFormat="1" applyBorder="1" applyAlignment="1">
      <alignment horizontal="center" vertical="center"/>
    </xf>
    <xf numFmtId="0" fontId="0" fillId="0" borderId="35" xfId="0" applyBorder="1" applyAlignment="1">
      <alignment horizontal="center" vertical="center"/>
    </xf>
    <xf numFmtId="0" fontId="0" fillId="0" borderId="63" xfId="0" applyBorder="1" applyAlignment="1" applyProtection="1">
      <alignment horizontal="center" vertical="center"/>
      <protection locked="0"/>
    </xf>
    <xf numFmtId="178" fontId="0" fillId="0" borderId="0" xfId="0" applyNumberFormat="1" applyAlignment="1">
      <alignment horizontal="center" vertical="center"/>
    </xf>
    <xf numFmtId="0" fontId="16" fillId="39" borderId="63" xfId="0" applyFont="1" applyFill="1" applyBorder="1" applyAlignment="1">
      <alignment horizontal="center" vertical="center"/>
    </xf>
    <xf numFmtId="0" fontId="16" fillId="0" borderId="0" xfId="0" applyFont="1" applyAlignment="1">
      <alignment horizontal="center" vertical="center" wrapText="1"/>
    </xf>
    <xf numFmtId="0" fontId="0" fillId="10" borderId="0" xfId="0" applyFont="1" applyFill="1" applyAlignment="1">
      <alignment horizontal="center" vertical="center" wrapText="1"/>
    </xf>
    <xf numFmtId="0" fontId="16" fillId="39" borderId="0" xfId="0" applyFont="1" applyFill="1" applyAlignment="1">
      <alignment horizontal="center" vertical="center" wrapText="1"/>
    </xf>
    <xf numFmtId="0" fontId="0" fillId="0" borderId="69" xfId="0" applyBorder="1" applyAlignment="1">
      <alignment horizontal="center" vertical="center"/>
    </xf>
    <xf numFmtId="178" fontId="0" fillId="0" borderId="45" xfId="0" applyNumberFormat="1" applyBorder="1" applyAlignment="1">
      <alignment horizontal="center" vertical="center" wrapText="1"/>
    </xf>
    <xf numFmtId="0" fontId="16" fillId="40" borderId="0" xfId="0" applyFont="1" applyFill="1" applyAlignment="1">
      <alignment horizontal="center" vertical="center"/>
    </xf>
    <xf numFmtId="0" fontId="29" fillId="12" borderId="36" xfId="49" applyFill="1" applyBorder="1" applyAlignment="1">
      <alignment horizontal="center" vertical="center"/>
    </xf>
    <xf numFmtId="0" fontId="0" fillId="22" borderId="36" xfId="0" applyFont="1" applyFill="1" applyBorder="1" applyAlignment="1">
      <alignment horizontal="center" vertical="center"/>
    </xf>
    <xf numFmtId="0" fontId="29" fillId="41" borderId="36" xfId="49" applyFill="1" applyBorder="1" applyAlignment="1">
      <alignment horizontal="center" vertical="center"/>
    </xf>
    <xf numFmtId="0" fontId="29" fillId="23" borderId="36" xfId="49" applyFill="1" applyBorder="1" applyAlignment="1">
      <alignment horizontal="center" vertical="center"/>
    </xf>
    <xf numFmtId="0" fontId="29" fillId="14" borderId="36" xfId="49" applyFill="1" applyBorder="1" applyAlignment="1">
      <alignment horizontal="center" vertical="center"/>
    </xf>
    <xf numFmtId="0" fontId="0" fillId="25" borderId="36" xfId="0" applyFont="1" applyFill="1" applyBorder="1" applyAlignment="1">
      <alignment horizontal="center" vertical="center"/>
    </xf>
    <xf numFmtId="0" fontId="0" fillId="36" borderId="0" xfId="0" applyFont="1" applyFill="1" applyAlignment="1">
      <alignment horizontal="center" vertical="center"/>
    </xf>
    <xf numFmtId="0" fontId="0" fillId="15" borderId="36" xfId="0" applyFont="1" applyFill="1" applyBorder="1" applyAlignment="1">
      <alignment horizontal="center" vertical="center"/>
    </xf>
    <xf numFmtId="0" fontId="0" fillId="30" borderId="36" xfId="0" applyFont="1" applyFill="1" applyBorder="1" applyAlignment="1">
      <alignment horizontal="center" vertical="center"/>
    </xf>
    <xf numFmtId="0" fontId="29" fillId="10" borderId="36" xfId="49" applyFill="1" applyBorder="1" applyAlignment="1">
      <alignment horizontal="center" vertical="center"/>
    </xf>
    <xf numFmtId="0" fontId="29" fillId="22" borderId="0" xfId="49" applyFill="1" applyAlignment="1">
      <alignment horizontal="center" vertical="center"/>
    </xf>
    <xf numFmtId="0" fontId="0" fillId="0" borderId="68" xfId="0" applyFont="1" applyBorder="1" applyAlignment="1">
      <alignment horizontal="center" vertical="center"/>
    </xf>
    <xf numFmtId="0" fontId="30" fillId="0" borderId="0" xfId="0" applyFont="1" applyAlignment="1">
      <alignment horizontal="center" vertical="center"/>
    </xf>
    <xf numFmtId="0" fontId="27" fillId="0" borderId="63" xfId="49" applyFont="1" applyBorder="1" applyAlignment="1">
      <alignment horizontal="center" vertical="center"/>
    </xf>
    <xf numFmtId="0" fontId="29" fillId="41" borderId="0" xfId="49" applyFill="1" applyAlignment="1">
      <alignment horizontal="center" vertical="center"/>
    </xf>
    <xf numFmtId="0" fontId="29" fillId="10" borderId="64" xfId="49" applyFill="1" applyBorder="1" applyAlignment="1">
      <alignment horizontal="center" vertical="center"/>
    </xf>
    <xf numFmtId="49" fontId="0" fillId="0" borderId="0" xfId="0" applyNumberFormat="1" applyFont="1" applyAlignment="1">
      <alignment horizontal="center" vertical="center"/>
    </xf>
    <xf numFmtId="0" fontId="0" fillId="41" borderId="0" xfId="0" applyFont="1" applyFill="1" applyAlignment="1">
      <alignment horizontal="center" vertical="center"/>
    </xf>
    <xf numFmtId="0" fontId="29" fillId="42" borderId="0" xfId="49" applyFill="1" applyAlignment="1">
      <alignment horizontal="center" vertical="center"/>
    </xf>
    <xf numFmtId="0" fontId="0" fillId="42" borderId="0" xfId="0" applyFont="1" applyFill="1" applyAlignment="1">
      <alignment horizontal="center" vertical="center"/>
    </xf>
    <xf numFmtId="0" fontId="0" fillId="15" borderId="0" xfId="0" applyFill="1" applyAlignment="1">
      <alignment horizontal="center" vertical="center"/>
    </xf>
    <xf numFmtId="0" fontId="34" fillId="0" borderId="0" xfId="0" applyFont="1" applyAlignment="1">
      <alignment vertical="center" wrapText="1"/>
    </xf>
    <xf numFmtId="0" fontId="35" fillId="0" borderId="0" xfId="0" applyFont="1" applyAlignment="1">
      <alignment vertical="center" wrapText="1"/>
    </xf>
    <xf numFmtId="0" fontId="0" fillId="30" borderId="0" xfId="0" applyFill="1" applyAlignment="1">
      <alignment horizontal="center" vertical="center"/>
    </xf>
    <xf numFmtId="0" fontId="0" fillId="36" borderId="0" xfId="0" applyFill="1" applyAlignment="1">
      <alignment horizontal="center" vertical="center"/>
    </xf>
    <xf numFmtId="0" fontId="0" fillId="23" borderId="0" xfId="0" applyFont="1" applyFill="1" applyAlignment="1">
      <alignment horizontal="center" vertical="center"/>
    </xf>
    <xf numFmtId="0" fontId="0" fillId="25" borderId="45" xfId="0" applyFont="1" applyFill="1" applyBorder="1" applyAlignment="1">
      <alignment horizontal="center" vertical="center"/>
    </xf>
    <xf numFmtId="0" fontId="0" fillId="23" borderId="36" xfId="0" applyFont="1" applyFill="1" applyBorder="1" applyAlignment="1">
      <alignment horizontal="center" vertical="center"/>
    </xf>
    <xf numFmtId="0" fontId="0" fillId="23" borderId="37" xfId="0" applyFont="1" applyFill="1" applyBorder="1" applyAlignment="1">
      <alignment horizontal="center" vertical="center"/>
    </xf>
    <xf numFmtId="0" fontId="27" fillId="0" borderId="36" xfId="49" applyFont="1" applyBorder="1" applyAlignment="1">
      <alignment horizontal="center" vertical="center"/>
    </xf>
    <xf numFmtId="0" fontId="0" fillId="22" borderId="64" xfId="0" applyFont="1" applyFill="1" applyBorder="1" applyAlignment="1">
      <alignment horizontal="center" vertical="center"/>
    </xf>
    <xf numFmtId="0" fontId="36" fillId="0" borderId="0" xfId="0" applyFont="1" applyAlignment="1">
      <alignment horizontal="center" vertical="center" wrapText="1"/>
    </xf>
    <xf numFmtId="49" fontId="27" fillId="0" borderId="0" xfId="49" applyNumberFormat="1" applyFont="1" applyAlignment="1">
      <alignment horizontal="center" vertical="center"/>
    </xf>
    <xf numFmtId="0" fontId="37" fillId="0" borderId="0" xfId="0" applyFont="1" applyAlignment="1">
      <alignment horizontal="center" vertical="center" wrapText="1"/>
    </xf>
    <xf numFmtId="0" fontId="38" fillId="0" borderId="0" xfId="0" applyFont="1" applyAlignment="1">
      <alignment horizontal="center" vertical="center" wrapText="1"/>
    </xf>
    <xf numFmtId="0" fontId="0" fillId="14" borderId="64" xfId="0" applyFont="1" applyFill="1" applyBorder="1" applyAlignment="1">
      <alignment horizontal="center" vertical="center"/>
    </xf>
    <xf numFmtId="0" fontId="0" fillId="25" borderId="64" xfId="0" applyFont="1" applyFill="1" applyBorder="1" applyAlignment="1">
      <alignment horizontal="center" vertical="center"/>
    </xf>
    <xf numFmtId="0" fontId="30" fillId="0" borderId="64" xfId="0" applyFont="1" applyBorder="1" applyAlignment="1">
      <alignment horizontal="center" vertical="center"/>
    </xf>
    <xf numFmtId="0" fontId="39" fillId="0" borderId="0" xfId="0" applyFont="1" applyAlignment="1">
      <alignment horizontal="center" vertical="center" wrapText="1"/>
    </xf>
    <xf numFmtId="0" fontId="37" fillId="0" borderId="64" xfId="0" applyFont="1" applyBorder="1" applyAlignment="1">
      <alignment horizontal="center" vertical="center" wrapText="1"/>
    </xf>
    <xf numFmtId="0" fontId="0" fillId="0" borderId="69" xfId="0" applyFont="1" applyBorder="1" applyAlignment="1">
      <alignment horizontal="center" vertical="center"/>
    </xf>
    <xf numFmtId="0" fontId="16" fillId="40" borderId="64" xfId="0" applyFont="1" applyFill="1" applyBorder="1" applyAlignment="1">
      <alignment horizontal="center" vertical="center"/>
    </xf>
    <xf numFmtId="0" fontId="29" fillId="12" borderId="64" xfId="49" applyFill="1" applyBorder="1" applyAlignment="1">
      <alignment horizontal="center" vertical="center"/>
    </xf>
    <xf numFmtId="0" fontId="29" fillId="22" borderId="64" xfId="49" applyFill="1" applyBorder="1" applyAlignment="1">
      <alignment horizontal="center" vertical="center"/>
    </xf>
    <xf numFmtId="0" fontId="29" fillId="41" borderId="64" xfId="49" applyFill="1" applyBorder="1" applyAlignment="1">
      <alignment horizontal="center" vertical="center"/>
    </xf>
    <xf numFmtId="0" fontId="37" fillId="12" borderId="0" xfId="0" applyFont="1" applyFill="1" applyAlignment="1">
      <alignment horizontal="center" vertical="center" wrapText="1"/>
    </xf>
    <xf numFmtId="0" fontId="36" fillId="12" borderId="0" xfId="0" applyFont="1" applyFill="1" applyAlignment="1">
      <alignment horizontal="center" vertical="center" wrapText="1"/>
    </xf>
    <xf numFmtId="0" fontId="29" fillId="25" borderId="64" xfId="49" applyFill="1" applyBorder="1" applyAlignment="1">
      <alignment horizontal="center" vertical="center"/>
    </xf>
    <xf numFmtId="0" fontId="36" fillId="16" borderId="0" xfId="0" applyFont="1" applyFill="1" applyAlignment="1">
      <alignment horizontal="center" vertical="center" wrapText="1"/>
    </xf>
    <xf numFmtId="0" fontId="37" fillId="16" borderId="0" xfId="0" applyFont="1" applyFill="1" applyAlignment="1">
      <alignment horizontal="center" vertical="center" wrapText="1"/>
    </xf>
    <xf numFmtId="0" fontId="0" fillId="12" borderId="0" xfId="0" applyFont="1" applyFill="1" applyAlignment="1">
      <alignment horizontal="center" vertical="center"/>
    </xf>
    <xf numFmtId="0" fontId="0" fillId="41" borderId="64" xfId="0" applyFont="1" applyFill="1" applyBorder="1" applyAlignment="1">
      <alignment horizontal="center" vertical="center"/>
    </xf>
    <xf numFmtId="0" fontId="37" fillId="20" borderId="0" xfId="0" applyFont="1" applyFill="1" applyAlignment="1">
      <alignment horizontal="center" vertical="center" wrapText="1"/>
    </xf>
    <xf numFmtId="0" fontId="0" fillId="16" borderId="63" xfId="0" applyFont="1" applyFill="1" applyBorder="1" applyAlignment="1">
      <alignment horizontal="center" vertical="center" wrapText="1"/>
    </xf>
    <xf numFmtId="0" fontId="37" fillId="33" borderId="0" xfId="0" applyFont="1" applyFill="1" applyAlignment="1">
      <alignment horizontal="center" vertical="center" wrapText="1"/>
    </xf>
    <xf numFmtId="0" fontId="0" fillId="16" borderId="64" xfId="0" applyFont="1" applyFill="1" applyBorder="1" applyAlignment="1">
      <alignment horizontal="center" vertical="center" wrapText="1"/>
    </xf>
    <xf numFmtId="0" fontId="0" fillId="34" borderId="63" xfId="0" applyFont="1" applyFill="1" applyBorder="1" applyAlignment="1">
      <alignment horizontal="center" vertical="center" wrapText="1"/>
    </xf>
    <xf numFmtId="0" fontId="0" fillId="35" borderId="0" xfId="0" applyFont="1" applyFill="1" applyAlignment="1">
      <alignment horizontal="center" vertical="center" wrapText="1"/>
    </xf>
    <xf numFmtId="0" fontId="38" fillId="0" borderId="63" xfId="0" applyFont="1" applyBorder="1" applyAlignment="1">
      <alignment horizontal="center" vertical="center" wrapText="1"/>
    </xf>
    <xf numFmtId="0" fontId="29" fillId="23" borderId="64" xfId="49" applyFill="1" applyBorder="1" applyAlignment="1">
      <alignment horizontal="center" vertical="center"/>
    </xf>
    <xf numFmtId="0" fontId="0" fillId="12" borderId="63" xfId="0" applyFont="1" applyFill="1" applyBorder="1" applyAlignment="1">
      <alignment horizontal="center" vertical="center" wrapText="1"/>
    </xf>
    <xf numFmtId="0" fontId="0" fillId="34" borderId="64" xfId="0" applyFont="1" applyFill="1" applyBorder="1" applyAlignment="1">
      <alignment horizontal="center" vertical="center" wrapText="1"/>
    </xf>
    <xf numFmtId="0" fontId="38" fillId="16" borderId="0" xfId="0" applyFont="1" applyFill="1" applyAlignment="1">
      <alignment horizontal="center" vertical="center" wrapText="1"/>
    </xf>
    <xf numFmtId="0" fontId="0" fillId="20" borderId="64" xfId="0" applyFont="1" applyFill="1" applyBorder="1" applyAlignment="1">
      <alignment horizontal="center" vertical="center" wrapText="1"/>
    </xf>
    <xf numFmtId="0" fontId="36" fillId="0" borderId="63" xfId="0" applyFont="1" applyBorder="1" applyAlignment="1">
      <alignment horizontal="center" vertical="center" wrapText="1"/>
    </xf>
    <xf numFmtId="0" fontId="40" fillId="20" borderId="0" xfId="0" applyFont="1" applyFill="1" applyAlignment="1">
      <alignment horizontal="center" vertical="center" wrapText="1"/>
    </xf>
    <xf numFmtId="0" fontId="40" fillId="20" borderId="64" xfId="0" applyFont="1" applyFill="1" applyBorder="1" applyAlignment="1">
      <alignment horizontal="center" vertical="center" wrapText="1"/>
    </xf>
    <xf numFmtId="0" fontId="40" fillId="0" borderId="0" xfId="0" applyFont="1" applyAlignment="1">
      <alignment horizontal="center" vertical="center" wrapText="1"/>
    </xf>
    <xf numFmtId="0" fontId="37" fillId="34" borderId="0" xfId="0" applyFont="1" applyFill="1" applyAlignment="1">
      <alignment horizontal="center" vertical="center" wrapText="1"/>
    </xf>
    <xf numFmtId="0" fontId="40" fillId="33" borderId="0" xfId="0" applyFont="1" applyFill="1" applyAlignment="1">
      <alignment horizontal="center" vertical="center" wrapText="1"/>
    </xf>
    <xf numFmtId="0" fontId="29" fillId="42" borderId="63" xfId="49" applyFill="1" applyBorder="1" applyAlignment="1">
      <alignment horizontal="center" vertical="center"/>
    </xf>
    <xf numFmtId="0" fontId="29" fillId="42" borderId="64" xfId="49" applyFill="1" applyBorder="1" applyAlignment="1">
      <alignment horizontal="center" vertical="center"/>
    </xf>
    <xf numFmtId="0" fontId="29" fillId="22" borderId="63" xfId="49" applyFill="1" applyBorder="1" applyAlignment="1">
      <alignment horizontal="center" vertical="center"/>
    </xf>
    <xf numFmtId="0" fontId="36" fillId="34" borderId="0" xfId="0" applyFont="1" applyFill="1" applyAlignment="1">
      <alignment horizontal="center" vertical="center" wrapText="1"/>
    </xf>
    <xf numFmtId="0" fontId="36" fillId="16" borderId="63" xfId="0" applyFont="1" applyFill="1" applyBorder="1" applyAlignment="1">
      <alignment horizontal="center" vertical="center" wrapText="1"/>
    </xf>
    <xf numFmtId="0" fontId="0" fillId="33" borderId="64" xfId="0" applyFont="1" applyFill="1" applyBorder="1" applyAlignment="1">
      <alignment horizontal="center" vertical="center" wrapText="1"/>
    </xf>
    <xf numFmtId="0" fontId="29" fillId="25" borderId="63" xfId="49" applyFill="1" applyBorder="1" applyAlignment="1">
      <alignment horizontal="center" vertical="center"/>
    </xf>
    <xf numFmtId="0" fontId="37" fillId="35" borderId="0" xfId="0" applyFont="1" applyFill="1" applyAlignment="1">
      <alignment horizontal="center" vertical="center" wrapText="1"/>
    </xf>
    <xf numFmtId="0" fontId="40" fillId="34" borderId="0" xfId="0" applyFont="1" applyFill="1" applyAlignment="1">
      <alignment horizontal="center" vertical="center" wrapText="1"/>
    </xf>
    <xf numFmtId="0" fontId="0" fillId="34" borderId="44" xfId="0" applyFont="1" applyFill="1" applyBorder="1" applyAlignment="1">
      <alignment horizontal="center" vertical="center" wrapText="1"/>
    </xf>
    <xf numFmtId="0" fontId="0" fillId="15" borderId="0" xfId="0" applyFont="1" applyFill="1" applyAlignment="1">
      <alignment horizontal="center" vertical="center"/>
    </xf>
    <xf numFmtId="0" fontId="40" fillId="35" borderId="0" xfId="0" applyFont="1" applyFill="1" applyAlignment="1">
      <alignment horizontal="center" vertical="center" wrapText="1"/>
    </xf>
    <xf numFmtId="0" fontId="0" fillId="42" borderId="63" xfId="0" applyFont="1" applyFill="1" applyBorder="1" applyAlignment="1">
      <alignment horizontal="center" vertical="center"/>
    </xf>
    <xf numFmtId="0" fontId="0" fillId="42" borderId="64" xfId="0" applyFont="1" applyFill="1" applyBorder="1" applyAlignment="1">
      <alignment horizontal="center" vertical="center"/>
    </xf>
    <xf numFmtId="0" fontId="31" fillId="35" borderId="0" xfId="0" applyFont="1" applyFill="1" applyAlignment="1">
      <alignment horizontal="center" vertical="center" wrapText="1"/>
    </xf>
    <xf numFmtId="0" fontId="40" fillId="34" borderId="64" xfId="0" applyFont="1" applyFill="1" applyBorder="1" applyAlignment="1">
      <alignment horizontal="center" vertical="center" wrapText="1"/>
    </xf>
    <xf numFmtId="0" fontId="0" fillId="14" borderId="63" xfId="0" applyFont="1" applyFill="1" applyBorder="1" applyAlignment="1">
      <alignment horizontal="center" vertical="center"/>
    </xf>
    <xf numFmtId="0" fontId="40" fillId="12" borderId="0" xfId="0" applyFont="1" applyFill="1" applyAlignment="1">
      <alignment horizontal="center" vertical="center" wrapText="1"/>
    </xf>
    <xf numFmtId="0" fontId="40" fillId="16" borderId="0" xfId="0" applyFont="1" applyFill="1" applyAlignment="1">
      <alignment horizontal="center" vertical="center" wrapText="1"/>
    </xf>
    <xf numFmtId="0" fontId="0" fillId="0" borderId="46" xfId="0" applyFont="1" applyBorder="1" applyAlignment="1">
      <alignment horizontal="center" vertical="center"/>
    </xf>
    <xf numFmtId="0" fontId="0" fillId="23" borderId="63" xfId="0" applyFont="1" applyFill="1" applyBorder="1" applyAlignment="1">
      <alignment horizontal="center" vertical="center"/>
    </xf>
    <xf numFmtId="0" fontId="0" fillId="23" borderId="64" xfId="0" applyFont="1" applyFill="1" applyBorder="1" applyAlignment="1">
      <alignment horizontal="center" vertical="center"/>
    </xf>
    <xf numFmtId="0" fontId="30" fillId="23" borderId="63" xfId="0" applyFont="1" applyFill="1" applyBorder="1" applyAlignment="1">
      <alignment horizontal="center" vertical="center"/>
    </xf>
    <xf numFmtId="0" fontId="30" fillId="23" borderId="0" xfId="0" applyFont="1" applyFill="1" applyAlignment="1">
      <alignment horizontal="center" vertical="center"/>
    </xf>
    <xf numFmtId="0" fontId="30" fillId="23" borderId="64" xfId="0" applyFont="1" applyFill="1" applyBorder="1" applyAlignment="1">
      <alignment horizontal="center" vertical="center"/>
    </xf>
    <xf numFmtId="0" fontId="0" fillId="25" borderId="44" xfId="0" applyFont="1" applyFill="1" applyBorder="1" applyAlignment="1">
      <alignment horizontal="center" vertical="center"/>
    </xf>
    <xf numFmtId="0" fontId="0" fillId="25" borderId="46" xfId="0" applyFont="1" applyFill="1" applyBorder="1" applyAlignment="1">
      <alignment horizontal="center" vertical="center"/>
    </xf>
    <xf numFmtId="0" fontId="0" fillId="35" borderId="45" xfId="0" applyFont="1" applyFill="1" applyBorder="1" applyAlignment="1">
      <alignment horizontal="center" vertical="center" wrapText="1"/>
    </xf>
    <xf numFmtId="0" fontId="29" fillId="0" borderId="0" xfId="49" applyAlignment="1">
      <alignment horizontal="center" vertical="center"/>
    </xf>
    <xf numFmtId="0" fontId="29" fillId="0" borderId="36" xfId="49" applyBorder="1" applyAlignment="1">
      <alignment horizontal="center" vertical="center"/>
    </xf>
    <xf numFmtId="0" fontId="29" fillId="18" borderId="36" xfId="49" applyFill="1" applyBorder="1" applyAlignment="1">
      <alignment horizontal="center" vertical="center"/>
    </xf>
    <xf numFmtId="0" fontId="29" fillId="21" borderId="36" xfId="49" applyFill="1" applyBorder="1" applyAlignment="1">
      <alignment horizontal="center" vertical="center"/>
    </xf>
    <xf numFmtId="0" fontId="29" fillId="37" borderId="36" xfId="49" applyFill="1" applyBorder="1" applyAlignment="1">
      <alignment horizontal="center" vertical="center"/>
    </xf>
    <xf numFmtId="0" fontId="29" fillId="19" borderId="36" xfId="49" applyFill="1" applyBorder="1" applyAlignment="1">
      <alignment horizontal="center" vertical="center"/>
    </xf>
    <xf numFmtId="0" fontId="29" fillId="13" borderId="36" xfId="49" applyFill="1" applyBorder="1" applyAlignment="1">
      <alignment horizontal="center" vertical="center"/>
    </xf>
    <xf numFmtId="0" fontId="29" fillId="25" borderId="36" xfId="49" applyFill="1" applyBorder="1" applyAlignment="1">
      <alignment horizontal="center" vertical="center"/>
    </xf>
    <xf numFmtId="0" fontId="0" fillId="31" borderId="36" xfId="0" applyFont="1" applyFill="1" applyBorder="1" applyAlignment="1">
      <alignment horizontal="center" vertical="center"/>
    </xf>
    <xf numFmtId="0" fontId="0" fillId="16" borderId="36" xfId="0" applyFont="1" applyFill="1" applyBorder="1" applyAlignment="1">
      <alignment horizontal="center" vertical="center"/>
    </xf>
    <xf numFmtId="0" fontId="0" fillId="43" borderId="36" xfId="0" applyFont="1" applyFill="1" applyBorder="1" applyAlignment="1">
      <alignment horizontal="center" vertical="center"/>
    </xf>
    <xf numFmtId="0" fontId="0" fillId="24" borderId="36" xfId="0" applyFont="1" applyFill="1" applyBorder="1" applyAlignment="1">
      <alignment horizontal="center" vertical="center"/>
    </xf>
    <xf numFmtId="0" fontId="29" fillId="10" borderId="37" xfId="49" applyFill="1" applyBorder="1" applyAlignment="1">
      <alignment horizontal="center" vertical="center"/>
    </xf>
    <xf numFmtId="0" fontId="29" fillId="0" borderId="35" xfId="49" applyBorder="1" applyAlignment="1">
      <alignment horizontal="center" vertical="center"/>
    </xf>
    <xf numFmtId="0" fontId="29" fillId="0" borderId="37" xfId="49" applyBorder="1" applyAlignment="1">
      <alignment horizontal="center" vertical="center"/>
    </xf>
    <xf numFmtId="0" fontId="29" fillId="0" borderId="36" xfId="49" applyBorder="1" applyAlignment="1">
      <alignment horizontal="left" vertical="center" wrapText="1"/>
    </xf>
    <xf numFmtId="0" fontId="29" fillId="0" borderId="37" xfId="49" applyBorder="1" applyAlignment="1">
      <alignment horizontal="left" vertical="center" wrapText="1"/>
    </xf>
    <xf numFmtId="0" fontId="29" fillId="0" borderId="63" xfId="49" applyBorder="1" applyAlignment="1">
      <alignment horizontal="center" vertical="center"/>
    </xf>
    <xf numFmtId="0" fontId="29" fillId="0" borderId="63" xfId="49" applyBorder="1" applyAlignment="1">
      <alignment horizontal="center" vertical="center" wrapText="1"/>
    </xf>
    <xf numFmtId="0" fontId="29" fillId="0" borderId="64" xfId="49" applyBorder="1" applyAlignment="1">
      <alignment horizontal="center" vertical="center" wrapText="1"/>
    </xf>
    <xf numFmtId="0" fontId="32" fillId="0" borderId="0" xfId="49" applyFont="1" applyAlignment="1">
      <alignment horizontal="center" vertical="center"/>
    </xf>
    <xf numFmtId="0" fontId="29" fillId="0" borderId="0" xfId="49" applyAlignment="1">
      <alignment horizontal="left" vertical="center" wrapText="1"/>
    </xf>
    <xf numFmtId="0" fontId="29" fillId="0" borderId="64" xfId="49" applyBorder="1" applyAlignment="1">
      <alignment horizontal="left" vertical="center" wrapText="1"/>
    </xf>
    <xf numFmtId="0" fontId="29" fillId="13" borderId="0" xfId="49" applyFill="1" applyAlignment="1">
      <alignment horizontal="center" vertical="center"/>
    </xf>
    <xf numFmtId="0" fontId="29" fillId="19" borderId="63" xfId="49" applyFill="1" applyBorder="1" applyAlignment="1">
      <alignment horizontal="center" vertical="center"/>
    </xf>
    <xf numFmtId="0" fontId="29" fillId="31" borderId="0" xfId="49" applyFill="1" applyAlignment="1">
      <alignment horizontal="center" vertical="center"/>
    </xf>
    <xf numFmtId="0" fontId="29" fillId="18" borderId="63" xfId="49" applyFill="1" applyBorder="1" applyAlignment="1">
      <alignment horizontal="center" vertical="center"/>
    </xf>
    <xf numFmtId="0" fontId="29" fillId="13" borderId="63" xfId="49" applyFill="1" applyBorder="1" applyAlignment="1">
      <alignment horizontal="center" vertical="center"/>
    </xf>
    <xf numFmtId="0" fontId="29" fillId="0" borderId="64" xfId="49" applyBorder="1" applyAlignment="1">
      <alignment horizontal="center" vertical="center"/>
    </xf>
    <xf numFmtId="0" fontId="29" fillId="12" borderId="63" xfId="49" applyFill="1" applyBorder="1" applyAlignment="1">
      <alignment horizontal="center" vertical="center"/>
    </xf>
    <xf numFmtId="0" fontId="29" fillId="18" borderId="0" xfId="49" applyFill="1" applyAlignment="1">
      <alignment horizontal="center" vertical="center"/>
    </xf>
    <xf numFmtId="58" fontId="29" fillId="0" borderId="64" xfId="49" applyNumberFormat="1" applyBorder="1" applyAlignment="1">
      <alignment horizontal="center" vertical="center"/>
    </xf>
    <xf numFmtId="0" fontId="29" fillId="37" borderId="63" xfId="49" applyFill="1" applyBorder="1" applyAlignment="1">
      <alignment horizontal="center" vertical="center"/>
    </xf>
    <xf numFmtId="0" fontId="32" fillId="0" borderId="63" xfId="49" applyFont="1" applyBorder="1" applyAlignment="1">
      <alignment horizontal="center" vertical="center"/>
    </xf>
    <xf numFmtId="0" fontId="29" fillId="31" borderId="63" xfId="49" applyFill="1" applyBorder="1" applyAlignment="1">
      <alignment horizontal="center" vertical="center"/>
    </xf>
    <xf numFmtId="0" fontId="29" fillId="14" borderId="63" xfId="49" applyFill="1" applyBorder="1" applyAlignment="1">
      <alignment horizontal="center" vertical="center"/>
    </xf>
    <xf numFmtId="0" fontId="0" fillId="16" borderId="63" xfId="0" applyFont="1" applyFill="1" applyBorder="1" applyAlignment="1">
      <alignment horizontal="center" vertical="center"/>
    </xf>
    <xf numFmtId="0" fontId="0" fillId="43" borderId="63" xfId="0" applyFill="1" applyBorder="1" applyAlignment="1">
      <alignment horizontal="center" vertical="center"/>
    </xf>
    <xf numFmtId="0" fontId="0" fillId="24" borderId="63" xfId="0" applyFill="1" applyBorder="1" applyAlignment="1">
      <alignment horizontal="center" vertical="center"/>
    </xf>
    <xf numFmtId="0" fontId="29" fillId="16" borderId="0" xfId="49" applyFill="1" applyAlignment="1">
      <alignment horizontal="center" vertical="center" wrapText="1"/>
    </xf>
    <xf numFmtId="0" fontId="29" fillId="20" borderId="0" xfId="49" applyFill="1" applyAlignment="1">
      <alignment horizontal="center" vertical="center" wrapText="1"/>
    </xf>
    <xf numFmtId="0" fontId="29" fillId="33" borderId="0" xfId="49" applyFill="1" applyAlignment="1">
      <alignment horizontal="center" vertical="center" wrapText="1"/>
    </xf>
    <xf numFmtId="0" fontId="29" fillId="34" borderId="0" xfId="49" applyFill="1" applyAlignment="1">
      <alignment horizontal="center" vertical="center" wrapText="1"/>
    </xf>
    <xf numFmtId="0" fontId="29" fillId="35" borderId="0" xfId="49" applyFill="1" applyAlignment="1">
      <alignment horizontal="center" vertical="center" wrapText="1"/>
    </xf>
    <xf numFmtId="0" fontId="29" fillId="44" borderId="0" xfId="49" applyFill="1" applyAlignment="1">
      <alignment horizontal="center" vertical="center" wrapText="1"/>
    </xf>
    <xf numFmtId="0" fontId="29" fillId="16" borderId="64" xfId="49" applyFill="1" applyBorder="1" applyAlignment="1">
      <alignment horizontal="center" vertical="center" wrapText="1"/>
    </xf>
    <xf numFmtId="0" fontId="41" fillId="16" borderId="0" xfId="49" applyFont="1" applyFill="1" applyAlignment="1">
      <alignment horizontal="center" vertical="center" wrapText="1"/>
    </xf>
    <xf numFmtId="0" fontId="42" fillId="0" borderId="0" xfId="49" applyFont="1" applyAlignment="1">
      <alignment horizontal="center" vertical="center" wrapText="1"/>
    </xf>
    <xf numFmtId="0" fontId="42" fillId="12" borderId="0" xfId="49" applyFont="1" applyFill="1" applyAlignment="1">
      <alignment horizontal="center" vertical="center" wrapText="1"/>
    </xf>
    <xf numFmtId="0" fontId="36" fillId="20" borderId="0" xfId="0" applyFont="1" applyFill="1" applyAlignment="1">
      <alignment horizontal="center" vertical="center" wrapText="1"/>
    </xf>
    <xf numFmtId="0" fontId="36" fillId="33" borderId="0" xfId="0" applyFont="1" applyFill="1" applyAlignment="1">
      <alignment horizontal="center" vertical="center" wrapText="1"/>
    </xf>
    <xf numFmtId="0" fontId="32" fillId="18" borderId="0" xfId="49" applyFont="1" applyFill="1" applyAlignment="1">
      <alignment horizontal="center" vertical="center"/>
    </xf>
    <xf numFmtId="0" fontId="29" fillId="18" borderId="63" xfId="49" applyFill="1" applyBorder="1" applyAlignment="1">
      <alignment horizontal="center" vertical="center" wrapText="1"/>
    </xf>
    <xf numFmtId="0" fontId="32" fillId="21" borderId="0" xfId="49" applyFont="1" applyFill="1" applyAlignment="1">
      <alignment horizontal="center" vertical="center"/>
    </xf>
    <xf numFmtId="0" fontId="32" fillId="37" borderId="0" xfId="49" applyFont="1" applyFill="1" applyAlignment="1">
      <alignment horizontal="center" vertical="center"/>
    </xf>
    <xf numFmtId="0" fontId="32" fillId="19" borderId="0" xfId="49" applyFont="1" applyFill="1" applyAlignment="1">
      <alignment horizontal="center" vertical="center"/>
    </xf>
    <xf numFmtId="0" fontId="32" fillId="13" borderId="0" xfId="49" applyFont="1" applyFill="1" applyAlignment="1">
      <alignment horizontal="center" vertical="center"/>
    </xf>
    <xf numFmtId="0" fontId="29" fillId="21" borderId="63" xfId="49" applyFill="1" applyBorder="1" applyAlignment="1">
      <alignment horizontal="center" vertical="center" wrapText="1"/>
    </xf>
    <xf numFmtId="0" fontId="29" fillId="37" borderId="63" xfId="49" applyFill="1" applyBorder="1" applyAlignment="1">
      <alignment horizontal="center" vertical="center" wrapText="1"/>
    </xf>
    <xf numFmtId="0" fontId="29" fillId="16" borderId="63" xfId="49" applyFill="1" applyBorder="1" applyAlignment="1">
      <alignment horizontal="center" vertical="center"/>
    </xf>
    <xf numFmtId="0" fontId="29" fillId="43" borderId="63" xfId="49" applyFill="1" applyBorder="1" applyAlignment="1">
      <alignment horizontal="center" vertical="center"/>
    </xf>
    <xf numFmtId="0" fontId="32" fillId="25" borderId="0" xfId="49" applyFont="1" applyFill="1" applyAlignment="1">
      <alignment horizontal="center" vertical="center"/>
    </xf>
    <xf numFmtId="0" fontId="29" fillId="24" borderId="63" xfId="49" applyFill="1" applyBorder="1" applyAlignment="1">
      <alignment horizontal="center" vertical="center"/>
    </xf>
    <xf numFmtId="0" fontId="32" fillId="14" borderId="0" xfId="49" applyFont="1" applyFill="1" applyAlignment="1">
      <alignment horizontal="center" vertical="center"/>
    </xf>
    <xf numFmtId="0" fontId="41" fillId="0" borderId="0" xfId="49" applyFont="1" applyAlignment="1">
      <alignment horizontal="center" vertical="center" wrapText="1"/>
    </xf>
    <xf numFmtId="0" fontId="43" fillId="0" borderId="0" xfId="49" applyFont="1" applyAlignment="1">
      <alignment horizontal="center" vertical="center" wrapText="1"/>
    </xf>
    <xf numFmtId="0" fontId="32" fillId="16" borderId="0" xfId="49" applyFont="1" applyFill="1" applyAlignment="1">
      <alignment horizontal="center" vertical="center"/>
    </xf>
    <xf numFmtId="0" fontId="30" fillId="43" borderId="0" xfId="0" applyFont="1" applyFill="1" applyAlignment="1">
      <alignment horizontal="center" vertical="center"/>
    </xf>
    <xf numFmtId="0" fontId="32" fillId="43" borderId="0" xfId="49" applyFont="1" applyFill="1" applyAlignment="1">
      <alignment horizontal="center" vertical="center"/>
    </xf>
    <xf numFmtId="0" fontId="29" fillId="19" borderId="63" xfId="49" applyFill="1" applyBorder="1" applyAlignment="1">
      <alignment horizontal="center" vertical="center" wrapText="1"/>
    </xf>
    <xf numFmtId="0" fontId="32" fillId="24" borderId="0" xfId="49" applyFont="1" applyFill="1" applyAlignment="1">
      <alignment horizontal="center" vertical="center"/>
    </xf>
    <xf numFmtId="0" fontId="30" fillId="24" borderId="0" xfId="0" applyFont="1" applyFill="1" applyAlignment="1">
      <alignment horizontal="center" vertical="center"/>
    </xf>
    <xf numFmtId="0" fontId="29" fillId="15" borderId="63" xfId="49" applyFill="1" applyBorder="1" applyAlignment="1">
      <alignment horizontal="center" vertical="center"/>
    </xf>
    <xf numFmtId="0" fontId="44" fillId="15" borderId="0" xfId="0" applyFont="1" applyFill="1" applyAlignment="1">
      <alignment horizontal="center" vertical="center"/>
    </xf>
    <xf numFmtId="0" fontId="32" fillId="10" borderId="0" xfId="49" applyFont="1" applyFill="1" applyAlignment="1">
      <alignment horizontal="center" vertical="center"/>
    </xf>
    <xf numFmtId="0" fontId="29" fillId="0" borderId="45" xfId="49" applyBorder="1" applyAlignment="1">
      <alignment horizontal="left" vertical="center" wrapText="1"/>
    </xf>
    <xf numFmtId="0" fontId="29" fillId="0" borderId="46" xfId="49" applyBorder="1" applyAlignment="1">
      <alignment horizontal="left" vertical="center" wrapText="1"/>
    </xf>
    <xf numFmtId="0" fontId="32" fillId="10" borderId="64" xfId="49" applyFont="1" applyFill="1" applyBorder="1" applyAlignment="1">
      <alignment horizontal="center" vertical="center"/>
    </xf>
    <xf numFmtId="0" fontId="29" fillId="25" borderId="63" xfId="49" applyFill="1" applyBorder="1" applyAlignment="1">
      <alignment horizontal="center" vertical="center" wrapText="1"/>
    </xf>
    <xf numFmtId="0" fontId="32" fillId="10" borderId="45" xfId="49" applyFont="1" applyFill="1" applyBorder="1" applyAlignment="1">
      <alignment horizontal="center" vertical="center"/>
    </xf>
    <xf numFmtId="0" fontId="32" fillId="10" borderId="46" xfId="49" applyFont="1" applyFill="1" applyBorder="1" applyAlignment="1">
      <alignment horizontal="center" vertical="center"/>
    </xf>
    <xf numFmtId="0" fontId="0" fillId="16" borderId="63" xfId="0" applyFill="1" applyBorder="1" applyAlignment="1">
      <alignment horizontal="center" vertical="center"/>
    </xf>
    <xf numFmtId="0" fontId="0" fillId="43" borderId="63" xfId="0" applyFont="1" applyFill="1" applyBorder="1" applyAlignment="1">
      <alignment horizontal="center" vertical="center"/>
    </xf>
    <xf numFmtId="0" fontId="0" fillId="24" borderId="63" xfId="0" applyFont="1" applyFill="1" applyBorder="1" applyAlignment="1">
      <alignment horizontal="center" vertical="center"/>
    </xf>
    <xf numFmtId="0" fontId="0" fillId="15" borderId="63" xfId="0" applyFont="1" applyFill="1" applyBorder="1" applyAlignment="1">
      <alignment horizontal="center" vertical="center"/>
    </xf>
    <xf numFmtId="0" fontId="29" fillId="10" borderId="63" xfId="49" applyFill="1" applyBorder="1" applyAlignment="1">
      <alignment horizontal="center" vertical="center" wrapText="1"/>
    </xf>
    <xf numFmtId="0" fontId="29" fillId="10" borderId="44" xfId="49" applyFill="1" applyBorder="1" applyAlignment="1">
      <alignment horizontal="center" vertical="center" wrapText="1"/>
    </xf>
    <xf numFmtId="0" fontId="29" fillId="0" borderId="45" xfId="49" applyBorder="1" applyAlignment="1">
      <alignment horizontal="center" vertical="center" wrapText="1"/>
    </xf>
    <xf numFmtId="0" fontId="0" fillId="0" borderId="0" xfId="0" applyFont="1" applyAlignment="1">
      <alignment horizontal="left" vertical="center"/>
    </xf>
    <xf numFmtId="0" fontId="31" fillId="0" borderId="36" xfId="0" applyFont="1" applyBorder="1" applyAlignment="1">
      <alignment horizontal="center" vertical="center"/>
    </xf>
    <xf numFmtId="0" fontId="0" fillId="0" borderId="36" xfId="0" applyFont="1" applyBorder="1" applyAlignment="1" applyProtection="1">
      <alignment horizontal="center" vertical="center"/>
      <protection locked="0"/>
    </xf>
    <xf numFmtId="0" fontId="0" fillId="0" borderId="64" xfId="0" applyFont="1" applyBorder="1" applyAlignment="1" applyProtection="1">
      <alignment horizontal="center" vertical="center"/>
      <protection locked="0"/>
    </xf>
    <xf numFmtId="0" fontId="0" fillId="0" borderId="46" xfId="0" applyFont="1" applyBorder="1" applyAlignment="1" applyProtection="1">
      <alignment horizontal="center" vertical="center"/>
      <protection locked="0"/>
    </xf>
    <xf numFmtId="0" fontId="0" fillId="0" borderId="0" xfId="0" applyFont="1" applyAlignment="1" applyProtection="1">
      <alignment horizontal="center" vertical="center"/>
      <protection locked="0"/>
    </xf>
    <xf numFmtId="1" fontId="1" fillId="2" borderId="0" xfId="0" applyNumberFormat="1" applyFont="1" applyFill="1" applyAlignment="1">
      <alignment horizontal="center" vertical="center" wrapText="1"/>
    </xf>
    <xf numFmtId="0" fontId="1" fillId="0" borderId="30"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1" xfId="0" applyFont="1" applyBorder="1" applyAlignment="1">
      <alignment horizontal="center" vertical="center" wrapText="1"/>
    </xf>
    <xf numFmtId="0" fontId="12" fillId="2" borderId="23" xfId="0" applyFont="1" applyFill="1" applyBorder="1" applyAlignment="1">
      <alignment horizontal="center" vertical="center" wrapText="1"/>
    </xf>
    <xf numFmtId="0" fontId="1" fillId="0" borderId="72" xfId="0" applyFont="1" applyBorder="1" applyAlignment="1">
      <alignment horizontal="center" vertical="center" wrapText="1"/>
    </xf>
    <xf numFmtId="0" fontId="45" fillId="0" borderId="26" xfId="0" applyFont="1" applyBorder="1" applyAlignment="1">
      <alignment horizontal="center" vertical="center" wrapText="1"/>
    </xf>
    <xf numFmtId="0" fontId="45" fillId="0" borderId="73" xfId="0" applyFont="1" applyBorder="1" applyAlignment="1">
      <alignment horizontal="center" vertical="center" wrapText="1"/>
    </xf>
    <xf numFmtId="0" fontId="12" fillId="2" borderId="74" xfId="0" applyFont="1" applyFill="1" applyBorder="1" applyAlignment="1">
      <alignment horizontal="center" vertical="center" wrapText="1"/>
    </xf>
    <xf numFmtId="0" fontId="12" fillId="2" borderId="25" xfId="0" applyFont="1" applyFill="1" applyBorder="1" applyAlignment="1">
      <alignment horizontal="center" vertical="center" wrapText="1"/>
    </xf>
    <xf numFmtId="0" fontId="1" fillId="0" borderId="23" xfId="0" applyFont="1" applyBorder="1" applyAlignment="1">
      <alignment horizontal="center" vertical="center" wrapText="1"/>
    </xf>
    <xf numFmtId="0" fontId="45" fillId="0" borderId="5" xfId="0" applyFont="1" applyBorder="1" applyAlignment="1">
      <alignment horizontal="center" vertical="center" wrapText="1"/>
    </xf>
    <xf numFmtId="0" fontId="46" fillId="10" borderId="26" xfId="0" applyFont="1" applyFill="1" applyBorder="1" applyAlignment="1">
      <alignment horizontal="center" vertical="center"/>
    </xf>
    <xf numFmtId="0" fontId="12" fillId="12" borderId="26" xfId="0" applyFont="1" applyFill="1" applyBorder="1" applyAlignment="1" applyProtection="1">
      <alignment horizontal="center" vertical="center" wrapText="1"/>
      <protection locked="0"/>
    </xf>
    <xf numFmtId="0" fontId="47" fillId="5" borderId="22" xfId="0" applyFont="1" applyFill="1" applyBorder="1" applyAlignment="1">
      <alignment horizontal="center" vertical="center" wrapText="1"/>
    </xf>
    <xf numFmtId="0" fontId="12" fillId="2" borderId="29" xfId="0" applyFont="1" applyFill="1" applyBorder="1" applyAlignment="1">
      <alignment horizontal="center" vertical="center" wrapText="1"/>
    </xf>
    <xf numFmtId="1" fontId="12" fillId="2" borderId="29" xfId="0" applyNumberFormat="1" applyFont="1" applyFill="1" applyBorder="1" applyAlignment="1">
      <alignment horizontal="center" vertical="center"/>
    </xf>
    <xf numFmtId="0" fontId="12" fillId="0" borderId="26" xfId="0" applyFont="1" applyBorder="1" applyAlignment="1">
      <alignment horizontal="center" vertical="center" wrapText="1"/>
    </xf>
    <xf numFmtId="0" fontId="12" fillId="2" borderId="30" xfId="0" applyFont="1" applyFill="1" applyBorder="1" applyAlignment="1">
      <alignment horizontal="center" vertical="center" wrapText="1"/>
    </xf>
    <xf numFmtId="0" fontId="12" fillId="2" borderId="31" xfId="0" applyFont="1" applyFill="1" applyBorder="1" applyAlignment="1">
      <alignment horizontal="center" vertical="center" wrapText="1"/>
    </xf>
    <xf numFmtId="0" fontId="12" fillId="42" borderId="27" xfId="0" applyFont="1" applyFill="1" applyBorder="1" applyAlignment="1" applyProtection="1">
      <alignment horizontal="center" vertical="center" wrapText="1"/>
      <protection locked="0"/>
    </xf>
    <xf numFmtId="1" fontId="12" fillId="2" borderId="25" xfId="0" applyNumberFormat="1" applyFont="1" applyFill="1" applyBorder="1" applyAlignment="1">
      <alignment horizontal="center" vertical="center" wrapText="1"/>
    </xf>
    <xf numFmtId="0" fontId="12" fillId="2" borderId="75" xfId="0" applyFont="1" applyFill="1" applyBorder="1" applyAlignment="1">
      <alignment horizontal="center" vertical="center" wrapText="1"/>
    </xf>
    <xf numFmtId="0" fontId="12" fillId="42" borderId="76" xfId="0" applyFont="1" applyFill="1" applyBorder="1" applyAlignment="1" applyProtection="1">
      <alignment horizontal="center" vertical="center" wrapText="1"/>
      <protection locked="0"/>
    </xf>
    <xf numFmtId="0" fontId="1" fillId="0" borderId="77" xfId="0" applyFont="1" applyBorder="1" applyAlignment="1">
      <alignment horizontal="center" vertical="center" wrapText="1"/>
    </xf>
    <xf numFmtId="0" fontId="1" fillId="0" borderId="78" xfId="0" applyFont="1" applyBorder="1" applyAlignment="1">
      <alignment horizontal="center" vertical="center" wrapText="1"/>
    </xf>
    <xf numFmtId="0" fontId="47" fillId="2" borderId="0" xfId="0" applyFont="1" applyFill="1" applyAlignment="1">
      <alignment horizontal="center" vertical="center" wrapText="1"/>
    </xf>
    <xf numFmtId="1" fontId="47" fillId="2" borderId="0" xfId="0" applyNumberFormat="1" applyFont="1" applyFill="1" applyAlignment="1">
      <alignment horizontal="center" vertical="center" wrapText="1"/>
    </xf>
    <xf numFmtId="0" fontId="48" fillId="0" borderId="20" xfId="0" applyFont="1" applyBorder="1" applyAlignment="1">
      <alignment horizontal="center" vertical="center" wrapText="1"/>
    </xf>
    <xf numFmtId="0" fontId="48" fillId="0" borderId="21" xfId="0" applyFont="1" applyBorder="1" applyAlignment="1">
      <alignment horizontal="center" vertical="center" wrapText="1"/>
    </xf>
    <xf numFmtId="0" fontId="48" fillId="0" borderId="79" xfId="0" applyFont="1" applyBorder="1" applyAlignment="1">
      <alignment horizontal="center" vertical="center" wrapText="1"/>
    </xf>
    <xf numFmtId="0" fontId="1" fillId="0" borderId="80" xfId="0" applyFont="1" applyBorder="1" applyAlignment="1">
      <alignment horizontal="center" vertical="center" wrapText="1"/>
    </xf>
    <xf numFmtId="0" fontId="1" fillId="0" borderId="81" xfId="0" applyFont="1" applyBorder="1" applyAlignment="1">
      <alignment horizontal="center" vertical="center" wrapText="1"/>
    </xf>
    <xf numFmtId="0" fontId="1" fillId="0" borderId="82" xfId="0" applyFont="1" applyBorder="1" applyAlignment="1">
      <alignment horizontal="center" vertical="center" wrapText="1"/>
    </xf>
    <xf numFmtId="0" fontId="1" fillId="0" borderId="83" xfId="0" applyFont="1" applyBorder="1" applyAlignment="1">
      <alignment horizontal="center" vertical="center" wrapText="1"/>
    </xf>
    <xf numFmtId="179" fontId="47" fillId="0" borderId="84" xfId="0" applyNumberFormat="1" applyFont="1" applyBorder="1" applyAlignment="1">
      <alignment horizontal="center" vertical="center" wrapText="1"/>
    </xf>
    <xf numFmtId="1" fontId="47" fillId="0" borderId="85" xfId="0" applyNumberFormat="1" applyFont="1" applyBorder="1" applyAlignment="1">
      <alignment horizontal="center" vertical="center" wrapText="1"/>
    </xf>
    <xf numFmtId="0" fontId="47" fillId="0" borderId="21" xfId="0" applyFont="1" applyBorder="1" applyAlignment="1" applyProtection="1">
      <alignment horizontal="center" vertical="center"/>
      <protection locked="0"/>
    </xf>
    <xf numFmtId="0" fontId="47" fillId="0" borderId="84" xfId="0" applyFont="1" applyBorder="1" applyAlignment="1">
      <alignment horizontal="center" vertical="center" wrapText="1"/>
    </xf>
    <xf numFmtId="0" fontId="47" fillId="0" borderId="85" xfId="0" applyFont="1" applyBorder="1" applyAlignment="1">
      <alignment horizontal="center" vertical="center" wrapText="1"/>
    </xf>
    <xf numFmtId="0" fontId="47" fillId="0" borderId="22" xfId="0" applyFont="1" applyBorder="1" applyAlignment="1" applyProtection="1">
      <alignment horizontal="center" vertical="center"/>
      <protection locked="0"/>
    </xf>
    <xf numFmtId="0" fontId="48" fillId="0" borderId="30" xfId="0" applyFont="1" applyBorder="1" applyAlignment="1">
      <alignment horizontal="center" vertical="center" wrapText="1"/>
    </xf>
    <xf numFmtId="0" fontId="48" fillId="0" borderId="29" xfId="0" applyFont="1" applyBorder="1" applyAlignment="1">
      <alignment horizontal="center" vertical="center" wrapText="1"/>
    </xf>
    <xf numFmtId="0" fontId="48" fillId="0" borderId="31" xfId="0" applyFont="1" applyBorder="1" applyAlignment="1">
      <alignment horizontal="center" vertical="center" wrapText="1"/>
    </xf>
    <xf numFmtId="179" fontId="47" fillId="5" borderId="84" xfId="0" applyNumberFormat="1" applyFont="1" applyFill="1" applyBorder="1" applyAlignment="1">
      <alignment horizontal="center" vertical="center" wrapText="1"/>
    </xf>
    <xf numFmtId="1" fontId="47" fillId="5" borderId="85" xfId="0" applyNumberFormat="1" applyFont="1" applyFill="1" applyBorder="1" applyAlignment="1">
      <alignment horizontal="center" vertical="center" wrapText="1"/>
    </xf>
    <xf numFmtId="0" fontId="47" fillId="5" borderId="21" xfId="0" applyFont="1" applyFill="1" applyBorder="1" applyAlignment="1" applyProtection="1">
      <alignment horizontal="center" vertical="center"/>
      <protection locked="0"/>
    </xf>
    <xf numFmtId="0" fontId="47" fillId="5" borderId="84" xfId="0" applyFont="1" applyFill="1" applyBorder="1" applyAlignment="1">
      <alignment horizontal="center" vertical="center" wrapText="1"/>
    </xf>
    <xf numFmtId="0" fontId="47" fillId="5" borderId="85" xfId="0" applyFont="1" applyFill="1" applyBorder="1" applyAlignment="1">
      <alignment horizontal="center" vertical="center" wrapText="1"/>
    </xf>
    <xf numFmtId="0" fontId="47" fillId="5" borderId="22" xfId="0" applyFont="1" applyFill="1" applyBorder="1" applyAlignment="1" applyProtection="1">
      <alignment horizontal="center" vertical="center"/>
      <protection locked="0"/>
    </xf>
    <xf numFmtId="0" fontId="48" fillId="0" borderId="74" xfId="0" applyFont="1" applyBorder="1" applyAlignment="1">
      <alignment horizontal="center" vertical="center" wrapText="1"/>
    </xf>
    <xf numFmtId="0" fontId="48" fillId="0" borderId="25" xfId="0" applyFont="1" applyBorder="1" applyAlignment="1">
      <alignment horizontal="center" vertical="center" wrapText="1"/>
    </xf>
    <xf numFmtId="0" fontId="48" fillId="0" borderId="75" xfId="0" applyFont="1" applyBorder="1" applyAlignment="1">
      <alignment horizontal="center" vertical="center" wrapText="1"/>
    </xf>
    <xf numFmtId="0" fontId="48" fillId="0" borderId="23" xfId="0" applyFont="1" applyBorder="1" applyAlignment="1">
      <alignment horizontal="center" vertical="center" wrapText="1"/>
    </xf>
    <xf numFmtId="0" fontId="48" fillId="0" borderId="0" xfId="0" applyFont="1" applyAlignment="1">
      <alignment horizontal="center" vertical="center" wrapText="1"/>
    </xf>
    <xf numFmtId="0" fontId="48" fillId="0" borderId="5" xfId="0" applyFont="1" applyBorder="1" applyAlignment="1">
      <alignment horizontal="center" vertical="center" wrapText="1"/>
    </xf>
    <xf numFmtId="0" fontId="49" fillId="0" borderId="30" xfId="0" applyFont="1" applyBorder="1" applyAlignment="1">
      <alignment horizontal="center" vertical="center" wrapText="1"/>
    </xf>
    <xf numFmtId="0" fontId="49" fillId="0" borderId="29" xfId="0" applyFont="1" applyBorder="1" applyAlignment="1">
      <alignment horizontal="center" vertical="center" wrapText="1"/>
    </xf>
    <xf numFmtId="0" fontId="49" fillId="0" borderId="31" xfId="0" applyFont="1" applyBorder="1" applyAlignment="1">
      <alignment horizontal="center" vertical="center" wrapText="1"/>
    </xf>
    <xf numFmtId="0" fontId="49" fillId="0" borderId="74" xfId="0" applyFont="1" applyBorder="1" applyAlignment="1">
      <alignment horizontal="center" vertical="center" wrapText="1"/>
    </xf>
    <xf numFmtId="0" fontId="49" fillId="0" borderId="25" xfId="0" applyFont="1" applyBorder="1" applyAlignment="1">
      <alignment horizontal="center" vertical="center" wrapText="1"/>
    </xf>
    <xf numFmtId="0" fontId="49" fillId="0" borderId="75" xfId="0" applyFont="1" applyBorder="1" applyAlignment="1">
      <alignment horizontal="center" vertical="center" wrapText="1"/>
    </xf>
    <xf numFmtId="0" fontId="1" fillId="0" borderId="86" xfId="0" applyFont="1" applyBorder="1" applyAlignment="1">
      <alignment horizontal="center" vertical="center" wrapText="1"/>
    </xf>
    <xf numFmtId="0" fontId="1" fillId="0" borderId="30" xfId="0" applyFont="1" applyBorder="1" applyAlignment="1">
      <alignment horizontal="left" vertical="top" wrapText="1"/>
    </xf>
    <xf numFmtId="0" fontId="1" fillId="0" borderId="29" xfId="0" applyFont="1" applyBorder="1" applyAlignment="1">
      <alignment horizontal="left" vertical="top" wrapText="1"/>
    </xf>
    <xf numFmtId="0" fontId="1" fillId="0" borderId="31" xfId="0" applyFont="1" applyBorder="1" applyAlignment="1">
      <alignment horizontal="left" vertical="top" wrapText="1"/>
    </xf>
    <xf numFmtId="0" fontId="1" fillId="0" borderId="23" xfId="0" applyFont="1" applyBorder="1" applyAlignment="1">
      <alignment horizontal="left" vertical="top" wrapText="1"/>
    </xf>
    <xf numFmtId="0" fontId="1" fillId="0" borderId="0" xfId="0" applyFont="1" applyAlignment="1">
      <alignment horizontal="left" vertical="top" wrapText="1"/>
    </xf>
    <xf numFmtId="0" fontId="1" fillId="0" borderId="5" xfId="0" applyFont="1" applyBorder="1" applyAlignment="1">
      <alignment horizontal="left" vertical="top" wrapText="1"/>
    </xf>
    <xf numFmtId="0" fontId="1" fillId="0" borderId="87" xfId="0" applyFont="1" applyBorder="1" applyAlignment="1">
      <alignment horizontal="center" vertical="center" wrapText="1"/>
    </xf>
    <xf numFmtId="0" fontId="1" fillId="0" borderId="74" xfId="0" applyFont="1" applyBorder="1" applyAlignment="1">
      <alignment horizontal="left" vertical="top" wrapText="1"/>
    </xf>
    <xf numFmtId="0" fontId="1" fillId="0" borderId="25" xfId="0" applyFont="1" applyBorder="1" applyAlignment="1">
      <alignment horizontal="left" vertical="top" wrapText="1"/>
    </xf>
    <xf numFmtId="0" fontId="1" fillId="0" borderId="75" xfId="0" applyFont="1" applyBorder="1" applyAlignment="1">
      <alignment horizontal="left" vertical="top" wrapText="1"/>
    </xf>
    <xf numFmtId="0" fontId="45" fillId="0" borderId="88" xfId="0" applyFont="1" applyBorder="1" applyAlignment="1">
      <alignment horizontal="center" vertical="center" wrapText="1"/>
    </xf>
    <xf numFmtId="0" fontId="1" fillId="0" borderId="7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75" xfId="0" applyFont="1" applyBorder="1" applyAlignment="1">
      <alignment horizontal="center" vertical="center" wrapText="1"/>
    </xf>
    <xf numFmtId="0" fontId="1" fillId="2" borderId="0" xfId="0" applyFont="1" applyFill="1" applyAlignment="1">
      <alignment vertical="center" wrapText="1"/>
    </xf>
    <xf numFmtId="0" fontId="25" fillId="12" borderId="26" xfId="0" applyFont="1" applyFill="1" applyBorder="1" applyAlignment="1" applyProtection="1">
      <alignment horizontal="center" vertical="center" wrapText="1"/>
      <protection locked="0"/>
    </xf>
    <xf numFmtId="0" fontId="2" fillId="10" borderId="20" xfId="0" applyFont="1" applyFill="1" applyBorder="1" applyAlignment="1">
      <alignment vertical="center" wrapText="1"/>
    </xf>
    <xf numFmtId="0" fontId="2" fillId="10" borderId="21" xfId="0" applyFont="1" applyFill="1" applyBorder="1" applyAlignment="1">
      <alignment vertical="center" wrapText="1"/>
    </xf>
    <xf numFmtId="0" fontId="50" fillId="10" borderId="21" xfId="0" applyFont="1" applyFill="1" applyBorder="1" applyAlignment="1">
      <alignment horizontal="center" vertical="center"/>
    </xf>
    <xf numFmtId="0" fontId="2" fillId="10" borderId="22" xfId="0" applyFont="1" applyFill="1" applyBorder="1" applyAlignment="1">
      <alignment vertical="center" wrapText="1"/>
    </xf>
    <xf numFmtId="180" fontId="51" fillId="11" borderId="26" xfId="0" applyNumberFormat="1" applyFont="1" applyFill="1" applyBorder="1" applyAlignment="1">
      <alignment horizontal="center" vertical="center" wrapText="1"/>
    </xf>
    <xf numFmtId="0" fontId="51" fillId="11" borderId="26" xfId="0" applyFont="1" applyFill="1" applyBorder="1" applyAlignment="1">
      <alignment horizontal="center" vertical="center" wrapText="1"/>
    </xf>
    <xf numFmtId="0" fontId="25" fillId="12" borderId="26" xfId="0" applyFont="1" applyFill="1" applyBorder="1" applyAlignment="1" applyProtection="1">
      <alignment horizontal="center" vertical="center"/>
      <protection locked="0"/>
    </xf>
    <xf numFmtId="180" fontId="51" fillId="11" borderId="20" xfId="0" applyNumberFormat="1" applyFont="1" applyFill="1" applyBorder="1" applyAlignment="1">
      <alignment horizontal="center" vertical="center" wrapText="1"/>
    </xf>
    <xf numFmtId="0" fontId="51" fillId="11" borderId="22" xfId="0" applyFont="1" applyFill="1" applyBorder="1" applyAlignment="1">
      <alignment horizontal="center" vertical="center" wrapText="1"/>
    </xf>
    <xf numFmtId="0" fontId="46" fillId="10" borderId="0" xfId="0" applyFont="1" applyFill="1" applyAlignment="1">
      <alignment horizontal="center" vertical="center" wrapText="1"/>
    </xf>
    <xf numFmtId="0" fontId="52" fillId="2" borderId="0" xfId="0" applyFont="1" applyFill="1" applyAlignment="1">
      <alignment horizontal="center" vertical="center" wrapText="1"/>
    </xf>
    <xf numFmtId="0" fontId="4" fillId="2" borderId="25" xfId="0" applyFont="1" applyFill="1" applyBorder="1" applyAlignment="1">
      <alignment horizontal="center" wrapText="1"/>
    </xf>
    <xf numFmtId="0" fontId="12" fillId="4" borderId="26" xfId="0" applyFont="1" applyFill="1" applyBorder="1" applyAlignment="1" applyProtection="1">
      <alignment horizontal="center" vertical="center"/>
      <protection locked="0"/>
    </xf>
    <xf numFmtId="0" fontId="12" fillId="4" borderId="26" xfId="0" applyFont="1" applyFill="1" applyBorder="1" applyAlignment="1" applyProtection="1">
      <alignment horizontal="left" vertical="center" wrapText="1"/>
      <protection locked="0"/>
    </xf>
    <xf numFmtId="180" fontId="53" fillId="4" borderId="26" xfId="0" applyNumberFormat="1" applyFont="1" applyFill="1" applyBorder="1" applyAlignment="1" applyProtection="1">
      <alignment horizontal="center" vertical="center" wrapText="1"/>
      <protection locked="0"/>
    </xf>
    <xf numFmtId="0" fontId="53" fillId="4" borderId="26" xfId="0" applyFont="1" applyFill="1" applyBorder="1" applyAlignment="1" applyProtection="1">
      <alignment horizontal="center" vertical="center" wrapText="1"/>
      <protection locked="0"/>
    </xf>
    <xf numFmtId="0" fontId="1" fillId="2" borderId="0" xfId="0" applyFont="1" applyFill="1" applyAlignment="1" applyProtection="1">
      <alignment horizontal="center" vertical="center" wrapText="1"/>
      <protection locked="0"/>
    </xf>
    <xf numFmtId="0" fontId="12" fillId="4" borderId="26" xfId="0" applyFont="1" applyFill="1" applyBorder="1" applyAlignment="1" applyProtection="1">
      <alignment horizontal="center" vertical="center" wrapText="1"/>
      <protection locked="0"/>
    </xf>
    <xf numFmtId="0" fontId="12" fillId="4" borderId="20" xfId="0" applyFont="1" applyFill="1" applyBorder="1" applyAlignment="1" applyProtection="1">
      <alignment horizontal="left" vertical="center" wrapText="1"/>
      <protection locked="0"/>
    </xf>
    <xf numFmtId="0" fontId="12" fillId="4" borderId="21" xfId="0" applyFont="1" applyFill="1" applyBorder="1" applyAlignment="1" applyProtection="1">
      <alignment horizontal="left" vertical="center" wrapText="1"/>
      <protection locked="0"/>
    </xf>
    <xf numFmtId="0" fontId="12" fillId="4" borderId="22" xfId="0" applyFont="1" applyFill="1" applyBorder="1" applyAlignment="1" applyProtection="1">
      <alignment horizontal="left" vertical="center" wrapText="1"/>
      <protection locked="0"/>
    </xf>
    <xf numFmtId="0" fontId="12" fillId="5" borderId="26" xfId="0" applyFont="1" applyFill="1" applyBorder="1" applyAlignment="1" applyProtection="1">
      <alignment horizontal="center" vertical="center"/>
      <protection locked="0"/>
    </xf>
    <xf numFmtId="0" fontId="12" fillId="5" borderId="26" xfId="0" applyFont="1" applyFill="1" applyBorder="1" applyAlignment="1" applyProtection="1">
      <alignment horizontal="left" vertical="center" wrapText="1"/>
      <protection locked="0"/>
    </xf>
    <xf numFmtId="180" fontId="53" fillId="5" borderId="26" xfId="0" applyNumberFormat="1" applyFont="1" applyFill="1" applyBorder="1" applyAlignment="1" applyProtection="1">
      <alignment horizontal="center" vertical="center" wrapText="1"/>
      <protection locked="0"/>
    </xf>
    <xf numFmtId="0" fontId="53" fillId="5" borderId="26" xfId="0" applyFont="1" applyFill="1" applyBorder="1" applyAlignment="1" applyProtection="1">
      <alignment horizontal="center" vertical="center" wrapText="1"/>
      <protection locked="0"/>
    </xf>
    <xf numFmtId="0" fontId="12" fillId="5" borderId="26" xfId="0" applyFont="1" applyFill="1" applyBorder="1" applyAlignment="1" applyProtection="1">
      <alignment horizontal="center" vertical="center" wrapText="1"/>
      <protection locked="0"/>
    </xf>
    <xf numFmtId="0" fontId="12" fillId="5" borderId="20" xfId="0" applyFont="1" applyFill="1" applyBorder="1" applyAlignment="1" applyProtection="1">
      <alignment horizontal="left" vertical="center" wrapText="1"/>
      <protection locked="0"/>
    </xf>
    <xf numFmtId="0" fontId="12" fillId="5" borderId="21" xfId="0" applyFont="1" applyFill="1" applyBorder="1" applyAlignment="1" applyProtection="1">
      <alignment horizontal="left" vertical="center" wrapText="1"/>
      <protection locked="0"/>
    </xf>
    <xf numFmtId="0" fontId="12" fillId="5" borderId="22" xfId="0" applyFont="1" applyFill="1" applyBorder="1" applyAlignment="1" applyProtection="1">
      <alignment horizontal="left" vertical="center" wrapText="1"/>
      <protection locked="0"/>
    </xf>
    <xf numFmtId="0" fontId="25" fillId="5" borderId="26" xfId="0" applyFont="1" applyFill="1" applyBorder="1" applyAlignment="1" applyProtection="1">
      <alignment horizontal="center" vertical="center"/>
      <protection locked="0"/>
    </xf>
    <xf numFmtId="0" fontId="25" fillId="5" borderId="26" xfId="0" applyFont="1" applyFill="1" applyBorder="1" applyAlignment="1" applyProtection="1">
      <alignment horizontal="left" vertical="center" wrapText="1"/>
      <protection locked="0"/>
    </xf>
    <xf numFmtId="0" fontId="51" fillId="5" borderId="26" xfId="0" applyFont="1" applyFill="1" applyBorder="1" applyAlignment="1" applyProtection="1">
      <alignment horizontal="center" vertical="center" wrapText="1"/>
      <protection locked="0"/>
    </xf>
    <xf numFmtId="0" fontId="25" fillId="5" borderId="26" xfId="0" applyFont="1" applyFill="1" applyBorder="1" applyAlignment="1" applyProtection="1">
      <alignment horizontal="center" vertical="center" wrapText="1"/>
      <protection locked="0"/>
    </xf>
    <xf numFmtId="0" fontId="12" fillId="4" borderId="26" xfId="0" applyFont="1" applyFill="1" applyBorder="1" applyAlignment="1" applyProtection="1">
      <alignment horizontal="left" vertical="center"/>
      <protection locked="0"/>
    </xf>
    <xf numFmtId="0" fontId="53" fillId="2" borderId="0" xfId="0" applyFont="1" applyFill="1" applyAlignment="1">
      <alignment horizontal="center" vertical="center" wrapText="1"/>
    </xf>
    <xf numFmtId="0" fontId="1" fillId="2" borderId="29" xfId="0" applyFont="1" applyFill="1" applyBorder="1" applyAlignment="1">
      <alignment horizontal="center" vertical="center" wrapText="1"/>
    </xf>
    <xf numFmtId="0" fontId="51" fillId="12" borderId="20" xfId="0" applyFont="1" applyFill="1" applyBorder="1" applyAlignment="1" applyProtection="1">
      <alignment horizontal="center" vertical="center" wrapText="1"/>
      <protection locked="0"/>
    </xf>
    <xf numFmtId="0" fontId="51" fillId="12" borderId="22" xfId="0" applyFont="1" applyFill="1" applyBorder="1" applyAlignment="1" applyProtection="1">
      <alignment horizontal="center" vertical="center" wrapText="1"/>
      <protection locked="0"/>
    </xf>
    <xf numFmtId="0" fontId="2" fillId="10" borderId="21" xfId="0" applyFont="1" applyFill="1" applyBorder="1" applyAlignment="1">
      <alignment horizontal="center" vertical="center" wrapText="1"/>
    </xf>
    <xf numFmtId="180" fontId="51" fillId="11" borderId="21" xfId="0" applyNumberFormat="1" applyFont="1" applyFill="1" applyBorder="1" applyAlignment="1">
      <alignment horizontal="center" vertical="center" wrapText="1"/>
    </xf>
    <xf numFmtId="180" fontId="51" fillId="11" borderId="22" xfId="0" applyNumberFormat="1" applyFont="1" applyFill="1" applyBorder="1" applyAlignment="1">
      <alignment horizontal="center" vertical="center" wrapText="1"/>
    </xf>
    <xf numFmtId="0" fontId="6" fillId="3" borderId="26" xfId="0" applyFont="1" applyFill="1" applyBorder="1" applyAlignment="1">
      <alignment horizontal="right" vertical="center" wrapText="1"/>
    </xf>
    <xf numFmtId="0" fontId="6" fillId="3" borderId="20" xfId="0" applyFont="1" applyFill="1" applyBorder="1" applyAlignment="1">
      <alignment horizontal="right" vertical="center" wrapText="1"/>
    </xf>
    <xf numFmtId="0" fontId="2" fillId="3" borderId="22" xfId="0" applyFont="1" applyFill="1" applyBorder="1" applyAlignment="1">
      <alignment horizontal="center" vertical="center"/>
    </xf>
    <xf numFmtId="0" fontId="2" fillId="3" borderId="26" xfId="0" applyFont="1" applyFill="1" applyBorder="1" applyAlignment="1">
      <alignment horizontal="center" vertical="center"/>
    </xf>
    <xf numFmtId="0" fontId="2" fillId="3" borderId="20" xfId="0" applyFont="1" applyFill="1" applyBorder="1" applyAlignment="1">
      <alignment horizontal="center" vertical="center"/>
    </xf>
    <xf numFmtId="0" fontId="6" fillId="3" borderId="22" xfId="0" applyFont="1" applyFill="1" applyBorder="1" applyAlignment="1">
      <alignment horizontal="right" vertical="center" wrapText="1"/>
    </xf>
    <xf numFmtId="0" fontId="2" fillId="10" borderId="26" xfId="0" applyFont="1" applyFill="1" applyBorder="1" applyAlignment="1">
      <alignment horizontal="center" vertical="center" wrapText="1"/>
    </xf>
    <xf numFmtId="49" fontId="54" fillId="0" borderId="20" xfId="0" applyNumberFormat="1" applyFont="1" applyBorder="1" applyAlignment="1" applyProtection="1">
      <alignment horizontal="center" vertical="center" wrapText="1"/>
      <protection locked="0"/>
    </xf>
    <xf numFmtId="49" fontId="54" fillId="0" borderId="21" xfId="0" applyNumberFormat="1" applyFont="1" applyBorder="1" applyAlignment="1" applyProtection="1">
      <alignment horizontal="center" vertical="center" wrapText="1"/>
      <protection locked="0"/>
    </xf>
    <xf numFmtId="49" fontId="54" fillId="0" borderId="22" xfId="0" applyNumberFormat="1" applyFont="1" applyBorder="1" applyAlignment="1" applyProtection="1">
      <alignment horizontal="center" vertical="center" wrapText="1"/>
      <protection locked="0"/>
    </xf>
    <xf numFmtId="0" fontId="12" fillId="4" borderId="21" xfId="0" applyFont="1" applyFill="1" applyBorder="1" applyAlignment="1" applyProtection="1">
      <alignment horizontal="center" vertical="center" wrapText="1"/>
      <protection locked="0"/>
    </xf>
    <xf numFmtId="0" fontId="12" fillId="4" borderId="22" xfId="0" applyFont="1" applyFill="1" applyBorder="1" applyAlignment="1" applyProtection="1">
      <alignment horizontal="center" vertical="center" wrapText="1"/>
      <protection locked="0"/>
    </xf>
    <xf numFmtId="181" fontId="3" fillId="4" borderId="26"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0" fontId="56" fillId="4" borderId="29" xfId="0" applyFont="1" applyFill="1" applyBorder="1" applyAlignment="1">
      <alignment horizontal="center" vertical="center" wrapText="1"/>
    </xf>
    <xf numFmtId="0" fontId="56" fillId="4" borderId="31" xfId="0" applyFont="1" applyFill="1" applyBorder="1" applyAlignment="1">
      <alignment horizontal="center" vertical="center" wrapText="1"/>
    </xf>
    <xf numFmtId="49" fontId="25" fillId="0" borderId="20" xfId="0" applyNumberFormat="1" applyFont="1" applyBorder="1" applyAlignment="1" applyProtection="1">
      <alignment horizontal="center" vertical="center" wrapText="1"/>
      <protection locked="0"/>
    </xf>
    <xf numFmtId="49" fontId="25" fillId="0" borderId="21" xfId="0" applyNumberFormat="1" applyFont="1" applyBorder="1" applyAlignment="1" applyProtection="1">
      <alignment horizontal="center" vertical="center" wrapText="1"/>
      <protection locked="0"/>
    </xf>
    <xf numFmtId="49" fontId="25" fillId="0" borderId="22" xfId="0" applyNumberFormat="1" applyFont="1" applyBorder="1" applyAlignment="1" applyProtection="1">
      <alignment horizontal="center" vertical="center" wrapText="1"/>
      <protection locked="0"/>
    </xf>
    <xf numFmtId="49" fontId="12" fillId="4" borderId="21" xfId="0" applyNumberFormat="1" applyFont="1" applyFill="1" applyBorder="1" applyAlignment="1" applyProtection="1">
      <alignment horizontal="center" vertical="center"/>
      <protection locked="0"/>
    </xf>
    <xf numFmtId="49" fontId="12" fillId="4" borderId="22" xfId="0" applyNumberFormat="1" applyFont="1" applyFill="1" applyBorder="1" applyAlignment="1" applyProtection="1">
      <alignment horizontal="center" vertical="center"/>
      <protection locked="0"/>
    </xf>
    <xf numFmtId="49" fontId="12" fillId="4" borderId="20" xfId="0" applyNumberFormat="1" applyFont="1" applyFill="1" applyBorder="1" applyAlignment="1" applyProtection="1">
      <alignment horizontal="center" vertical="center"/>
      <protection locked="0"/>
    </xf>
    <xf numFmtId="181" fontId="3" fillId="4" borderId="20" xfId="0" applyNumberFormat="1" applyFont="1" applyFill="1" applyBorder="1" applyAlignment="1" applyProtection="1">
      <alignment horizontal="center" vertical="center" wrapText="1"/>
      <protection locked="0"/>
    </xf>
    <xf numFmtId="181" fontId="3" fillId="4" borderId="22" xfId="0" applyNumberFormat="1" applyFont="1" applyFill="1" applyBorder="1" applyAlignment="1" applyProtection="1">
      <alignment horizontal="center" vertical="center" wrapText="1"/>
      <protection locked="0"/>
    </xf>
    <xf numFmtId="0" fontId="56" fillId="4" borderId="23" xfId="0" applyFont="1" applyFill="1" applyBorder="1" applyAlignment="1">
      <alignment horizontal="center" vertical="center" wrapText="1"/>
    </xf>
    <xf numFmtId="0" fontId="56" fillId="4" borderId="0" xfId="0" applyFont="1" applyFill="1" applyAlignment="1">
      <alignment horizontal="center" vertical="center" wrapText="1"/>
    </xf>
    <xf numFmtId="0" fontId="56" fillId="4" borderId="5" xfId="0" applyFont="1" applyFill="1" applyBorder="1" applyAlignment="1">
      <alignment horizontal="center" vertical="center" wrapText="1"/>
    </xf>
    <xf numFmtId="0" fontId="4" fillId="2" borderId="0" xfId="0" applyFont="1" applyFill="1" applyAlignment="1">
      <alignment horizontal="center" vertical="center" wrapText="1"/>
    </xf>
    <xf numFmtId="10" fontId="12" fillId="2" borderId="29" xfId="0" applyNumberFormat="1" applyFont="1" applyFill="1" applyBorder="1" applyAlignment="1">
      <alignment horizontal="center" vertical="center" wrapText="1"/>
    </xf>
    <xf numFmtId="49" fontId="57" fillId="4" borderId="20" xfId="0" applyNumberFormat="1" applyFont="1" applyFill="1" applyBorder="1" applyAlignment="1" applyProtection="1">
      <alignment horizontal="center" vertical="center"/>
      <protection locked="0"/>
    </xf>
    <xf numFmtId="49" fontId="57" fillId="4" borderId="21" xfId="0" applyNumberFormat="1" applyFont="1" applyFill="1" applyBorder="1" applyAlignment="1" applyProtection="1">
      <alignment horizontal="center" vertical="center"/>
      <protection locked="0"/>
    </xf>
    <xf numFmtId="49" fontId="57" fillId="4" borderId="22" xfId="0" applyNumberFormat="1" applyFont="1" applyFill="1" applyBorder="1" applyAlignment="1" applyProtection="1">
      <alignment horizontal="center" vertical="center"/>
      <protection locked="0"/>
    </xf>
    <xf numFmtId="49" fontId="12" fillId="4" borderId="21" xfId="0" applyNumberFormat="1" applyFont="1" applyFill="1" applyBorder="1" applyAlignment="1" applyProtection="1">
      <alignment horizontal="center" vertical="center" wrapText="1"/>
      <protection locked="0"/>
    </xf>
    <xf numFmtId="49" fontId="12" fillId="4" borderId="22" xfId="0" applyNumberFormat="1" applyFont="1" applyFill="1" applyBorder="1" applyAlignment="1" applyProtection="1">
      <alignment horizontal="center" vertical="center" wrapText="1"/>
      <protection locked="0"/>
    </xf>
    <xf numFmtId="0" fontId="2" fillId="2" borderId="0" xfId="0" applyFont="1" applyFill="1" applyAlignment="1">
      <alignment vertical="center" wrapText="1"/>
    </xf>
    <xf numFmtId="0" fontId="25" fillId="2" borderId="0" xfId="0" applyFont="1" applyFill="1" applyAlignment="1">
      <alignment vertical="center" wrapText="1"/>
    </xf>
    <xf numFmtId="182" fontId="12" fillId="4" borderId="20" xfId="0" applyNumberFormat="1" applyFont="1" applyFill="1" applyBorder="1" applyAlignment="1" applyProtection="1">
      <alignment horizontal="center" vertical="center" wrapText="1"/>
      <protection locked="0"/>
    </xf>
    <xf numFmtId="182" fontId="12" fillId="4" borderId="21" xfId="0" applyNumberFormat="1" applyFont="1" applyFill="1" applyBorder="1" applyAlignment="1" applyProtection="1">
      <alignment horizontal="center" vertical="center" wrapText="1"/>
      <protection locked="0"/>
    </xf>
    <xf numFmtId="182" fontId="12" fillId="4" borderId="22" xfId="0" applyNumberFormat="1" applyFont="1" applyFill="1" applyBorder="1" applyAlignment="1" applyProtection="1">
      <alignment horizontal="center" vertical="center" wrapText="1"/>
      <protection locked="0"/>
    </xf>
    <xf numFmtId="183" fontId="57" fillId="4" borderId="21" xfId="0" applyNumberFormat="1" applyFont="1" applyFill="1" applyBorder="1" applyAlignment="1" applyProtection="1">
      <alignment horizontal="center" vertical="center"/>
      <protection locked="0"/>
    </xf>
    <xf numFmtId="183" fontId="57" fillId="4" borderId="22" xfId="0" applyNumberFormat="1" applyFont="1" applyFill="1" applyBorder="1" applyAlignment="1" applyProtection="1">
      <alignment horizontal="center" vertical="center"/>
      <protection locked="0"/>
    </xf>
    <xf numFmtId="0" fontId="58" fillId="33" borderId="26" xfId="0" applyFont="1" applyFill="1" applyBorder="1" applyAlignment="1">
      <alignment horizontal="center" vertical="center" wrapText="1"/>
    </xf>
    <xf numFmtId="0" fontId="4" fillId="2" borderId="0" xfId="0" applyFont="1" applyFill="1" applyAlignment="1">
      <alignment horizontal="center" vertical="center"/>
    </xf>
    <xf numFmtId="184" fontId="57" fillId="4" borderId="21" xfId="0" applyNumberFormat="1" applyFont="1" applyFill="1" applyBorder="1" applyAlignment="1" applyProtection="1">
      <alignment horizontal="center" vertical="center"/>
      <protection locked="0"/>
    </xf>
    <xf numFmtId="184" fontId="57" fillId="4" borderId="22" xfId="0" applyNumberFormat="1" applyFont="1" applyFill="1" applyBorder="1" applyAlignment="1" applyProtection="1">
      <alignment horizontal="center" vertical="center"/>
      <protection locked="0"/>
    </xf>
    <xf numFmtId="0" fontId="2" fillId="10" borderId="26" xfId="0" applyFont="1" applyFill="1" applyBorder="1" applyAlignment="1">
      <alignment horizontal="center" vertical="center"/>
    </xf>
    <xf numFmtId="0" fontId="12" fillId="4" borderId="20" xfId="0" applyFont="1" applyFill="1" applyBorder="1" applyAlignment="1" applyProtection="1">
      <alignment horizontal="center" vertical="center" wrapText="1"/>
      <protection locked="0"/>
    </xf>
    <xf numFmtId="0" fontId="12" fillId="4" borderId="20" xfId="0" applyFont="1" applyFill="1" applyBorder="1" applyAlignment="1">
      <alignment horizontal="center" vertical="center" wrapText="1"/>
    </xf>
    <xf numFmtId="0" fontId="12" fillId="4" borderId="21" xfId="0" applyFont="1" applyFill="1" applyBorder="1" applyAlignment="1">
      <alignment horizontal="center" vertical="center" wrapText="1"/>
    </xf>
    <xf numFmtId="0" fontId="12" fillId="4" borderId="22" xfId="0" applyFont="1" applyFill="1" applyBorder="1" applyAlignment="1">
      <alignment horizontal="center" vertical="center" wrapText="1"/>
    </xf>
    <xf numFmtId="0" fontId="12" fillId="4" borderId="20" xfId="0" applyFont="1" applyFill="1" applyBorder="1" applyAlignment="1">
      <alignment horizontal="center" vertical="center"/>
    </xf>
    <xf numFmtId="0" fontId="12" fillId="4" borderId="21" xfId="0" applyFont="1" applyFill="1" applyBorder="1" applyAlignment="1">
      <alignment horizontal="center" vertical="center"/>
    </xf>
    <xf numFmtId="0" fontId="12" fillId="4" borderId="22" xfId="0" applyFont="1" applyFill="1" applyBorder="1" applyAlignment="1">
      <alignment horizontal="center" vertical="center"/>
    </xf>
    <xf numFmtId="0" fontId="12" fillId="2" borderId="0" xfId="0" applyFont="1" applyFill="1" applyAlignment="1">
      <alignment vertical="center" wrapText="1"/>
    </xf>
    <xf numFmtId="0" fontId="2" fillId="3" borderId="0" xfId="0" applyFont="1" applyFill="1" applyAlignment="1">
      <alignment vertical="center" wrapText="1"/>
    </xf>
    <xf numFmtId="0" fontId="50" fillId="3" borderId="0" xfId="0" applyFont="1" applyFill="1" applyAlignment="1">
      <alignment horizontal="center" vertical="center" wrapText="1"/>
    </xf>
    <xf numFmtId="0" fontId="4" fillId="2" borderId="0" xfId="0" applyFont="1" applyFill="1" applyAlignment="1">
      <alignment horizontal="left"/>
    </xf>
    <xf numFmtId="0" fontId="14" fillId="2" borderId="0" xfId="0" applyFont="1" applyFill="1" applyAlignment="1">
      <alignment wrapText="1"/>
    </xf>
    <xf numFmtId="0" fontId="59" fillId="2" borderId="0" xfId="0" applyFont="1" applyFill="1" applyAlignment="1">
      <alignment horizontal="center" vertical="center" wrapText="1"/>
    </xf>
    <xf numFmtId="0" fontId="4" fillId="2" borderId="25" xfId="0" applyFont="1" applyFill="1" applyBorder="1" applyAlignment="1">
      <alignment horizontal="center"/>
    </xf>
    <xf numFmtId="0" fontId="60" fillId="2" borderId="0" xfId="0" applyFont="1" applyFill="1" applyAlignment="1">
      <alignment horizontal="center" vertical="center" wrapText="1"/>
    </xf>
    <xf numFmtId="0" fontId="12" fillId="2" borderId="5" xfId="0" applyFont="1" applyFill="1" applyBorder="1" applyAlignment="1">
      <alignment horizontal="center" vertical="center" wrapText="1"/>
    </xf>
    <xf numFmtId="0" fontId="61" fillId="32" borderId="26" xfId="0" applyFont="1" applyFill="1" applyBorder="1" applyAlignment="1">
      <alignment horizontal="center" vertical="center" wrapText="1"/>
    </xf>
    <xf numFmtId="0" fontId="62" fillId="33" borderId="26" xfId="0" applyFont="1" applyFill="1" applyBorder="1" applyAlignment="1">
      <alignment horizontal="center" vertical="center" wrapText="1"/>
    </xf>
    <xf numFmtId="0" fontId="63" fillId="2" borderId="5" xfId="0" applyFont="1" applyFill="1" applyBorder="1" applyAlignment="1">
      <alignment horizontal="left" vertical="center" wrapText="1"/>
    </xf>
    <xf numFmtId="0" fontId="25" fillId="4" borderId="30" xfId="0" applyFont="1" applyFill="1" applyBorder="1" applyAlignment="1" applyProtection="1">
      <alignment horizontal="center" vertical="center" wrapText="1"/>
      <protection locked="0"/>
    </xf>
    <xf numFmtId="0" fontId="25" fillId="4" borderId="31" xfId="0" applyFont="1" applyFill="1" applyBorder="1" applyAlignment="1" applyProtection="1">
      <alignment horizontal="center" vertical="center" wrapText="1"/>
      <protection locked="0"/>
    </xf>
    <xf numFmtId="0" fontId="63" fillId="2" borderId="89" xfId="0" applyFont="1" applyFill="1" applyBorder="1" applyAlignment="1">
      <alignment horizontal="left" vertical="center" wrapText="1"/>
    </xf>
    <xf numFmtId="0" fontId="64" fillId="33" borderId="26" xfId="0" applyFont="1" applyFill="1" applyBorder="1" applyAlignment="1">
      <alignment horizontal="center" vertical="center" wrapText="1"/>
    </xf>
    <xf numFmtId="0" fontId="65" fillId="12" borderId="26" xfId="0" applyFont="1" applyFill="1" applyBorder="1" applyAlignment="1">
      <alignment horizontal="center" vertical="center" wrapText="1"/>
    </xf>
    <xf numFmtId="0" fontId="25" fillId="4" borderId="26" xfId="0" applyFont="1" applyFill="1" applyBorder="1" applyAlignment="1" applyProtection="1">
      <alignment horizontal="center" vertical="center" wrapText="1"/>
      <protection locked="0"/>
    </xf>
    <xf numFmtId="0" fontId="10" fillId="10" borderId="30" xfId="0" applyFont="1" applyFill="1" applyBorder="1" applyAlignment="1">
      <alignment horizontal="center" vertical="center" wrapText="1"/>
    </xf>
    <xf numFmtId="0" fontId="10" fillId="10" borderId="31" xfId="0" applyFont="1" applyFill="1" applyBorder="1" applyAlignment="1">
      <alignment horizontal="center" vertical="center" wrapText="1"/>
    </xf>
    <xf numFmtId="0" fontId="64" fillId="33" borderId="30" xfId="0" applyFont="1" applyFill="1" applyBorder="1" applyAlignment="1">
      <alignment horizontal="center" vertical="center" wrapText="1"/>
    </xf>
    <xf numFmtId="0" fontId="64" fillId="33" borderId="31" xfId="0" applyFont="1" applyFill="1" applyBorder="1" applyAlignment="1">
      <alignment horizontal="center" vertical="center" wrapText="1"/>
    </xf>
    <xf numFmtId="0" fontId="12" fillId="4" borderId="30" xfId="0" applyFont="1" applyFill="1" applyBorder="1" applyAlignment="1" applyProtection="1">
      <alignment horizontal="center" vertical="center" wrapText="1"/>
      <protection locked="0"/>
    </xf>
    <xf numFmtId="0" fontId="12" fillId="4" borderId="31" xfId="0" applyFont="1" applyFill="1" applyBorder="1" applyAlignment="1" applyProtection="1">
      <alignment horizontal="center" vertical="center" wrapText="1"/>
      <protection locked="0"/>
    </xf>
    <xf numFmtId="0" fontId="66" fillId="10" borderId="30" xfId="0" applyFont="1" applyFill="1" applyBorder="1" applyAlignment="1">
      <alignment horizontal="center" vertical="center" wrapText="1"/>
    </xf>
    <xf numFmtId="0" fontId="66" fillId="10" borderId="29" xfId="0" applyFont="1" applyFill="1" applyBorder="1" applyAlignment="1">
      <alignment horizontal="center" vertical="center" wrapText="1"/>
    </xf>
    <xf numFmtId="0" fontId="67" fillId="4" borderId="29" xfId="0" applyFont="1" applyFill="1" applyBorder="1" applyAlignment="1" applyProtection="1">
      <alignment horizontal="right" vertical="center" wrapText="1"/>
      <protection locked="0"/>
    </xf>
    <xf numFmtId="0" fontId="25" fillId="4" borderId="29" xfId="0" applyFont="1" applyFill="1" applyBorder="1" applyAlignment="1">
      <alignment horizontal="center" vertical="center" wrapText="1"/>
    </xf>
    <xf numFmtId="0" fontId="67" fillId="4" borderId="29" xfId="0" applyFont="1" applyFill="1" applyBorder="1" applyAlignment="1">
      <alignment horizontal="left" vertical="center" wrapText="1"/>
    </xf>
    <xf numFmtId="0" fontId="67" fillId="4" borderId="31" xfId="0" applyFont="1" applyFill="1" applyBorder="1" applyAlignment="1">
      <alignment horizontal="left" vertical="center" wrapText="1"/>
    </xf>
    <xf numFmtId="0" fontId="46" fillId="10" borderId="26" xfId="0" applyFont="1" applyFill="1" applyBorder="1" applyAlignment="1">
      <alignment horizontal="center" vertical="center" wrapText="1"/>
    </xf>
    <xf numFmtId="0" fontId="68" fillId="4" borderId="26" xfId="0" applyFont="1" applyFill="1" applyBorder="1" applyAlignment="1" applyProtection="1">
      <alignment horizontal="center" vertical="center" wrapText="1"/>
      <protection locked="0"/>
    </xf>
    <xf numFmtId="0" fontId="10" fillId="10" borderId="74" xfId="0" applyFont="1" applyFill="1" applyBorder="1" applyAlignment="1">
      <alignment horizontal="center" vertical="center" wrapText="1"/>
    </xf>
    <xf numFmtId="0" fontId="10" fillId="10" borderId="75" xfId="0" applyFont="1" applyFill="1" applyBorder="1" applyAlignment="1">
      <alignment horizontal="center" vertical="center" wrapText="1"/>
    </xf>
    <xf numFmtId="0" fontId="64" fillId="33" borderId="74" xfId="0" applyFont="1" applyFill="1" applyBorder="1" applyAlignment="1">
      <alignment horizontal="center" vertical="center" wrapText="1"/>
    </xf>
    <xf numFmtId="0" fontId="64" fillId="33" borderId="75" xfId="0" applyFont="1" applyFill="1" applyBorder="1" applyAlignment="1">
      <alignment horizontal="center" vertical="center" wrapText="1"/>
    </xf>
    <xf numFmtId="0" fontId="12" fillId="4" borderId="74" xfId="0" applyFont="1" applyFill="1" applyBorder="1" applyAlignment="1" applyProtection="1">
      <alignment horizontal="center" vertical="center" wrapText="1"/>
      <protection locked="0"/>
    </xf>
    <xf numFmtId="0" fontId="12" fillId="4" borderId="75" xfId="0" applyFont="1" applyFill="1" applyBorder="1" applyAlignment="1" applyProtection="1">
      <alignment horizontal="center" vertical="center" wrapText="1"/>
      <protection locked="0"/>
    </xf>
    <xf numFmtId="0" fontId="66" fillId="10" borderId="74" xfId="0" applyFont="1" applyFill="1" applyBorder="1" applyAlignment="1">
      <alignment horizontal="center" vertical="center" wrapText="1"/>
    </xf>
    <xf numFmtId="0" fontId="66" fillId="10" borderId="25" xfId="0" applyFont="1" applyFill="1" applyBorder="1" applyAlignment="1">
      <alignment horizontal="center" vertical="center" wrapText="1"/>
    </xf>
    <xf numFmtId="0" fontId="67" fillId="4" borderId="25" xfId="0" applyFont="1" applyFill="1" applyBorder="1" applyAlignment="1" applyProtection="1">
      <alignment horizontal="right" vertical="center" wrapText="1"/>
      <protection locked="0"/>
    </xf>
    <xf numFmtId="0" fontId="25" fillId="4" borderId="25" xfId="0" applyFont="1" applyFill="1" applyBorder="1" applyAlignment="1">
      <alignment horizontal="center" vertical="center" wrapText="1"/>
    </xf>
    <xf numFmtId="0" fontId="67" fillId="4" borderId="25" xfId="0" applyFont="1" applyFill="1" applyBorder="1" applyAlignment="1">
      <alignment horizontal="left" vertical="center" wrapText="1"/>
    </xf>
    <xf numFmtId="0" fontId="67" fillId="4" borderId="75" xfId="0" applyFont="1" applyFill="1" applyBorder="1" applyAlignment="1">
      <alignment horizontal="left" vertical="center" wrapText="1"/>
    </xf>
    <xf numFmtId="0" fontId="58" fillId="2" borderId="0" xfId="0" applyFont="1" applyFill="1" applyAlignment="1">
      <alignment vertical="center" wrapText="1"/>
    </xf>
    <xf numFmtId="0" fontId="12" fillId="2" borderId="0" xfId="0" applyFont="1" applyFill="1" applyAlignment="1">
      <alignment horizontal="left" vertical="center" wrapText="1"/>
    </xf>
    <xf numFmtId="0" fontId="15" fillId="2" borderId="0" xfId="0" applyFont="1" applyFill="1" applyAlignment="1">
      <alignment horizontal="center" vertical="center" wrapText="1"/>
    </xf>
    <xf numFmtId="0" fontId="66" fillId="10" borderId="31" xfId="0" applyFont="1" applyFill="1" applyBorder="1" applyAlignment="1">
      <alignment horizontal="center" vertical="center" wrapText="1"/>
    </xf>
    <xf numFmtId="0" fontId="69" fillId="4" borderId="30" xfId="0" applyFont="1" applyFill="1" applyBorder="1" applyAlignment="1" applyProtection="1">
      <alignment horizontal="center" vertical="center"/>
      <protection locked="0"/>
    </xf>
    <xf numFmtId="0" fontId="69" fillId="4" borderId="29" xfId="0" applyFont="1" applyFill="1" applyBorder="1" applyAlignment="1" applyProtection="1">
      <alignment horizontal="center" vertical="center"/>
      <protection locked="0"/>
    </xf>
    <xf numFmtId="0" fontId="69" fillId="4" borderId="29" xfId="0" applyFont="1" applyFill="1" applyBorder="1" applyAlignment="1">
      <alignment horizontal="center" vertical="center" wrapText="1"/>
    </xf>
    <xf numFmtId="0" fontId="70" fillId="4" borderId="29" xfId="0" applyFont="1" applyFill="1" applyBorder="1" applyAlignment="1">
      <alignment horizontal="center" vertical="center"/>
    </xf>
    <xf numFmtId="0" fontId="70" fillId="4" borderId="31" xfId="0" applyFont="1" applyFill="1" applyBorder="1" applyAlignment="1">
      <alignment horizontal="center" vertical="center"/>
    </xf>
    <xf numFmtId="0" fontId="0" fillId="2" borderId="0" xfId="0" applyFill="1" applyAlignment="1">
      <alignment horizontal="center" vertical="center"/>
    </xf>
    <xf numFmtId="0" fontId="69" fillId="4" borderId="29" xfId="0" applyFont="1" applyFill="1" applyBorder="1" applyAlignment="1" applyProtection="1">
      <alignment horizontal="center" vertical="center" wrapText="1"/>
      <protection locked="0"/>
    </xf>
    <xf numFmtId="0" fontId="70" fillId="4" borderId="29" xfId="0" applyFont="1" applyFill="1" applyBorder="1" applyAlignment="1" applyProtection="1">
      <alignment horizontal="center" vertical="center"/>
      <protection locked="0"/>
    </xf>
    <xf numFmtId="0" fontId="70" fillId="4" borderId="31" xfId="0" applyFont="1" applyFill="1" applyBorder="1" applyAlignment="1" applyProtection="1">
      <alignment horizontal="center" vertical="center"/>
      <protection locked="0"/>
    </xf>
    <xf numFmtId="0" fontId="66" fillId="10" borderId="75" xfId="0" applyFont="1" applyFill="1" applyBorder="1" applyAlignment="1">
      <alignment horizontal="center" vertical="center" wrapText="1"/>
    </xf>
    <xf numFmtId="0" fontId="69" fillId="4" borderId="74" xfId="0" applyFont="1" applyFill="1" applyBorder="1" applyAlignment="1" applyProtection="1">
      <alignment horizontal="center" vertical="center"/>
      <protection locked="0"/>
    </xf>
    <xf numFmtId="0" fontId="69" fillId="4" borderId="25" xfId="0" applyFont="1" applyFill="1" applyBorder="1" applyAlignment="1" applyProtection="1">
      <alignment horizontal="center" vertical="center"/>
      <protection locked="0"/>
    </xf>
    <xf numFmtId="0" fontId="69" fillId="4" borderId="25" xfId="0" applyFont="1" applyFill="1" applyBorder="1" applyAlignment="1">
      <alignment horizontal="center" vertical="center" wrapText="1"/>
    </xf>
    <xf numFmtId="0" fontId="70" fillId="4" borderId="25" xfId="0" applyFont="1" applyFill="1" applyBorder="1" applyAlignment="1">
      <alignment horizontal="center" vertical="center"/>
    </xf>
    <xf numFmtId="0" fontId="70" fillId="4" borderId="75" xfId="0" applyFont="1" applyFill="1" applyBorder="1" applyAlignment="1">
      <alignment horizontal="center" vertical="center"/>
    </xf>
    <xf numFmtId="0" fontId="69" fillId="4" borderId="25" xfId="0" applyFont="1" applyFill="1" applyBorder="1" applyAlignment="1" applyProtection="1">
      <alignment horizontal="center" vertical="center" wrapText="1"/>
      <protection locked="0"/>
    </xf>
    <xf numFmtId="0" fontId="70" fillId="4" borderId="25" xfId="0" applyFont="1" applyFill="1" applyBorder="1" applyAlignment="1" applyProtection="1">
      <alignment horizontal="center" vertical="center"/>
      <protection locked="0"/>
    </xf>
    <xf numFmtId="0" fontId="70" fillId="4" borderId="75" xfId="0" applyFont="1" applyFill="1" applyBorder="1" applyAlignment="1" applyProtection="1">
      <alignment horizontal="center" vertical="center"/>
      <protection locked="0"/>
    </xf>
    <xf numFmtId="0" fontId="56" fillId="4" borderId="74" xfId="0" applyFont="1" applyFill="1" applyBorder="1" applyAlignment="1">
      <alignment horizontal="center" vertical="center" wrapText="1"/>
    </xf>
    <xf numFmtId="0" fontId="56" fillId="4" borderId="25" xfId="0" applyFont="1" applyFill="1" applyBorder="1" applyAlignment="1">
      <alignment horizontal="center" vertical="center" wrapText="1"/>
    </xf>
    <xf numFmtId="0" fontId="56" fillId="4" borderId="75" xfId="0" applyFont="1" applyFill="1" applyBorder="1" applyAlignment="1">
      <alignment horizontal="center" vertical="center" wrapText="1"/>
    </xf>
    <xf numFmtId="0" fontId="4" fillId="2" borderId="21" xfId="0" applyFont="1" applyFill="1" applyBorder="1" applyAlignment="1">
      <alignment horizontal="right" vertical="top" wrapText="1"/>
    </xf>
    <xf numFmtId="0" fontId="4" fillId="2" borderId="21" xfId="0" applyFont="1" applyFill="1" applyBorder="1" applyAlignment="1">
      <alignment horizontal="center" wrapText="1"/>
    </xf>
    <xf numFmtId="0" fontId="4" fillId="2" borderId="0" xfId="0" applyFont="1" applyFill="1" applyAlignment="1">
      <alignment horizontal="center" vertical="top" wrapText="1"/>
    </xf>
    <xf numFmtId="0" fontId="4" fillId="2" borderId="25" xfId="0" applyFont="1" applyFill="1" applyBorder="1" applyAlignment="1">
      <alignment horizontal="center" vertical="top" wrapText="1"/>
    </xf>
    <xf numFmtId="0" fontId="4" fillId="2" borderId="21" xfId="0" applyFont="1" applyFill="1" applyBorder="1" applyAlignment="1">
      <alignment horizontal="center" vertical="center" wrapText="1"/>
    </xf>
    <xf numFmtId="0" fontId="56" fillId="2" borderId="8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2" fillId="10" borderId="31" xfId="0" applyFont="1" applyFill="1" applyBorder="1" applyAlignment="1">
      <alignment horizontal="center" vertical="center" wrapText="1"/>
    </xf>
    <xf numFmtId="49" fontId="25" fillId="4" borderId="30" xfId="0" applyNumberFormat="1" applyFont="1" applyFill="1" applyBorder="1" applyAlignment="1" applyProtection="1">
      <alignment horizontal="left" vertical="center" wrapText="1"/>
      <protection locked="0"/>
    </xf>
    <xf numFmtId="49" fontId="25" fillId="4" borderId="29" xfId="0" applyNumberFormat="1" applyFont="1" applyFill="1" applyBorder="1" applyAlignment="1" applyProtection="1">
      <alignment horizontal="left" vertical="center" wrapText="1"/>
      <protection locked="0"/>
    </xf>
    <xf numFmtId="49" fontId="25" fillId="4" borderId="31" xfId="0" applyNumberFormat="1" applyFont="1" applyFill="1" applyBorder="1" applyAlignment="1" applyProtection="1">
      <alignment horizontal="left" vertical="center" wrapText="1"/>
      <protection locked="0"/>
    </xf>
    <xf numFmtId="49" fontId="12" fillId="4" borderId="30" xfId="0" applyNumberFormat="1" applyFont="1" applyFill="1" applyBorder="1" applyAlignment="1" applyProtection="1">
      <alignment horizontal="left" vertical="center" wrapText="1"/>
      <protection locked="0"/>
    </xf>
    <xf numFmtId="49" fontId="12" fillId="4" borderId="29" xfId="0" applyNumberFormat="1" applyFont="1" applyFill="1" applyBorder="1" applyAlignment="1" applyProtection="1">
      <alignment horizontal="left" vertical="center" wrapText="1"/>
      <protection locked="0"/>
    </xf>
    <xf numFmtId="49" fontId="12" fillId="4" borderId="31" xfId="0" applyNumberFormat="1" applyFont="1" applyFill="1" applyBorder="1" applyAlignment="1" applyProtection="1">
      <alignment horizontal="left" vertical="center" wrapText="1"/>
      <protection locked="0"/>
    </xf>
    <xf numFmtId="0" fontId="63" fillId="2" borderId="76" xfId="0" applyFont="1" applyFill="1" applyBorder="1" applyAlignment="1">
      <alignment horizontal="left" vertical="center" wrapText="1"/>
    </xf>
    <xf numFmtId="0" fontId="2" fillId="10" borderId="74" xfId="0" applyFont="1" applyFill="1" applyBorder="1" applyAlignment="1">
      <alignment horizontal="center" vertical="center" wrapText="1"/>
    </xf>
    <xf numFmtId="0" fontId="2" fillId="10" borderId="75" xfId="0" applyFont="1" applyFill="1" applyBorder="1" applyAlignment="1">
      <alignment horizontal="center" vertical="center" wrapText="1"/>
    </xf>
    <xf numFmtId="49" fontId="25" fillId="4" borderId="74" xfId="0" applyNumberFormat="1" applyFont="1" applyFill="1" applyBorder="1" applyAlignment="1" applyProtection="1">
      <alignment horizontal="left" vertical="center" wrapText="1"/>
      <protection locked="0"/>
    </xf>
    <xf numFmtId="49" fontId="25" fillId="4" borderId="25" xfId="0" applyNumberFormat="1" applyFont="1" applyFill="1" applyBorder="1" applyAlignment="1" applyProtection="1">
      <alignment horizontal="left" vertical="center" wrapText="1"/>
      <protection locked="0"/>
    </xf>
    <xf numFmtId="49" fontId="25" fillId="4" borderId="75" xfId="0" applyNumberFormat="1" applyFont="1" applyFill="1" applyBorder="1" applyAlignment="1" applyProtection="1">
      <alignment horizontal="left" vertical="center" wrapText="1"/>
      <protection locked="0"/>
    </xf>
    <xf numFmtId="49" fontId="12" fillId="4" borderId="74" xfId="0" applyNumberFormat="1" applyFont="1" applyFill="1" applyBorder="1" applyAlignment="1" applyProtection="1">
      <alignment horizontal="left" vertical="center" wrapText="1"/>
      <protection locked="0"/>
    </xf>
    <xf numFmtId="49" fontId="12" fillId="4" borderId="25" xfId="0" applyNumberFormat="1" applyFont="1" applyFill="1" applyBorder="1" applyAlignment="1" applyProtection="1">
      <alignment horizontal="left" vertical="center" wrapText="1"/>
      <protection locked="0"/>
    </xf>
    <xf numFmtId="49" fontId="12" fillId="4" borderId="75" xfId="0" applyNumberFormat="1" applyFont="1" applyFill="1" applyBorder="1" applyAlignment="1" applyProtection="1">
      <alignment horizontal="left" vertical="center" wrapText="1"/>
      <protection locked="0"/>
    </xf>
    <xf numFmtId="0" fontId="2" fillId="10" borderId="29" xfId="0" applyFont="1" applyFill="1" applyBorder="1" applyAlignment="1">
      <alignment horizontal="center" vertical="center" wrapText="1"/>
    </xf>
    <xf numFmtId="0" fontId="12" fillId="12" borderId="29" xfId="0" applyFont="1" applyFill="1" applyBorder="1" applyAlignment="1" applyProtection="1">
      <alignment horizontal="center" vertical="center" wrapText="1"/>
      <protection locked="0"/>
    </xf>
    <xf numFmtId="0" fontId="12" fillId="12" borderId="31" xfId="0" applyFont="1" applyFill="1" applyBorder="1" applyAlignment="1" applyProtection="1">
      <alignment horizontal="center" vertical="center" wrapText="1"/>
      <protection locked="0"/>
    </xf>
    <xf numFmtId="0" fontId="12" fillId="2" borderId="23" xfId="0" applyFont="1" applyFill="1" applyBorder="1" applyAlignment="1">
      <alignment vertical="center" wrapText="1"/>
    </xf>
    <xf numFmtId="0" fontId="2" fillId="10" borderId="25" xfId="0" applyFont="1" applyFill="1" applyBorder="1" applyAlignment="1">
      <alignment horizontal="center" vertical="center" wrapText="1"/>
    </xf>
    <xf numFmtId="0" fontId="12" fillId="12" borderId="25" xfId="0" applyFont="1" applyFill="1" applyBorder="1" applyAlignment="1" applyProtection="1">
      <alignment horizontal="center" vertical="center" wrapText="1"/>
      <protection locked="0"/>
    </xf>
    <xf numFmtId="0" fontId="12" fillId="12" borderId="75" xfId="0" applyFont="1" applyFill="1" applyBorder="1" applyAlignment="1" applyProtection="1">
      <alignment horizontal="center" vertical="center" wrapText="1"/>
      <protection locked="0"/>
    </xf>
    <xf numFmtId="0" fontId="2" fillId="10" borderId="20" xfId="0" applyFont="1" applyFill="1" applyBorder="1" applyAlignment="1">
      <alignment horizontal="center" vertical="center" wrapText="1"/>
    </xf>
    <xf numFmtId="0" fontId="2" fillId="10" borderId="22" xfId="0" applyFont="1" applyFill="1" applyBorder="1" applyAlignment="1">
      <alignment horizontal="center" vertical="center" wrapText="1"/>
    </xf>
    <xf numFmtId="0" fontId="25" fillId="4" borderId="20" xfId="0" applyFont="1" applyFill="1" applyBorder="1" applyAlignment="1" applyProtection="1">
      <alignment horizontal="center" vertical="center" wrapText="1"/>
      <protection locked="0"/>
    </xf>
    <xf numFmtId="0" fontId="25" fillId="4" borderId="21" xfId="0" applyFont="1" applyFill="1" applyBorder="1" applyAlignment="1" applyProtection="1">
      <alignment horizontal="center" vertical="center" wrapText="1"/>
      <protection locked="0"/>
    </xf>
    <xf numFmtId="0" fontId="25" fillId="4" borderId="22" xfId="0" applyFont="1" applyFill="1" applyBorder="1" applyAlignment="1" applyProtection="1">
      <alignment horizontal="center" vertical="center" wrapText="1"/>
      <protection locked="0"/>
    </xf>
    <xf numFmtId="185" fontId="25" fillId="4" borderId="20" xfId="0" applyNumberFormat="1" applyFont="1" applyFill="1" applyBorder="1" applyAlignment="1" applyProtection="1">
      <alignment horizontal="center" vertical="center" wrapText="1"/>
      <protection locked="0"/>
    </xf>
    <xf numFmtId="185" fontId="25" fillId="4" borderId="21" xfId="0" applyNumberFormat="1" applyFont="1" applyFill="1" applyBorder="1" applyAlignment="1" applyProtection="1">
      <alignment horizontal="center" vertical="center" wrapText="1"/>
      <protection locked="0"/>
    </xf>
    <xf numFmtId="185" fontId="25" fillId="4" borderId="22" xfId="0" applyNumberFormat="1" applyFont="1" applyFill="1" applyBorder="1" applyAlignment="1" applyProtection="1">
      <alignment horizontal="center" vertical="center" wrapText="1"/>
      <protection locked="0"/>
    </xf>
    <xf numFmtId="0" fontId="64" fillId="33" borderId="29" xfId="0" applyFont="1" applyFill="1" applyBorder="1" applyAlignment="1">
      <alignment horizontal="center" vertical="center" wrapText="1"/>
    </xf>
    <xf numFmtId="0" fontId="53" fillId="4" borderId="30" xfId="0" applyFont="1" applyFill="1" applyBorder="1" applyAlignment="1" applyProtection="1">
      <alignment horizontal="center" vertical="center" wrapText="1"/>
      <protection locked="0"/>
    </xf>
    <xf numFmtId="0" fontId="53" fillId="4" borderId="29" xfId="0" applyFont="1" applyFill="1" applyBorder="1" applyAlignment="1" applyProtection="1">
      <alignment horizontal="center" vertical="center" wrapText="1"/>
      <protection locked="0"/>
    </xf>
    <xf numFmtId="0" fontId="53" fillId="4" borderId="31" xfId="0" applyFont="1" applyFill="1" applyBorder="1" applyAlignment="1" applyProtection="1">
      <alignment horizontal="center" vertical="center" wrapText="1"/>
      <protection locked="0"/>
    </xf>
    <xf numFmtId="0" fontId="71" fillId="4" borderId="30" xfId="0" applyFont="1" applyFill="1" applyBorder="1" applyAlignment="1" applyProtection="1">
      <alignment horizontal="center" vertical="center" wrapText="1"/>
      <protection locked="0"/>
    </xf>
    <xf numFmtId="0" fontId="71" fillId="4" borderId="29" xfId="0" applyFont="1" applyFill="1" applyBorder="1" applyAlignment="1" applyProtection="1">
      <alignment horizontal="center" vertical="center" wrapText="1"/>
      <protection locked="0"/>
    </xf>
    <xf numFmtId="0" fontId="71" fillId="4" borderId="31" xfId="0" applyFont="1" applyFill="1" applyBorder="1" applyAlignment="1" applyProtection="1">
      <alignment horizontal="center" vertical="center" wrapText="1"/>
      <protection locked="0"/>
    </xf>
    <xf numFmtId="0" fontId="64" fillId="33" borderId="25" xfId="0" applyFont="1" applyFill="1" applyBorder="1" applyAlignment="1">
      <alignment horizontal="center" vertical="center" wrapText="1"/>
    </xf>
    <xf numFmtId="0" fontId="53" fillId="4" borderId="74" xfId="0" applyFont="1" applyFill="1" applyBorder="1" applyAlignment="1" applyProtection="1">
      <alignment horizontal="center" vertical="center" wrapText="1"/>
      <protection locked="0"/>
    </xf>
    <xf numFmtId="0" fontId="53" fillId="4" borderId="25" xfId="0" applyFont="1" applyFill="1" applyBorder="1" applyAlignment="1" applyProtection="1">
      <alignment horizontal="center" vertical="center" wrapText="1"/>
      <protection locked="0"/>
    </xf>
    <xf numFmtId="0" fontId="53" fillId="4" borderId="75" xfId="0" applyFont="1" applyFill="1" applyBorder="1" applyAlignment="1" applyProtection="1">
      <alignment horizontal="center" vertical="center" wrapText="1"/>
      <protection locked="0"/>
    </xf>
    <xf numFmtId="0" fontId="71" fillId="4" borderId="74" xfId="0" applyFont="1" applyFill="1" applyBorder="1" applyAlignment="1" applyProtection="1">
      <alignment horizontal="center" vertical="center" wrapText="1"/>
      <protection locked="0"/>
    </xf>
    <xf numFmtId="0" fontId="71" fillId="4" borderId="25" xfId="0" applyFont="1" applyFill="1" applyBorder="1" applyAlignment="1" applyProtection="1">
      <alignment horizontal="center" vertical="center" wrapText="1"/>
      <protection locked="0"/>
    </xf>
    <xf numFmtId="0" fontId="71" fillId="4" borderId="75" xfId="0" applyFont="1" applyFill="1" applyBorder="1" applyAlignment="1" applyProtection="1">
      <alignment horizontal="center" vertical="center" wrapText="1"/>
      <protection locked="0"/>
    </xf>
    <xf numFmtId="0" fontId="50" fillId="3" borderId="0" xfId="0" applyFont="1" applyFill="1" applyAlignment="1">
      <alignment horizontal="center" vertical="center"/>
    </xf>
    <xf numFmtId="0" fontId="6" fillId="3" borderId="0" xfId="0" applyFont="1" applyFill="1" applyAlignment="1">
      <alignment vertical="center" wrapText="1"/>
    </xf>
    <xf numFmtId="0" fontId="6" fillId="3" borderId="0" xfId="0" applyFont="1" applyFill="1" applyAlignment="1">
      <alignment horizontal="center" vertical="center" wrapText="1"/>
    </xf>
    <xf numFmtId="0" fontId="4" fillId="2" borderId="0" xfId="0" applyFont="1" applyFill="1" applyAlignment="1">
      <alignment horizontal="right"/>
    </xf>
    <xf numFmtId="0" fontId="4" fillId="2" borderId="0" xfId="0" applyFont="1" applyFill="1" applyAlignment="1">
      <alignment wrapText="1"/>
    </xf>
    <xf numFmtId="0" fontId="4" fillId="2" borderId="25" xfId="0" applyFont="1" applyFill="1" applyBorder="1" applyAlignment="1">
      <alignment horizontal="left"/>
    </xf>
    <xf numFmtId="0" fontId="4" fillId="2" borderId="25" xfId="0" applyFont="1" applyFill="1" applyBorder="1" applyAlignment="1">
      <alignment horizontal="right"/>
    </xf>
    <xf numFmtId="0" fontId="4" fillId="2" borderId="0" xfId="0" applyFont="1" applyFill="1" applyAlignment="1">
      <alignment horizontal="right" wrapText="1"/>
    </xf>
    <xf numFmtId="0" fontId="4" fillId="2" borderId="25" xfId="0" applyFont="1" applyFill="1" applyBorder="1" applyAlignment="1">
      <alignment wrapText="1"/>
    </xf>
    <xf numFmtId="0" fontId="4" fillId="2" borderId="25" xfId="0" applyFont="1" applyFill="1" applyBorder="1" applyAlignment="1"/>
    <xf numFmtId="0" fontId="12" fillId="32" borderId="20" xfId="0" applyFont="1" applyFill="1" applyBorder="1" applyAlignment="1">
      <alignment horizontal="center" vertical="center" wrapText="1"/>
    </xf>
    <xf numFmtId="0" fontId="12" fillId="32" borderId="21" xfId="0" applyFont="1" applyFill="1" applyBorder="1" applyAlignment="1">
      <alignment horizontal="center" vertical="center" wrapText="1"/>
    </xf>
    <xf numFmtId="0" fontId="12" fillId="32" borderId="22" xfId="0" applyFont="1" applyFill="1" applyBorder="1" applyAlignment="1">
      <alignment horizontal="center" vertical="center" wrapText="1"/>
    </xf>
    <xf numFmtId="0" fontId="53" fillId="4" borderId="20" xfId="0" applyFont="1" applyFill="1" applyBorder="1" applyAlignment="1" applyProtection="1">
      <alignment horizontal="center" vertical="center" wrapText="1"/>
      <protection locked="0"/>
    </xf>
    <xf numFmtId="0" fontId="53" fillId="4" borderId="22" xfId="0" applyFont="1" applyFill="1" applyBorder="1" applyAlignment="1" applyProtection="1">
      <alignment horizontal="center" vertical="center" wrapText="1"/>
      <protection locked="0"/>
    </xf>
    <xf numFmtId="0" fontId="72" fillId="33" borderId="20" xfId="0" applyFont="1" applyFill="1" applyBorder="1" applyAlignment="1">
      <alignment horizontal="center" vertical="center" wrapText="1"/>
    </xf>
    <xf numFmtId="0" fontId="72" fillId="33" borderId="22" xfId="0" applyFont="1" applyFill="1" applyBorder="1" applyAlignment="1">
      <alignment horizontal="center" vertical="center" wrapText="1"/>
    </xf>
    <xf numFmtId="0" fontId="25" fillId="2" borderId="0" xfId="0" applyFont="1" applyFill="1" applyAlignment="1">
      <alignment horizontal="center" vertical="center" wrapText="1"/>
    </xf>
    <xf numFmtId="0" fontId="53" fillId="12" borderId="26" xfId="0" applyFont="1" applyFill="1" applyBorder="1" applyAlignment="1" applyProtection="1">
      <alignment horizontal="center" vertical="center"/>
      <protection locked="0"/>
    </xf>
    <xf numFmtId="0" fontId="53" fillId="4" borderId="20" xfId="0" applyFont="1" applyFill="1" applyBorder="1" applyAlignment="1">
      <alignment vertical="center" wrapText="1"/>
    </xf>
    <xf numFmtId="49" fontId="53" fillId="4" borderId="22" xfId="0" applyNumberFormat="1" applyFont="1" applyFill="1" applyBorder="1" applyAlignment="1" applyProtection="1">
      <alignment horizontal="center" vertical="center"/>
      <protection locked="0"/>
    </xf>
    <xf numFmtId="49" fontId="53" fillId="4" borderId="26" xfId="0" applyNumberFormat="1" applyFont="1" applyFill="1" applyBorder="1" applyAlignment="1" applyProtection="1">
      <alignment horizontal="center" vertical="center"/>
      <protection locked="0"/>
    </xf>
    <xf numFmtId="0" fontId="53" fillId="4" borderId="20" xfId="0" applyFont="1" applyFill="1" applyBorder="1" applyAlignment="1" applyProtection="1">
      <alignment horizontal="left" vertical="center" wrapText="1"/>
      <protection locked="0"/>
    </xf>
    <xf numFmtId="0" fontId="53" fillId="4" borderId="21" xfId="0" applyFont="1" applyFill="1" applyBorder="1" applyAlignment="1" applyProtection="1">
      <alignment horizontal="left" vertical="center" wrapText="1"/>
      <protection locked="0"/>
    </xf>
    <xf numFmtId="0" fontId="53" fillId="4" borderId="22" xfId="0" applyFont="1" applyFill="1" applyBorder="1" applyAlignment="1" applyProtection="1">
      <alignment horizontal="left" vertical="center" wrapText="1"/>
      <protection locked="0"/>
    </xf>
    <xf numFmtId="180" fontId="12" fillId="4" borderId="26" xfId="0" applyNumberFormat="1" applyFont="1" applyFill="1" applyBorder="1" applyAlignment="1" applyProtection="1">
      <alignment horizontal="center" vertical="center" wrapText="1"/>
      <protection locked="0"/>
    </xf>
    <xf numFmtId="0" fontId="73" fillId="4" borderId="20" xfId="0" applyFont="1" applyFill="1" applyBorder="1" applyAlignment="1">
      <alignment horizontal="center" vertical="center" wrapText="1"/>
    </xf>
    <xf numFmtId="0" fontId="73" fillId="4" borderId="22" xfId="0" applyFont="1" applyFill="1" applyBorder="1" applyAlignment="1">
      <alignment horizontal="center" vertical="center" wrapText="1"/>
    </xf>
    <xf numFmtId="0" fontId="73" fillId="12" borderId="22" xfId="0" applyFont="1" applyFill="1" applyBorder="1" applyAlignment="1" applyProtection="1">
      <alignment horizontal="center" vertical="center" wrapText="1"/>
      <protection locked="0"/>
    </xf>
    <xf numFmtId="0" fontId="53" fillId="12" borderId="26" xfId="0" applyFont="1" applyFill="1" applyBorder="1" applyAlignment="1" applyProtection="1">
      <alignment horizontal="center" vertical="center" wrapText="1"/>
      <protection locked="0"/>
    </xf>
    <xf numFmtId="0" fontId="53" fillId="4" borderId="21" xfId="0" applyFont="1" applyFill="1" applyBorder="1" applyAlignment="1" applyProtection="1">
      <alignment horizontal="left" vertical="center" indent="1"/>
      <protection locked="0"/>
    </xf>
    <xf numFmtId="0" fontId="53" fillId="4" borderId="22" xfId="0" applyFont="1" applyFill="1" applyBorder="1" applyAlignment="1" applyProtection="1">
      <alignment horizontal="left" vertical="center" indent="1"/>
      <protection locked="0"/>
    </xf>
    <xf numFmtId="0" fontId="73" fillId="4" borderId="20" xfId="0" applyFont="1" applyFill="1" applyBorder="1" applyAlignment="1" applyProtection="1">
      <alignment horizontal="center" vertical="center" wrapText="1"/>
      <protection locked="0"/>
    </xf>
    <xf numFmtId="0" fontId="73" fillId="4" borderId="22" xfId="0" applyFont="1" applyFill="1" applyBorder="1" applyAlignment="1" applyProtection="1">
      <alignment horizontal="center" vertical="center" wrapText="1"/>
      <protection locked="0"/>
    </xf>
    <xf numFmtId="0" fontId="4" fillId="2" borderId="21" xfId="0" applyFont="1" applyFill="1" applyBorder="1" applyAlignment="1">
      <alignment horizontal="center"/>
    </xf>
    <xf numFmtId="0" fontId="74" fillId="2" borderId="0" xfId="0" applyFont="1" applyFill="1" applyAlignment="1">
      <alignment horizontal="center" vertical="center" wrapText="1"/>
    </xf>
    <xf numFmtId="0" fontId="75" fillId="2" borderId="0" xfId="0" applyFont="1" applyFill="1" applyAlignment="1">
      <alignment horizontal="center" vertical="center" wrapText="1"/>
    </xf>
    <xf numFmtId="0" fontId="59" fillId="2" borderId="0" xfId="0" applyFont="1" applyFill="1" applyAlignment="1">
      <alignment horizontal="center" wrapText="1"/>
    </xf>
    <xf numFmtId="0" fontId="4" fillId="2" borderId="29" xfId="0" applyFont="1" applyFill="1" applyBorder="1" applyAlignment="1"/>
    <xf numFmtId="0" fontId="4" fillId="2" borderId="21" xfId="0" applyFont="1" applyFill="1" applyBorder="1" applyAlignment="1"/>
    <xf numFmtId="0" fontId="4" fillId="2" borderId="21" xfId="0" applyFont="1" applyFill="1" applyBorder="1" applyAlignment="1">
      <alignment wrapText="1"/>
    </xf>
    <xf numFmtId="49" fontId="3" fillId="12" borderId="26" xfId="0" applyNumberFormat="1" applyFont="1" applyFill="1" applyBorder="1" applyAlignment="1" applyProtection="1">
      <alignment horizontal="center" vertical="center"/>
      <protection locked="0"/>
    </xf>
    <xf numFmtId="0" fontId="3" fillId="4" borderId="20" xfId="0" applyFont="1" applyFill="1" applyBorder="1" applyAlignment="1">
      <alignment horizontal="center" vertical="center" wrapText="1"/>
    </xf>
    <xf numFmtId="49" fontId="53" fillId="4" borderId="21" xfId="0" applyNumberFormat="1" applyFont="1" applyFill="1" applyBorder="1" applyAlignment="1" applyProtection="1">
      <alignment horizontal="center" vertical="center"/>
      <protection locked="0"/>
    </xf>
    <xf numFmtId="0" fontId="53" fillId="4" borderId="20" xfId="0" applyFont="1" applyFill="1" applyBorder="1" applyAlignment="1" applyProtection="1">
      <alignment horizontal="left" vertical="center"/>
      <protection locked="0"/>
    </xf>
    <xf numFmtId="0" fontId="53" fillId="4" borderId="21" xfId="0" applyFont="1" applyFill="1" applyBorder="1" applyAlignment="1" applyProtection="1">
      <alignment horizontal="left" vertical="center"/>
      <protection locked="0"/>
    </xf>
    <xf numFmtId="0" fontId="53" fillId="4" borderId="22" xfId="0" applyFont="1" applyFill="1" applyBorder="1" applyAlignment="1" applyProtection="1">
      <alignment horizontal="left" vertical="center"/>
      <protection locked="0"/>
    </xf>
    <xf numFmtId="0" fontId="53" fillId="4" borderId="20" xfId="0" applyFont="1" applyFill="1" applyBorder="1" applyAlignment="1">
      <alignment horizontal="center" vertical="center"/>
    </xf>
    <xf numFmtId="0" fontId="53" fillId="4" borderId="21" xfId="0" applyFont="1" applyFill="1" applyBorder="1" applyAlignment="1">
      <alignment horizontal="center" vertical="center"/>
    </xf>
    <xf numFmtId="0" fontId="53" fillId="4" borderId="90" xfId="0" applyFont="1" applyFill="1" applyBorder="1" applyAlignment="1">
      <alignment horizontal="center" vertical="center"/>
    </xf>
    <xf numFmtId="186" fontId="3" fillId="4" borderId="91" xfId="0" applyNumberFormat="1" applyFont="1" applyFill="1" applyBorder="1" applyAlignment="1" applyProtection="1">
      <alignment horizontal="center" vertical="center"/>
      <protection locked="0"/>
    </xf>
    <xf numFmtId="186" fontId="3" fillId="4" borderId="22" xfId="0" applyNumberFormat="1" applyFont="1" applyFill="1" applyBorder="1" applyAlignment="1" applyProtection="1">
      <alignment horizontal="center" vertical="center"/>
      <protection locked="0"/>
    </xf>
    <xf numFmtId="0" fontId="53" fillId="4" borderId="26" xfId="0" applyFont="1" applyFill="1" applyBorder="1" applyAlignment="1" applyProtection="1">
      <alignment horizontal="center" vertical="center"/>
      <protection locked="0"/>
    </xf>
    <xf numFmtId="0" fontId="53" fillId="4" borderId="20" xfId="0" applyFont="1" applyFill="1" applyBorder="1" applyAlignment="1" applyProtection="1">
      <alignment horizontal="center" vertical="center"/>
      <protection locked="0"/>
    </xf>
    <xf numFmtId="49" fontId="53" fillId="4" borderId="26" xfId="0" applyNumberFormat="1" applyFont="1" applyFill="1" applyBorder="1" applyAlignment="1" applyProtection="1">
      <alignment horizontal="center" vertical="center" wrapText="1"/>
      <protection locked="0"/>
    </xf>
    <xf numFmtId="0" fontId="6" fillId="10" borderId="26" xfId="0" applyFont="1" applyFill="1" applyBorder="1" applyAlignment="1">
      <alignment horizontal="center" vertical="center" wrapText="1"/>
    </xf>
    <xf numFmtId="0" fontId="3" fillId="5" borderId="20" xfId="0" applyFont="1" applyFill="1" applyBorder="1" applyAlignment="1">
      <alignment horizontal="center" vertical="center" wrapText="1"/>
    </xf>
    <xf numFmtId="49" fontId="53" fillId="5" borderId="21" xfId="0" applyNumberFormat="1" applyFont="1" applyFill="1" applyBorder="1" applyAlignment="1" applyProtection="1">
      <alignment horizontal="center" vertical="center"/>
      <protection locked="0"/>
    </xf>
    <xf numFmtId="0" fontId="53" fillId="5" borderId="20" xfId="0" applyFont="1" applyFill="1" applyBorder="1" applyAlignment="1" applyProtection="1">
      <alignment horizontal="left" vertical="center"/>
      <protection locked="0"/>
    </xf>
    <xf numFmtId="0" fontId="53" fillId="5" borderId="21" xfId="0" applyFont="1" applyFill="1" applyBorder="1" applyAlignment="1" applyProtection="1">
      <alignment horizontal="left" vertical="center"/>
      <protection locked="0"/>
    </xf>
    <xf numFmtId="0" fontId="53" fillId="5" borderId="22" xfId="0" applyFont="1" applyFill="1" applyBorder="1" applyAlignment="1" applyProtection="1">
      <alignment horizontal="left" vertical="center"/>
      <protection locked="0"/>
    </xf>
    <xf numFmtId="180" fontId="12" fillId="5" borderId="26" xfId="0" applyNumberFormat="1" applyFont="1" applyFill="1" applyBorder="1" applyAlignment="1" applyProtection="1">
      <alignment horizontal="center" vertical="center" wrapText="1"/>
      <protection locked="0"/>
    </xf>
    <xf numFmtId="0" fontId="53" fillId="5" borderId="20" xfId="0" applyFont="1" applyFill="1" applyBorder="1" applyAlignment="1">
      <alignment horizontal="center" vertical="center"/>
    </xf>
    <xf numFmtId="0" fontId="53" fillId="5" borderId="21" xfId="0" applyFont="1" applyFill="1" applyBorder="1" applyAlignment="1">
      <alignment horizontal="center" vertical="center"/>
    </xf>
    <xf numFmtId="0" fontId="53" fillId="5" borderId="90" xfId="0" applyFont="1" applyFill="1" applyBorder="1" applyAlignment="1">
      <alignment horizontal="center" vertical="center"/>
    </xf>
    <xf numFmtId="186" fontId="3" fillId="5" borderId="91" xfId="0" applyNumberFormat="1" applyFont="1" applyFill="1" applyBorder="1" applyAlignment="1" applyProtection="1">
      <alignment horizontal="center" vertical="center"/>
      <protection locked="0"/>
    </xf>
    <xf numFmtId="186" fontId="3" fillId="5" borderId="22" xfId="0" applyNumberFormat="1" applyFont="1" applyFill="1" applyBorder="1" applyAlignment="1" applyProtection="1">
      <alignment horizontal="center" vertical="center"/>
      <protection locked="0"/>
    </xf>
    <xf numFmtId="0" fontId="53" fillId="5" borderId="20" xfId="0" applyFont="1" applyFill="1" applyBorder="1" applyAlignment="1" applyProtection="1">
      <alignment horizontal="center" vertical="center" wrapText="1"/>
      <protection locked="0"/>
    </xf>
    <xf numFmtId="49" fontId="53" fillId="5" borderId="26" xfId="0" applyNumberFormat="1" applyFont="1" applyFill="1" applyBorder="1" applyAlignment="1" applyProtection="1">
      <alignment horizontal="center" vertical="center" wrapText="1"/>
      <protection locked="0"/>
    </xf>
    <xf numFmtId="0" fontId="12" fillId="5" borderId="20" xfId="0" applyFont="1" applyFill="1" applyBorder="1" applyAlignment="1" applyProtection="1">
      <alignment horizontal="center" vertical="center" wrapText="1"/>
      <protection locked="0"/>
    </xf>
    <xf numFmtId="0" fontId="12" fillId="5" borderId="22" xfId="0" applyFont="1" applyFill="1" applyBorder="1" applyAlignment="1" applyProtection="1">
      <alignment horizontal="center" vertical="center" wrapText="1"/>
      <protection locked="0"/>
    </xf>
    <xf numFmtId="0" fontId="3" fillId="2" borderId="0" xfId="0" applyFont="1" applyFill="1" applyAlignment="1">
      <alignment horizontal="center" vertical="center" wrapText="1"/>
    </xf>
    <xf numFmtId="49" fontId="53" fillId="12" borderId="20" xfId="0" applyNumberFormat="1" applyFont="1" applyFill="1" applyBorder="1" applyAlignment="1" applyProtection="1">
      <alignment horizontal="center" vertical="center"/>
      <protection locked="0"/>
    </xf>
    <xf numFmtId="49" fontId="53" fillId="12" borderId="22" xfId="0" applyNumberFormat="1" applyFont="1" applyFill="1" applyBorder="1" applyAlignment="1" applyProtection="1">
      <alignment horizontal="center" vertical="center"/>
      <protection locked="0"/>
    </xf>
    <xf numFmtId="49" fontId="53" fillId="4" borderId="20" xfId="0" applyNumberFormat="1" applyFont="1" applyFill="1" applyBorder="1" applyAlignment="1" applyProtection="1">
      <alignment horizontal="left" vertical="center" wrapText="1"/>
      <protection locked="0"/>
    </xf>
    <xf numFmtId="49" fontId="53" fillId="4" borderId="21" xfId="0" applyNumberFormat="1" applyFont="1" applyFill="1" applyBorder="1" applyAlignment="1" applyProtection="1">
      <alignment horizontal="left" vertical="center" wrapText="1"/>
      <protection locked="0"/>
    </xf>
    <xf numFmtId="49" fontId="53" fillId="4" borderId="22" xfId="0" applyNumberFormat="1" applyFont="1" applyFill="1" applyBorder="1" applyAlignment="1" applyProtection="1">
      <alignment horizontal="left" vertical="center" wrapText="1"/>
      <protection locked="0"/>
    </xf>
    <xf numFmtId="0" fontId="50" fillId="3" borderId="0" xfId="0" applyFont="1" applyFill="1" applyAlignment="1">
      <alignment horizontal="right" vertical="center" wrapText="1"/>
    </xf>
    <xf numFmtId="0" fontId="4" fillId="2" borderId="29" xfId="0" applyFont="1" applyFill="1" applyBorder="1" applyAlignment="1">
      <alignment horizontal="center" wrapText="1"/>
    </xf>
    <xf numFmtId="0" fontId="53" fillId="5" borderId="20" xfId="0" applyFont="1" applyFill="1" applyBorder="1" applyAlignment="1">
      <alignment vertical="center" wrapText="1"/>
    </xf>
    <xf numFmtId="49" fontId="53" fillId="5" borderId="20" xfId="0" applyNumberFormat="1" applyFont="1" applyFill="1" applyBorder="1" applyAlignment="1" applyProtection="1">
      <alignment horizontal="left" vertical="center" wrapText="1"/>
      <protection locked="0"/>
    </xf>
    <xf numFmtId="49" fontId="53" fillId="5" borderId="21" xfId="0" applyNumberFormat="1" applyFont="1" applyFill="1" applyBorder="1" applyAlignment="1" applyProtection="1">
      <alignment horizontal="left" vertical="center" wrapText="1"/>
      <protection locked="0"/>
    </xf>
    <xf numFmtId="49" fontId="53" fillId="5" borderId="22" xfId="0" applyNumberFormat="1" applyFont="1" applyFill="1" applyBorder="1" applyAlignment="1" applyProtection="1">
      <alignment horizontal="left" vertical="center" wrapText="1"/>
      <protection locked="0"/>
    </xf>
    <xf numFmtId="0" fontId="53" fillId="4" borderId="20" xfId="0" applyFont="1" applyFill="1" applyBorder="1" applyAlignment="1">
      <alignment horizontal="center" vertical="center" wrapText="1"/>
    </xf>
    <xf numFmtId="186" fontId="3" fillId="4" borderId="26" xfId="0" applyNumberFormat="1" applyFont="1" applyFill="1" applyBorder="1" applyAlignment="1" applyProtection="1">
      <alignment horizontal="center" vertical="center"/>
      <protection locked="0"/>
    </xf>
    <xf numFmtId="0" fontId="53" fillId="5" borderId="20" xfId="0" applyFont="1" applyFill="1" applyBorder="1" applyAlignment="1">
      <alignment horizontal="center" vertical="center" wrapText="1"/>
    </xf>
    <xf numFmtId="0" fontId="12" fillId="5" borderId="21" xfId="0" applyFont="1" applyFill="1" applyBorder="1" applyAlignment="1" applyProtection="1">
      <alignment horizontal="center" vertical="center" wrapText="1"/>
      <protection locked="0"/>
    </xf>
    <xf numFmtId="186" fontId="3" fillId="5" borderId="26" xfId="0" applyNumberFormat="1" applyFont="1" applyFill="1" applyBorder="1" applyAlignment="1" applyProtection="1">
      <alignment horizontal="center" vertical="center"/>
      <protection locked="0"/>
    </xf>
    <xf numFmtId="0" fontId="12" fillId="5" borderId="20" xfId="0" applyFont="1" applyFill="1" applyBorder="1" applyAlignment="1">
      <alignment horizontal="center" vertical="center" wrapText="1"/>
    </xf>
    <xf numFmtId="0" fontId="12" fillId="5" borderId="90" xfId="0" applyFont="1" applyFill="1" applyBorder="1" applyAlignment="1">
      <alignment horizontal="center" vertical="center" wrapText="1"/>
    </xf>
    <xf numFmtId="0" fontId="4" fillId="2" borderId="29" xfId="0" applyFont="1" applyFill="1" applyBorder="1" applyAlignment="1">
      <alignment horizontal="center" vertical="center" wrapText="1"/>
    </xf>
    <xf numFmtId="49" fontId="12" fillId="4" borderId="26" xfId="0" applyNumberFormat="1" applyFont="1" applyFill="1" applyBorder="1" applyAlignment="1">
      <alignment horizontal="center" vertical="center"/>
    </xf>
    <xf numFmtId="187" fontId="12" fillId="4" borderId="20" xfId="0" applyNumberFormat="1" applyFont="1" applyFill="1" applyBorder="1" applyAlignment="1">
      <alignment horizontal="center" vertical="center" wrapText="1"/>
    </xf>
    <xf numFmtId="187" fontId="12" fillId="4" borderId="21" xfId="0" applyNumberFormat="1" applyFont="1" applyFill="1" applyBorder="1" applyAlignment="1">
      <alignment horizontal="center" vertical="center" wrapText="1"/>
    </xf>
    <xf numFmtId="187" fontId="12" fillId="4" borderId="22" xfId="0" applyNumberFormat="1"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76" fillId="4" borderId="20" xfId="0" applyFont="1" applyFill="1" applyBorder="1" applyAlignment="1" applyProtection="1">
      <alignment horizontal="center" vertical="center" wrapText="1"/>
      <protection locked="0"/>
    </xf>
    <xf numFmtId="0" fontId="76" fillId="4" borderId="21" xfId="0" applyFont="1" applyFill="1" applyBorder="1" applyAlignment="1" applyProtection="1">
      <alignment horizontal="center" vertical="center" wrapText="1"/>
      <protection locked="0"/>
    </xf>
    <xf numFmtId="0" fontId="59" fillId="4" borderId="21" xfId="0" applyFont="1" applyFill="1" applyBorder="1" applyAlignment="1">
      <alignment horizontal="center" vertical="center" wrapText="1"/>
    </xf>
    <xf numFmtId="0" fontId="76" fillId="4" borderId="21" xfId="0" applyFont="1" applyFill="1" applyBorder="1" applyAlignment="1">
      <alignment horizontal="center" vertical="center" wrapText="1"/>
    </xf>
    <xf numFmtId="0" fontId="76" fillId="4" borderId="22" xfId="0" applyFont="1" applyFill="1" applyBorder="1" applyAlignment="1">
      <alignment horizontal="center" vertical="center" wrapText="1"/>
    </xf>
    <xf numFmtId="0" fontId="12" fillId="32" borderId="26" xfId="0" applyFont="1" applyFill="1" applyBorder="1" applyAlignment="1">
      <alignment horizontal="center" vertical="center" wrapText="1"/>
    </xf>
    <xf numFmtId="0" fontId="0" fillId="4" borderId="20" xfId="0" applyFill="1" applyBorder="1">
      <alignment vertical="center"/>
    </xf>
    <xf numFmtId="0" fontId="4" fillId="4" borderId="21" xfId="0" applyFont="1" applyFill="1" applyBorder="1" applyAlignment="1">
      <alignment horizontal="center" vertical="center"/>
    </xf>
    <xf numFmtId="0" fontId="0" fillId="4" borderId="21" xfId="0" applyFill="1" applyBorder="1">
      <alignment vertical="center"/>
    </xf>
    <xf numFmtId="0" fontId="4" fillId="4" borderId="22" xfId="0" applyFont="1" applyFill="1" applyBorder="1" applyAlignment="1">
      <alignment horizontal="center" vertical="center"/>
    </xf>
    <xf numFmtId="49" fontId="12" fillId="5" borderId="26" xfId="0" applyNumberFormat="1" applyFont="1" applyFill="1" applyBorder="1" applyAlignment="1">
      <alignment horizontal="center" vertical="center"/>
    </xf>
    <xf numFmtId="187" fontId="12" fillId="5" borderId="26" xfId="0" applyNumberFormat="1" applyFont="1" applyFill="1" applyBorder="1" applyAlignment="1">
      <alignment horizontal="center" vertical="center" wrapText="1"/>
    </xf>
    <xf numFmtId="0" fontId="0" fillId="5" borderId="26" xfId="0" applyFill="1" applyBorder="1" applyAlignment="1" applyProtection="1">
      <alignment horizontal="center" vertical="center"/>
      <protection locked="0"/>
    </xf>
    <xf numFmtId="187" fontId="12" fillId="4" borderId="26" xfId="0" applyNumberFormat="1" applyFont="1" applyFill="1" applyBorder="1" applyAlignment="1">
      <alignment horizontal="center" vertical="center" wrapText="1"/>
    </xf>
    <xf numFmtId="0" fontId="0" fillId="0" borderId="26" xfId="0" applyBorder="1" applyAlignment="1" applyProtection="1">
      <alignment horizontal="center" vertical="center"/>
      <protection locked="0"/>
    </xf>
    <xf numFmtId="49" fontId="53" fillId="12" borderId="30" xfId="0" applyNumberFormat="1" applyFont="1" applyFill="1" applyBorder="1" applyAlignment="1" applyProtection="1">
      <alignment horizontal="center" vertical="center"/>
      <protection locked="0"/>
    </xf>
    <xf numFmtId="49" fontId="53" fillId="12" borderId="31" xfId="0" applyNumberFormat="1" applyFont="1" applyFill="1" applyBorder="1" applyAlignment="1" applyProtection="1">
      <alignment horizontal="center" vertical="center"/>
      <protection locked="0"/>
    </xf>
    <xf numFmtId="0" fontId="53" fillId="4" borderId="30" xfId="0" applyFont="1" applyFill="1" applyBorder="1" applyAlignment="1">
      <alignment horizontal="center" vertical="center" wrapText="1"/>
    </xf>
    <xf numFmtId="0" fontId="4" fillId="2" borderId="0" xfId="0" applyFont="1" applyFill="1">
      <alignment vertical="center"/>
    </xf>
    <xf numFmtId="0" fontId="4" fillId="2" borderId="5" xfId="0" applyFont="1" applyFill="1" applyBorder="1">
      <alignment vertical="center"/>
    </xf>
    <xf numFmtId="0" fontId="4" fillId="2" borderId="20" xfId="0" applyFont="1" applyFill="1" applyBorder="1" applyAlignment="1">
      <alignment horizontal="right" wrapText="1"/>
    </xf>
    <xf numFmtId="0" fontId="4" fillId="2" borderId="21" xfId="0" applyFont="1" applyFill="1" applyBorder="1" applyAlignment="1">
      <alignment horizontal="right" wrapText="1"/>
    </xf>
    <xf numFmtId="188" fontId="77" fillId="42" borderId="21" xfId="0" applyNumberFormat="1" applyFont="1" applyFill="1" applyBorder="1" applyAlignment="1" applyProtection="1">
      <alignment horizontal="center" wrapText="1"/>
      <protection locked="0"/>
    </xf>
    <xf numFmtId="188" fontId="77" fillId="42" borderId="22" xfId="0" applyNumberFormat="1" applyFont="1" applyFill="1" applyBorder="1" applyAlignment="1" applyProtection="1">
      <alignment horizontal="center" wrapText="1"/>
      <protection locked="0"/>
    </xf>
    <xf numFmtId="0" fontId="7" fillId="6" borderId="20"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4" fillId="2" borderId="29" xfId="0" applyFont="1" applyFill="1" applyBorder="1" applyAlignment="1">
      <alignment horizontal="center"/>
    </xf>
    <xf numFmtId="0" fontId="47" fillId="2" borderId="89" xfId="0" applyFont="1" applyFill="1" applyBorder="1" applyAlignment="1">
      <alignment horizontal="center" vertical="center" wrapText="1"/>
    </xf>
    <xf numFmtId="0" fontId="8" fillId="6" borderId="20" xfId="0" applyFont="1" applyFill="1" applyBorder="1" applyAlignment="1">
      <alignment horizontal="center" vertical="center" wrapText="1"/>
    </xf>
    <xf numFmtId="0" fontId="8" fillId="6" borderId="22" xfId="0" applyFont="1" applyFill="1" applyBorder="1" applyAlignment="1">
      <alignment horizontal="center" vertical="center" wrapText="1"/>
    </xf>
    <xf numFmtId="0" fontId="60" fillId="2" borderId="0" xfId="0" applyFont="1" applyFill="1" applyAlignment="1">
      <alignment vertical="center" wrapText="1"/>
    </xf>
    <xf numFmtId="0" fontId="12" fillId="32" borderId="30" xfId="0" applyFont="1" applyFill="1" applyBorder="1" applyAlignment="1">
      <alignment horizontal="center" vertical="center" wrapText="1"/>
    </xf>
    <xf numFmtId="0" fontId="12" fillId="32" borderId="31" xfId="0" applyFont="1" applyFill="1" applyBorder="1" applyAlignment="1">
      <alignment horizontal="center" vertical="center" wrapText="1"/>
    </xf>
    <xf numFmtId="0" fontId="62" fillId="33" borderId="30" xfId="0" applyFont="1" applyFill="1" applyBorder="1" applyAlignment="1">
      <alignment horizontal="center" vertical="center" wrapText="1"/>
    </xf>
    <xf numFmtId="0" fontId="62" fillId="33" borderId="31" xfId="0" applyFont="1" applyFill="1" applyBorder="1" applyAlignment="1">
      <alignment horizontal="center" vertical="center" wrapText="1"/>
    </xf>
    <xf numFmtId="0" fontId="63" fillId="2" borderId="89" xfId="0" applyFont="1" applyFill="1" applyBorder="1" applyAlignment="1">
      <alignment vertical="center" wrapText="1"/>
    </xf>
    <xf numFmtId="0" fontId="12" fillId="2" borderId="89" xfId="0" applyFont="1" applyFill="1" applyBorder="1" applyAlignment="1">
      <alignment vertical="center" wrapText="1"/>
    </xf>
    <xf numFmtId="0" fontId="65" fillId="12" borderId="23" xfId="0" applyFont="1" applyFill="1" applyBorder="1" applyAlignment="1">
      <alignment horizontal="center" vertical="center" wrapText="1"/>
    </xf>
    <xf numFmtId="0" fontId="65" fillId="12" borderId="5" xfId="0" applyFont="1" applyFill="1" applyBorder="1" applyAlignment="1">
      <alignment horizontal="center" vertical="center" wrapText="1"/>
    </xf>
    <xf numFmtId="0" fontId="12" fillId="11" borderId="20" xfId="0" applyFont="1" applyFill="1" applyBorder="1" applyAlignment="1">
      <alignment horizontal="center" vertical="center" wrapText="1"/>
    </xf>
    <xf numFmtId="0" fontId="12" fillId="11" borderId="21" xfId="0" applyFont="1" applyFill="1" applyBorder="1" applyAlignment="1">
      <alignment horizontal="center" vertical="center" wrapText="1"/>
    </xf>
    <xf numFmtId="0" fontId="12" fillId="11" borderId="22" xfId="0" applyFont="1" applyFill="1" applyBorder="1" applyAlignment="1">
      <alignment horizontal="center" vertical="center" wrapText="1"/>
    </xf>
    <xf numFmtId="0" fontId="12" fillId="11" borderId="29" xfId="0" applyFont="1" applyFill="1" applyBorder="1" applyAlignment="1">
      <alignment horizontal="center" vertical="center" wrapText="1"/>
    </xf>
    <xf numFmtId="0" fontId="78" fillId="4" borderId="20" xfId="0" applyFont="1" applyFill="1" applyBorder="1" applyAlignment="1">
      <alignment horizontal="center" vertical="center" wrapText="1"/>
    </xf>
    <xf numFmtId="0" fontId="78" fillId="4" borderId="21" xfId="0" applyFont="1" applyFill="1" applyBorder="1" applyAlignment="1">
      <alignment horizontal="center" vertical="center" wrapText="1"/>
    </xf>
    <xf numFmtId="0" fontId="78" fillId="4" borderId="22"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2" fillId="10" borderId="29" xfId="0" applyFont="1" applyFill="1" applyBorder="1" applyAlignment="1">
      <alignment vertical="center" wrapText="1"/>
    </xf>
    <xf numFmtId="0" fontId="10" fillId="6" borderId="20" xfId="0" applyFont="1" applyFill="1" applyBorder="1" applyAlignment="1">
      <alignment horizontal="center" vertical="center" wrapText="1"/>
    </xf>
    <xf numFmtId="0" fontId="10" fillId="6" borderId="22" xfId="0" applyFont="1" applyFill="1" applyBorder="1" applyAlignment="1">
      <alignment horizontal="center" vertical="center" wrapText="1"/>
    </xf>
    <xf numFmtId="0" fontId="12" fillId="2" borderId="89" xfId="0" applyFont="1" applyFill="1" applyBorder="1" applyAlignment="1">
      <alignment horizontal="center" vertical="center" wrapText="1"/>
    </xf>
    <xf numFmtId="0" fontId="12" fillId="11" borderId="21" xfId="0" applyFont="1" applyFill="1" applyBorder="1" applyAlignment="1">
      <alignment vertical="center" wrapText="1"/>
    </xf>
    <xf numFmtId="0" fontId="12" fillId="11" borderId="26" xfId="0" applyFont="1" applyFill="1" applyBorder="1" applyAlignment="1">
      <alignment horizontal="center" vertical="center" wrapText="1"/>
    </xf>
    <xf numFmtId="0" fontId="11" fillId="6" borderId="20" xfId="0" applyFont="1" applyFill="1" applyBorder="1" applyAlignment="1">
      <alignment horizontal="center" vertical="center" wrapText="1"/>
    </xf>
    <xf numFmtId="0" fontId="11" fillId="6" borderId="22" xfId="0" applyFont="1" applyFill="1" applyBorder="1" applyAlignment="1">
      <alignment horizontal="center" vertical="center" wrapText="1"/>
    </xf>
    <xf numFmtId="0" fontId="53" fillId="4" borderId="21" xfId="0" applyFont="1" applyFill="1" applyBorder="1" applyAlignment="1" applyProtection="1">
      <alignment horizontal="center" vertical="center" wrapText="1"/>
      <protection locked="0"/>
    </xf>
    <xf numFmtId="0" fontId="53" fillId="4" borderId="21" xfId="0" applyFont="1" applyFill="1" applyBorder="1" applyAlignment="1" applyProtection="1">
      <alignment horizontal="center" vertical="center"/>
      <protection locked="0"/>
    </xf>
    <xf numFmtId="0" fontId="53" fillId="4" borderId="22" xfId="0" applyFont="1" applyFill="1" applyBorder="1" applyAlignment="1" applyProtection="1">
      <alignment horizontal="center" vertical="center"/>
      <protection locked="0"/>
    </xf>
    <xf numFmtId="0" fontId="53" fillId="4" borderId="21" xfId="0" applyFont="1" applyFill="1" applyBorder="1" applyAlignment="1">
      <alignment horizontal="center" vertical="center" wrapText="1"/>
    </xf>
    <xf numFmtId="0" fontId="53" fillId="4" borderId="22" xfId="0" applyFont="1" applyFill="1" applyBorder="1" applyAlignment="1">
      <alignment horizontal="center" vertical="center" wrapText="1"/>
    </xf>
    <xf numFmtId="0" fontId="12" fillId="0" borderId="26" xfId="0" applyFont="1" applyBorder="1" applyAlignment="1" applyProtection="1">
      <alignment horizontal="center" vertical="center" wrapText="1"/>
      <protection locked="0"/>
    </xf>
    <xf numFmtId="0" fontId="12" fillId="0" borderId="20" xfId="0" applyFont="1" applyBorder="1" applyAlignment="1" applyProtection="1">
      <alignment horizontal="center" vertical="center" wrapText="1"/>
      <protection locked="0"/>
    </xf>
    <xf numFmtId="0" fontId="12" fillId="0" borderId="21" xfId="0" applyFont="1" applyBorder="1" applyAlignment="1" applyProtection="1">
      <alignment horizontal="center" vertical="center" wrapText="1"/>
      <protection locked="0"/>
    </xf>
    <xf numFmtId="0" fontId="12" fillId="0" borderId="22" xfId="0" applyFont="1" applyBorder="1" applyAlignment="1" applyProtection="1">
      <alignment horizontal="center" vertical="center" wrapText="1"/>
      <protection locked="0"/>
    </xf>
    <xf numFmtId="0" fontId="12" fillId="4" borderId="20" xfId="0" applyFont="1" applyFill="1" applyBorder="1" applyAlignment="1" applyProtection="1">
      <alignment horizontal="center" vertical="center"/>
      <protection locked="0"/>
    </xf>
    <xf numFmtId="0" fontId="12" fillId="4" borderId="22" xfId="0" applyFont="1" applyFill="1" applyBorder="1" applyAlignment="1" applyProtection="1">
      <alignment horizontal="center" vertical="center"/>
      <protection locked="0"/>
    </xf>
    <xf numFmtId="0" fontId="12" fillId="0" borderId="20" xfId="0" applyFont="1" applyBorder="1" applyAlignment="1" applyProtection="1">
      <alignment horizontal="left" vertical="center" wrapText="1"/>
      <protection locked="0"/>
    </xf>
    <xf numFmtId="0" fontId="12" fillId="0" borderId="21" xfId="0" applyFont="1" applyBorder="1" applyAlignment="1" applyProtection="1">
      <alignment horizontal="left" vertical="center" wrapText="1"/>
      <protection locked="0"/>
    </xf>
    <xf numFmtId="0" fontId="12" fillId="0" borderId="22" xfId="0" applyFont="1" applyBorder="1" applyAlignment="1" applyProtection="1">
      <alignment horizontal="left" vertical="center" wrapText="1"/>
      <protection locked="0"/>
    </xf>
    <xf numFmtId="0" fontId="12" fillId="33" borderId="20" xfId="0" applyFont="1" applyFill="1" applyBorder="1" applyAlignment="1">
      <alignment horizontal="center" vertical="center"/>
    </xf>
    <xf numFmtId="0" fontId="12" fillId="33" borderId="22" xfId="0" applyFont="1" applyFill="1" applyBorder="1" applyAlignment="1">
      <alignment horizontal="center" vertical="center"/>
    </xf>
    <xf numFmtId="0" fontId="3" fillId="4" borderId="26" xfId="0" applyFont="1" applyFill="1" applyBorder="1" applyAlignment="1">
      <alignment horizontal="center" vertical="center" wrapText="1"/>
    </xf>
    <xf numFmtId="49" fontId="3" fillId="4" borderId="20" xfId="0" applyNumberFormat="1" applyFont="1" applyFill="1" applyBorder="1" applyAlignment="1" applyProtection="1">
      <alignment horizontal="center" vertical="center"/>
      <protection locked="0"/>
    </xf>
    <xf numFmtId="49" fontId="3" fillId="4" borderId="21" xfId="0" applyNumberFormat="1" applyFont="1" applyFill="1" applyBorder="1" applyAlignment="1" applyProtection="1">
      <alignment horizontal="center" vertical="center"/>
      <protection locked="0"/>
    </xf>
    <xf numFmtId="49" fontId="3" fillId="4" borderId="22" xfId="0" applyNumberFormat="1" applyFont="1" applyFill="1" applyBorder="1" applyAlignment="1" applyProtection="1">
      <alignment horizontal="center" vertical="center"/>
      <protection locked="0"/>
    </xf>
    <xf numFmtId="49" fontId="3" fillId="4" borderId="20" xfId="0" applyNumberFormat="1" applyFont="1" applyFill="1" applyBorder="1" applyAlignment="1" applyProtection="1">
      <alignment horizontal="center" vertical="center" wrapText="1"/>
      <protection locked="0"/>
    </xf>
    <xf numFmtId="49" fontId="3" fillId="4" borderId="21" xfId="0" applyNumberFormat="1" applyFont="1" applyFill="1" applyBorder="1" applyAlignment="1" applyProtection="1">
      <alignment horizontal="center" vertical="center" wrapText="1"/>
      <protection locked="0"/>
    </xf>
    <xf numFmtId="49" fontId="3" fillId="4" borderId="22" xfId="0" applyNumberFormat="1" applyFont="1" applyFill="1" applyBorder="1" applyAlignment="1" applyProtection="1">
      <alignment horizontal="center" vertical="center" wrapText="1"/>
      <protection locked="0"/>
    </xf>
    <xf numFmtId="49" fontId="3" fillId="4" borderId="26" xfId="0" applyNumberFormat="1" applyFont="1" applyFill="1" applyBorder="1" applyAlignment="1" applyProtection="1">
      <alignment horizontal="center" vertical="center"/>
      <protection locked="0"/>
    </xf>
    <xf numFmtId="0" fontId="3" fillId="4" borderId="22" xfId="0" applyFont="1" applyFill="1" applyBorder="1" applyAlignment="1">
      <alignment horizontal="center" vertical="center" wrapText="1"/>
    </xf>
    <xf numFmtId="0" fontId="12" fillId="2" borderId="0" xfId="0" applyFont="1" applyFill="1">
      <alignment vertical="center"/>
    </xf>
    <xf numFmtId="0" fontId="12" fillId="0" borderId="21" xfId="0" applyFont="1" applyBorder="1" applyAlignment="1">
      <alignment horizontal="center" vertical="center"/>
    </xf>
    <xf numFmtId="0" fontId="12" fillId="4" borderId="21" xfId="0" applyFont="1" applyFill="1" applyBorder="1" applyAlignment="1" applyProtection="1">
      <alignment horizontal="center" vertical="center"/>
      <protection locked="0"/>
    </xf>
    <xf numFmtId="0" fontId="53" fillId="0" borderId="20" xfId="0" applyFont="1" applyBorder="1" applyAlignment="1" applyProtection="1">
      <alignment horizontal="center" vertical="center"/>
      <protection locked="0"/>
    </xf>
    <xf numFmtId="0" fontId="53" fillId="0" borderId="21" xfId="0" applyFont="1" applyBorder="1" applyAlignment="1" applyProtection="1">
      <alignment horizontal="center" vertical="center"/>
      <protection locked="0"/>
    </xf>
    <xf numFmtId="0" fontId="53" fillId="0" borderId="22" xfId="0" applyFont="1" applyBorder="1" applyAlignment="1" applyProtection="1">
      <alignment horizontal="center" vertical="center"/>
      <protection locked="0"/>
    </xf>
    <xf numFmtId="0" fontId="3" fillId="2" borderId="21" xfId="0" applyFont="1" applyFill="1" applyBorder="1" applyAlignment="1">
      <alignment horizontal="center" wrapText="1"/>
    </xf>
    <xf numFmtId="0" fontId="15" fillId="2" borderId="0" xfId="0" applyFont="1" applyFill="1" applyProtection="1">
      <alignment vertical="center"/>
      <protection locked="0"/>
    </xf>
    <xf numFmtId="0" fontId="47" fillId="2" borderId="0" xfId="0" applyFont="1" applyFill="1" applyAlignment="1">
      <alignment horizontal="center" vertical="center"/>
    </xf>
    <xf numFmtId="0" fontId="72" fillId="33" borderId="20" xfId="0" applyFont="1" applyFill="1" applyBorder="1" applyAlignment="1">
      <alignment horizontal="center" vertical="center"/>
    </xf>
    <xf numFmtId="0" fontId="72" fillId="33" borderId="22" xfId="0" applyFont="1" applyFill="1" applyBorder="1" applyAlignment="1">
      <alignment horizontal="center" vertical="center"/>
    </xf>
    <xf numFmtId="0" fontId="78" fillId="12" borderId="20" xfId="0" applyFont="1" applyFill="1" applyBorder="1" applyAlignment="1">
      <alignment horizontal="center" vertical="center"/>
    </xf>
    <xf numFmtId="0" fontId="78" fillId="12" borderId="22" xfId="0" applyFont="1" applyFill="1" applyBorder="1" applyAlignment="1">
      <alignment horizontal="center" vertical="center"/>
    </xf>
    <xf numFmtId="0" fontId="12" fillId="4" borderId="30" xfId="0" applyFont="1" applyFill="1" applyBorder="1" applyAlignment="1">
      <alignment horizontal="center" vertical="center" wrapText="1"/>
    </xf>
    <xf numFmtId="0" fontId="12" fillId="4" borderId="29" xfId="0" applyFont="1" applyFill="1" applyBorder="1" applyAlignment="1">
      <alignment horizontal="center" vertical="center" wrapText="1"/>
    </xf>
    <xf numFmtId="0" fontId="12" fillId="4" borderId="31" xfId="0" applyFont="1" applyFill="1" applyBorder="1" applyAlignment="1">
      <alignment horizontal="center" vertical="center" wrapText="1"/>
    </xf>
    <xf numFmtId="0" fontId="3" fillId="4" borderId="21" xfId="0"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0" xfId="0" applyFont="1" applyFill="1" applyAlignment="1">
      <alignment horizontal="center" vertical="center" wrapText="1"/>
    </xf>
    <xf numFmtId="0" fontId="12" fillId="4" borderId="5" xfId="0" applyFont="1" applyFill="1" applyBorder="1" applyAlignment="1">
      <alignment horizontal="center" vertical="center" wrapText="1"/>
    </xf>
    <xf numFmtId="0" fontId="3" fillId="4" borderId="30" xfId="0" applyFont="1" applyFill="1" applyBorder="1" applyAlignment="1">
      <alignment horizontal="left" vertical="top" wrapText="1"/>
    </xf>
    <xf numFmtId="0" fontId="3" fillId="4" borderId="29" xfId="0" applyFont="1" applyFill="1" applyBorder="1" applyAlignment="1">
      <alignment horizontal="left" vertical="top" wrapText="1"/>
    </xf>
    <xf numFmtId="0" fontId="3" fillId="4" borderId="31" xfId="0" applyFont="1" applyFill="1" applyBorder="1" applyAlignment="1">
      <alignment horizontal="left" vertical="top" wrapText="1"/>
    </xf>
    <xf numFmtId="0" fontId="3" fillId="4" borderId="23" xfId="0" applyFont="1" applyFill="1" applyBorder="1" applyAlignment="1">
      <alignment horizontal="left" vertical="top" wrapText="1"/>
    </xf>
    <xf numFmtId="0" fontId="3" fillId="4" borderId="0" xfId="0" applyFont="1" applyFill="1" applyAlignment="1">
      <alignment horizontal="left" vertical="top" wrapText="1"/>
    </xf>
    <xf numFmtId="0" fontId="3" fillId="4" borderId="5" xfId="0" applyFont="1" applyFill="1" applyBorder="1" applyAlignment="1">
      <alignment horizontal="left" vertical="top" wrapText="1"/>
    </xf>
    <xf numFmtId="0" fontId="12" fillId="4" borderId="7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75" xfId="0" applyFont="1" applyFill="1" applyBorder="1" applyAlignment="1">
      <alignment horizontal="center" vertical="center" wrapText="1"/>
    </xf>
    <xf numFmtId="0" fontId="3" fillId="4" borderId="74" xfId="0" applyFont="1" applyFill="1" applyBorder="1" applyAlignment="1">
      <alignment horizontal="left" vertical="top" wrapText="1"/>
    </xf>
    <xf numFmtId="0" fontId="3" fillId="4" borderId="25" xfId="0" applyFont="1" applyFill="1" applyBorder="1" applyAlignment="1">
      <alignment horizontal="left" vertical="top" wrapText="1"/>
    </xf>
    <xf numFmtId="0" fontId="3" fillId="4" borderId="75" xfId="0" applyFont="1" applyFill="1" applyBorder="1" applyAlignment="1">
      <alignment horizontal="left" vertical="top" wrapText="1"/>
    </xf>
    <xf numFmtId="0" fontId="12" fillId="0" borderId="30" xfId="0" applyFont="1" applyBorder="1" applyAlignment="1" applyProtection="1">
      <alignment horizontal="left" vertical="top" wrapText="1"/>
      <protection locked="0"/>
    </xf>
    <xf numFmtId="0" fontId="12" fillId="0" borderId="29" xfId="0" applyFont="1" applyBorder="1" applyAlignment="1" applyProtection="1">
      <alignment horizontal="left" vertical="top" wrapText="1"/>
      <protection locked="0"/>
    </xf>
    <xf numFmtId="0" fontId="12" fillId="0" borderId="31" xfId="0" applyFont="1" applyBorder="1" applyAlignment="1" applyProtection="1">
      <alignment horizontal="left" vertical="top" wrapText="1"/>
      <protection locked="0"/>
    </xf>
    <xf numFmtId="0" fontId="53" fillId="12" borderId="92" xfId="0" applyFont="1" applyFill="1" applyBorder="1" applyAlignment="1" applyProtection="1">
      <alignment horizontal="center" vertical="center" wrapText="1"/>
      <protection locked="0"/>
    </xf>
    <xf numFmtId="0" fontId="53" fillId="12" borderId="93" xfId="0" applyFont="1" applyFill="1" applyBorder="1" applyAlignment="1" applyProtection="1">
      <alignment horizontal="center" vertical="center" wrapText="1"/>
      <protection locked="0"/>
    </xf>
    <xf numFmtId="0" fontId="53" fillId="12" borderId="94" xfId="0" applyFont="1" applyFill="1" applyBorder="1" applyAlignment="1" applyProtection="1">
      <alignment horizontal="center" vertical="center" wrapText="1"/>
      <protection locked="0"/>
    </xf>
    <xf numFmtId="0" fontId="2" fillId="3" borderId="95" xfId="0" applyFont="1" applyFill="1" applyBorder="1" applyAlignment="1">
      <alignment vertical="center" wrapText="1"/>
    </xf>
    <xf numFmtId="0" fontId="12" fillId="0" borderId="23" xfId="0" applyFont="1" applyBorder="1" applyAlignment="1" applyProtection="1">
      <alignment horizontal="left" vertical="top" wrapText="1"/>
      <protection locked="0"/>
    </xf>
    <xf numFmtId="0" fontId="12" fillId="0" borderId="0" xfId="0" applyFont="1" applyAlignment="1" applyProtection="1">
      <alignment horizontal="left" vertical="top" wrapText="1"/>
      <protection locked="0"/>
    </xf>
    <xf numFmtId="0" fontId="12" fillId="0" borderId="5" xfId="0" applyFont="1" applyBorder="1" applyAlignment="1" applyProtection="1">
      <alignment horizontal="left" vertical="top" wrapText="1"/>
      <protection locked="0"/>
    </xf>
    <xf numFmtId="0" fontId="4" fillId="2" borderId="24" xfId="0" applyFont="1" applyFill="1" applyBorder="1" applyAlignment="1">
      <alignment horizontal="left" wrapText="1"/>
    </xf>
    <xf numFmtId="0" fontId="4" fillId="2" borderId="24" xfId="0" applyFont="1" applyFill="1" applyBorder="1" applyAlignment="1">
      <alignment horizontal="center" wrapText="1"/>
    </xf>
    <xf numFmtId="0" fontId="4" fillId="2" borderId="24" xfId="0" applyFont="1" applyFill="1" applyBorder="1" applyAlignment="1">
      <alignment wrapText="1"/>
    </xf>
    <xf numFmtId="49" fontId="53" fillId="4" borderId="20" xfId="0" applyNumberFormat="1" applyFont="1" applyFill="1" applyBorder="1" applyAlignment="1" applyProtection="1">
      <alignment horizontal="center" vertical="center"/>
      <protection locked="0"/>
    </xf>
    <xf numFmtId="49" fontId="53" fillId="5" borderId="20" xfId="0" applyNumberFormat="1" applyFont="1" applyFill="1" applyBorder="1" applyAlignment="1" applyProtection="1">
      <alignment horizontal="center" vertical="center"/>
      <protection locked="0"/>
    </xf>
    <xf numFmtId="49" fontId="53" fillId="5" borderId="22" xfId="0" applyNumberFormat="1" applyFont="1" applyFill="1" applyBorder="1" applyAlignment="1" applyProtection="1">
      <alignment horizontal="center" vertical="center"/>
      <protection locked="0"/>
    </xf>
    <xf numFmtId="0" fontId="12" fillId="0" borderId="74" xfId="0" applyFont="1" applyBorder="1" applyAlignment="1" applyProtection="1">
      <alignment horizontal="left" vertical="top" wrapText="1"/>
      <protection locked="0"/>
    </xf>
    <xf numFmtId="0" fontId="12" fillId="0" borderId="25" xfId="0" applyFont="1" applyBorder="1" applyAlignment="1" applyProtection="1">
      <alignment horizontal="left" vertical="top" wrapText="1"/>
      <protection locked="0"/>
    </xf>
    <xf numFmtId="0" fontId="12" fillId="0" borderId="75" xfId="0" applyFont="1" applyBorder="1" applyAlignment="1" applyProtection="1">
      <alignment horizontal="left" vertical="top" wrapText="1"/>
      <protection locked="0"/>
    </xf>
    <xf numFmtId="49" fontId="53" fillId="4" borderId="20" xfId="0" applyNumberFormat="1" applyFont="1" applyFill="1" applyBorder="1" applyAlignment="1" applyProtection="1">
      <alignment horizontal="center" vertical="center" wrapText="1"/>
      <protection locked="0"/>
    </xf>
    <xf numFmtId="49" fontId="53" fillId="4" borderId="21" xfId="0" applyNumberFormat="1" applyFont="1" applyFill="1" applyBorder="1" applyAlignment="1" applyProtection="1">
      <alignment horizontal="center" vertical="center" wrapText="1"/>
      <protection locked="0"/>
    </xf>
    <xf numFmtId="49" fontId="53" fillId="4" borderId="22" xfId="0" applyNumberFormat="1" applyFont="1" applyFill="1" applyBorder="1" applyAlignment="1" applyProtection="1">
      <alignment horizontal="center" vertical="center" wrapText="1"/>
      <protection locked="0"/>
    </xf>
    <xf numFmtId="49" fontId="53" fillId="5" borderId="20" xfId="0" applyNumberFormat="1" applyFont="1" applyFill="1" applyBorder="1" applyAlignment="1" applyProtection="1">
      <alignment horizontal="center" vertical="center" wrapText="1"/>
      <protection locked="0"/>
    </xf>
    <xf numFmtId="49" fontId="53" fillId="5" borderId="21" xfId="0" applyNumberFormat="1" applyFont="1" applyFill="1" applyBorder="1" applyAlignment="1" applyProtection="1">
      <alignment horizontal="center" vertical="center" wrapText="1"/>
      <protection locked="0"/>
    </xf>
    <xf numFmtId="49" fontId="53" fillId="5" borderId="22" xfId="0" applyNumberFormat="1" applyFont="1" applyFill="1" applyBorder="1" applyAlignment="1" applyProtection="1">
      <alignment horizontal="center" vertical="center" wrapText="1"/>
      <protection locked="0"/>
    </xf>
    <xf numFmtId="49" fontId="53" fillId="4" borderId="26" xfId="0" applyNumberFormat="1" applyFont="1" applyFill="1" applyBorder="1" applyAlignment="1" applyProtection="1">
      <alignment horizontal="left" vertical="center"/>
      <protection locked="0"/>
    </xf>
    <xf numFmtId="49" fontId="53" fillId="5" borderId="26" xfId="0" applyNumberFormat="1" applyFont="1" applyFill="1" applyBorder="1" applyAlignment="1" applyProtection="1">
      <alignment horizontal="left" vertical="center" wrapText="1"/>
      <protection locked="0"/>
    </xf>
    <xf numFmtId="49" fontId="53" fillId="4" borderId="26" xfId="0" applyNumberFormat="1" applyFont="1" applyFill="1" applyBorder="1" applyAlignment="1" applyProtection="1">
      <alignment horizontal="left" vertical="center" wrapText="1"/>
      <protection locked="0"/>
    </xf>
    <xf numFmtId="0" fontId="2" fillId="3" borderId="0" xfId="0" applyFont="1" applyFill="1" applyAlignment="1" applyProtection="1">
      <alignment horizontal="center" vertical="center" wrapText="1"/>
      <protection locked="0"/>
    </xf>
    <xf numFmtId="0" fontId="12" fillId="2" borderId="25" xfId="0" applyFont="1" applyFill="1" applyBorder="1" applyAlignment="1">
      <alignment vertical="center" wrapText="1"/>
    </xf>
    <xf numFmtId="0" fontId="12" fillId="4" borderId="26" xfId="0" applyFont="1" applyFill="1" applyBorder="1" applyAlignment="1">
      <alignment horizontal="center" vertical="center" wrapText="1"/>
    </xf>
    <xf numFmtId="0" fontId="12" fillId="5" borderId="26" xfId="0" applyFont="1" applyFill="1" applyBorder="1" applyAlignment="1">
      <alignment horizontal="center" vertical="center" wrapText="1"/>
    </xf>
    <xf numFmtId="0" fontId="2" fillId="3" borderId="25" xfId="0" applyFont="1" applyFill="1" applyBorder="1" applyAlignment="1">
      <alignment horizontal="center" vertical="center" wrapText="1"/>
    </xf>
    <xf numFmtId="49" fontId="51" fillId="4" borderId="30" xfId="0" applyNumberFormat="1" applyFont="1" applyFill="1" applyBorder="1" applyAlignment="1" applyProtection="1">
      <alignment horizontal="left" vertical="top" wrapText="1"/>
      <protection locked="0"/>
    </xf>
    <xf numFmtId="49" fontId="51" fillId="4" borderId="29" xfId="0" applyNumberFormat="1" applyFont="1" applyFill="1" applyBorder="1" applyAlignment="1" applyProtection="1">
      <alignment horizontal="left" vertical="top" wrapText="1"/>
      <protection locked="0"/>
    </xf>
    <xf numFmtId="49" fontId="51" fillId="4" borderId="31" xfId="0" applyNumberFormat="1" applyFont="1" applyFill="1" applyBorder="1" applyAlignment="1" applyProtection="1">
      <alignment horizontal="left" vertical="top" wrapText="1"/>
      <protection locked="0"/>
    </xf>
    <xf numFmtId="49" fontId="51" fillId="4" borderId="23" xfId="0" applyNumberFormat="1" applyFont="1" applyFill="1" applyBorder="1" applyAlignment="1" applyProtection="1">
      <alignment horizontal="left" vertical="top" wrapText="1"/>
      <protection locked="0"/>
    </xf>
    <xf numFmtId="49" fontId="51" fillId="4" borderId="0" xfId="0" applyNumberFormat="1" applyFont="1" applyFill="1" applyAlignment="1" applyProtection="1">
      <alignment horizontal="left" vertical="top" wrapText="1"/>
      <protection locked="0"/>
    </xf>
    <xf numFmtId="49" fontId="51" fillId="4" borderId="5" xfId="0" applyNumberFormat="1" applyFont="1" applyFill="1" applyBorder="1" applyAlignment="1" applyProtection="1">
      <alignment horizontal="left" vertical="top" wrapText="1"/>
      <protection locked="0"/>
    </xf>
    <xf numFmtId="49" fontId="51" fillId="4" borderId="74" xfId="0" applyNumberFormat="1" applyFont="1" applyFill="1" applyBorder="1" applyAlignment="1" applyProtection="1">
      <alignment horizontal="left" vertical="top" wrapText="1"/>
      <protection locked="0"/>
    </xf>
    <xf numFmtId="49" fontId="51" fillId="4" borderId="25" xfId="0" applyNumberFormat="1" applyFont="1" applyFill="1" applyBorder="1" applyAlignment="1" applyProtection="1">
      <alignment horizontal="left" vertical="top" wrapText="1"/>
      <protection locked="0"/>
    </xf>
    <xf numFmtId="49" fontId="51" fillId="4" borderId="75" xfId="0" applyNumberFormat="1" applyFont="1" applyFill="1" applyBorder="1" applyAlignment="1" applyProtection="1">
      <alignment horizontal="left" vertical="top" wrapText="1"/>
      <protection locked="0"/>
    </xf>
    <xf numFmtId="0" fontId="2" fillId="10" borderId="30" xfId="0" applyFont="1" applyFill="1" applyBorder="1" applyAlignment="1">
      <alignment horizontal="center" vertical="center"/>
    </xf>
    <xf numFmtId="0" fontId="2" fillId="10" borderId="29" xfId="0" applyFont="1" applyFill="1" applyBorder="1" applyAlignment="1">
      <alignment horizontal="center" vertical="center"/>
    </xf>
    <xf numFmtId="0" fontId="2" fillId="10" borderId="31" xfId="0" applyFont="1" applyFill="1" applyBorder="1" applyAlignment="1">
      <alignment horizontal="center" vertical="center"/>
    </xf>
    <xf numFmtId="0" fontId="12" fillId="4" borderId="20" xfId="0" applyFont="1" applyFill="1" applyBorder="1" applyAlignment="1" applyProtection="1">
      <alignment horizontal="left" vertical="center"/>
      <protection locked="0"/>
    </xf>
    <xf numFmtId="0" fontId="12" fillId="4" borderId="21" xfId="0" applyFont="1" applyFill="1" applyBorder="1" applyAlignment="1" applyProtection="1">
      <alignment horizontal="left" vertical="center"/>
      <protection locked="0"/>
    </xf>
    <xf numFmtId="0" fontId="12" fillId="4" borderId="22" xfId="0" applyFont="1" applyFill="1" applyBorder="1" applyAlignment="1" applyProtection="1">
      <alignment horizontal="left" vertical="center"/>
      <protection locked="0"/>
    </xf>
    <xf numFmtId="0" fontId="12" fillId="5" borderId="21" xfId="0" applyFont="1" applyFill="1" applyBorder="1" applyAlignment="1">
      <alignment horizontal="center" vertical="center" wrapText="1"/>
    </xf>
    <xf numFmtId="0" fontId="12" fillId="5" borderId="22" xfId="0" applyFont="1" applyFill="1" applyBorder="1" applyAlignment="1">
      <alignment horizontal="center" vertical="center" wrapText="1"/>
    </xf>
    <xf numFmtId="0" fontId="2" fillId="10" borderId="74" xfId="0" applyFont="1" applyFill="1" applyBorder="1" applyAlignment="1">
      <alignment horizontal="center" vertical="center"/>
    </xf>
    <xf numFmtId="0" fontId="2" fillId="10" borderId="25" xfId="0" applyFont="1" applyFill="1" applyBorder="1" applyAlignment="1">
      <alignment horizontal="center" vertical="center"/>
    </xf>
    <xf numFmtId="0" fontId="2" fillId="10" borderId="75" xfId="0" applyFont="1" applyFill="1" applyBorder="1" applyAlignment="1">
      <alignment horizontal="center" vertical="center"/>
    </xf>
    <xf numFmtId="0" fontId="12" fillId="5" borderId="20" xfId="0" applyFont="1" applyFill="1" applyBorder="1" applyAlignment="1" applyProtection="1">
      <alignment horizontal="left" vertical="center"/>
      <protection locked="0"/>
    </xf>
    <xf numFmtId="0" fontId="12" fillId="5" borderId="21" xfId="0" applyFont="1" applyFill="1" applyBorder="1" applyAlignment="1" applyProtection="1">
      <alignment horizontal="left" vertical="center"/>
      <protection locked="0"/>
    </xf>
    <xf numFmtId="0" fontId="12" fillId="5" borderId="22" xfId="0" applyFont="1" applyFill="1" applyBorder="1" applyAlignment="1" applyProtection="1">
      <alignment horizontal="left" vertical="center"/>
      <protection locked="0"/>
    </xf>
    <xf numFmtId="0" fontId="2" fillId="10" borderId="20" xfId="0" applyFont="1" applyFill="1" applyBorder="1" applyAlignment="1">
      <alignment horizontal="center" vertical="center"/>
    </xf>
    <xf numFmtId="0" fontId="2" fillId="10" borderId="21" xfId="0" applyFont="1" applyFill="1" applyBorder="1" applyAlignment="1">
      <alignment horizontal="center" vertical="center"/>
    </xf>
    <xf numFmtId="0" fontId="2" fillId="10" borderId="22" xfId="0" applyFont="1" applyFill="1" applyBorder="1" applyAlignment="1">
      <alignment horizontal="center" vertical="center"/>
    </xf>
    <xf numFmtId="0" fontId="12" fillId="5" borderId="20" xfId="0" applyFont="1" applyFill="1" applyBorder="1" applyAlignment="1" applyProtection="1">
      <alignment horizontal="center" vertical="center"/>
      <protection locked="0"/>
    </xf>
    <xf numFmtId="0" fontId="12" fillId="5" borderId="21" xfId="0" applyFont="1" applyFill="1" applyBorder="1" applyAlignment="1" applyProtection="1">
      <alignment horizontal="center" vertical="center"/>
      <protection locked="0"/>
    </xf>
    <xf numFmtId="0" fontId="12" fillId="5" borderId="22" xfId="0" applyFont="1" applyFill="1" applyBorder="1" applyAlignment="1" applyProtection="1">
      <alignment horizontal="center" vertical="center"/>
      <protection locked="0"/>
    </xf>
    <xf numFmtId="0" fontId="2" fillId="10" borderId="23" xfId="0" applyFont="1" applyFill="1" applyBorder="1" applyAlignment="1">
      <alignment horizontal="center" vertical="center" wrapText="1"/>
    </xf>
    <xf numFmtId="0" fontId="2" fillId="10" borderId="0" xfId="0" applyFont="1" applyFill="1" applyAlignment="1">
      <alignment horizontal="center" vertical="center" wrapText="1"/>
    </xf>
    <xf numFmtId="0" fontId="2" fillId="10" borderId="5" xfId="0" applyFont="1" applyFill="1" applyBorder="1" applyAlignment="1">
      <alignment horizontal="center" vertical="center" wrapText="1"/>
    </xf>
    <xf numFmtId="0" fontId="12" fillId="4" borderId="26" xfId="0" applyFont="1" applyFill="1" applyBorder="1" applyAlignment="1">
      <alignment horizontal="center" vertical="center"/>
    </xf>
    <xf numFmtId="0" fontId="12" fillId="4" borderId="30" xfId="0" applyFont="1" applyFill="1" applyBorder="1" applyAlignment="1" applyProtection="1">
      <alignment horizontal="center" vertical="top" wrapText="1"/>
      <protection locked="0"/>
    </xf>
    <xf numFmtId="0" fontId="12" fillId="4" borderId="29" xfId="0" applyFont="1" applyFill="1" applyBorder="1" applyAlignment="1" applyProtection="1">
      <alignment horizontal="center" vertical="top" wrapText="1"/>
      <protection locked="0"/>
    </xf>
    <xf numFmtId="0" fontId="12" fillId="4" borderId="31" xfId="0" applyFont="1" applyFill="1" applyBorder="1" applyAlignment="1" applyProtection="1">
      <alignment horizontal="center" vertical="top" wrapText="1"/>
      <protection locked="0"/>
    </xf>
    <xf numFmtId="0" fontId="12" fillId="4" borderId="23" xfId="0" applyFont="1" applyFill="1" applyBorder="1" applyAlignment="1" applyProtection="1">
      <alignment horizontal="center" vertical="top" wrapText="1"/>
      <protection locked="0"/>
    </xf>
    <xf numFmtId="0" fontId="12" fillId="4" borderId="0" xfId="0" applyFont="1" applyFill="1" applyAlignment="1" applyProtection="1">
      <alignment horizontal="center" vertical="top" wrapText="1"/>
      <protection locked="0"/>
    </xf>
    <xf numFmtId="0" fontId="12" fillId="4" borderId="5" xfId="0" applyFont="1" applyFill="1" applyBorder="1" applyAlignment="1" applyProtection="1">
      <alignment horizontal="center" vertical="top" wrapText="1"/>
      <protection locked="0"/>
    </xf>
    <xf numFmtId="0" fontId="12" fillId="4" borderId="74" xfId="0" applyFont="1" applyFill="1" applyBorder="1" applyAlignment="1" applyProtection="1">
      <alignment horizontal="center" vertical="top" wrapText="1"/>
      <protection locked="0"/>
    </xf>
    <xf numFmtId="0" fontId="12" fillId="4" borderId="25" xfId="0" applyFont="1" applyFill="1" applyBorder="1" applyAlignment="1" applyProtection="1">
      <alignment horizontal="center" vertical="top" wrapText="1"/>
      <protection locked="0"/>
    </xf>
    <xf numFmtId="0" fontId="12" fillId="4" borderId="75" xfId="0" applyFont="1" applyFill="1" applyBorder="1" applyAlignment="1" applyProtection="1">
      <alignment horizontal="center" vertical="top" wrapText="1"/>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32">
    <dxf>
      <font>
        <color rgb="FF9C0006"/>
      </font>
      <fill>
        <patternFill patternType="solid">
          <bgColor rgb="FFFFC7CE"/>
        </patternFill>
      </fill>
    </dxf>
    <dxf>
      <font>
        <b val="1"/>
        <i val="0"/>
        <color rgb="FF00B0F0"/>
      </font>
    </dxf>
    <dxf>
      <fill>
        <patternFill patternType="solid">
          <bgColor theme="5" tint="0.399945066682943"/>
        </patternFill>
      </fill>
    </dxf>
    <dxf>
      <fill>
        <patternFill patternType="solid">
          <bgColor theme="5" tint="0.799981688894314"/>
        </patternFill>
      </fill>
    </dxf>
    <dxf>
      <font>
        <color rgb="FF00E900"/>
      </font>
      <fill>
        <patternFill patternType="solid">
          <bgColor theme="0"/>
        </patternFill>
      </fill>
    </dxf>
    <dxf>
      <font>
        <color rgb="FFFE9C00"/>
      </font>
      <fill>
        <patternFill patternType="solid">
          <bgColor theme="0" tint="-0.149998474074526"/>
        </patternFill>
      </fill>
    </dxf>
    <dxf>
      <font>
        <color rgb="FFDE0000"/>
      </font>
      <fill>
        <patternFill patternType="solid">
          <bgColor theme="0" tint="-0.349986266670736"/>
        </patternFill>
      </fill>
    </dxf>
    <dxf>
      <font>
        <color theme="0"/>
      </font>
    </dxf>
    <dxf>
      <fill>
        <patternFill patternType="solid">
          <bgColor theme="4" tint="0.799981688894314"/>
        </patternFill>
      </fill>
    </dxf>
    <dxf>
      <fill>
        <patternFill patternType="solid">
          <bgColor theme="5" tint="0.799981688894314"/>
        </patternFill>
      </fill>
    </dxf>
    <dxf>
      <fill>
        <gradientFill degree="180">
          <stop position="0">
            <color theme="0"/>
          </stop>
          <stop position="1">
            <color theme="5" tint="0.80001220740379"/>
          </stop>
        </gradientFill>
      </fill>
    </dxf>
    <dxf>
      <fill>
        <gradientFill>
          <stop position="0">
            <color theme="0"/>
          </stop>
          <stop position="1">
            <color theme="4" tint="0.80001220740379"/>
          </stop>
        </gradientFill>
      </fill>
    </dxf>
    <dxf>
      <fill>
        <patternFill patternType="solid">
          <bgColor theme="9" tint="0.799981688894314"/>
        </patternFill>
      </fill>
    </dxf>
    <dxf>
      <fill>
        <patternFill patternType="solid">
          <bgColor theme="5" tint="0.599963377788629"/>
        </patternFill>
      </fill>
    </dxf>
    <dxf>
      <numFmt numFmtId="0" formatCode="General"/>
    </dxf>
    <dxf>
      <font>
        <color theme="0"/>
      </font>
    </dxf>
    <dxf>
      <font>
        <color rgb="FFFF0000"/>
      </font>
    </dxf>
    <dxf>
      <font>
        <b val="1"/>
        <i val="0"/>
        <color rgb="FFFF0000"/>
      </font>
    </dxf>
    <dxf>
      <fill>
        <gradientFill>
          <stop position="0">
            <color theme="5" tint="0.80001220740379"/>
          </stop>
          <stop position="1">
            <color theme="4" tint="0.80001220740379"/>
          </stop>
        </gradientFill>
      </fill>
    </dxf>
    <dxf>
      <fill>
        <gradientFill degree="180">
          <stop position="0">
            <color theme="4" tint="0.80001220740379"/>
          </stop>
          <stop position="1">
            <color theme="5" tint="0.80001220740379"/>
          </stop>
        </gradientFill>
      </fill>
    </dxf>
    <dxf>
      <font>
        <color rgb="FFF7F7EB"/>
      </font>
      <fill>
        <patternFill patternType="solid">
          <bgColor rgb="FFF7F7EB"/>
        </patternFill>
      </fill>
      <border>
        <left/>
        <right/>
        <top/>
        <bottom/>
      </border>
    </dxf>
    <dxf>
      <font>
        <color rgb="FFF7F7EB"/>
      </font>
      <fill>
        <patternFill patternType="solid">
          <bgColor rgb="FFF7F7EB"/>
        </patternFill>
      </fill>
      <border>
        <left/>
        <right/>
        <bottom/>
      </border>
    </dxf>
    <dxf>
      <font>
        <color rgb="FFF7F7EB"/>
      </font>
      <fill>
        <patternFill patternType="solid">
          <bgColor rgb="FFF7F7EB"/>
        </patternFill>
      </fill>
      <border>
        <right/>
        <top/>
        <bottom/>
      </border>
    </dxf>
    <dxf>
      <font>
        <b val="1"/>
        <i val="0"/>
        <color theme="1"/>
      </font>
    </dxf>
    <dxf>
      <font>
        <b val="1"/>
        <i val="0"/>
        <color auto="1"/>
      </font>
      <fill>
        <patternFill patternType="none"/>
      </fill>
    </dxf>
    <dxf>
      <font>
        <color theme="4" tint="-0.249946592608417"/>
      </font>
    </dxf>
    <dxf>
      <fill>
        <patternFill patternType="solid">
          <bgColor rgb="FFF7F7EB"/>
        </patternFill>
      </fill>
      <border>
        <right style="thin">
          <color rgb="FFF7F7EB"/>
        </right>
        <bottom style="thin">
          <color rgb="FFF7F7EB"/>
        </bottom>
      </border>
    </dxf>
    <dxf>
      <font>
        <color rgb="FFF7F7EB"/>
      </font>
      <fill>
        <patternFill patternType="solid">
          <bgColor rgb="FFF7F7EB"/>
        </patternFill>
      </fill>
      <border>
        <left style="thin">
          <color rgb="FFF7F7EB"/>
        </left>
        <right style="thin">
          <color rgb="FFF7F7EB"/>
        </right>
        <bottom style="thin">
          <color rgb="FFF7F7EB"/>
        </bottom>
      </border>
    </dxf>
    <dxf>
      <font>
        <color theme="4" tint="-0.249946592608417"/>
      </font>
    </dxf>
    <dxf>
      <fill>
        <patternFill patternType="solid">
          <bgColor rgb="FFF7F7EB"/>
        </patternFill>
      </fill>
      <border>
        <left style="thin">
          <color rgb="FFF7F7EB"/>
        </left>
        <right style="thin">
          <color rgb="FFF7F7EB"/>
        </right>
        <bottom style="thin">
          <color rgb="FFF7F7EB"/>
        </bottom>
      </border>
    </dxf>
    <dxf>
      <font>
        <color rgb="FFF7F7EB"/>
      </font>
    </dxf>
    <dxf>
      <fill>
        <patternFill patternType="solid">
          <bgColor theme="0"/>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0000BA00"/>
      <color rgb="00F7F7EB"/>
      <color rgb="00C6E0B4"/>
      <color rgb="00FF9999"/>
      <color rgb="00DDEBF7"/>
      <color rgb="00009F00"/>
      <color rgb="0000B050"/>
      <color rgb="00B4C6E7"/>
      <color rgb="0000D800"/>
      <color rgb="00833C0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"基础属性"</c:f>
              <c:strCache>
                <c:ptCount val="1"/>
                <c:pt idx="0">
                  <c:v>基础属性</c:v>
                </c:pt>
              </c:strCache>
            </c:strRef>
          </c:tx>
          <c:spPr>
            <a:solidFill>
              <a:srgbClr val="00B0F0">
                <a:alpha val="75000"/>
              </a:srgbClr>
            </a:solidFill>
            <a:ln>
              <a:noFill/>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8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multiLvlStrRef>
              <c:f>主要!$C$14:$E$19</c:f>
              <c:multiLvlStrCache>
                <c:ptCount val="6"/>
                <c:lvl/>
                <c:lvl/>
                <c:lvl>
                  <c:pt idx="0">
                    <c:v>力量</c:v>
                  </c:pt>
                  <c:pt idx="1">
                    <c:v>敏捷</c:v>
                  </c:pt>
                  <c:pt idx="2">
                    <c:v>体质</c:v>
                  </c:pt>
                  <c:pt idx="3">
                    <c:v>智力</c:v>
                  </c:pt>
                  <c:pt idx="4">
                    <c:v>感知</c:v>
                  </c:pt>
                  <c:pt idx="5">
                    <c:v>魅力</c:v>
                  </c:pt>
                </c:lvl>
              </c:multiLvlStrCache>
            </c:multiLvlStrRef>
          </c:cat>
          <c:val>
            <c:numRef>
              <c:f>主要!$F$14:$F$19</c:f>
              <c:numCache>
                <c:formatCode>General</c:formatCode>
                <c:ptCount val="6"/>
                <c:pt idx="0">
                  <c:v>8</c:v>
                </c:pt>
                <c:pt idx="1">
                  <c:v>8</c:v>
                </c:pt>
                <c:pt idx="2">
                  <c:v>8</c:v>
                </c:pt>
                <c:pt idx="3">
                  <c:v>8</c:v>
                </c:pt>
                <c:pt idx="4">
                  <c:v>8</c:v>
                </c:pt>
                <c:pt idx="5">
                  <c:v>8</c:v>
                </c:pt>
              </c:numCache>
            </c:numRef>
          </c:val>
        </c:ser>
        <c:dLbls>
          <c:showLegendKey val="0"/>
          <c:showVal val="0"/>
          <c:showCatName val="0"/>
          <c:showSerName val="0"/>
          <c:showPercent val="0"/>
          <c:showBubbleSize val="0"/>
        </c:dLbls>
        <c:axId val="17485398"/>
        <c:axId val="602771328"/>
      </c:radarChart>
      <c:catAx>
        <c:axId val="1748539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602771328"/>
        <c:crosses val="autoZero"/>
        <c:auto val="1"/>
        <c:lblAlgn val="ctr"/>
        <c:lblOffset val="100"/>
        <c:noMultiLvlLbl val="0"/>
      </c:catAx>
      <c:valAx>
        <c:axId val="602771328"/>
        <c:scaling>
          <c:orientation val="minMax"/>
          <c:max val="25"/>
        </c:scaling>
        <c:delete val="0"/>
        <c:axPos val="l"/>
        <c:majorGridlines>
          <c:spPr>
            <a:ln w="9525" cap="rnd" cmpd="sng" algn="ctr">
              <a:solidFill>
                <a:schemeClr val="bg1">
                  <a:lumMod val="50000"/>
                </a:schemeClr>
              </a:solidFill>
              <a:round/>
            </a:ln>
            <a:effectLst/>
          </c:spPr>
        </c:majorGridlines>
        <c:numFmt formatCode="General" sourceLinked="1"/>
        <c:majorTickMark val="none"/>
        <c:minorTickMark val="none"/>
        <c:tickLblPos val="none"/>
        <c:spPr>
          <a:noFill/>
          <a:ln>
            <a:noFill/>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17485398"/>
        <c:crosses val="autoZero"/>
        <c:crossBetween val="between"/>
      </c:valAx>
      <c:spPr>
        <a:noFill/>
        <a:ln>
          <a:noFill/>
        </a:ln>
        <a:effectLst/>
      </c:spPr>
    </c:plotArea>
    <c:plotVisOnly val="1"/>
    <c:dispBlanksAs val="gap"/>
    <c:showDLblsOverMax val="0"/>
    <c:extLst>
      <c:ext uri="{0b15fc19-7d7d-44ad-8c2d-2c3a37ce22c3}">
        <chartProps xmlns="https://web.wps.cn/et/2018/main" chartId="{eb971605-3b34-4576-8bc6-5d7d35a594f5}"/>
      </c:ext>
    </c:extLst>
  </c:chart>
  <c:spPr>
    <a:solidFill>
      <a:schemeClr val="bg1"/>
    </a:solidFill>
    <a:ln w="9525" cap="flat" cmpd="sng" algn="ctr">
      <a:solidFill>
        <a:schemeClr val="bg1">
          <a:lumMod val="85000"/>
        </a:schemeClr>
      </a:solidFill>
      <a:round/>
    </a:ln>
    <a:effectLst/>
  </c:spPr>
  <c:txPr>
    <a:bodyPr/>
    <a:lstStyle/>
    <a:p>
      <a:pPr>
        <a:defRPr lang="zh-CN" sz="1000">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rgbClr val="00B0F0">
                  <a:alpha val="75000"/>
                </a:srgbClr>
              </a:solidFill>
              <a:round/>
            </a:ln>
            <a:effectLst/>
          </c:spPr>
          <c:marker>
            <c:symbol val="circle"/>
            <c:size val="5"/>
            <c:spPr>
              <a:solidFill>
                <a:srgbClr val="0070C0">
                  <a:alpha val="75000"/>
                </a:srgbClr>
              </a:solidFill>
              <a:ln w="9525">
                <a:noFill/>
              </a:ln>
              <a:effectLst/>
            </c:spPr>
          </c:marker>
          <c:dPt>
            <c:idx val="1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dPt>
          <c:dLbls>
            <c:spPr>
              <a:noFill/>
              <a:ln>
                <a:noFill/>
              </a:ln>
              <a:effectLst/>
            </c:spPr>
            <c:txPr>
              <a:bodyPr rot="0" spcFirstLastPara="0" vertOverflow="ellipsis" vert="horz" wrap="square" lIns="38100" tIns="19050" rIns="38100" bIns="19050" anchor="ctr" anchorCtr="1"/>
              <a:lstStyle/>
              <a:p>
                <a:pPr>
                  <a:defRPr lang="zh-CN" sz="6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综合数据!$O$2:$O$19</c:f>
              <c:strCache>
                <c:ptCount val="18"/>
                <c:pt idx="0">
                  <c:v>运动</c:v>
                </c:pt>
                <c:pt idx="1">
                  <c:v>体操</c:v>
                </c:pt>
                <c:pt idx="2">
                  <c:v>巧手</c:v>
                </c:pt>
                <c:pt idx="3">
                  <c:v>隐匿</c:v>
                </c:pt>
                <c:pt idx="4">
                  <c:v>奥秘</c:v>
                </c:pt>
                <c:pt idx="5">
                  <c:v>历史</c:v>
                </c:pt>
                <c:pt idx="6">
                  <c:v>调查</c:v>
                </c:pt>
                <c:pt idx="7">
                  <c:v>自然</c:v>
                </c:pt>
                <c:pt idx="8">
                  <c:v>宗教</c:v>
                </c:pt>
                <c:pt idx="9">
                  <c:v>驯兽</c:v>
                </c:pt>
                <c:pt idx="10">
                  <c:v>洞悉</c:v>
                </c:pt>
                <c:pt idx="11">
                  <c:v>医药</c:v>
                </c:pt>
                <c:pt idx="12">
                  <c:v>察觉</c:v>
                </c:pt>
                <c:pt idx="13">
                  <c:v>求生</c:v>
                </c:pt>
                <c:pt idx="14">
                  <c:v>欺瞒</c:v>
                </c:pt>
                <c:pt idx="15">
                  <c:v>威吓</c:v>
                </c:pt>
                <c:pt idx="16">
                  <c:v>表演</c:v>
                </c:pt>
                <c:pt idx="17">
                  <c:v>游说</c:v>
                </c:pt>
              </c:strCache>
            </c:strRef>
          </c:cat>
          <c:val>
            <c:numRef>
              <c:f>综合数据!$P$2:$P$19</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ser>
        <c:dLbls>
          <c:showLegendKey val="0"/>
          <c:showVal val="0"/>
          <c:showCatName val="0"/>
          <c:showSerName val="0"/>
          <c:showPercent val="0"/>
          <c:showBubbleSize val="0"/>
        </c:dLbls>
        <c:axId val="997996615"/>
        <c:axId val="630222631"/>
      </c:radarChart>
      <c:catAx>
        <c:axId val="9979966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630222631"/>
        <c:crosses val="autoZero"/>
        <c:auto val="1"/>
        <c:lblAlgn val="ctr"/>
        <c:lblOffset val="100"/>
        <c:noMultiLvlLbl val="0"/>
      </c:catAx>
      <c:valAx>
        <c:axId val="630222631"/>
        <c:scaling>
          <c:orientation val="minMax"/>
          <c:max val="15"/>
          <c:min val="-6"/>
        </c:scaling>
        <c:delete val="0"/>
        <c:axPos val="l"/>
        <c:majorGridlines>
          <c:spPr>
            <a:ln w="9525" cap="flat" cmpd="sng" algn="ctr">
              <a:solidFill>
                <a:schemeClr val="bg1">
                  <a:lumMod val="50000"/>
                </a:schemeClr>
              </a:solidFill>
              <a:round/>
            </a:ln>
            <a:effectLst/>
          </c:spPr>
        </c:majorGridlines>
        <c:numFmt formatCode="General" sourceLinked="1"/>
        <c:majorTickMark val="in"/>
        <c:minorTickMark val="none"/>
        <c:tickLblPos val="none"/>
        <c:spPr>
          <a:noFill/>
          <a:ln>
            <a:solidFill>
              <a:schemeClr val="bg1">
                <a:lumMod val="85000"/>
              </a:schemeClr>
            </a:solid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997996615"/>
        <c:crosses val="autoZero"/>
        <c:crossBetween val="between"/>
        <c:majorUnit val="6"/>
      </c:valAx>
      <c:spPr>
        <a:noFill/>
        <a:ln>
          <a:noFill/>
        </a:ln>
        <a:effectLst/>
      </c:spPr>
    </c:plotArea>
    <c:plotVisOnly val="1"/>
    <c:dispBlanksAs val="gap"/>
    <c:showDLblsOverMax val="0"/>
    <c:extLst>
      <c:ext uri="{0b15fc19-7d7d-44ad-8c2d-2c3a37ce22c3}">
        <chartProps xmlns="https://web.wps.cn/et/2018/main" chartId="{08b20cb7-e99c-445c-b2a0-0e59a1c2e9d2}"/>
      </c:ext>
    </c:extLst>
  </c:chart>
  <c:spPr>
    <a:solidFill>
      <a:schemeClr val="bg1"/>
    </a:solidFill>
    <a:ln w="9525" cap="flat" cmpd="sng" algn="ctr">
      <a:solidFill>
        <a:schemeClr val="bg1">
          <a:lumMod val="85000"/>
        </a:schemeClr>
      </a:solidFill>
      <a:round/>
    </a:ln>
    <a:effectLst/>
  </c:spPr>
  <c:txPr>
    <a:bodyPr/>
    <a:lstStyle/>
    <a:p>
      <a:pPr>
        <a:defRPr lang="zh-CN">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16" fmlaLink="L26" max="9999" page="10" val="1"/>
</file>

<file path=xl/ctrlProps/ctrlProp2.xml><?xml version="1.0" encoding="utf-8"?>
<formControlPr xmlns="http://schemas.microsoft.com/office/spreadsheetml/2009/9/main" objectType="Spin" dx="16" fmlaLink="$M$23" max="9999" page="10" val="0"/>
</file>

<file path=xl/ctrlProps/ctrlProp3.xml><?xml version="1.0" encoding="utf-8"?>
<formControlPr xmlns="http://schemas.microsoft.com/office/spreadsheetml/2009/9/main" objectType="Spin" dx="16" fmlaLink="$X$23" max="9999" page="10" val="0"/>
</file>

<file path=xl/ctrlProps/ctrlProp4.xml><?xml version="1.0" encoding="utf-8"?>
<formControlPr xmlns="http://schemas.microsoft.com/office/spreadsheetml/2009/9/main" objectType="Spin" dx="16" fmlaLink="$AR$41" max="100" page="10" val="0"/>
</file>

<file path=xl/ctrlProps/ctrlProp5.xml><?xml version="1.0" encoding="utf-8"?>
<formControlPr xmlns="http://schemas.microsoft.com/office/spreadsheetml/2009/9/main" objectType="Spin" dx="16" fmlaLink="$AR$42" max="100" page="10" val="0"/>
</file>

<file path=xl/ctrlProps/ctrlProp6.xml><?xml version="1.0" encoding="utf-8"?>
<formControlPr xmlns="http://schemas.microsoft.com/office/spreadsheetml/2009/9/main" objectType="Spin" dx="16" fmlaLink="$AR$43" max="100" page="10" val="0"/>
</file>

<file path=xl/ctrlProps/ctrlProp7.xml><?xml version="1.0" encoding="utf-8"?>
<formControlPr xmlns="http://schemas.microsoft.com/office/spreadsheetml/2009/9/main" objectType="Spin" dx="16" fmlaLink="$AR$44" max="100" page="10" val="0"/>
</file>

<file path=xl/ctrlProps/ctrlProp8.xml><?xml version="1.0" encoding="utf-8"?>
<formControlPr xmlns="http://schemas.microsoft.com/office/spreadsheetml/2009/9/main" objectType="Spin" dx="16" fmlaLink="$AR$45" max="100" page="10" val="0"/>
</file>

<file path=xl/ctrlProps/ctrlProp9.xml><?xml version="1.0" encoding="utf-8"?>
<formControlPr xmlns="http://schemas.microsoft.com/office/spreadsheetml/2009/9/main" objectType="CheckBox" fmlaLink="综合数据!Q3" val="0"/>
</file>

<file path=xl/ctrlProps/ctrlProp10.xml><?xml version="1.0" encoding="utf-8"?>
<formControlPr xmlns="http://schemas.microsoft.com/office/spreadsheetml/2009/9/main" objectType="CheckBox" fmlaLink="综合数据!Q4" val="0"/>
</file>

<file path=xl/ctrlProps/ctrlProp11.xml><?xml version="1.0" encoding="utf-8"?>
<formControlPr xmlns="http://schemas.microsoft.com/office/spreadsheetml/2009/9/main" objectType="CheckBox" fmlaLink="综合数据!Q5" val="0"/>
</file>

<file path=xl/ctrlProps/ctrlProp12.xml><?xml version="1.0" encoding="utf-8"?>
<formControlPr xmlns="http://schemas.microsoft.com/office/spreadsheetml/2009/9/main" objectType="CheckBox" fmlaLink="综合数据!Q6" val="0"/>
</file>

<file path=xl/ctrlProps/ctrlProp13.xml><?xml version="1.0" encoding="utf-8"?>
<formControlPr xmlns="http://schemas.microsoft.com/office/spreadsheetml/2009/9/main" objectType="CheckBox" fmlaLink="综合数据!Q7" val="0"/>
</file>

<file path=xl/ctrlProps/ctrlProp14.xml><?xml version="1.0" encoding="utf-8"?>
<formControlPr xmlns="http://schemas.microsoft.com/office/spreadsheetml/2009/9/main" objectType="CheckBox" fmlaLink="综合数据!Q8" val="0"/>
</file>

<file path=xl/ctrlProps/ctrlProp15.xml><?xml version="1.0" encoding="utf-8"?>
<formControlPr xmlns="http://schemas.microsoft.com/office/spreadsheetml/2009/9/main" objectType="CheckBox" fmlaLink="综合数据!Q9" val="0"/>
</file>

<file path=xl/ctrlProps/ctrlProp16.xml><?xml version="1.0" encoding="utf-8"?>
<formControlPr xmlns="http://schemas.microsoft.com/office/spreadsheetml/2009/9/main" objectType="CheckBox" fmlaLink="综合数据!Q10" val="0"/>
</file>

<file path=xl/ctrlProps/ctrlProp17.xml><?xml version="1.0" encoding="utf-8"?>
<formControlPr xmlns="http://schemas.microsoft.com/office/spreadsheetml/2009/9/main" objectType="CheckBox" fmlaLink="综合数据!Q11" val="0"/>
</file>

<file path=xl/ctrlProps/ctrlProp18.xml><?xml version="1.0" encoding="utf-8"?>
<formControlPr xmlns="http://schemas.microsoft.com/office/spreadsheetml/2009/9/main" objectType="CheckBox" fmlaLink="综合数据!Q12" val="0"/>
</file>

<file path=xl/ctrlProps/ctrlProp19.xml><?xml version="1.0" encoding="utf-8"?>
<formControlPr xmlns="http://schemas.microsoft.com/office/spreadsheetml/2009/9/main" objectType="CheckBox" fmlaLink="综合数据!Q13" val="0"/>
</file>

<file path=xl/ctrlProps/ctrlProp20.xml><?xml version="1.0" encoding="utf-8"?>
<formControlPr xmlns="http://schemas.microsoft.com/office/spreadsheetml/2009/9/main" objectType="CheckBox" fmlaLink="综合数据!Q14" val="0"/>
</file>

<file path=xl/ctrlProps/ctrlProp21.xml><?xml version="1.0" encoding="utf-8"?>
<formControlPr xmlns="http://schemas.microsoft.com/office/spreadsheetml/2009/9/main" objectType="CheckBox" fmlaLink="综合数据!Q15" val="0"/>
</file>

<file path=xl/ctrlProps/ctrlProp22.xml><?xml version="1.0" encoding="utf-8"?>
<formControlPr xmlns="http://schemas.microsoft.com/office/spreadsheetml/2009/9/main" objectType="CheckBox" fmlaLink="综合数据!Q16" val="0"/>
</file>

<file path=xl/ctrlProps/ctrlProp23.xml><?xml version="1.0" encoding="utf-8"?>
<formControlPr xmlns="http://schemas.microsoft.com/office/spreadsheetml/2009/9/main" objectType="CheckBox" fmlaLink="综合数据!Q17" val="0"/>
</file>

<file path=xl/ctrlProps/ctrlProp24.xml><?xml version="1.0" encoding="utf-8"?>
<formControlPr xmlns="http://schemas.microsoft.com/office/spreadsheetml/2009/9/main" objectType="CheckBox" fmlaLink="综合数据!Q18" val="0"/>
</file>

<file path=xl/ctrlProps/ctrlProp25.xml><?xml version="1.0" encoding="utf-8"?>
<formControlPr xmlns="http://schemas.microsoft.com/office/spreadsheetml/2009/9/main" objectType="CheckBox" fmlaLink="综合数据!Q19" val="0"/>
</file>

<file path=xl/ctrlProps/ctrlProp26.xml><?xml version="1.0" encoding="utf-8"?>
<formControlPr xmlns="http://schemas.microsoft.com/office/spreadsheetml/2009/9/main" objectType="CheckBox" fmlaLink="综合数据!Q2" val="0"/>
</file>

<file path=xl/ctrlProps/ctrlProp27.xml><?xml version="1.0" encoding="utf-8"?>
<formControlPr xmlns="http://schemas.microsoft.com/office/spreadsheetml/2009/9/main" objectType="CheckBox" fmlaLink="综合数据!I1" val="0"/>
</file>

<file path=xl/ctrlProps/ctrlProp28.xml><?xml version="1.0" encoding="utf-8"?>
<formControlPr xmlns="http://schemas.microsoft.com/office/spreadsheetml/2009/9/main" objectType="CheckBox" fmlaLink="综合数据!J1" val="0"/>
</file>

<file path=xl/ctrlProps/ctrlProp29.xml><?xml version="1.0" encoding="utf-8"?>
<formControlPr xmlns="http://schemas.microsoft.com/office/spreadsheetml/2009/9/main" objectType="CheckBox" fmlaLink="综合数据!K1" val="0"/>
</file>

<file path=xl/ctrlProps/ctrlProp30.xml><?xml version="1.0" encoding="utf-8"?>
<formControlPr xmlns="http://schemas.microsoft.com/office/spreadsheetml/2009/9/main" objectType="CheckBox" fmlaLink="综合数据!L1" val="0"/>
</file>

<file path=xl/ctrlProps/ctrlProp31.xml><?xml version="1.0" encoding="utf-8"?>
<formControlPr xmlns="http://schemas.microsoft.com/office/spreadsheetml/2009/9/main" objectType="CheckBox" fmlaLink="综合数据!M1" val="0"/>
</file>

<file path=xl/ctrlProps/ctrlProp32.xml><?xml version="1.0" encoding="utf-8"?>
<formControlPr xmlns="http://schemas.microsoft.com/office/spreadsheetml/2009/9/main" objectType="CheckBox" fmlaLink="综合数据!N1" val="0"/>
</file>

<file path=xl/ctrlProps/ctrlProp33.xml><?xml version="1.0" encoding="utf-8"?>
<formControlPr xmlns="http://schemas.microsoft.com/office/spreadsheetml/2009/9/main" objectType="CheckBox" val="0"/>
</file>

<file path=xl/ctrlProps/ctrlProp34.xml><?xml version="1.0" encoding="utf-8"?>
<formControlPr xmlns="http://schemas.microsoft.com/office/spreadsheetml/2009/9/main" objectType="CheckBox" val="0"/>
</file>

<file path=xl/ctrlProps/ctrlProp35.xml><?xml version="1.0" encoding="utf-8"?>
<formControlPr xmlns="http://schemas.microsoft.com/office/spreadsheetml/2009/9/main" objectType="CheckBox" val="0"/>
</file>

<file path=xl/ctrlProps/ctrlProp36.xml><?xml version="1.0" encoding="utf-8"?>
<formControlPr xmlns="http://schemas.microsoft.com/office/spreadsheetml/2009/9/main" objectType="CheckBox" val="0"/>
</file>

<file path=xl/ctrlProps/ctrlProp37.xml><?xml version="1.0" encoding="utf-8"?>
<formControlPr xmlns="http://schemas.microsoft.com/office/spreadsheetml/2009/9/main" objectType="CheckBox" val="0"/>
</file>

<file path=xl/ctrlProps/ctrlProp38.xml><?xml version="1.0" encoding="utf-8"?>
<formControlPr xmlns="http://schemas.microsoft.com/office/spreadsheetml/2009/9/main" objectType="CheckBox" val="0"/>
</file>

<file path=xl/ctrlProps/ctrlProp39.xml><?xml version="1.0" encoding="utf-8"?>
<formControlPr xmlns="http://schemas.microsoft.com/office/spreadsheetml/2009/9/main" objectType="CheckBox" fmlaLink="装备数据!$R$31" val="0"/>
</file>

<file path=xl/ctrlProps/ctrlProp40.xml><?xml version="1.0" encoding="utf-8"?>
<formControlPr xmlns="http://schemas.microsoft.com/office/spreadsheetml/2009/9/main" objectType="CheckBox" fmlaLink="装备数据!$R$33" val="0"/>
</file>

<file path=xl/ctrlProps/ctrlProp41.xml><?xml version="1.0" encoding="utf-8"?>
<formControlPr xmlns="http://schemas.microsoft.com/office/spreadsheetml/2009/9/main" objectType="CheckBox" fmlaLink="装备数据!$R$34" val="0"/>
</file>

<file path=xl/ctrlProps/ctrlProp42.xml><?xml version="1.0" encoding="utf-8"?>
<formControlPr xmlns="http://schemas.microsoft.com/office/spreadsheetml/2009/9/main" objectType="CheckBox" fmlaLink="装备数据!$R$35" val="0"/>
</file>

<file path=xl/ctrlProps/ctrlProp43.xml><?xml version="1.0" encoding="utf-8"?>
<formControlPr xmlns="http://schemas.microsoft.com/office/spreadsheetml/2009/9/main" objectType="CheckBox" fmlaLink="装备数据!$R$36" val="0"/>
</file>

<file path=xl/ctrlProps/ctrlProp44.xml><?xml version="1.0" encoding="utf-8"?>
<formControlPr xmlns="http://schemas.microsoft.com/office/spreadsheetml/2009/9/main" objectType="CheckBox" fmlaLink="装备数据!$R$38" val="0"/>
</file>

<file path=xl/ctrlProps/ctrlProp45.xml><?xml version="1.0" encoding="utf-8"?>
<formControlPr xmlns="http://schemas.microsoft.com/office/spreadsheetml/2009/9/main" objectType="CheckBox" fmlaLink="装备数据!$R$39" val="0"/>
</file>

<file path=xl/ctrlProps/ctrlProp46.xml><?xml version="1.0" encoding="utf-8"?>
<formControlPr xmlns="http://schemas.microsoft.com/office/spreadsheetml/2009/9/main" objectType="CheckBox" fmlaLink="装备数据!$R$40" val="0"/>
</file>

<file path=xl/ctrlProps/ctrlProp47.xml><?xml version="1.0" encoding="utf-8"?>
<formControlPr xmlns="http://schemas.microsoft.com/office/spreadsheetml/2009/9/main" objectType="CheckBox" fmlaLink="装备数据!$R$41" val="0"/>
</file>

<file path=xl/ctrlProps/ctrlProp48.xml><?xml version="1.0" encoding="utf-8"?>
<formControlPr xmlns="http://schemas.microsoft.com/office/spreadsheetml/2009/9/main" objectType="CheckBox" fmlaLink="装备数据!$R$42" val="0"/>
</file>

<file path=xl/ctrlProps/ctrlProp49.xml><?xml version="1.0" encoding="utf-8"?>
<formControlPr xmlns="http://schemas.microsoft.com/office/spreadsheetml/2009/9/main" objectType="CheckBox" fmlaLink="装备数据!$R$43" val="0"/>
</file>

<file path=xl/ctrlProps/ctrlProp50.xml><?xml version="1.0" encoding="utf-8"?>
<formControlPr xmlns="http://schemas.microsoft.com/office/spreadsheetml/2009/9/main" objectType="CheckBox" fmlaLink="装备数据!$R$44" val="0"/>
</file>

<file path=xl/ctrlProps/ctrlProp51.xml><?xml version="1.0" encoding="utf-8"?>
<formControlPr xmlns="http://schemas.microsoft.com/office/spreadsheetml/2009/9/main" objectType="CheckBox" fmlaLink="装备数据!$R$45" val="0"/>
</file>

<file path=xl/ctrlProps/ctrlProp52.xml><?xml version="1.0" encoding="utf-8"?>
<formControlPr xmlns="http://schemas.microsoft.com/office/spreadsheetml/2009/9/main" objectType="Spin" dx="16" fmlaLink="$N$34" max="100" page="10" val="0"/>
</file>

<file path=xl/ctrlProps/ctrlProp53.xml><?xml version="1.0" encoding="utf-8"?>
<formControlPr xmlns="http://schemas.microsoft.com/office/spreadsheetml/2009/9/main" objectType="Spin" dx="16" fmlaLink="$W$34" max="100" page="10" val="0"/>
</file>

<file path=xl/ctrlProps/ctrlProp54.xml><?xml version="1.0" encoding="utf-8"?>
<formControlPr xmlns="http://schemas.microsoft.com/office/spreadsheetml/2009/9/main" objectType="CheckBox" fmlaLink="$AW69" val="0"/>
</file>

<file path=xl/ctrlProps/ctrlProp55.xml><?xml version="1.0" encoding="utf-8"?>
<formControlPr xmlns="http://schemas.microsoft.com/office/spreadsheetml/2009/9/main" objectType="CheckBox" fmlaLink="$AW70" val="0"/>
</file>

<file path=xl/ctrlProps/ctrlProp56.xml><?xml version="1.0" encoding="utf-8"?>
<formControlPr xmlns="http://schemas.microsoft.com/office/spreadsheetml/2009/9/main" objectType="CheckBox" fmlaLink="$AW71" val="0"/>
</file>

<file path=xl/ctrlProps/ctrlProp57.xml><?xml version="1.0" encoding="utf-8"?>
<formControlPr xmlns="http://schemas.microsoft.com/office/spreadsheetml/2009/9/main" objectType="CheckBox" fmlaLink="$AW72" val="0"/>
</file>

<file path=xl/ctrlProps/ctrlProp58.xml><?xml version="1.0" encoding="utf-8"?>
<formControlPr xmlns="http://schemas.microsoft.com/office/spreadsheetml/2009/9/main" objectType="CheckBox" fmlaLink="$AW73" val="0"/>
</file>

<file path=xl/ctrlProps/ctrlProp59.xml><?xml version="1.0" encoding="utf-8"?>
<formControlPr xmlns="http://schemas.microsoft.com/office/spreadsheetml/2009/9/main" objectType="CheckBox" fmlaLink="$AW74" val="0"/>
</file>

<file path=xl/ctrlProps/ctrlProp60.xml><?xml version="1.0" encoding="utf-8"?>
<formControlPr xmlns="http://schemas.microsoft.com/office/spreadsheetml/2009/9/main" objectType="CheckBox" fmlaLink="装备数据!$R$32" val="0"/>
</file>

<file path=xl/ctrlProps/ctrlProp61.xml><?xml version="1.0" encoding="utf-8"?>
<formControlPr xmlns="http://schemas.microsoft.com/office/spreadsheetml/2009/9/main" objectType="CheckBox" fmlaLink="装备数据!$R$30" val="0"/>
</file>

<file path=xl/ctrlProps/ctrlProp62.xml><?xml version="1.0" encoding="utf-8"?>
<formControlPr xmlns="http://schemas.microsoft.com/office/spreadsheetml/2009/9/main" objectType="CheckBox" fmlaLink="装备数据!$R$37" val="0"/>
</file>

<file path=xl/ctrlProps/ctrlProp63.xml><?xml version="1.0" encoding="utf-8"?>
<formControlPr xmlns="http://schemas.microsoft.com/office/spreadsheetml/2009/9/main" objectType="CheckBox" checked="Checked" fmlaLink="综合数据!$Q$20" val="0"/>
</file>

<file path=xl/ctrlProps/ctrlProp64.xml><?xml version="1.0" encoding="utf-8"?>
<formControlPr xmlns="http://schemas.microsoft.com/office/spreadsheetml/2009/9/main" objectType="CheckBox" fmlaLink="装备数据!$AQ$7" val="0"/>
</file>

<file path=xl/ctrlProps/ctrlProp65.xml><?xml version="1.0" encoding="utf-8"?>
<formControlPr xmlns="http://schemas.microsoft.com/office/spreadsheetml/2009/9/main" objectType="CheckBox" fmlaLink="装备数据!$AQ$8" val="0"/>
</file>

<file path=xl/ctrlProps/ctrlProp66.xml><?xml version="1.0" encoding="utf-8"?>
<formControlPr xmlns="http://schemas.microsoft.com/office/spreadsheetml/2009/9/main" objectType="CheckBox" fmlaLink="装备数据!$AQ$9" val="0"/>
</file>

<file path=xl/ctrlProps/ctrlProp67.xml><?xml version="1.0" encoding="utf-8"?>
<formControlPr xmlns="http://schemas.microsoft.com/office/spreadsheetml/2009/9/main" objectType="CheckBox" fmlaLink="装备数据!$AQ$10" val="0"/>
</file>

<file path=xl/ctrlProps/ctrlProp68.xml><?xml version="1.0" encoding="utf-8"?>
<formControlPr xmlns="http://schemas.microsoft.com/office/spreadsheetml/2009/9/main" objectType="Spin" dx="16" fmlaLink="$AO$59" max="1" page="10" val="0"/>
</file>

<file path=xl/ctrlProps/ctrlProp69.xml><?xml version="1.0" encoding="utf-8"?>
<formControlPr xmlns="http://schemas.microsoft.com/office/spreadsheetml/2009/9/main" objectType="Spin" dx="16" fmlaLink="$AO$60" max="1" page="10" val="0"/>
</file>

<file path=xl/ctrlProps/ctrlProp70.xml><?xml version="1.0" encoding="utf-8"?>
<formControlPr xmlns="http://schemas.microsoft.com/office/spreadsheetml/2009/9/main" objectType="Spin" dx="16" fmlaLink="$AO$58" max="2" page="10" val="0"/>
</file>

<file path=xl/ctrlProps/ctrlProp71.xml><?xml version="1.0" encoding="utf-8"?>
<formControlPr xmlns="http://schemas.microsoft.com/office/spreadsheetml/2009/9/main" objectType="Spin" dx="16" fmlaLink="$AO$57" max="2" page="10" val="0"/>
</file>

<file path=xl/ctrlProps/ctrlProp72.xml><?xml version="1.0" encoding="utf-8"?>
<formControlPr xmlns="http://schemas.microsoft.com/office/spreadsheetml/2009/9/main" objectType="Spin" dx="16" fmlaLink="$AO$56" max="3" page="10" val="0"/>
</file>

<file path=xl/ctrlProps/ctrlProp73.xml><?xml version="1.0" encoding="utf-8"?>
<formControlPr xmlns="http://schemas.microsoft.com/office/spreadsheetml/2009/9/main" objectType="Spin" dx="16" fmlaLink="$AO$55" max="3" page="10" val="0"/>
</file>

<file path=xl/ctrlProps/ctrlProp74.xml><?xml version="1.0" encoding="utf-8"?>
<formControlPr xmlns="http://schemas.microsoft.com/office/spreadsheetml/2009/9/main" objectType="Spin" dx="16" fmlaLink="$AO$54" max="3" page="10" val="0"/>
</file>

<file path=xl/ctrlProps/ctrlProp75.xml><?xml version="1.0" encoding="utf-8"?>
<formControlPr xmlns="http://schemas.microsoft.com/office/spreadsheetml/2009/9/main" objectType="Spin" dx="16" fmlaLink="$AO$53" max="3" page="10" val="0"/>
</file>

<file path=xl/ctrlProps/ctrlProp76.xml><?xml version="1.0" encoding="utf-8"?>
<formControlPr xmlns="http://schemas.microsoft.com/office/spreadsheetml/2009/9/main" objectType="Spin" dx="16" fmlaLink="$AO$52" max="4" page="10" val="0"/>
</file>

<file path=xl/ctrlProps/ctrlProp77.xml><?xml version="1.0" encoding="utf-8"?>
<formControlPr xmlns="http://schemas.microsoft.com/office/spreadsheetml/2009/9/main" objectType="Spin" dx="16" fmlaLink="$AO$53" max="5" page="10" val="0"/>
</file>

<file path=xl/ctrlProps/ctrlProp78.xml><?xml version="1.0" encoding="utf-8"?>
<formControlPr xmlns="http://schemas.microsoft.com/office/spreadsheetml/2009/9/main" objectType="CheckBox" fmlaLink="装备数据!$AQ$6" val="0"/>
</file>

<file path=xl/ctrlProps/ctrlProp79.xml><?xml version="1.0" encoding="utf-8"?>
<formControlPr xmlns="http://schemas.microsoft.com/office/spreadsheetml/2009/9/main" objectType="CheckBox" fmlaLink="装备数据!$R$30" val="0"/>
</file>

<file path=xl/ctrlProps/ctrlProp80.xml><?xml version="1.0" encoding="utf-8"?>
<formControlPr xmlns="http://schemas.microsoft.com/office/spreadsheetml/2009/9/main" objectType="CheckBox" fmlaLink="装备数据!$AN$2" val="0"/>
</file>

<file path=xl/ctrlProps/ctrlProp81.xml><?xml version="1.0" encoding="utf-8"?>
<formControlPr xmlns="http://schemas.microsoft.com/office/spreadsheetml/2009/9/main" objectType="CheckBox" fmlaLink="装备数据!$AP$2" val="0"/>
</file>

<file path=xl/ctrlProps/ctrlProp82.xml><?xml version="1.0" encoding="utf-8"?>
<formControlPr xmlns="http://schemas.microsoft.com/office/spreadsheetml/2009/9/main" objectType="CheckBox" fmlaLink="装备数据!$AS$2" val="0"/>
</file>

<file path=xl/ctrlProps/ctrlProp83.xml><?xml version="1.0" encoding="utf-8"?>
<formControlPr xmlns="http://schemas.microsoft.com/office/spreadsheetml/2009/9/main" objectType="CheckBox" checked="Checked" fmlaLink="综合数据!$B$5" val="0"/>
</file>

<file path=xl/ctrlProps/ctrlProp84.xml><?xml version="1.0" encoding="utf-8"?>
<formControlPr xmlns="http://schemas.microsoft.com/office/spreadsheetml/2009/9/main" objectType="CheckBox" checked="Checked" fmlaLink="综合数据!$B$6" val="0"/>
</file>

<file path=xl/ctrlProps/ctrlProp85.xml><?xml version="1.0" encoding="utf-8"?>
<formControlPr xmlns="http://schemas.microsoft.com/office/spreadsheetml/2009/9/main" objectType="CheckBox" checked="Checked" fmlaLink="综合数据!$B$7" val="0"/>
</file>

<file path=xl/ctrlProps/ctrlProp86.xml><?xml version="1.0" encoding="utf-8"?>
<formControlPr xmlns="http://schemas.microsoft.com/office/spreadsheetml/2009/9/main" objectType="CheckBox" checked="Checked" fmlaLink="综合数据!$B$8" val="0"/>
</file>

<file path=xl/ctrlProps/ctrlProp87.xml><?xml version="1.0" encoding="utf-8"?>
<formControlPr xmlns="http://schemas.microsoft.com/office/spreadsheetml/2009/9/main" objectType="CheckBox" checked="Checked" fmlaLink="综合数据!$B$4" val="0"/>
</file>

<file path=xl/ctrlProps/ctrlProp88.xml><?xml version="1.0" encoding="utf-8"?>
<formControlPr xmlns="http://schemas.microsoft.com/office/spreadsheetml/2009/9/main" objectType="CheckBox" checked="Checked" fmlaLink="综合数据!$B$3" val="0"/>
</file>

<file path=xl/ctrlProps/ctrlProp89.xml><?xml version="1.0" encoding="utf-8"?>
<formControlPr xmlns="http://schemas.microsoft.com/office/spreadsheetml/2009/9/main" objectType="CheckBox" checked="Checked" fmlaLink="综合数据!$B$2" val="0"/>
</file>

<file path=xl/ctrlProps/ctrlProp90.xml><?xml version="1.0" encoding="utf-8"?>
<formControlPr xmlns="http://schemas.microsoft.com/office/spreadsheetml/2009/9/main" objectType="CheckBox" checked="Checked" fmlaLink="综合数据!$B$9" val="0"/>
</file>

<file path=xl/ctrlProps/ctrlProp91.xml><?xml version="1.0" encoding="utf-8"?>
<formControlPr xmlns="http://schemas.microsoft.com/office/spreadsheetml/2009/9/main" objectType="CheckBox" checked="Checked" fmlaLink="综合数据!$B$10" val="0"/>
</file>

<file path=xl/ctrlProps/ctrlProp92.xml><?xml version="1.0" encoding="utf-8"?>
<formControlPr xmlns="http://schemas.microsoft.com/office/spreadsheetml/2009/9/main" objectType="CheckBox" checked="Checked" fmlaLink="综合数据!$B$11" val="0"/>
</file>

<file path=xl/ctrlProps/ctrlProp93.xml><?xml version="1.0" encoding="utf-8"?>
<formControlPr xmlns="http://schemas.microsoft.com/office/spreadsheetml/2009/9/main" objectType="CheckBox" checked="Checked" fmlaLink="综合数据!$B$12" val="0"/>
</file>

<file path=xl/ctrlProps/ctrlProp94.xml><?xml version="1.0" encoding="utf-8"?>
<formControlPr xmlns="http://schemas.microsoft.com/office/spreadsheetml/2009/9/main" objectType="CheckBox" checked="Checked" fmlaLink="综合数据!$B$13" val="0"/>
</file>

<file path=xl/ctrlProps/ctrlProp95.xml><?xml version="1.0" encoding="utf-8"?>
<formControlPr xmlns="http://schemas.microsoft.com/office/spreadsheetml/2009/9/main" objectType="CheckBox" checked="Checked" fmlaLink="综合数据!$B$14" val="0"/>
</file>

<file path=xl/ctrlProps/ctrlProp96.xml><?xml version="1.0" encoding="utf-8"?>
<formControlPr xmlns="http://schemas.microsoft.com/office/spreadsheetml/2009/9/main" objectType="CheckBox" val="0"/>
</file>

<file path=xl/ctrlProps/ctrlProp97.xml><?xml version="1.0" encoding="utf-8"?>
<formControlPr xmlns="http://schemas.microsoft.com/office/spreadsheetml/2009/9/main" objectType="CheckBox" val="0"/>
</file>

<file path=xl/ctrlProps/ctrlProp98.xml><?xml version="1.0" encoding="utf-8"?>
<formControlPr xmlns="http://schemas.microsoft.com/office/spreadsheetml/2009/9/main" objectType="CheckBox" val="0"/>
</file>

<file path=xl/ctrlProps/ctrlProp99.xml><?xml version="1.0" encoding="utf-8"?>
<formControlPr xmlns="http://schemas.microsoft.com/office/spreadsheetml/2009/9/main" objectType="CheckBox" val="0"/>
</file>

<file path=xl/ctrlProps/ctrlProp100.xml><?xml version="1.0" encoding="utf-8"?>
<formControlPr xmlns="http://schemas.microsoft.com/office/spreadsheetml/2009/9/main" objectType="CheckBox" val="0"/>
</file>

<file path=xl/ctrlProps/ctrlProp101.xml><?xml version="1.0" encoding="utf-8"?>
<formControlPr xmlns="http://schemas.microsoft.com/office/spreadsheetml/2009/9/main" objectType="CheckBox" val="0"/>
</file>

<file path=xl/ctrlProps/ctrlProp102.xml><?xml version="1.0" encoding="utf-8"?>
<formControlPr xmlns="http://schemas.microsoft.com/office/spreadsheetml/2009/9/main" objectType="CheckBox" val="0"/>
</file>

<file path=xl/ctrlProps/ctrlProp103.xml><?xml version="1.0" encoding="utf-8"?>
<formControlPr xmlns="http://schemas.microsoft.com/office/spreadsheetml/2009/9/main" objectType="CheckBox" val="0"/>
</file>

<file path=xl/ctrlProps/ctrlProp104.xml><?xml version="1.0" encoding="utf-8"?>
<formControlPr xmlns="http://schemas.microsoft.com/office/spreadsheetml/2009/9/main" objectType="CheckBox" val="0"/>
</file>

<file path=xl/ctrlProps/ctrlProp105.xml><?xml version="1.0" encoding="utf-8"?>
<formControlPr xmlns="http://schemas.microsoft.com/office/spreadsheetml/2009/9/main" objectType="CheckBox" val="0"/>
</file>

<file path=xl/ctrlProps/ctrlProp106.xml><?xml version="1.0" encoding="utf-8"?>
<formControlPr xmlns="http://schemas.microsoft.com/office/spreadsheetml/2009/9/main" objectType="CheckBox" val="0"/>
</file>

<file path=xl/ctrlProps/ctrlProp107.xml><?xml version="1.0" encoding="utf-8"?>
<formControlPr xmlns="http://schemas.microsoft.com/office/spreadsheetml/2009/9/main" objectType="CheckBox" val="0"/>
</file>

<file path=xl/ctrlProps/ctrlProp108.xml><?xml version="1.0" encoding="utf-8"?>
<formControlPr xmlns="http://schemas.microsoft.com/office/spreadsheetml/2009/9/main" objectType="CheckBox" val="0"/>
</file>

<file path=xl/ctrlProps/ctrlProp109.xml><?xml version="1.0" encoding="utf-8"?>
<formControlPr xmlns="http://schemas.microsoft.com/office/spreadsheetml/2009/9/main" objectType="CheckBox" val="0"/>
</file>

<file path=xl/ctrlProps/ctrlProp110.xml><?xml version="1.0" encoding="utf-8"?>
<formControlPr xmlns="http://schemas.microsoft.com/office/spreadsheetml/2009/9/main" objectType="CheckBox" val="0"/>
</file>

<file path=xl/ctrlProps/ctrlProp111.xml><?xml version="1.0" encoding="utf-8"?>
<formControlPr xmlns="http://schemas.microsoft.com/office/spreadsheetml/2009/9/main" objectType="CheckBox" val="0"/>
</file>

<file path=xl/ctrlProps/ctrlProp112.xml><?xml version="1.0" encoding="utf-8"?>
<formControlPr xmlns="http://schemas.microsoft.com/office/spreadsheetml/2009/9/main" objectType="CheckBox" val="0"/>
</file>

<file path=xl/ctrlProps/ctrlProp113.xml><?xml version="1.0" encoding="utf-8"?>
<formControlPr xmlns="http://schemas.microsoft.com/office/spreadsheetml/2009/9/main" objectType="CheckBox" val="0"/>
</file>

<file path=xl/ctrlProps/ctrlProp114.xml><?xml version="1.0" encoding="utf-8"?>
<formControlPr xmlns="http://schemas.microsoft.com/office/spreadsheetml/2009/9/main" objectType="CheckBox" checked="Checked" fmlaLink="综合数据!$Q$21" val="0"/>
</file>

<file path=xl/ctrlProps/ctrlProp115.xml><?xml version="1.0" encoding="utf-8"?>
<formControlPr xmlns="http://schemas.microsoft.com/office/spreadsheetml/2009/9/main" objectType="CheckBox" fmlaLink="装备数据!$AU$1" val="0"/>
</file>

<file path=xl/ctrlProps/ctrlProp116.xml><?xml version="1.0" encoding="utf-8"?>
<formControlPr xmlns="http://schemas.microsoft.com/office/spreadsheetml/2009/9/main" objectType="CheckBox" fmlaLink="装备数据!$AW$1" val="0"/>
</file>

<file path=xl/ctrlProps/ctrlProp117.xml><?xml version="1.0" encoding="utf-8"?>
<formControlPr xmlns="http://schemas.microsoft.com/office/spreadsheetml/2009/9/main" objectType="CheckBox" val="0"/>
</file>

<file path=xl/ctrlProps/ctrlProp118.xml><?xml version="1.0" encoding="utf-8"?>
<formControlPr xmlns="http://schemas.microsoft.com/office/spreadsheetml/2009/9/main" objectType="CheckBox" val="0"/>
</file>

<file path=xl/ctrlProps/ctrlProp119.xml><?xml version="1.0" encoding="utf-8"?>
<formControlPr xmlns="http://schemas.microsoft.com/office/spreadsheetml/2009/9/main" objectType="CheckBox" val="0"/>
</file>

<file path=xl/ctrlProps/ctrlProp120.xml><?xml version="1.0" encoding="utf-8"?>
<formControlPr xmlns="http://schemas.microsoft.com/office/spreadsheetml/2009/9/main" objectType="CheckBox" val="0"/>
</file>

<file path=xl/ctrlProps/ctrlProp121.xml><?xml version="1.0" encoding="utf-8"?>
<formControlPr xmlns="http://schemas.microsoft.com/office/spreadsheetml/2009/9/main" objectType="CheckBox" val="0"/>
</file>

<file path=xl/ctrlProps/ctrlProp122.xml><?xml version="1.0" encoding="utf-8"?>
<formControlPr xmlns="http://schemas.microsoft.com/office/spreadsheetml/2009/9/main" objectType="CheckBox" val="0"/>
</file>

<file path=xl/ctrlProps/ctrlProp123.xml><?xml version="1.0" encoding="utf-8"?>
<formControlPr xmlns="http://schemas.microsoft.com/office/spreadsheetml/2009/9/main" objectType="CheckBox" checked="Checked" fmlaLink="综合数据!$B$15" val="0"/>
</file>

<file path=xl/ctrlProps/ctrlProp124.xml><?xml version="1.0" encoding="utf-8"?>
<formControlPr xmlns="http://schemas.microsoft.com/office/spreadsheetml/2009/9/main" objectType="CheckBox" checked="Checked" fmlaLink="综合数据!$B$16" val="0"/>
</file>

<file path=xl/ctrlProps/ctrlProp125.xml><?xml version="1.0" encoding="utf-8"?>
<formControlPr xmlns="http://schemas.microsoft.com/office/spreadsheetml/2009/9/main" objectType="CheckBox" checked="Checked" fmlaLink="综合数据!$B$17" val="0"/>
</file>

<file path=xl/ctrlProps/ctrlProp126.xml><?xml version="1.0" encoding="utf-8"?>
<formControlPr xmlns="http://schemas.microsoft.com/office/spreadsheetml/2009/9/main" objectType="CheckBox" checked="Checked" fmlaLink="综合数据!$B$18" val="0"/>
</file>

<file path=xl/ctrlProps/ctrlProp127.xml><?xml version="1.0" encoding="utf-8"?>
<formControlPr xmlns="http://schemas.microsoft.com/office/spreadsheetml/2009/9/main" objectType="CheckBox" checked="Checked" fmlaLink="综合数据!$B$19" val="0"/>
</file>

<file path=xl/ctrlProps/ctrlProp128.xml><?xml version="1.0" encoding="utf-8"?>
<formControlPr xmlns="http://schemas.microsoft.com/office/spreadsheetml/2009/9/main" objectType="CheckBox" checked="Checked" fmlaLink="综合数据!$B$20" val="0"/>
</file>

<file path=xl/ctrlProps/ctrlProp129.xml><?xml version="1.0" encoding="utf-8"?>
<formControlPr xmlns="http://schemas.microsoft.com/office/spreadsheetml/2009/9/main" objectType="CheckBox" checked="Checked" fmlaLink="综合数据!$B$21" val="0"/>
</file>

<file path=xl/ctrlProps/ctrlProp130.xml><?xml version="1.0" encoding="utf-8"?>
<formControlPr xmlns="http://schemas.microsoft.com/office/spreadsheetml/2009/9/main" objectType="CheckBox" checked="Checked" fmlaLink="综合数据!$B$22" val="0"/>
</file>

<file path=xl/ctrlProps/ctrlProp131.xml><?xml version="1.0" encoding="utf-8"?>
<formControlPr xmlns="http://schemas.microsoft.com/office/spreadsheetml/2009/9/main" objectType="Spin" dx="16" fmlaLink="法术数据!$AV$10" max="100" min="1" page="10" val="100"/>
</file>

<file path=xl/ctrlProps/ctrlProp132.xml><?xml version="1.0" encoding="utf-8"?>
<formControlPr xmlns="http://schemas.microsoft.com/office/spreadsheetml/2009/9/main" objectType="Spin" dx="16" fmlaLink="$C$3" max="15" min="8" page="10" val="8"/>
</file>

<file path=xl/ctrlProps/ctrlProp133.xml><?xml version="1.0" encoding="utf-8"?>
<formControlPr xmlns="http://schemas.microsoft.com/office/spreadsheetml/2009/9/main" objectType="Spin" dx="16" fmlaLink="$C$4" max="15" min="8" page="10" val="8"/>
</file>

<file path=xl/ctrlProps/ctrlProp134.xml><?xml version="1.0" encoding="utf-8"?>
<formControlPr xmlns="http://schemas.microsoft.com/office/spreadsheetml/2009/9/main" objectType="Spin" dx="16" fmlaLink="$C$5" max="15" min="8" page="10" val="8"/>
</file>

<file path=xl/ctrlProps/ctrlProp135.xml><?xml version="1.0" encoding="utf-8"?>
<formControlPr xmlns="http://schemas.microsoft.com/office/spreadsheetml/2009/9/main" objectType="Spin" dx="16" fmlaLink="$C$6" max="15" min="8" page="10" val="8"/>
</file>

<file path=xl/ctrlProps/ctrlProp136.xml><?xml version="1.0" encoding="utf-8"?>
<formControlPr xmlns="http://schemas.microsoft.com/office/spreadsheetml/2009/9/main" objectType="Spin" dx="16" fmlaLink="$C$7" max="15" min="8" page="10" val="8"/>
</file>

<file path=xl/ctrlProps/ctrlProp137.xml><?xml version="1.0" encoding="utf-8"?>
<formControlPr xmlns="http://schemas.microsoft.com/office/spreadsheetml/2009/9/main" objectType="Spin" dx="16" fmlaLink="$C$8" max="15" min="8" page="10" val="8"/>
</file>

<file path=xl/ctrlProps/ctrlProp138.xml><?xml version="1.0" encoding="utf-8"?>
<formControlPr xmlns="http://schemas.microsoft.com/office/spreadsheetml/2009/9/main" objectType="Spin" dx="16" fmlaLink="$H$3" max="20" page="10" val="0"/>
</file>

<file path=xl/ctrlProps/ctrlProp139.xml><?xml version="1.0" encoding="utf-8"?>
<formControlPr xmlns="http://schemas.microsoft.com/office/spreadsheetml/2009/9/main" objectType="Spin" dx="16" fmlaLink="$H$4" max="20" page="10" val="0"/>
</file>

<file path=xl/ctrlProps/ctrlProp140.xml><?xml version="1.0" encoding="utf-8"?>
<formControlPr xmlns="http://schemas.microsoft.com/office/spreadsheetml/2009/9/main" objectType="Spin" dx="16" fmlaLink="$H$5" max="20" page="10" val="0"/>
</file>

<file path=xl/ctrlProps/ctrlProp141.xml><?xml version="1.0" encoding="utf-8"?>
<formControlPr xmlns="http://schemas.microsoft.com/office/spreadsheetml/2009/9/main" objectType="Spin" dx="16" fmlaLink="$H$6" max="20" page="10" val="0"/>
</file>

<file path=xl/ctrlProps/ctrlProp142.xml><?xml version="1.0" encoding="utf-8"?>
<formControlPr xmlns="http://schemas.microsoft.com/office/spreadsheetml/2009/9/main" objectType="Spin" dx="16" fmlaLink="$H$7" max="20" page="10" val="0"/>
</file>

<file path=xl/ctrlProps/ctrlProp143.xml><?xml version="1.0" encoding="utf-8"?>
<formControlPr xmlns="http://schemas.microsoft.com/office/spreadsheetml/2009/9/main" objectType="Spin" dx="16" fmlaLink="$H$8" max="20" page="10" val="0"/>
</file>

<file path=xl/ctrlProps/ctrlProp144.xml><?xml version="1.0" encoding="utf-8"?>
<formControlPr xmlns="http://schemas.microsoft.com/office/spreadsheetml/2009/9/main" objectType="Spin" dx="16" fmlaLink="$H$9" max="20" page="10" val="0"/>
</file>

<file path=xl/ctrlProps/ctrlProp145.xml><?xml version="1.0" encoding="utf-8"?>
<formControlPr xmlns="http://schemas.microsoft.com/office/spreadsheetml/2009/9/main" objectType="Spin" dx="16" fmlaLink="$H$10" max="20" page="10" val="0"/>
</file>

<file path=xl/ctrlProps/ctrlProp146.xml><?xml version="1.0" encoding="utf-8"?>
<formControlPr xmlns="http://schemas.microsoft.com/office/spreadsheetml/2009/9/main" objectType="Spin" dx="16" fmlaLink="$H$11" max="20" page="10" val="0"/>
</file>

<file path=xl/ctrlProps/ctrlProp147.xml><?xml version="1.0" encoding="utf-8"?>
<formControlPr xmlns="http://schemas.microsoft.com/office/spreadsheetml/2009/9/main" objectType="Spin" dx="16" fmlaLink="$H$12" max="20" page="10" val="3"/>
</file>

<file path=xl/ctrlProps/ctrlProp148.xml><?xml version="1.0" encoding="utf-8"?>
<formControlPr xmlns="http://schemas.microsoft.com/office/spreadsheetml/2009/9/main" objectType="Spin" dx="16" fmlaLink="$M$5" max="66" page="10" val="0"/>
</file>

<file path=xl/ctrlProps/ctrlProp149.xml><?xml version="1.0" encoding="utf-8"?>
<formControlPr xmlns="http://schemas.microsoft.com/office/spreadsheetml/2009/9/main" objectType="Spin" dx="16" fmlaLink="$M$6" max="44" page="10" val="0"/>
</file>

<file path=xl/ctrlProps/ctrlProp150.xml><?xml version="1.0" encoding="utf-8"?>
<formControlPr xmlns="http://schemas.microsoft.com/office/spreadsheetml/2009/9/main" objectType="Spin" dx="16" fmlaLink="$M$7" max="26" page="10" val="0"/>
</file>

<file path=xl/ctrlProps/ctrlProp151.xml><?xml version="1.0" encoding="utf-8"?>
<formControlPr xmlns="http://schemas.microsoft.com/office/spreadsheetml/2009/9/main" objectType="Spin" dx="16" fmlaLink="$M$8" max="22" page="10" val="0"/>
</file>

<file path=xl/ctrlProps/ctrlProp152.xml><?xml version="1.0" encoding="utf-8"?>
<formControlPr xmlns="http://schemas.microsoft.com/office/spreadsheetml/2009/9/main" objectType="Spin" dx="16" fmlaLink="$M$9" max="19" page="10" val="0"/>
</file>

<file path=xl/ctrlProps/ctrlProp153.xml><?xml version="1.0" encoding="utf-8"?>
<formControlPr xmlns="http://schemas.microsoft.com/office/spreadsheetml/2009/9/main" objectType="Spin" dx="16" fmlaLink="$M$10" max="1" page="10" val="0"/>
</file>

<file path=xl/ctrlProps/ctrlProp154.xml><?xml version="1.0" encoding="utf-8"?>
<formControlPr xmlns="http://schemas.microsoft.com/office/spreadsheetml/2009/9/main" objectType="Spin" dx="16" fmlaLink="$M$11" max="1" page="10" val="0"/>
</file>

<file path=xl/ctrlProps/ctrlProp155.xml><?xml version="1.0" encoding="utf-8"?>
<formControlPr xmlns="http://schemas.microsoft.com/office/spreadsheetml/2009/9/main" objectType="Spin" dx="16" fmlaLink="$M$12" max="1" page="10" val="0"/>
</file>

<file path=xl/ctrlProps/ctrlProp156.xml><?xml version="1.0" encoding="utf-8"?>
<formControlPr xmlns="http://schemas.microsoft.com/office/spreadsheetml/2009/9/main" objectType="Spin" dx="16" fmlaLink="$M$13" max="1" page="10"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18</xdr:col>
          <xdr:colOff>0</xdr:colOff>
          <xdr:row>25</xdr:row>
          <xdr:rowOff>0</xdr:rowOff>
        </xdr:from>
        <xdr:to>
          <xdr:col>18</xdr:col>
          <xdr:colOff>144780</xdr:colOff>
          <xdr:row>26</xdr:row>
          <xdr:rowOff>91440</xdr:rowOff>
        </xdr:to>
        <xdr:sp>
          <xdr:nvSpPr>
            <xdr:cNvPr id="2061" name="Spinner 13" hidden="1">
              <a:extLst>
                <a:ext uri="{63B3BB69-23CF-44E3-9099-C40C66FF867C}">
                  <a14:compatExt spid="_x0000_s2061"/>
                </a:ext>
              </a:extLst>
            </xdr:cNvPr>
            <xdr:cNvSpPr/>
          </xdr:nvSpPr>
          <xdr:spPr>
            <a:xfrm>
              <a:off x="2937510" y="5301615"/>
              <a:ext cx="144780" cy="3067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22</xdr:row>
          <xdr:rowOff>0</xdr:rowOff>
        </xdr:from>
        <xdr:to>
          <xdr:col>20</xdr:col>
          <xdr:colOff>38100</xdr:colOff>
          <xdr:row>23</xdr:row>
          <xdr:rowOff>205740</xdr:rowOff>
        </xdr:to>
        <xdr:sp>
          <xdr:nvSpPr>
            <xdr:cNvPr id="2062" name="Spinner 14" hidden="1">
              <a:extLst>
                <a:ext uri="{63B3BB69-23CF-44E3-9099-C40C66FF867C}">
                  <a14:compatExt spid="_x0000_s2062"/>
                </a:ext>
              </a:extLst>
            </xdr:cNvPr>
            <xdr:cNvSpPr/>
          </xdr:nvSpPr>
          <xdr:spPr>
            <a:xfrm>
              <a:off x="3100705" y="4884420"/>
              <a:ext cx="201295" cy="3067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0</xdr:colOff>
          <xdr:row>21</xdr:row>
          <xdr:rowOff>205740</xdr:rowOff>
        </xdr:from>
        <xdr:to>
          <xdr:col>26</xdr:col>
          <xdr:colOff>38100</xdr:colOff>
          <xdr:row>24</xdr:row>
          <xdr:rowOff>0</xdr:rowOff>
        </xdr:to>
        <xdr:sp>
          <xdr:nvSpPr>
            <xdr:cNvPr id="2064" name="Spinner 16" hidden="1">
              <a:extLst>
                <a:ext uri="{63B3BB69-23CF-44E3-9099-C40C66FF867C}">
                  <a14:compatExt spid="_x0000_s2064"/>
                </a:ext>
              </a:extLst>
            </xdr:cNvPr>
            <xdr:cNvSpPr/>
          </xdr:nvSpPr>
          <xdr:spPr>
            <a:xfrm>
              <a:off x="4079875" y="4874895"/>
              <a:ext cx="201295" cy="32575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40</xdr:row>
          <xdr:rowOff>0</xdr:rowOff>
        </xdr:from>
        <xdr:to>
          <xdr:col>46</xdr:col>
          <xdr:colOff>0</xdr:colOff>
          <xdr:row>40</xdr:row>
          <xdr:rowOff>205740</xdr:rowOff>
        </xdr:to>
        <xdr:sp>
          <xdr:nvSpPr>
            <xdr:cNvPr id="2071" name="Spinner 23" hidden="1">
              <a:extLst>
                <a:ext uri="{63B3BB69-23CF-44E3-9099-C40C66FF867C}">
                  <a14:compatExt spid="_x0000_s2071"/>
                </a:ext>
              </a:extLst>
            </xdr:cNvPr>
            <xdr:cNvSpPr/>
          </xdr:nvSpPr>
          <xdr:spPr>
            <a:xfrm>
              <a:off x="7343775" y="7844790"/>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41</xdr:row>
          <xdr:rowOff>0</xdr:rowOff>
        </xdr:from>
        <xdr:to>
          <xdr:col>46</xdr:col>
          <xdr:colOff>0</xdr:colOff>
          <xdr:row>41</xdr:row>
          <xdr:rowOff>205740</xdr:rowOff>
        </xdr:to>
        <xdr:sp>
          <xdr:nvSpPr>
            <xdr:cNvPr id="2076" name="Spinner 28" hidden="1">
              <a:extLst>
                <a:ext uri="{63B3BB69-23CF-44E3-9099-C40C66FF867C}">
                  <a14:compatExt spid="_x0000_s2076"/>
                </a:ext>
              </a:extLst>
            </xdr:cNvPr>
            <xdr:cNvSpPr/>
          </xdr:nvSpPr>
          <xdr:spPr>
            <a:xfrm>
              <a:off x="7343775" y="8060055"/>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42</xdr:row>
          <xdr:rowOff>0</xdr:rowOff>
        </xdr:from>
        <xdr:to>
          <xdr:col>46</xdr:col>
          <xdr:colOff>0</xdr:colOff>
          <xdr:row>42</xdr:row>
          <xdr:rowOff>205740</xdr:rowOff>
        </xdr:to>
        <xdr:sp>
          <xdr:nvSpPr>
            <xdr:cNvPr id="2077" name="Spinner 29" hidden="1">
              <a:extLst>
                <a:ext uri="{63B3BB69-23CF-44E3-9099-C40C66FF867C}">
                  <a14:compatExt spid="_x0000_s2077"/>
                </a:ext>
              </a:extLst>
            </xdr:cNvPr>
            <xdr:cNvSpPr/>
          </xdr:nvSpPr>
          <xdr:spPr>
            <a:xfrm>
              <a:off x="7343775" y="8275320"/>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43</xdr:row>
          <xdr:rowOff>0</xdr:rowOff>
        </xdr:from>
        <xdr:to>
          <xdr:col>46</xdr:col>
          <xdr:colOff>0</xdr:colOff>
          <xdr:row>43</xdr:row>
          <xdr:rowOff>205740</xdr:rowOff>
        </xdr:to>
        <xdr:sp>
          <xdr:nvSpPr>
            <xdr:cNvPr id="2078" name="Spinner 30" hidden="1">
              <a:extLst>
                <a:ext uri="{63B3BB69-23CF-44E3-9099-C40C66FF867C}">
                  <a14:compatExt spid="_x0000_s2078"/>
                </a:ext>
              </a:extLst>
            </xdr:cNvPr>
            <xdr:cNvSpPr/>
          </xdr:nvSpPr>
          <xdr:spPr>
            <a:xfrm>
              <a:off x="7343775" y="8490585"/>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44</xdr:row>
          <xdr:rowOff>0</xdr:rowOff>
        </xdr:from>
        <xdr:to>
          <xdr:col>46</xdr:col>
          <xdr:colOff>0</xdr:colOff>
          <xdr:row>44</xdr:row>
          <xdr:rowOff>205740</xdr:rowOff>
        </xdr:to>
        <xdr:sp>
          <xdr:nvSpPr>
            <xdr:cNvPr id="2079" name="Spinner 31" hidden="1">
              <a:extLst>
                <a:ext uri="{63B3BB69-23CF-44E3-9099-C40C66FF867C}">
                  <a14:compatExt spid="_x0000_s2079"/>
                </a:ext>
              </a:extLst>
            </xdr:cNvPr>
            <xdr:cNvSpPr/>
          </xdr:nvSpPr>
          <xdr:spPr>
            <a:xfrm>
              <a:off x="7343775" y="8705850"/>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40</xdr:row>
          <xdr:rowOff>0</xdr:rowOff>
        </xdr:from>
        <xdr:to>
          <xdr:col>2</xdr:col>
          <xdr:colOff>91440</xdr:colOff>
          <xdr:row>41</xdr:row>
          <xdr:rowOff>0</xdr:rowOff>
        </xdr:to>
        <xdr:sp>
          <xdr:nvSpPr>
            <xdr:cNvPr id="2117" name="Check Box 69" hidden="1">
              <a:extLst>
                <a:ext uri="{63B3BB69-23CF-44E3-9099-C40C66FF867C}">
                  <a14:compatExt spid="_x0000_s2117"/>
                </a:ext>
              </a:extLst>
            </xdr:cNvPr>
            <xdr:cNvSpPr/>
          </xdr:nvSpPr>
          <xdr:spPr>
            <a:xfrm>
              <a:off x="186055" y="784479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41</xdr:row>
          <xdr:rowOff>0</xdr:rowOff>
        </xdr:from>
        <xdr:to>
          <xdr:col>2</xdr:col>
          <xdr:colOff>91440</xdr:colOff>
          <xdr:row>42</xdr:row>
          <xdr:rowOff>0</xdr:rowOff>
        </xdr:to>
        <xdr:sp>
          <xdr:nvSpPr>
            <xdr:cNvPr id="2126" name="Check Box 78" hidden="1">
              <a:extLst>
                <a:ext uri="{63B3BB69-23CF-44E3-9099-C40C66FF867C}">
                  <a14:compatExt spid="_x0000_s2126"/>
                </a:ext>
              </a:extLst>
            </xdr:cNvPr>
            <xdr:cNvSpPr/>
          </xdr:nvSpPr>
          <xdr:spPr>
            <a:xfrm>
              <a:off x="186055" y="806005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42</xdr:row>
          <xdr:rowOff>0</xdr:rowOff>
        </xdr:from>
        <xdr:to>
          <xdr:col>2</xdr:col>
          <xdr:colOff>91440</xdr:colOff>
          <xdr:row>43</xdr:row>
          <xdr:rowOff>0</xdr:rowOff>
        </xdr:to>
        <xdr:sp>
          <xdr:nvSpPr>
            <xdr:cNvPr id="2128" name="Check Box 80" hidden="1">
              <a:extLst>
                <a:ext uri="{63B3BB69-23CF-44E3-9099-C40C66FF867C}">
                  <a14:compatExt spid="_x0000_s2128"/>
                </a:ext>
              </a:extLst>
            </xdr:cNvPr>
            <xdr:cNvSpPr/>
          </xdr:nvSpPr>
          <xdr:spPr>
            <a:xfrm>
              <a:off x="186055" y="827532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44</xdr:row>
          <xdr:rowOff>0</xdr:rowOff>
        </xdr:from>
        <xdr:to>
          <xdr:col>2</xdr:col>
          <xdr:colOff>91440</xdr:colOff>
          <xdr:row>45</xdr:row>
          <xdr:rowOff>0</xdr:rowOff>
        </xdr:to>
        <xdr:sp>
          <xdr:nvSpPr>
            <xdr:cNvPr id="2130" name="Check Box 82" hidden="1">
              <a:extLst>
                <a:ext uri="{63B3BB69-23CF-44E3-9099-C40C66FF867C}">
                  <a14:compatExt spid="_x0000_s2130"/>
                </a:ext>
              </a:extLst>
            </xdr:cNvPr>
            <xdr:cNvSpPr/>
          </xdr:nvSpPr>
          <xdr:spPr>
            <a:xfrm>
              <a:off x="186055" y="870585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45</xdr:row>
          <xdr:rowOff>0</xdr:rowOff>
        </xdr:from>
        <xdr:to>
          <xdr:col>2</xdr:col>
          <xdr:colOff>91440</xdr:colOff>
          <xdr:row>46</xdr:row>
          <xdr:rowOff>0</xdr:rowOff>
        </xdr:to>
        <xdr:sp>
          <xdr:nvSpPr>
            <xdr:cNvPr id="2132" name="Check Box 84" hidden="1">
              <a:extLst>
                <a:ext uri="{63B3BB69-23CF-44E3-9099-C40C66FF867C}">
                  <a14:compatExt spid="_x0000_s2132"/>
                </a:ext>
              </a:extLst>
            </xdr:cNvPr>
            <xdr:cNvSpPr/>
          </xdr:nvSpPr>
          <xdr:spPr>
            <a:xfrm>
              <a:off x="186055" y="892111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46</xdr:row>
          <xdr:rowOff>0</xdr:rowOff>
        </xdr:from>
        <xdr:to>
          <xdr:col>2</xdr:col>
          <xdr:colOff>91440</xdr:colOff>
          <xdr:row>47</xdr:row>
          <xdr:rowOff>0</xdr:rowOff>
        </xdr:to>
        <xdr:sp>
          <xdr:nvSpPr>
            <xdr:cNvPr id="2134" name="Check Box 86" hidden="1">
              <a:extLst>
                <a:ext uri="{63B3BB69-23CF-44E3-9099-C40C66FF867C}">
                  <a14:compatExt spid="_x0000_s2134"/>
                </a:ext>
              </a:extLst>
            </xdr:cNvPr>
            <xdr:cNvSpPr/>
          </xdr:nvSpPr>
          <xdr:spPr>
            <a:xfrm>
              <a:off x="186055" y="913638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47</xdr:row>
          <xdr:rowOff>0</xdr:rowOff>
        </xdr:from>
        <xdr:to>
          <xdr:col>2</xdr:col>
          <xdr:colOff>91440</xdr:colOff>
          <xdr:row>48</xdr:row>
          <xdr:rowOff>0</xdr:rowOff>
        </xdr:to>
        <xdr:sp>
          <xdr:nvSpPr>
            <xdr:cNvPr id="2136" name="Check Box 88" hidden="1">
              <a:extLst>
                <a:ext uri="{63B3BB69-23CF-44E3-9099-C40C66FF867C}">
                  <a14:compatExt spid="_x0000_s2136"/>
                </a:ext>
              </a:extLst>
            </xdr:cNvPr>
            <xdr:cNvSpPr/>
          </xdr:nvSpPr>
          <xdr:spPr>
            <a:xfrm>
              <a:off x="186055" y="935164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48</xdr:row>
          <xdr:rowOff>0</xdr:rowOff>
        </xdr:from>
        <xdr:to>
          <xdr:col>2</xdr:col>
          <xdr:colOff>91440</xdr:colOff>
          <xdr:row>49</xdr:row>
          <xdr:rowOff>0</xdr:rowOff>
        </xdr:to>
        <xdr:sp>
          <xdr:nvSpPr>
            <xdr:cNvPr id="2138" name="Check Box 90" hidden="1">
              <a:extLst>
                <a:ext uri="{63B3BB69-23CF-44E3-9099-C40C66FF867C}">
                  <a14:compatExt spid="_x0000_s2138"/>
                </a:ext>
              </a:extLst>
            </xdr:cNvPr>
            <xdr:cNvSpPr/>
          </xdr:nvSpPr>
          <xdr:spPr>
            <a:xfrm>
              <a:off x="186055" y="95669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50</xdr:row>
          <xdr:rowOff>0</xdr:rowOff>
        </xdr:from>
        <xdr:to>
          <xdr:col>2</xdr:col>
          <xdr:colOff>91440</xdr:colOff>
          <xdr:row>51</xdr:row>
          <xdr:rowOff>0</xdr:rowOff>
        </xdr:to>
        <xdr:sp>
          <xdr:nvSpPr>
            <xdr:cNvPr id="2140" name="Check Box 92" hidden="1">
              <a:extLst>
                <a:ext uri="{63B3BB69-23CF-44E3-9099-C40C66FF867C}">
                  <a14:compatExt spid="_x0000_s2140"/>
                </a:ext>
              </a:extLst>
            </xdr:cNvPr>
            <xdr:cNvSpPr/>
          </xdr:nvSpPr>
          <xdr:spPr>
            <a:xfrm>
              <a:off x="186055" y="99974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51</xdr:row>
          <xdr:rowOff>0</xdr:rowOff>
        </xdr:from>
        <xdr:to>
          <xdr:col>2</xdr:col>
          <xdr:colOff>91440</xdr:colOff>
          <xdr:row>52</xdr:row>
          <xdr:rowOff>0</xdr:rowOff>
        </xdr:to>
        <xdr:sp>
          <xdr:nvSpPr>
            <xdr:cNvPr id="2142" name="Check Box 94" hidden="1">
              <a:extLst>
                <a:ext uri="{63B3BB69-23CF-44E3-9099-C40C66FF867C}">
                  <a14:compatExt spid="_x0000_s2142"/>
                </a:ext>
              </a:extLst>
            </xdr:cNvPr>
            <xdr:cNvSpPr/>
          </xdr:nvSpPr>
          <xdr:spPr>
            <a:xfrm>
              <a:off x="186055" y="1021270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52</xdr:row>
          <xdr:rowOff>0</xdr:rowOff>
        </xdr:from>
        <xdr:to>
          <xdr:col>2</xdr:col>
          <xdr:colOff>91440</xdr:colOff>
          <xdr:row>53</xdr:row>
          <xdr:rowOff>0</xdr:rowOff>
        </xdr:to>
        <xdr:sp>
          <xdr:nvSpPr>
            <xdr:cNvPr id="2144" name="Check Box 96" hidden="1">
              <a:extLst>
                <a:ext uri="{63B3BB69-23CF-44E3-9099-C40C66FF867C}">
                  <a14:compatExt spid="_x0000_s2144"/>
                </a:ext>
              </a:extLst>
            </xdr:cNvPr>
            <xdr:cNvSpPr/>
          </xdr:nvSpPr>
          <xdr:spPr>
            <a:xfrm>
              <a:off x="186055" y="1042797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53</xdr:row>
          <xdr:rowOff>0</xdr:rowOff>
        </xdr:from>
        <xdr:to>
          <xdr:col>2</xdr:col>
          <xdr:colOff>91440</xdr:colOff>
          <xdr:row>54</xdr:row>
          <xdr:rowOff>0</xdr:rowOff>
        </xdr:to>
        <xdr:sp>
          <xdr:nvSpPr>
            <xdr:cNvPr id="2146" name="Check Box 98" hidden="1">
              <a:extLst>
                <a:ext uri="{63B3BB69-23CF-44E3-9099-C40C66FF867C}">
                  <a14:compatExt spid="_x0000_s2146"/>
                </a:ext>
              </a:extLst>
            </xdr:cNvPr>
            <xdr:cNvSpPr/>
          </xdr:nvSpPr>
          <xdr:spPr>
            <a:xfrm>
              <a:off x="186055" y="1064323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54</xdr:row>
          <xdr:rowOff>0</xdr:rowOff>
        </xdr:from>
        <xdr:to>
          <xdr:col>2</xdr:col>
          <xdr:colOff>99060</xdr:colOff>
          <xdr:row>55</xdr:row>
          <xdr:rowOff>0</xdr:rowOff>
        </xdr:to>
        <xdr:sp>
          <xdr:nvSpPr>
            <xdr:cNvPr id="2148" name="Check Box 100" hidden="1">
              <a:extLst>
                <a:ext uri="{63B3BB69-23CF-44E3-9099-C40C66FF867C}">
                  <a14:compatExt spid="_x0000_s2148"/>
                </a:ext>
              </a:extLst>
            </xdr:cNvPr>
            <xdr:cNvSpPr/>
          </xdr:nvSpPr>
          <xdr:spPr>
            <a:xfrm>
              <a:off x="186055" y="10858500"/>
              <a:ext cx="23939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56</xdr:row>
          <xdr:rowOff>0</xdr:rowOff>
        </xdr:from>
        <xdr:to>
          <xdr:col>2</xdr:col>
          <xdr:colOff>91440</xdr:colOff>
          <xdr:row>57</xdr:row>
          <xdr:rowOff>0</xdr:rowOff>
        </xdr:to>
        <xdr:sp>
          <xdr:nvSpPr>
            <xdr:cNvPr id="2150" name="Check Box 102" hidden="1">
              <a:extLst>
                <a:ext uri="{63B3BB69-23CF-44E3-9099-C40C66FF867C}">
                  <a14:compatExt spid="_x0000_s2150"/>
                </a:ext>
              </a:extLst>
            </xdr:cNvPr>
            <xdr:cNvSpPr/>
          </xdr:nvSpPr>
          <xdr:spPr>
            <a:xfrm>
              <a:off x="186055" y="1128903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57</xdr:row>
          <xdr:rowOff>0</xdr:rowOff>
        </xdr:from>
        <xdr:to>
          <xdr:col>2</xdr:col>
          <xdr:colOff>91440</xdr:colOff>
          <xdr:row>58</xdr:row>
          <xdr:rowOff>0</xdr:rowOff>
        </xdr:to>
        <xdr:sp>
          <xdr:nvSpPr>
            <xdr:cNvPr id="2152" name="Check Box 104" hidden="1">
              <a:extLst>
                <a:ext uri="{63B3BB69-23CF-44E3-9099-C40C66FF867C}">
                  <a14:compatExt spid="_x0000_s2152"/>
                </a:ext>
              </a:extLst>
            </xdr:cNvPr>
            <xdr:cNvSpPr/>
          </xdr:nvSpPr>
          <xdr:spPr>
            <a:xfrm>
              <a:off x="186055" y="1150429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58</xdr:row>
          <xdr:rowOff>0</xdr:rowOff>
        </xdr:from>
        <xdr:to>
          <xdr:col>2</xdr:col>
          <xdr:colOff>91440</xdr:colOff>
          <xdr:row>59</xdr:row>
          <xdr:rowOff>0</xdr:rowOff>
        </xdr:to>
        <xdr:sp>
          <xdr:nvSpPr>
            <xdr:cNvPr id="2154" name="Check Box 106" hidden="1">
              <a:extLst>
                <a:ext uri="{63B3BB69-23CF-44E3-9099-C40C66FF867C}">
                  <a14:compatExt spid="_x0000_s2154"/>
                </a:ext>
              </a:extLst>
            </xdr:cNvPr>
            <xdr:cNvSpPr/>
          </xdr:nvSpPr>
          <xdr:spPr>
            <a:xfrm>
              <a:off x="186055" y="1171956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59</xdr:row>
          <xdr:rowOff>0</xdr:rowOff>
        </xdr:from>
        <xdr:to>
          <xdr:col>2</xdr:col>
          <xdr:colOff>91440</xdr:colOff>
          <xdr:row>60</xdr:row>
          <xdr:rowOff>0</xdr:rowOff>
        </xdr:to>
        <xdr:sp>
          <xdr:nvSpPr>
            <xdr:cNvPr id="2156" name="Check Box 108" hidden="1">
              <a:extLst>
                <a:ext uri="{63B3BB69-23CF-44E3-9099-C40C66FF867C}">
                  <a14:compatExt spid="_x0000_s2156"/>
                </a:ext>
              </a:extLst>
            </xdr:cNvPr>
            <xdr:cNvSpPr/>
          </xdr:nvSpPr>
          <xdr:spPr>
            <a:xfrm>
              <a:off x="186055" y="1193482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38</xdr:row>
          <xdr:rowOff>0</xdr:rowOff>
        </xdr:from>
        <xdr:to>
          <xdr:col>2</xdr:col>
          <xdr:colOff>91440</xdr:colOff>
          <xdr:row>39</xdr:row>
          <xdr:rowOff>0</xdr:rowOff>
        </xdr:to>
        <xdr:sp>
          <xdr:nvSpPr>
            <xdr:cNvPr id="2158" name="Check Box 110" hidden="1">
              <a:extLst>
                <a:ext uri="{63B3BB69-23CF-44E3-9099-C40C66FF867C}">
                  <a14:compatExt spid="_x0000_s2158"/>
                </a:ext>
              </a:extLst>
            </xdr:cNvPr>
            <xdr:cNvSpPr/>
          </xdr:nvSpPr>
          <xdr:spPr>
            <a:xfrm>
              <a:off x="186055" y="741426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13</xdr:row>
          <xdr:rowOff>53340</xdr:rowOff>
        </xdr:from>
        <xdr:to>
          <xdr:col>2</xdr:col>
          <xdr:colOff>91440</xdr:colOff>
          <xdr:row>13</xdr:row>
          <xdr:rowOff>266700</xdr:rowOff>
        </xdr:to>
        <xdr:sp>
          <xdr:nvSpPr>
            <xdr:cNvPr id="2178" name="Check Box 130" hidden="1">
              <a:extLst>
                <a:ext uri="{63B3BB69-23CF-44E3-9099-C40C66FF867C}">
                  <a14:compatExt spid="_x0000_s2178"/>
                </a:ext>
              </a:extLst>
            </xdr:cNvPr>
            <xdr:cNvSpPr/>
          </xdr:nvSpPr>
          <xdr:spPr>
            <a:xfrm>
              <a:off x="186055" y="2497455"/>
              <a:ext cx="231775" cy="213360"/>
            </a:xfrm>
            <a:prstGeom prst="rect">
              <a:avLst/>
            </a:prstGeom>
          </xdr:spPr>
          <xdr:txBody>
            <a:bodyPr upright="1"/>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14</xdr:row>
          <xdr:rowOff>53340</xdr:rowOff>
        </xdr:from>
        <xdr:to>
          <xdr:col>2</xdr:col>
          <xdr:colOff>91440</xdr:colOff>
          <xdr:row>14</xdr:row>
          <xdr:rowOff>266700</xdr:rowOff>
        </xdr:to>
        <xdr:sp>
          <xdr:nvSpPr>
            <xdr:cNvPr id="2179" name="Check Box 131" hidden="1">
              <a:extLst>
                <a:ext uri="{63B3BB69-23CF-44E3-9099-C40C66FF867C}">
                  <a14:compatExt spid="_x0000_s2179"/>
                </a:ext>
              </a:extLst>
            </xdr:cNvPr>
            <xdr:cNvSpPr/>
          </xdr:nvSpPr>
          <xdr:spPr>
            <a:xfrm>
              <a:off x="186055" y="2815590"/>
              <a:ext cx="231775" cy="21336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15</xdr:row>
          <xdr:rowOff>53340</xdr:rowOff>
        </xdr:from>
        <xdr:to>
          <xdr:col>2</xdr:col>
          <xdr:colOff>91440</xdr:colOff>
          <xdr:row>15</xdr:row>
          <xdr:rowOff>266700</xdr:rowOff>
        </xdr:to>
        <xdr:sp>
          <xdr:nvSpPr>
            <xdr:cNvPr id="2181" name="Check Box 133" hidden="1">
              <a:extLst>
                <a:ext uri="{63B3BB69-23CF-44E3-9099-C40C66FF867C}">
                  <a14:compatExt spid="_x0000_s2181"/>
                </a:ext>
              </a:extLst>
            </xdr:cNvPr>
            <xdr:cNvSpPr/>
          </xdr:nvSpPr>
          <xdr:spPr>
            <a:xfrm>
              <a:off x="186055" y="3133725"/>
              <a:ext cx="231775" cy="21336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16</xdr:row>
          <xdr:rowOff>53340</xdr:rowOff>
        </xdr:from>
        <xdr:to>
          <xdr:col>2</xdr:col>
          <xdr:colOff>91440</xdr:colOff>
          <xdr:row>16</xdr:row>
          <xdr:rowOff>266700</xdr:rowOff>
        </xdr:to>
        <xdr:sp>
          <xdr:nvSpPr>
            <xdr:cNvPr id="2183" name="Check Box 135" hidden="1">
              <a:extLst>
                <a:ext uri="{63B3BB69-23CF-44E3-9099-C40C66FF867C}">
                  <a14:compatExt spid="_x0000_s2183"/>
                </a:ext>
              </a:extLst>
            </xdr:cNvPr>
            <xdr:cNvSpPr/>
          </xdr:nvSpPr>
          <xdr:spPr>
            <a:xfrm>
              <a:off x="186055" y="3451860"/>
              <a:ext cx="231775" cy="21336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17</xdr:row>
          <xdr:rowOff>53340</xdr:rowOff>
        </xdr:from>
        <xdr:to>
          <xdr:col>2</xdr:col>
          <xdr:colOff>91440</xdr:colOff>
          <xdr:row>17</xdr:row>
          <xdr:rowOff>266700</xdr:rowOff>
        </xdr:to>
        <xdr:sp>
          <xdr:nvSpPr>
            <xdr:cNvPr id="2185" name="Check Box 137" hidden="1">
              <a:extLst>
                <a:ext uri="{63B3BB69-23CF-44E3-9099-C40C66FF867C}">
                  <a14:compatExt spid="_x0000_s2185"/>
                </a:ext>
              </a:extLst>
            </xdr:cNvPr>
            <xdr:cNvSpPr/>
          </xdr:nvSpPr>
          <xdr:spPr>
            <a:xfrm>
              <a:off x="186055" y="3769995"/>
              <a:ext cx="231775" cy="21336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18</xdr:row>
          <xdr:rowOff>53340</xdr:rowOff>
        </xdr:from>
        <xdr:to>
          <xdr:col>2</xdr:col>
          <xdr:colOff>91440</xdr:colOff>
          <xdr:row>18</xdr:row>
          <xdr:rowOff>266700</xdr:rowOff>
        </xdr:to>
        <xdr:sp>
          <xdr:nvSpPr>
            <xdr:cNvPr id="2187" name="Check Box 139" hidden="1">
              <a:extLst>
                <a:ext uri="{63B3BB69-23CF-44E3-9099-C40C66FF867C}">
                  <a14:compatExt spid="_x0000_s2187"/>
                </a:ext>
              </a:extLst>
            </xdr:cNvPr>
            <xdr:cNvSpPr/>
          </xdr:nvSpPr>
          <xdr:spPr>
            <a:xfrm>
              <a:off x="186055" y="4088130"/>
              <a:ext cx="231775" cy="21336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26</xdr:row>
          <xdr:rowOff>60960</xdr:rowOff>
        </xdr:from>
        <xdr:to>
          <xdr:col>14</xdr:col>
          <xdr:colOff>68580</xdr:colOff>
          <xdr:row>27</xdr:row>
          <xdr:rowOff>175260</xdr:rowOff>
        </xdr:to>
        <xdr:sp>
          <xdr:nvSpPr>
            <xdr:cNvPr id="2216" name="Check Box 168" hidden="1">
              <a:extLst>
                <a:ext uri="{63B3BB69-23CF-44E3-9099-C40C66FF867C}">
                  <a14:compatExt spid="_x0000_s2216"/>
                </a:ext>
              </a:extLst>
            </xdr:cNvPr>
            <xdr:cNvSpPr/>
          </xdr:nvSpPr>
          <xdr:spPr>
            <a:xfrm>
              <a:off x="2121535" y="55778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26</xdr:row>
          <xdr:rowOff>60960</xdr:rowOff>
        </xdr:from>
        <xdr:to>
          <xdr:col>15</xdr:col>
          <xdr:colOff>68580</xdr:colOff>
          <xdr:row>27</xdr:row>
          <xdr:rowOff>175260</xdr:rowOff>
        </xdr:to>
        <xdr:sp>
          <xdr:nvSpPr>
            <xdr:cNvPr id="2217" name="Check Box 169" hidden="1">
              <a:extLst>
                <a:ext uri="{63B3BB69-23CF-44E3-9099-C40C66FF867C}">
                  <a14:compatExt spid="_x0000_s2217"/>
                </a:ext>
              </a:extLst>
            </xdr:cNvPr>
            <xdr:cNvSpPr/>
          </xdr:nvSpPr>
          <xdr:spPr>
            <a:xfrm>
              <a:off x="2284730" y="55778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26</xdr:row>
          <xdr:rowOff>60960</xdr:rowOff>
        </xdr:from>
        <xdr:to>
          <xdr:col>16</xdr:col>
          <xdr:colOff>68580</xdr:colOff>
          <xdr:row>27</xdr:row>
          <xdr:rowOff>175260</xdr:rowOff>
        </xdr:to>
        <xdr:sp>
          <xdr:nvSpPr>
            <xdr:cNvPr id="2218" name="Check Box 170" hidden="1">
              <a:extLst>
                <a:ext uri="{63B3BB69-23CF-44E3-9099-C40C66FF867C}">
                  <a14:compatExt spid="_x0000_s2218"/>
                </a:ext>
              </a:extLst>
            </xdr:cNvPr>
            <xdr:cNvSpPr/>
          </xdr:nvSpPr>
          <xdr:spPr>
            <a:xfrm>
              <a:off x="2447925" y="55778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26</xdr:row>
          <xdr:rowOff>60960</xdr:rowOff>
        </xdr:from>
        <xdr:to>
          <xdr:col>19</xdr:col>
          <xdr:colOff>68580</xdr:colOff>
          <xdr:row>27</xdr:row>
          <xdr:rowOff>175260</xdr:rowOff>
        </xdr:to>
        <xdr:sp>
          <xdr:nvSpPr>
            <xdr:cNvPr id="2222" name="Check Box 174" hidden="1">
              <a:extLst>
                <a:ext uri="{63B3BB69-23CF-44E3-9099-C40C66FF867C}">
                  <a14:compatExt spid="_x0000_s2222"/>
                </a:ext>
              </a:extLst>
            </xdr:cNvPr>
            <xdr:cNvSpPr/>
          </xdr:nvSpPr>
          <xdr:spPr>
            <a:xfrm>
              <a:off x="2937510" y="55778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26</xdr:row>
          <xdr:rowOff>60960</xdr:rowOff>
        </xdr:from>
        <xdr:to>
          <xdr:col>20</xdr:col>
          <xdr:colOff>68580</xdr:colOff>
          <xdr:row>27</xdr:row>
          <xdr:rowOff>175260</xdr:rowOff>
        </xdr:to>
        <xdr:sp>
          <xdr:nvSpPr>
            <xdr:cNvPr id="2223" name="Check Box 175" hidden="1">
              <a:extLst>
                <a:ext uri="{63B3BB69-23CF-44E3-9099-C40C66FF867C}">
                  <a14:compatExt spid="_x0000_s2223"/>
                </a:ext>
              </a:extLst>
            </xdr:cNvPr>
            <xdr:cNvSpPr/>
          </xdr:nvSpPr>
          <xdr:spPr>
            <a:xfrm>
              <a:off x="3100705" y="55778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26</xdr:row>
          <xdr:rowOff>60960</xdr:rowOff>
        </xdr:from>
        <xdr:to>
          <xdr:col>21</xdr:col>
          <xdr:colOff>68580</xdr:colOff>
          <xdr:row>27</xdr:row>
          <xdr:rowOff>175260</xdr:rowOff>
        </xdr:to>
        <xdr:sp>
          <xdr:nvSpPr>
            <xdr:cNvPr id="2224" name="Check Box 176" hidden="1">
              <a:extLst>
                <a:ext uri="{63B3BB69-23CF-44E3-9099-C40C66FF867C}">
                  <a14:compatExt spid="_x0000_s2224"/>
                </a:ext>
              </a:extLst>
            </xdr:cNvPr>
            <xdr:cNvSpPr/>
          </xdr:nvSpPr>
          <xdr:spPr>
            <a:xfrm>
              <a:off x="3263900" y="55778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114300</xdr:colOff>
          <xdr:row>37</xdr:row>
          <xdr:rowOff>175260</xdr:rowOff>
        </xdr:from>
        <xdr:to>
          <xdr:col>38</xdr:col>
          <xdr:colOff>38100</xdr:colOff>
          <xdr:row>39</xdr:row>
          <xdr:rowOff>15240</xdr:rowOff>
        </xdr:to>
        <xdr:sp>
          <xdr:nvSpPr>
            <xdr:cNvPr id="2269" name="Check Box 221" hidden="1">
              <a:extLst>
                <a:ext uri="{63B3BB69-23CF-44E3-9099-C40C66FF867C}">
                  <a14:compatExt spid="_x0000_s2269"/>
                </a:ext>
              </a:extLst>
            </xdr:cNvPr>
            <xdr:cNvSpPr/>
          </xdr:nvSpPr>
          <xdr:spPr>
            <a:xfrm>
              <a:off x="5989320" y="7374255"/>
              <a:ext cx="250190" cy="27051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40</xdr:row>
          <xdr:rowOff>167640</xdr:rowOff>
        </xdr:from>
        <xdr:to>
          <xdr:col>15</xdr:col>
          <xdr:colOff>22860</xdr:colOff>
          <xdr:row>41</xdr:row>
          <xdr:rowOff>167640</xdr:rowOff>
        </xdr:to>
        <xdr:sp>
          <xdr:nvSpPr>
            <xdr:cNvPr id="2272" name="Check Box 224" hidden="1">
              <a:extLst>
                <a:ext uri="{63B3BB69-23CF-44E3-9099-C40C66FF867C}">
                  <a14:compatExt spid="_x0000_s2272"/>
                </a:ext>
              </a:extLst>
            </xdr:cNvPr>
            <xdr:cNvSpPr/>
          </xdr:nvSpPr>
          <xdr:spPr>
            <a:xfrm>
              <a:off x="2284730" y="8012430"/>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41</xdr:row>
          <xdr:rowOff>167640</xdr:rowOff>
        </xdr:from>
        <xdr:to>
          <xdr:col>15</xdr:col>
          <xdr:colOff>22860</xdr:colOff>
          <xdr:row>42</xdr:row>
          <xdr:rowOff>167640</xdr:rowOff>
        </xdr:to>
        <xdr:sp>
          <xdr:nvSpPr>
            <xdr:cNvPr id="2273" name="Check Box 225" hidden="1">
              <a:extLst>
                <a:ext uri="{63B3BB69-23CF-44E3-9099-C40C66FF867C}">
                  <a14:compatExt spid="_x0000_s2273"/>
                </a:ext>
              </a:extLst>
            </xdr:cNvPr>
            <xdr:cNvSpPr/>
          </xdr:nvSpPr>
          <xdr:spPr>
            <a:xfrm>
              <a:off x="2284730" y="8227695"/>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42</xdr:row>
          <xdr:rowOff>167640</xdr:rowOff>
        </xdr:from>
        <xdr:to>
          <xdr:col>15</xdr:col>
          <xdr:colOff>22860</xdr:colOff>
          <xdr:row>43</xdr:row>
          <xdr:rowOff>167640</xdr:rowOff>
        </xdr:to>
        <xdr:sp>
          <xdr:nvSpPr>
            <xdr:cNvPr id="2274" name="Check Box 226" hidden="1">
              <a:extLst>
                <a:ext uri="{63B3BB69-23CF-44E3-9099-C40C66FF867C}">
                  <a14:compatExt spid="_x0000_s2274"/>
                </a:ext>
              </a:extLst>
            </xdr:cNvPr>
            <xdr:cNvSpPr/>
          </xdr:nvSpPr>
          <xdr:spPr>
            <a:xfrm>
              <a:off x="2284730" y="8442960"/>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43</xdr:row>
          <xdr:rowOff>167640</xdr:rowOff>
        </xdr:from>
        <xdr:to>
          <xdr:col>15</xdr:col>
          <xdr:colOff>22860</xdr:colOff>
          <xdr:row>44</xdr:row>
          <xdr:rowOff>167640</xdr:rowOff>
        </xdr:to>
        <xdr:sp>
          <xdr:nvSpPr>
            <xdr:cNvPr id="2275" name="Check Box 227" hidden="1">
              <a:extLst>
                <a:ext uri="{63B3BB69-23CF-44E3-9099-C40C66FF867C}">
                  <a14:compatExt spid="_x0000_s2275"/>
                </a:ext>
              </a:extLst>
            </xdr:cNvPr>
            <xdr:cNvSpPr/>
          </xdr:nvSpPr>
          <xdr:spPr>
            <a:xfrm>
              <a:off x="2284730" y="8658225"/>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46</xdr:row>
          <xdr:rowOff>167640</xdr:rowOff>
        </xdr:from>
        <xdr:to>
          <xdr:col>15</xdr:col>
          <xdr:colOff>22860</xdr:colOff>
          <xdr:row>47</xdr:row>
          <xdr:rowOff>167640</xdr:rowOff>
        </xdr:to>
        <xdr:sp>
          <xdr:nvSpPr>
            <xdr:cNvPr id="2276" name="Check Box 228" hidden="1">
              <a:extLst>
                <a:ext uri="{63B3BB69-23CF-44E3-9099-C40C66FF867C}">
                  <a14:compatExt spid="_x0000_s2276"/>
                </a:ext>
              </a:extLst>
            </xdr:cNvPr>
            <xdr:cNvSpPr/>
          </xdr:nvSpPr>
          <xdr:spPr>
            <a:xfrm>
              <a:off x="2284730" y="9304020"/>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47</xdr:row>
          <xdr:rowOff>167640</xdr:rowOff>
        </xdr:from>
        <xdr:to>
          <xdr:col>15</xdr:col>
          <xdr:colOff>22860</xdr:colOff>
          <xdr:row>48</xdr:row>
          <xdr:rowOff>167640</xdr:rowOff>
        </xdr:to>
        <xdr:sp>
          <xdr:nvSpPr>
            <xdr:cNvPr id="2277" name="Check Box 229" hidden="1">
              <a:extLst>
                <a:ext uri="{63B3BB69-23CF-44E3-9099-C40C66FF867C}">
                  <a14:compatExt spid="_x0000_s2277"/>
                </a:ext>
              </a:extLst>
            </xdr:cNvPr>
            <xdr:cNvSpPr/>
          </xdr:nvSpPr>
          <xdr:spPr>
            <a:xfrm>
              <a:off x="2284730" y="9519285"/>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48</xdr:row>
          <xdr:rowOff>167640</xdr:rowOff>
        </xdr:from>
        <xdr:to>
          <xdr:col>15</xdr:col>
          <xdr:colOff>22860</xdr:colOff>
          <xdr:row>49</xdr:row>
          <xdr:rowOff>167640</xdr:rowOff>
        </xdr:to>
        <xdr:sp>
          <xdr:nvSpPr>
            <xdr:cNvPr id="2278" name="Check Box 230" hidden="1">
              <a:extLst>
                <a:ext uri="{63B3BB69-23CF-44E3-9099-C40C66FF867C}">
                  <a14:compatExt spid="_x0000_s2278"/>
                </a:ext>
              </a:extLst>
            </xdr:cNvPr>
            <xdr:cNvSpPr/>
          </xdr:nvSpPr>
          <xdr:spPr>
            <a:xfrm>
              <a:off x="2284730" y="9734550"/>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49</xdr:row>
          <xdr:rowOff>167640</xdr:rowOff>
        </xdr:from>
        <xdr:to>
          <xdr:col>15</xdr:col>
          <xdr:colOff>22860</xdr:colOff>
          <xdr:row>50</xdr:row>
          <xdr:rowOff>167640</xdr:rowOff>
        </xdr:to>
        <xdr:sp>
          <xdr:nvSpPr>
            <xdr:cNvPr id="2279" name="Check Box 231" hidden="1">
              <a:extLst>
                <a:ext uri="{63B3BB69-23CF-44E3-9099-C40C66FF867C}">
                  <a14:compatExt spid="_x0000_s2279"/>
                </a:ext>
              </a:extLst>
            </xdr:cNvPr>
            <xdr:cNvSpPr/>
          </xdr:nvSpPr>
          <xdr:spPr>
            <a:xfrm>
              <a:off x="2284730" y="9949815"/>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50</xdr:row>
          <xdr:rowOff>167640</xdr:rowOff>
        </xdr:from>
        <xdr:to>
          <xdr:col>15</xdr:col>
          <xdr:colOff>22860</xdr:colOff>
          <xdr:row>51</xdr:row>
          <xdr:rowOff>167640</xdr:rowOff>
        </xdr:to>
        <xdr:sp>
          <xdr:nvSpPr>
            <xdr:cNvPr id="2280" name="Check Box 232" hidden="1">
              <a:extLst>
                <a:ext uri="{63B3BB69-23CF-44E3-9099-C40C66FF867C}">
                  <a14:compatExt spid="_x0000_s2280"/>
                </a:ext>
              </a:extLst>
            </xdr:cNvPr>
            <xdr:cNvSpPr/>
          </xdr:nvSpPr>
          <xdr:spPr>
            <a:xfrm>
              <a:off x="2284730" y="10165080"/>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51</xdr:row>
          <xdr:rowOff>167640</xdr:rowOff>
        </xdr:from>
        <xdr:to>
          <xdr:col>15</xdr:col>
          <xdr:colOff>22860</xdr:colOff>
          <xdr:row>52</xdr:row>
          <xdr:rowOff>167640</xdr:rowOff>
        </xdr:to>
        <xdr:sp>
          <xdr:nvSpPr>
            <xdr:cNvPr id="2281" name="Check Box 233" hidden="1">
              <a:extLst>
                <a:ext uri="{63B3BB69-23CF-44E3-9099-C40C66FF867C}">
                  <a14:compatExt spid="_x0000_s2281"/>
                </a:ext>
              </a:extLst>
            </xdr:cNvPr>
            <xdr:cNvSpPr/>
          </xdr:nvSpPr>
          <xdr:spPr>
            <a:xfrm>
              <a:off x="2284730" y="10380345"/>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52</xdr:row>
          <xdr:rowOff>152400</xdr:rowOff>
        </xdr:from>
        <xdr:to>
          <xdr:col>15</xdr:col>
          <xdr:colOff>22860</xdr:colOff>
          <xdr:row>53</xdr:row>
          <xdr:rowOff>152400</xdr:rowOff>
        </xdr:to>
        <xdr:sp>
          <xdr:nvSpPr>
            <xdr:cNvPr id="2282" name="Check Box 234" hidden="1">
              <a:extLst>
                <a:ext uri="{63B3BB69-23CF-44E3-9099-C40C66FF867C}">
                  <a14:compatExt spid="_x0000_s2282"/>
                </a:ext>
              </a:extLst>
            </xdr:cNvPr>
            <xdr:cNvSpPr/>
          </xdr:nvSpPr>
          <xdr:spPr>
            <a:xfrm>
              <a:off x="2284730" y="10580370"/>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53</xdr:row>
          <xdr:rowOff>167640</xdr:rowOff>
        </xdr:from>
        <xdr:to>
          <xdr:col>15</xdr:col>
          <xdr:colOff>22860</xdr:colOff>
          <xdr:row>54</xdr:row>
          <xdr:rowOff>167640</xdr:rowOff>
        </xdr:to>
        <xdr:sp>
          <xdr:nvSpPr>
            <xdr:cNvPr id="2283" name="Check Box 235" hidden="1">
              <a:extLst>
                <a:ext uri="{63B3BB69-23CF-44E3-9099-C40C66FF867C}">
                  <a14:compatExt spid="_x0000_s2283"/>
                </a:ext>
              </a:extLst>
            </xdr:cNvPr>
            <xdr:cNvSpPr/>
          </xdr:nvSpPr>
          <xdr:spPr>
            <a:xfrm>
              <a:off x="2284730" y="10810875"/>
              <a:ext cx="18605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33</xdr:row>
          <xdr:rowOff>0</xdr:rowOff>
        </xdr:from>
        <xdr:to>
          <xdr:col>17</xdr:col>
          <xdr:colOff>38100</xdr:colOff>
          <xdr:row>34</xdr:row>
          <xdr:rowOff>91440</xdr:rowOff>
        </xdr:to>
        <xdr:sp>
          <xdr:nvSpPr>
            <xdr:cNvPr id="2289" name="Spinner 241" hidden="1">
              <a:extLst>
                <a:ext uri="{63B3BB69-23CF-44E3-9099-C40C66FF867C}">
                  <a14:compatExt spid="_x0000_s2289"/>
                </a:ext>
              </a:extLst>
            </xdr:cNvPr>
            <xdr:cNvSpPr/>
          </xdr:nvSpPr>
          <xdr:spPr>
            <a:xfrm>
              <a:off x="2611120" y="6566535"/>
              <a:ext cx="201295" cy="3067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0</xdr:colOff>
          <xdr:row>33</xdr:row>
          <xdr:rowOff>0</xdr:rowOff>
        </xdr:from>
        <xdr:to>
          <xdr:col>26</xdr:col>
          <xdr:colOff>38100</xdr:colOff>
          <xdr:row>34</xdr:row>
          <xdr:rowOff>91440</xdr:rowOff>
        </xdr:to>
        <xdr:sp>
          <xdr:nvSpPr>
            <xdr:cNvPr id="2290" name="Spinner 242" hidden="1">
              <a:extLst>
                <a:ext uri="{63B3BB69-23CF-44E3-9099-C40C66FF867C}">
                  <a14:compatExt spid="_x0000_s2290"/>
                </a:ext>
              </a:extLst>
            </xdr:cNvPr>
            <xdr:cNvSpPr/>
          </xdr:nvSpPr>
          <xdr:spPr>
            <a:xfrm>
              <a:off x="4079875" y="6566535"/>
              <a:ext cx="201295" cy="306705"/>
            </a:xfrm>
            <a:prstGeom prst="rect">
              <a:avLst/>
            </a:prstGeom>
          </xdr:spPr>
        </xdr:sp>
        <xdr:clientData/>
      </xdr:twoCellAnchor>
    </mc:Choice>
    <mc:Fallback/>
  </mc:AlternateContent>
  <xdr:twoCellAnchor>
    <xdr:from>
      <xdr:col>47</xdr:col>
      <xdr:colOff>0</xdr:colOff>
      <xdr:row>12</xdr:row>
      <xdr:rowOff>137160</xdr:rowOff>
    </xdr:from>
    <xdr:to>
      <xdr:col>69</xdr:col>
      <xdr:colOff>0</xdr:colOff>
      <xdr:row>27</xdr:row>
      <xdr:rowOff>141605</xdr:rowOff>
    </xdr:to>
    <xdr:graphicFrame>
      <xdr:nvGraphicFramePr>
        <xdr:cNvPr id="3" name="图表 2"/>
        <xdr:cNvGraphicFramePr/>
      </xdr:nvGraphicFramePr>
      <xdr:xfrm>
        <a:off x="7670165" y="2366010"/>
        <a:ext cx="3590290" cy="3393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0</xdr:colOff>
      <xdr:row>30</xdr:row>
      <xdr:rowOff>76200</xdr:rowOff>
    </xdr:from>
    <xdr:to>
      <xdr:col>69</xdr:col>
      <xdr:colOff>1270</xdr:colOff>
      <xdr:row>44</xdr:row>
      <xdr:rowOff>96520</xdr:rowOff>
    </xdr:to>
    <xdr:graphicFrame>
      <xdr:nvGraphicFramePr>
        <xdr:cNvPr id="5" name="图表 4"/>
        <xdr:cNvGraphicFramePr/>
      </xdr:nvGraphicFramePr>
      <xdr:xfrm>
        <a:off x="7670165" y="6225540"/>
        <a:ext cx="3591560" cy="25768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48</xdr:col>
          <xdr:colOff>22860</xdr:colOff>
          <xdr:row>67</xdr:row>
          <xdr:rowOff>213360</xdr:rowOff>
        </xdr:from>
        <xdr:to>
          <xdr:col>49</xdr:col>
          <xdr:colOff>91440</xdr:colOff>
          <xdr:row>69</xdr:row>
          <xdr:rowOff>0</xdr:rowOff>
        </xdr:to>
        <xdr:sp>
          <xdr:nvSpPr>
            <xdr:cNvPr id="2295" name="Check Box 247" hidden="1">
              <a:extLst>
                <a:ext uri="{63B3BB69-23CF-44E3-9099-C40C66FF867C}">
                  <a14:compatExt spid="_x0000_s2295"/>
                </a:ext>
              </a:extLst>
            </xdr:cNvPr>
            <xdr:cNvSpPr/>
          </xdr:nvSpPr>
          <xdr:spPr>
            <a:xfrm>
              <a:off x="7856220" y="13870305"/>
              <a:ext cx="231775" cy="21717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22860</xdr:colOff>
          <xdr:row>68</xdr:row>
          <xdr:rowOff>213360</xdr:rowOff>
        </xdr:from>
        <xdr:to>
          <xdr:col>49</xdr:col>
          <xdr:colOff>91440</xdr:colOff>
          <xdr:row>70</xdr:row>
          <xdr:rowOff>0</xdr:rowOff>
        </xdr:to>
        <xdr:sp>
          <xdr:nvSpPr>
            <xdr:cNvPr id="2299" name="Check Box 251" hidden="1">
              <a:extLst>
                <a:ext uri="{63B3BB69-23CF-44E3-9099-C40C66FF867C}">
                  <a14:compatExt spid="_x0000_s2299"/>
                </a:ext>
              </a:extLst>
            </xdr:cNvPr>
            <xdr:cNvSpPr/>
          </xdr:nvSpPr>
          <xdr:spPr>
            <a:xfrm>
              <a:off x="7856220" y="14085570"/>
              <a:ext cx="231775" cy="21717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22860</xdr:colOff>
          <xdr:row>69</xdr:row>
          <xdr:rowOff>213360</xdr:rowOff>
        </xdr:from>
        <xdr:to>
          <xdr:col>49</xdr:col>
          <xdr:colOff>91440</xdr:colOff>
          <xdr:row>71</xdr:row>
          <xdr:rowOff>0</xdr:rowOff>
        </xdr:to>
        <xdr:sp>
          <xdr:nvSpPr>
            <xdr:cNvPr id="2302" name="Check Box 254" hidden="1">
              <a:extLst>
                <a:ext uri="{63B3BB69-23CF-44E3-9099-C40C66FF867C}">
                  <a14:compatExt spid="_x0000_s2302"/>
                </a:ext>
              </a:extLst>
            </xdr:cNvPr>
            <xdr:cNvSpPr/>
          </xdr:nvSpPr>
          <xdr:spPr>
            <a:xfrm>
              <a:off x="7856220" y="14300835"/>
              <a:ext cx="231775" cy="21717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22860</xdr:colOff>
          <xdr:row>70</xdr:row>
          <xdr:rowOff>213360</xdr:rowOff>
        </xdr:from>
        <xdr:to>
          <xdr:col>49</xdr:col>
          <xdr:colOff>91440</xdr:colOff>
          <xdr:row>72</xdr:row>
          <xdr:rowOff>0</xdr:rowOff>
        </xdr:to>
        <xdr:sp>
          <xdr:nvSpPr>
            <xdr:cNvPr id="2303" name="Check Box 255" hidden="1">
              <a:extLst>
                <a:ext uri="{63B3BB69-23CF-44E3-9099-C40C66FF867C}">
                  <a14:compatExt spid="_x0000_s2303"/>
                </a:ext>
              </a:extLst>
            </xdr:cNvPr>
            <xdr:cNvSpPr/>
          </xdr:nvSpPr>
          <xdr:spPr>
            <a:xfrm>
              <a:off x="7856220" y="14516100"/>
              <a:ext cx="231775" cy="21717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22860</xdr:colOff>
          <xdr:row>71</xdr:row>
          <xdr:rowOff>213360</xdr:rowOff>
        </xdr:from>
        <xdr:to>
          <xdr:col>49</xdr:col>
          <xdr:colOff>91440</xdr:colOff>
          <xdr:row>73</xdr:row>
          <xdr:rowOff>0</xdr:rowOff>
        </xdr:to>
        <xdr:sp>
          <xdr:nvSpPr>
            <xdr:cNvPr id="2304" name="Check Box 256" hidden="1">
              <a:extLst>
                <a:ext uri="{63B3BB69-23CF-44E3-9099-C40C66FF867C}">
                  <a14:compatExt spid="_x0000_s2304"/>
                </a:ext>
              </a:extLst>
            </xdr:cNvPr>
            <xdr:cNvSpPr/>
          </xdr:nvSpPr>
          <xdr:spPr>
            <a:xfrm>
              <a:off x="7856220" y="14731365"/>
              <a:ext cx="231775" cy="21717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22860</xdr:colOff>
          <xdr:row>72</xdr:row>
          <xdr:rowOff>213360</xdr:rowOff>
        </xdr:from>
        <xdr:to>
          <xdr:col>49</xdr:col>
          <xdr:colOff>91440</xdr:colOff>
          <xdr:row>74</xdr:row>
          <xdr:rowOff>0</xdr:rowOff>
        </xdr:to>
        <xdr:sp>
          <xdr:nvSpPr>
            <xdr:cNvPr id="2305" name="Check Box 257" hidden="1">
              <a:extLst>
                <a:ext uri="{63B3BB69-23CF-44E3-9099-C40C66FF867C}">
                  <a14:compatExt spid="_x0000_s2305"/>
                </a:ext>
              </a:extLst>
            </xdr:cNvPr>
            <xdr:cNvSpPr/>
          </xdr:nvSpPr>
          <xdr:spPr>
            <a:xfrm>
              <a:off x="7856220" y="14946630"/>
              <a:ext cx="231775" cy="21717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39</xdr:row>
          <xdr:rowOff>167640</xdr:rowOff>
        </xdr:from>
        <xdr:to>
          <xdr:col>15</xdr:col>
          <xdr:colOff>30480</xdr:colOff>
          <xdr:row>40</xdr:row>
          <xdr:rowOff>167640</xdr:rowOff>
        </xdr:to>
        <xdr:sp>
          <xdr:nvSpPr>
            <xdr:cNvPr id="2306" name="Check Box 258" hidden="1">
              <a:extLst>
                <a:ext uri="{63B3BB69-23CF-44E3-9099-C40C66FF867C}">
                  <a14:compatExt spid="_x0000_s2306"/>
                </a:ext>
              </a:extLst>
            </xdr:cNvPr>
            <xdr:cNvSpPr/>
          </xdr:nvSpPr>
          <xdr:spPr>
            <a:xfrm>
              <a:off x="2284730" y="7797165"/>
              <a:ext cx="1936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37</xdr:row>
          <xdr:rowOff>167640</xdr:rowOff>
        </xdr:from>
        <xdr:to>
          <xdr:col>15</xdr:col>
          <xdr:colOff>30480</xdr:colOff>
          <xdr:row>38</xdr:row>
          <xdr:rowOff>167640</xdr:rowOff>
        </xdr:to>
        <xdr:sp>
          <xdr:nvSpPr>
            <xdr:cNvPr id="2307" name="Check Box 259" hidden="1">
              <a:extLst>
                <a:ext uri="{63B3BB69-23CF-44E3-9099-C40C66FF867C}">
                  <a14:compatExt spid="_x0000_s2307"/>
                </a:ext>
              </a:extLst>
            </xdr:cNvPr>
            <xdr:cNvSpPr/>
          </xdr:nvSpPr>
          <xdr:spPr>
            <a:xfrm>
              <a:off x="2284730" y="7366635"/>
              <a:ext cx="1936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45</xdr:row>
          <xdr:rowOff>167640</xdr:rowOff>
        </xdr:from>
        <xdr:to>
          <xdr:col>15</xdr:col>
          <xdr:colOff>30480</xdr:colOff>
          <xdr:row>46</xdr:row>
          <xdr:rowOff>167640</xdr:rowOff>
        </xdr:to>
        <xdr:sp>
          <xdr:nvSpPr>
            <xdr:cNvPr id="2308" name="Check Box 260" hidden="1">
              <a:extLst>
                <a:ext uri="{63B3BB69-23CF-44E3-9099-C40C66FF867C}">
                  <a14:compatExt spid="_x0000_s2308"/>
                </a:ext>
              </a:extLst>
            </xdr:cNvPr>
            <xdr:cNvSpPr/>
          </xdr:nvSpPr>
          <xdr:spPr>
            <a:xfrm>
              <a:off x="2284730" y="9088755"/>
              <a:ext cx="1936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129540</xdr:colOff>
          <xdr:row>39</xdr:row>
          <xdr:rowOff>15240</xdr:rowOff>
        </xdr:from>
        <xdr:to>
          <xdr:col>46</xdr:col>
          <xdr:colOff>38100</xdr:colOff>
          <xdr:row>40</xdr:row>
          <xdr:rowOff>22860</xdr:rowOff>
        </xdr:to>
        <xdr:sp>
          <xdr:nvSpPr>
            <xdr:cNvPr id="2309" name="Check Box 261" hidden="1">
              <a:extLst>
                <a:ext uri="{63B3BB69-23CF-44E3-9099-C40C66FF867C}">
                  <a14:compatExt spid="_x0000_s2309"/>
                </a:ext>
              </a:extLst>
            </xdr:cNvPr>
            <xdr:cNvSpPr/>
          </xdr:nvSpPr>
          <xdr:spPr>
            <a:xfrm>
              <a:off x="7146925" y="7644765"/>
              <a:ext cx="398145" cy="22288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121920</xdr:colOff>
          <xdr:row>41</xdr:row>
          <xdr:rowOff>0</xdr:rowOff>
        </xdr:from>
        <xdr:to>
          <xdr:col>29</xdr:col>
          <xdr:colOff>30480</xdr:colOff>
          <xdr:row>42</xdr:row>
          <xdr:rowOff>0</xdr:rowOff>
        </xdr:to>
        <xdr:sp>
          <xdr:nvSpPr>
            <xdr:cNvPr id="2521" name="Check Box 473" hidden="1">
              <a:extLst>
                <a:ext uri="{63B3BB69-23CF-44E3-9099-C40C66FF867C}">
                  <a14:compatExt spid="_x0000_s2521"/>
                </a:ext>
              </a:extLst>
            </xdr:cNvPr>
            <xdr:cNvSpPr/>
          </xdr:nvSpPr>
          <xdr:spPr>
            <a:xfrm>
              <a:off x="4528185" y="8060055"/>
              <a:ext cx="234950"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121920</xdr:colOff>
          <xdr:row>42</xdr:row>
          <xdr:rowOff>0</xdr:rowOff>
        </xdr:from>
        <xdr:to>
          <xdr:col>29</xdr:col>
          <xdr:colOff>30480</xdr:colOff>
          <xdr:row>43</xdr:row>
          <xdr:rowOff>0</xdr:rowOff>
        </xdr:to>
        <xdr:sp>
          <xdr:nvSpPr>
            <xdr:cNvPr id="2522" name="Check Box 474" hidden="1">
              <a:extLst>
                <a:ext uri="{63B3BB69-23CF-44E3-9099-C40C66FF867C}">
                  <a14:compatExt spid="_x0000_s2522"/>
                </a:ext>
              </a:extLst>
            </xdr:cNvPr>
            <xdr:cNvSpPr/>
          </xdr:nvSpPr>
          <xdr:spPr>
            <a:xfrm>
              <a:off x="4528185" y="8275320"/>
              <a:ext cx="234950"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121920</xdr:colOff>
          <xdr:row>43</xdr:row>
          <xdr:rowOff>0</xdr:rowOff>
        </xdr:from>
        <xdr:to>
          <xdr:col>29</xdr:col>
          <xdr:colOff>30480</xdr:colOff>
          <xdr:row>44</xdr:row>
          <xdr:rowOff>0</xdr:rowOff>
        </xdr:to>
        <xdr:sp>
          <xdr:nvSpPr>
            <xdr:cNvPr id="2523" name="Check Box 475" hidden="1">
              <a:extLst>
                <a:ext uri="{63B3BB69-23CF-44E3-9099-C40C66FF867C}">
                  <a14:compatExt spid="_x0000_s2523"/>
                </a:ext>
              </a:extLst>
            </xdr:cNvPr>
            <xdr:cNvSpPr/>
          </xdr:nvSpPr>
          <xdr:spPr>
            <a:xfrm>
              <a:off x="4528185" y="8490585"/>
              <a:ext cx="234950"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121920</xdr:colOff>
          <xdr:row>44</xdr:row>
          <xdr:rowOff>0</xdr:rowOff>
        </xdr:from>
        <xdr:to>
          <xdr:col>29</xdr:col>
          <xdr:colOff>30480</xdr:colOff>
          <xdr:row>45</xdr:row>
          <xdr:rowOff>0</xdr:rowOff>
        </xdr:to>
        <xdr:sp>
          <xdr:nvSpPr>
            <xdr:cNvPr id="2524" name="Check Box 476" hidden="1">
              <a:extLst>
                <a:ext uri="{63B3BB69-23CF-44E3-9099-C40C66FF867C}">
                  <a14:compatExt spid="_x0000_s2524"/>
                </a:ext>
              </a:extLst>
            </xdr:cNvPr>
            <xdr:cNvSpPr/>
          </xdr:nvSpPr>
          <xdr:spPr>
            <a:xfrm>
              <a:off x="4528185" y="8705850"/>
              <a:ext cx="234950"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58</xdr:row>
          <xdr:rowOff>0</xdr:rowOff>
        </xdr:from>
        <xdr:to>
          <xdr:col>46</xdr:col>
          <xdr:colOff>0</xdr:colOff>
          <xdr:row>58</xdr:row>
          <xdr:rowOff>205740</xdr:rowOff>
        </xdr:to>
        <xdr:sp>
          <xdr:nvSpPr>
            <xdr:cNvPr id="2569" name="Spinner 521" hidden="1">
              <a:extLst>
                <a:ext uri="{63B3BB69-23CF-44E3-9099-C40C66FF867C}">
                  <a14:compatExt spid="_x0000_s2569"/>
                </a:ext>
              </a:extLst>
            </xdr:cNvPr>
            <xdr:cNvSpPr/>
          </xdr:nvSpPr>
          <xdr:spPr>
            <a:xfrm>
              <a:off x="7343775" y="11719560"/>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59</xdr:row>
          <xdr:rowOff>0</xdr:rowOff>
        </xdr:from>
        <xdr:to>
          <xdr:col>46</xdr:col>
          <xdr:colOff>0</xdr:colOff>
          <xdr:row>59</xdr:row>
          <xdr:rowOff>205740</xdr:rowOff>
        </xdr:to>
        <xdr:sp>
          <xdr:nvSpPr>
            <xdr:cNvPr id="2570" name="Spinner 522" hidden="1">
              <a:extLst>
                <a:ext uri="{63B3BB69-23CF-44E3-9099-C40C66FF867C}">
                  <a14:compatExt spid="_x0000_s2570"/>
                </a:ext>
              </a:extLst>
            </xdr:cNvPr>
            <xdr:cNvSpPr/>
          </xdr:nvSpPr>
          <xdr:spPr>
            <a:xfrm>
              <a:off x="7343775" y="11934825"/>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57</xdr:row>
          <xdr:rowOff>0</xdr:rowOff>
        </xdr:from>
        <xdr:to>
          <xdr:col>46</xdr:col>
          <xdr:colOff>0</xdr:colOff>
          <xdr:row>57</xdr:row>
          <xdr:rowOff>205740</xdr:rowOff>
        </xdr:to>
        <xdr:sp>
          <xdr:nvSpPr>
            <xdr:cNvPr id="2571" name="Spinner 523" hidden="1">
              <a:extLst>
                <a:ext uri="{63B3BB69-23CF-44E3-9099-C40C66FF867C}">
                  <a14:compatExt spid="_x0000_s2571"/>
                </a:ext>
              </a:extLst>
            </xdr:cNvPr>
            <xdr:cNvSpPr/>
          </xdr:nvSpPr>
          <xdr:spPr>
            <a:xfrm>
              <a:off x="7343775" y="11504295"/>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56</xdr:row>
          <xdr:rowOff>0</xdr:rowOff>
        </xdr:from>
        <xdr:to>
          <xdr:col>46</xdr:col>
          <xdr:colOff>0</xdr:colOff>
          <xdr:row>56</xdr:row>
          <xdr:rowOff>205740</xdr:rowOff>
        </xdr:to>
        <xdr:sp>
          <xdr:nvSpPr>
            <xdr:cNvPr id="2572" name="Spinner 524" hidden="1">
              <a:extLst>
                <a:ext uri="{63B3BB69-23CF-44E3-9099-C40C66FF867C}">
                  <a14:compatExt spid="_x0000_s2572"/>
                </a:ext>
              </a:extLst>
            </xdr:cNvPr>
            <xdr:cNvSpPr/>
          </xdr:nvSpPr>
          <xdr:spPr>
            <a:xfrm>
              <a:off x="7343775" y="11289030"/>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55</xdr:row>
          <xdr:rowOff>0</xdr:rowOff>
        </xdr:from>
        <xdr:to>
          <xdr:col>46</xdr:col>
          <xdr:colOff>0</xdr:colOff>
          <xdr:row>55</xdr:row>
          <xdr:rowOff>205740</xdr:rowOff>
        </xdr:to>
        <xdr:sp>
          <xdr:nvSpPr>
            <xdr:cNvPr id="2573" name="Spinner 525" hidden="1">
              <a:extLst>
                <a:ext uri="{63B3BB69-23CF-44E3-9099-C40C66FF867C}">
                  <a14:compatExt spid="_x0000_s2573"/>
                </a:ext>
              </a:extLst>
            </xdr:cNvPr>
            <xdr:cNvSpPr/>
          </xdr:nvSpPr>
          <xdr:spPr>
            <a:xfrm>
              <a:off x="7343775" y="11073765"/>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54</xdr:row>
          <xdr:rowOff>0</xdr:rowOff>
        </xdr:from>
        <xdr:to>
          <xdr:col>46</xdr:col>
          <xdr:colOff>0</xdr:colOff>
          <xdr:row>54</xdr:row>
          <xdr:rowOff>205740</xdr:rowOff>
        </xdr:to>
        <xdr:sp>
          <xdr:nvSpPr>
            <xdr:cNvPr id="2574" name="Spinner 526" hidden="1">
              <a:extLst>
                <a:ext uri="{63B3BB69-23CF-44E3-9099-C40C66FF867C}">
                  <a14:compatExt spid="_x0000_s2574"/>
                </a:ext>
              </a:extLst>
            </xdr:cNvPr>
            <xdr:cNvSpPr/>
          </xdr:nvSpPr>
          <xdr:spPr>
            <a:xfrm>
              <a:off x="7343775" y="10858500"/>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53</xdr:row>
          <xdr:rowOff>0</xdr:rowOff>
        </xdr:from>
        <xdr:to>
          <xdr:col>46</xdr:col>
          <xdr:colOff>0</xdr:colOff>
          <xdr:row>53</xdr:row>
          <xdr:rowOff>205740</xdr:rowOff>
        </xdr:to>
        <xdr:sp>
          <xdr:nvSpPr>
            <xdr:cNvPr id="2575" name="Spinner 527" hidden="1">
              <a:extLst>
                <a:ext uri="{63B3BB69-23CF-44E3-9099-C40C66FF867C}">
                  <a14:compatExt spid="_x0000_s2575"/>
                </a:ext>
              </a:extLst>
            </xdr:cNvPr>
            <xdr:cNvSpPr/>
          </xdr:nvSpPr>
          <xdr:spPr>
            <a:xfrm>
              <a:off x="7343775" y="10643235"/>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52</xdr:row>
          <xdr:rowOff>0</xdr:rowOff>
        </xdr:from>
        <xdr:to>
          <xdr:col>46</xdr:col>
          <xdr:colOff>0</xdr:colOff>
          <xdr:row>52</xdr:row>
          <xdr:rowOff>205740</xdr:rowOff>
        </xdr:to>
        <xdr:sp>
          <xdr:nvSpPr>
            <xdr:cNvPr id="2576" name="Spinner 528" hidden="1">
              <a:extLst>
                <a:ext uri="{63B3BB69-23CF-44E3-9099-C40C66FF867C}">
                  <a14:compatExt spid="_x0000_s2576"/>
                </a:ext>
              </a:extLst>
            </xdr:cNvPr>
            <xdr:cNvSpPr/>
          </xdr:nvSpPr>
          <xdr:spPr>
            <a:xfrm>
              <a:off x="7343775" y="10427970"/>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51</xdr:row>
          <xdr:rowOff>0</xdr:rowOff>
        </xdr:from>
        <xdr:to>
          <xdr:col>46</xdr:col>
          <xdr:colOff>0</xdr:colOff>
          <xdr:row>51</xdr:row>
          <xdr:rowOff>205740</xdr:rowOff>
        </xdr:to>
        <xdr:sp>
          <xdr:nvSpPr>
            <xdr:cNvPr id="2577" name="Spinner 529" hidden="1">
              <a:extLst>
                <a:ext uri="{63B3BB69-23CF-44E3-9099-C40C66FF867C}">
                  <a14:compatExt spid="_x0000_s2577"/>
                </a:ext>
              </a:extLst>
            </xdr:cNvPr>
            <xdr:cNvSpPr/>
          </xdr:nvSpPr>
          <xdr:spPr>
            <a:xfrm>
              <a:off x="7343775" y="10212705"/>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52</xdr:row>
          <xdr:rowOff>0</xdr:rowOff>
        </xdr:from>
        <xdr:to>
          <xdr:col>46</xdr:col>
          <xdr:colOff>0</xdr:colOff>
          <xdr:row>52</xdr:row>
          <xdr:rowOff>205740</xdr:rowOff>
        </xdr:to>
        <xdr:sp>
          <xdr:nvSpPr>
            <xdr:cNvPr id="2578" name="Spinner 530" hidden="1">
              <a:extLst>
                <a:ext uri="{63B3BB69-23CF-44E3-9099-C40C66FF867C}">
                  <a14:compatExt spid="_x0000_s2578"/>
                </a:ext>
              </a:extLst>
            </xdr:cNvPr>
            <xdr:cNvSpPr/>
          </xdr:nvSpPr>
          <xdr:spPr>
            <a:xfrm>
              <a:off x="7343775" y="10427970"/>
              <a:ext cx="163195"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121920</xdr:colOff>
          <xdr:row>40</xdr:row>
          <xdr:rowOff>0</xdr:rowOff>
        </xdr:from>
        <xdr:to>
          <xdr:col>29</xdr:col>
          <xdr:colOff>30480</xdr:colOff>
          <xdr:row>41</xdr:row>
          <xdr:rowOff>0</xdr:rowOff>
        </xdr:to>
        <xdr:sp>
          <xdr:nvSpPr>
            <xdr:cNvPr id="2589" name="Check Box 541" hidden="1">
              <a:extLst>
                <a:ext uri="{63B3BB69-23CF-44E3-9099-C40C66FF867C}">
                  <a14:compatExt spid="_x0000_s2589"/>
                </a:ext>
              </a:extLst>
            </xdr:cNvPr>
            <xdr:cNvSpPr/>
          </xdr:nvSpPr>
          <xdr:spPr>
            <a:xfrm>
              <a:off x="4528185" y="7844790"/>
              <a:ext cx="234950"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37</xdr:row>
          <xdr:rowOff>167640</xdr:rowOff>
        </xdr:from>
        <xdr:to>
          <xdr:col>15</xdr:col>
          <xdr:colOff>30480</xdr:colOff>
          <xdr:row>38</xdr:row>
          <xdr:rowOff>167640</xdr:rowOff>
        </xdr:to>
        <xdr:sp>
          <xdr:nvSpPr>
            <xdr:cNvPr id="2677" name="Check Box 629" hidden="1">
              <a:extLst>
                <a:ext uri="{63B3BB69-23CF-44E3-9099-C40C66FF867C}">
                  <a14:compatExt spid="_x0000_s2677"/>
                </a:ext>
              </a:extLst>
            </xdr:cNvPr>
            <xdr:cNvSpPr/>
          </xdr:nvSpPr>
          <xdr:spPr>
            <a:xfrm>
              <a:off x="2284730" y="7366635"/>
              <a:ext cx="1936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137160</xdr:colOff>
          <xdr:row>38</xdr:row>
          <xdr:rowOff>22860</xdr:rowOff>
        </xdr:from>
        <xdr:to>
          <xdr:col>34</xdr:col>
          <xdr:colOff>38100</xdr:colOff>
          <xdr:row>39</xdr:row>
          <xdr:rowOff>30480</xdr:rowOff>
        </xdr:to>
        <xdr:sp>
          <xdr:nvSpPr>
            <xdr:cNvPr id="2686" name="Check Box 638" hidden="1">
              <a:extLst>
                <a:ext uri="{63B3BB69-23CF-44E3-9099-C40C66FF867C}">
                  <a14:compatExt spid="_x0000_s2686"/>
                </a:ext>
              </a:extLst>
            </xdr:cNvPr>
            <xdr:cNvSpPr/>
          </xdr:nvSpPr>
          <xdr:spPr>
            <a:xfrm>
              <a:off x="5196205" y="7437120"/>
              <a:ext cx="390525" cy="22288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137160</xdr:colOff>
          <xdr:row>37</xdr:row>
          <xdr:rowOff>22860</xdr:rowOff>
        </xdr:from>
        <xdr:to>
          <xdr:col>34</xdr:col>
          <xdr:colOff>38100</xdr:colOff>
          <xdr:row>38</xdr:row>
          <xdr:rowOff>30480</xdr:rowOff>
        </xdr:to>
        <xdr:sp>
          <xdr:nvSpPr>
            <xdr:cNvPr id="2687" name="Check Box 639" hidden="1">
              <a:extLst>
                <a:ext uri="{63B3BB69-23CF-44E3-9099-C40C66FF867C}">
                  <a14:compatExt spid="_x0000_s2687"/>
                </a:ext>
              </a:extLst>
            </xdr:cNvPr>
            <xdr:cNvSpPr/>
          </xdr:nvSpPr>
          <xdr:spPr>
            <a:xfrm>
              <a:off x="5196205" y="7221855"/>
              <a:ext cx="390525" cy="22288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26</xdr:row>
          <xdr:rowOff>68580</xdr:rowOff>
        </xdr:from>
        <xdr:to>
          <xdr:col>4</xdr:col>
          <xdr:colOff>15240</xdr:colOff>
          <xdr:row>27</xdr:row>
          <xdr:rowOff>182880</xdr:rowOff>
        </xdr:to>
        <xdr:sp>
          <xdr:nvSpPr>
            <xdr:cNvPr id="2692" name="Check Box 644" hidden="1">
              <a:extLst>
                <a:ext uri="{63B3BB69-23CF-44E3-9099-C40C66FF867C}">
                  <a14:compatExt spid="_x0000_s2692"/>
                </a:ext>
              </a:extLst>
            </xdr:cNvPr>
            <xdr:cNvSpPr/>
          </xdr:nvSpPr>
          <xdr:spPr>
            <a:xfrm>
              <a:off x="433070" y="5585460"/>
              <a:ext cx="234950" cy="215265"/>
            </a:xfrm>
            <a:prstGeom prst="rect">
              <a:avLst/>
            </a:prstGeom>
          </xdr:spPr>
          <xdr:txBody>
            <a:bodyPr upright="1"/>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0</xdr:colOff>
          <xdr:row>112</xdr:row>
          <xdr:rowOff>205740</xdr:rowOff>
        </xdr:from>
        <xdr:to>
          <xdr:col>57</xdr:col>
          <xdr:colOff>68580</xdr:colOff>
          <xdr:row>113</xdr:row>
          <xdr:rowOff>205740</xdr:rowOff>
        </xdr:to>
        <xdr:sp>
          <xdr:nvSpPr>
            <xdr:cNvPr id="2728" name="Check Box 680" hidden="1">
              <a:extLst>
                <a:ext uri="{63B3BB69-23CF-44E3-9099-C40C66FF867C}">
                  <a14:compatExt spid="_x0000_s2728"/>
                </a:ext>
              </a:extLst>
            </xdr:cNvPr>
            <xdr:cNvSpPr/>
          </xdr:nvSpPr>
          <xdr:spPr>
            <a:xfrm>
              <a:off x="9138920" y="235496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0</xdr:colOff>
          <xdr:row>112</xdr:row>
          <xdr:rowOff>205740</xdr:rowOff>
        </xdr:from>
        <xdr:to>
          <xdr:col>60</xdr:col>
          <xdr:colOff>68580</xdr:colOff>
          <xdr:row>113</xdr:row>
          <xdr:rowOff>205740</xdr:rowOff>
        </xdr:to>
        <xdr:sp>
          <xdr:nvSpPr>
            <xdr:cNvPr id="2729" name="Check Box 681" hidden="1">
              <a:extLst>
                <a:ext uri="{63B3BB69-23CF-44E3-9099-C40C66FF867C}">
                  <a14:compatExt spid="_x0000_s2729"/>
                </a:ext>
              </a:extLst>
            </xdr:cNvPr>
            <xdr:cNvSpPr/>
          </xdr:nvSpPr>
          <xdr:spPr>
            <a:xfrm>
              <a:off x="9628505" y="235496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62</xdr:col>
          <xdr:colOff>0</xdr:colOff>
          <xdr:row>112</xdr:row>
          <xdr:rowOff>205740</xdr:rowOff>
        </xdr:from>
        <xdr:to>
          <xdr:col>63</xdr:col>
          <xdr:colOff>68580</xdr:colOff>
          <xdr:row>113</xdr:row>
          <xdr:rowOff>205740</xdr:rowOff>
        </xdr:to>
        <xdr:sp>
          <xdr:nvSpPr>
            <xdr:cNvPr id="2730" name="Check Box 682" hidden="1">
              <a:extLst>
                <a:ext uri="{63B3BB69-23CF-44E3-9099-C40C66FF867C}">
                  <a14:compatExt spid="_x0000_s2730"/>
                </a:ext>
              </a:extLst>
            </xdr:cNvPr>
            <xdr:cNvSpPr/>
          </xdr:nvSpPr>
          <xdr:spPr>
            <a:xfrm>
              <a:off x="10118090" y="235496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0</xdr:colOff>
          <xdr:row>112</xdr:row>
          <xdr:rowOff>205740</xdr:rowOff>
        </xdr:from>
        <xdr:to>
          <xdr:col>66</xdr:col>
          <xdr:colOff>68580</xdr:colOff>
          <xdr:row>113</xdr:row>
          <xdr:rowOff>205740</xdr:rowOff>
        </xdr:to>
        <xdr:sp>
          <xdr:nvSpPr>
            <xdr:cNvPr id="2731" name="Check Box 683" hidden="1">
              <a:extLst>
                <a:ext uri="{63B3BB69-23CF-44E3-9099-C40C66FF867C}">
                  <a14:compatExt spid="_x0000_s2731"/>
                </a:ext>
              </a:extLst>
            </xdr:cNvPr>
            <xdr:cNvSpPr/>
          </xdr:nvSpPr>
          <xdr:spPr>
            <a:xfrm>
              <a:off x="10607675" y="235496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53</xdr:col>
          <xdr:colOff>0</xdr:colOff>
          <xdr:row>112</xdr:row>
          <xdr:rowOff>205740</xdr:rowOff>
        </xdr:from>
        <xdr:to>
          <xdr:col>54</xdr:col>
          <xdr:colOff>68580</xdr:colOff>
          <xdr:row>113</xdr:row>
          <xdr:rowOff>205740</xdr:rowOff>
        </xdr:to>
        <xdr:sp>
          <xdr:nvSpPr>
            <xdr:cNvPr id="2732" name="Check Box 684" hidden="1">
              <a:extLst>
                <a:ext uri="{63B3BB69-23CF-44E3-9099-C40C66FF867C}">
                  <a14:compatExt spid="_x0000_s2732"/>
                </a:ext>
              </a:extLst>
            </xdr:cNvPr>
            <xdr:cNvSpPr/>
          </xdr:nvSpPr>
          <xdr:spPr>
            <a:xfrm>
              <a:off x="8649335" y="235496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0</xdr:colOff>
          <xdr:row>112</xdr:row>
          <xdr:rowOff>205740</xdr:rowOff>
        </xdr:from>
        <xdr:to>
          <xdr:col>51</xdr:col>
          <xdr:colOff>68580</xdr:colOff>
          <xdr:row>113</xdr:row>
          <xdr:rowOff>205740</xdr:rowOff>
        </xdr:to>
        <xdr:sp>
          <xdr:nvSpPr>
            <xdr:cNvPr id="2733" name="Check Box 685" hidden="1">
              <a:extLst>
                <a:ext uri="{63B3BB69-23CF-44E3-9099-C40C66FF867C}">
                  <a14:compatExt spid="_x0000_s2733"/>
                </a:ext>
              </a:extLst>
            </xdr:cNvPr>
            <xdr:cNvSpPr/>
          </xdr:nvSpPr>
          <xdr:spPr>
            <a:xfrm>
              <a:off x="8159750" y="235496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0</xdr:colOff>
          <xdr:row>112</xdr:row>
          <xdr:rowOff>205740</xdr:rowOff>
        </xdr:from>
        <xdr:to>
          <xdr:col>48</xdr:col>
          <xdr:colOff>68580</xdr:colOff>
          <xdr:row>113</xdr:row>
          <xdr:rowOff>205740</xdr:rowOff>
        </xdr:to>
        <xdr:sp>
          <xdr:nvSpPr>
            <xdr:cNvPr id="2734" name="Check Box 686" hidden="1">
              <a:extLst>
                <a:ext uri="{63B3BB69-23CF-44E3-9099-C40C66FF867C}">
                  <a14:compatExt spid="_x0000_s2734"/>
                </a:ext>
              </a:extLst>
            </xdr:cNvPr>
            <xdr:cNvSpPr/>
          </xdr:nvSpPr>
          <xdr:spPr>
            <a:xfrm>
              <a:off x="7670165" y="235496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0</xdr:colOff>
          <xdr:row>113</xdr:row>
          <xdr:rowOff>205740</xdr:rowOff>
        </xdr:from>
        <xdr:to>
          <xdr:col>48</xdr:col>
          <xdr:colOff>68580</xdr:colOff>
          <xdr:row>114</xdr:row>
          <xdr:rowOff>205740</xdr:rowOff>
        </xdr:to>
        <xdr:sp>
          <xdr:nvSpPr>
            <xdr:cNvPr id="2735" name="Check Box 687" hidden="1">
              <a:extLst>
                <a:ext uri="{63B3BB69-23CF-44E3-9099-C40C66FF867C}">
                  <a14:compatExt spid="_x0000_s2735"/>
                </a:ext>
              </a:extLst>
            </xdr:cNvPr>
            <xdr:cNvSpPr/>
          </xdr:nvSpPr>
          <xdr:spPr>
            <a:xfrm>
              <a:off x="7670165" y="2376487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0</xdr:colOff>
          <xdr:row>113</xdr:row>
          <xdr:rowOff>205740</xdr:rowOff>
        </xdr:from>
        <xdr:to>
          <xdr:col>51</xdr:col>
          <xdr:colOff>68580</xdr:colOff>
          <xdr:row>114</xdr:row>
          <xdr:rowOff>205740</xdr:rowOff>
        </xdr:to>
        <xdr:sp>
          <xdr:nvSpPr>
            <xdr:cNvPr id="2736" name="Check Box 688" hidden="1">
              <a:extLst>
                <a:ext uri="{63B3BB69-23CF-44E3-9099-C40C66FF867C}">
                  <a14:compatExt spid="_x0000_s2736"/>
                </a:ext>
              </a:extLst>
            </xdr:cNvPr>
            <xdr:cNvSpPr/>
          </xdr:nvSpPr>
          <xdr:spPr>
            <a:xfrm>
              <a:off x="8159750" y="2376487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53</xdr:col>
          <xdr:colOff>0</xdr:colOff>
          <xdr:row>113</xdr:row>
          <xdr:rowOff>205740</xdr:rowOff>
        </xdr:from>
        <xdr:to>
          <xdr:col>54</xdr:col>
          <xdr:colOff>68580</xdr:colOff>
          <xdr:row>114</xdr:row>
          <xdr:rowOff>205740</xdr:rowOff>
        </xdr:to>
        <xdr:sp>
          <xdr:nvSpPr>
            <xdr:cNvPr id="2737" name="Check Box 689" hidden="1">
              <a:extLst>
                <a:ext uri="{63B3BB69-23CF-44E3-9099-C40C66FF867C}">
                  <a14:compatExt spid="_x0000_s2737"/>
                </a:ext>
              </a:extLst>
            </xdr:cNvPr>
            <xdr:cNvSpPr/>
          </xdr:nvSpPr>
          <xdr:spPr>
            <a:xfrm>
              <a:off x="8649335" y="2376487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0</xdr:colOff>
          <xdr:row>113</xdr:row>
          <xdr:rowOff>205740</xdr:rowOff>
        </xdr:from>
        <xdr:to>
          <xdr:col>57</xdr:col>
          <xdr:colOff>68580</xdr:colOff>
          <xdr:row>114</xdr:row>
          <xdr:rowOff>205740</xdr:rowOff>
        </xdr:to>
        <xdr:sp>
          <xdr:nvSpPr>
            <xdr:cNvPr id="2738" name="Check Box 690" hidden="1">
              <a:extLst>
                <a:ext uri="{63B3BB69-23CF-44E3-9099-C40C66FF867C}">
                  <a14:compatExt spid="_x0000_s2738"/>
                </a:ext>
              </a:extLst>
            </xdr:cNvPr>
            <xdr:cNvSpPr/>
          </xdr:nvSpPr>
          <xdr:spPr>
            <a:xfrm>
              <a:off x="9138920" y="2376487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0</xdr:colOff>
          <xdr:row>113</xdr:row>
          <xdr:rowOff>205740</xdr:rowOff>
        </xdr:from>
        <xdr:to>
          <xdr:col>60</xdr:col>
          <xdr:colOff>68580</xdr:colOff>
          <xdr:row>114</xdr:row>
          <xdr:rowOff>205740</xdr:rowOff>
        </xdr:to>
        <xdr:sp>
          <xdr:nvSpPr>
            <xdr:cNvPr id="2739" name="Check Box 691" hidden="1">
              <a:extLst>
                <a:ext uri="{63B3BB69-23CF-44E3-9099-C40C66FF867C}">
                  <a14:compatExt spid="_x0000_s2739"/>
                </a:ext>
              </a:extLst>
            </xdr:cNvPr>
            <xdr:cNvSpPr/>
          </xdr:nvSpPr>
          <xdr:spPr>
            <a:xfrm>
              <a:off x="9628505" y="2376487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62</xdr:col>
          <xdr:colOff>0</xdr:colOff>
          <xdr:row>113</xdr:row>
          <xdr:rowOff>205740</xdr:rowOff>
        </xdr:from>
        <xdr:to>
          <xdr:col>63</xdr:col>
          <xdr:colOff>68580</xdr:colOff>
          <xdr:row>114</xdr:row>
          <xdr:rowOff>205740</xdr:rowOff>
        </xdr:to>
        <xdr:sp>
          <xdr:nvSpPr>
            <xdr:cNvPr id="2740" name="Check Box 692" hidden="1">
              <a:extLst>
                <a:ext uri="{63B3BB69-23CF-44E3-9099-C40C66FF867C}">
                  <a14:compatExt spid="_x0000_s2740"/>
                </a:ext>
              </a:extLst>
            </xdr:cNvPr>
            <xdr:cNvSpPr/>
          </xdr:nvSpPr>
          <xdr:spPr>
            <a:xfrm>
              <a:off x="10118090" y="2376487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15240</xdr:colOff>
          <xdr:row>62</xdr:row>
          <xdr:rowOff>205740</xdr:rowOff>
        </xdr:from>
        <xdr:to>
          <xdr:col>23</xdr:col>
          <xdr:colOff>83820</xdr:colOff>
          <xdr:row>63</xdr:row>
          <xdr:rowOff>205740</xdr:rowOff>
        </xdr:to>
        <xdr:sp>
          <xdr:nvSpPr>
            <xdr:cNvPr id="2757" name="Check Box 709" hidden="1">
              <a:extLst>
                <a:ext uri="{63B3BB69-23CF-44E3-9099-C40C66FF867C}">
                  <a14:compatExt spid="_x0000_s2757"/>
                </a:ext>
              </a:extLst>
            </xdr:cNvPr>
            <xdr:cNvSpPr/>
          </xdr:nvSpPr>
          <xdr:spPr>
            <a:xfrm>
              <a:off x="3605530" y="1278636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22860</xdr:colOff>
          <xdr:row>56</xdr:row>
          <xdr:rowOff>0</xdr:rowOff>
        </xdr:from>
        <xdr:to>
          <xdr:col>62</xdr:col>
          <xdr:colOff>91440</xdr:colOff>
          <xdr:row>57</xdr:row>
          <xdr:rowOff>0</xdr:rowOff>
        </xdr:to>
        <xdr:sp>
          <xdr:nvSpPr>
            <xdr:cNvPr id="2769" name="Check Box 721" hidden="1">
              <a:extLst>
                <a:ext uri="{63B3BB69-23CF-44E3-9099-C40C66FF867C}">
                  <a14:compatExt spid="_x0000_s2769"/>
                </a:ext>
              </a:extLst>
            </xdr:cNvPr>
            <xdr:cNvSpPr/>
          </xdr:nvSpPr>
          <xdr:spPr>
            <a:xfrm>
              <a:off x="9977755" y="1128903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22860</xdr:colOff>
          <xdr:row>56</xdr:row>
          <xdr:rowOff>0</xdr:rowOff>
        </xdr:from>
        <xdr:to>
          <xdr:col>66</xdr:col>
          <xdr:colOff>91440</xdr:colOff>
          <xdr:row>57</xdr:row>
          <xdr:rowOff>0</xdr:rowOff>
        </xdr:to>
        <xdr:sp>
          <xdr:nvSpPr>
            <xdr:cNvPr id="2770" name="Check Box 722" hidden="1">
              <a:extLst>
                <a:ext uri="{63B3BB69-23CF-44E3-9099-C40C66FF867C}">
                  <a14:compatExt spid="_x0000_s2770"/>
                </a:ext>
              </a:extLst>
            </xdr:cNvPr>
            <xdr:cNvSpPr/>
          </xdr:nvSpPr>
          <xdr:spPr>
            <a:xfrm>
              <a:off x="10630535" y="1128903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22860</xdr:colOff>
          <xdr:row>57</xdr:row>
          <xdr:rowOff>0</xdr:rowOff>
        </xdr:from>
        <xdr:to>
          <xdr:col>62</xdr:col>
          <xdr:colOff>91440</xdr:colOff>
          <xdr:row>58</xdr:row>
          <xdr:rowOff>0</xdr:rowOff>
        </xdr:to>
        <xdr:sp>
          <xdr:nvSpPr>
            <xdr:cNvPr id="2771" name="Check Box 723" hidden="1">
              <a:extLst>
                <a:ext uri="{63B3BB69-23CF-44E3-9099-C40C66FF867C}">
                  <a14:compatExt spid="_x0000_s2771"/>
                </a:ext>
              </a:extLst>
            </xdr:cNvPr>
            <xdr:cNvSpPr/>
          </xdr:nvSpPr>
          <xdr:spPr>
            <a:xfrm>
              <a:off x="9977755" y="1150429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22860</xdr:colOff>
          <xdr:row>47</xdr:row>
          <xdr:rowOff>0</xdr:rowOff>
        </xdr:from>
        <xdr:to>
          <xdr:col>49</xdr:col>
          <xdr:colOff>91440</xdr:colOff>
          <xdr:row>48</xdr:row>
          <xdr:rowOff>0</xdr:rowOff>
        </xdr:to>
        <xdr:sp>
          <xdr:nvSpPr>
            <xdr:cNvPr id="2772" name="Check Box 724" hidden="1">
              <a:extLst>
                <a:ext uri="{63B3BB69-23CF-44E3-9099-C40C66FF867C}">
                  <a14:compatExt spid="_x0000_s2772"/>
                </a:ext>
              </a:extLst>
            </xdr:cNvPr>
            <xdr:cNvSpPr/>
          </xdr:nvSpPr>
          <xdr:spPr>
            <a:xfrm>
              <a:off x="7856220" y="935164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52</xdr:col>
          <xdr:colOff>22860</xdr:colOff>
          <xdr:row>47</xdr:row>
          <xdr:rowOff>0</xdr:rowOff>
        </xdr:from>
        <xdr:to>
          <xdr:col>53</xdr:col>
          <xdr:colOff>91440</xdr:colOff>
          <xdr:row>48</xdr:row>
          <xdr:rowOff>0</xdr:rowOff>
        </xdr:to>
        <xdr:sp>
          <xdr:nvSpPr>
            <xdr:cNvPr id="2774" name="Check Box 726" hidden="1">
              <a:extLst>
                <a:ext uri="{63B3BB69-23CF-44E3-9099-C40C66FF867C}">
                  <a14:compatExt spid="_x0000_s2774"/>
                </a:ext>
              </a:extLst>
            </xdr:cNvPr>
            <xdr:cNvSpPr/>
          </xdr:nvSpPr>
          <xdr:spPr>
            <a:xfrm>
              <a:off x="8509000" y="935164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22860</xdr:colOff>
          <xdr:row>47</xdr:row>
          <xdr:rowOff>0</xdr:rowOff>
        </xdr:from>
        <xdr:to>
          <xdr:col>57</xdr:col>
          <xdr:colOff>91440</xdr:colOff>
          <xdr:row>48</xdr:row>
          <xdr:rowOff>0</xdr:rowOff>
        </xdr:to>
        <xdr:sp>
          <xdr:nvSpPr>
            <xdr:cNvPr id="2776" name="Check Box 728" hidden="1">
              <a:extLst>
                <a:ext uri="{63B3BB69-23CF-44E3-9099-C40C66FF867C}">
                  <a14:compatExt spid="_x0000_s2776"/>
                </a:ext>
              </a:extLst>
            </xdr:cNvPr>
            <xdr:cNvSpPr/>
          </xdr:nvSpPr>
          <xdr:spPr>
            <a:xfrm>
              <a:off x="9161780" y="935164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22860</xdr:colOff>
          <xdr:row>47</xdr:row>
          <xdr:rowOff>0</xdr:rowOff>
        </xdr:from>
        <xdr:to>
          <xdr:col>61</xdr:col>
          <xdr:colOff>91440</xdr:colOff>
          <xdr:row>48</xdr:row>
          <xdr:rowOff>0</xdr:rowOff>
        </xdr:to>
        <xdr:sp>
          <xdr:nvSpPr>
            <xdr:cNvPr id="2778" name="Check Box 730" hidden="1">
              <a:extLst>
                <a:ext uri="{63B3BB69-23CF-44E3-9099-C40C66FF867C}">
                  <a14:compatExt spid="_x0000_s2778"/>
                </a:ext>
              </a:extLst>
            </xdr:cNvPr>
            <xdr:cNvSpPr/>
          </xdr:nvSpPr>
          <xdr:spPr>
            <a:xfrm>
              <a:off x="9814560" y="935164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22860</xdr:colOff>
          <xdr:row>47</xdr:row>
          <xdr:rowOff>0</xdr:rowOff>
        </xdr:from>
        <xdr:to>
          <xdr:col>65</xdr:col>
          <xdr:colOff>91440</xdr:colOff>
          <xdr:row>48</xdr:row>
          <xdr:rowOff>0</xdr:rowOff>
        </xdr:to>
        <xdr:sp>
          <xdr:nvSpPr>
            <xdr:cNvPr id="2780" name="Check Box 732" hidden="1">
              <a:extLst>
                <a:ext uri="{63B3BB69-23CF-44E3-9099-C40C66FF867C}">
                  <a14:compatExt spid="_x0000_s2780"/>
                </a:ext>
              </a:extLst>
            </xdr:cNvPr>
            <xdr:cNvSpPr/>
          </xdr:nvSpPr>
          <xdr:spPr>
            <a:xfrm>
              <a:off x="10467340" y="935164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22860</xdr:colOff>
          <xdr:row>48</xdr:row>
          <xdr:rowOff>0</xdr:rowOff>
        </xdr:from>
        <xdr:to>
          <xdr:col>49</xdr:col>
          <xdr:colOff>91440</xdr:colOff>
          <xdr:row>49</xdr:row>
          <xdr:rowOff>0</xdr:rowOff>
        </xdr:to>
        <xdr:sp>
          <xdr:nvSpPr>
            <xdr:cNvPr id="2782" name="Check Box 734" hidden="1">
              <a:extLst>
                <a:ext uri="{63B3BB69-23CF-44E3-9099-C40C66FF867C}">
                  <a14:compatExt spid="_x0000_s2782"/>
                </a:ext>
              </a:extLst>
            </xdr:cNvPr>
            <xdr:cNvSpPr/>
          </xdr:nvSpPr>
          <xdr:spPr>
            <a:xfrm>
              <a:off x="7856220" y="95669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52</xdr:col>
          <xdr:colOff>22860</xdr:colOff>
          <xdr:row>48</xdr:row>
          <xdr:rowOff>0</xdr:rowOff>
        </xdr:from>
        <xdr:to>
          <xdr:col>53</xdr:col>
          <xdr:colOff>91440</xdr:colOff>
          <xdr:row>49</xdr:row>
          <xdr:rowOff>0</xdr:rowOff>
        </xdr:to>
        <xdr:sp>
          <xdr:nvSpPr>
            <xdr:cNvPr id="2784" name="Check Box 736" hidden="1">
              <a:extLst>
                <a:ext uri="{63B3BB69-23CF-44E3-9099-C40C66FF867C}">
                  <a14:compatExt spid="_x0000_s2784"/>
                </a:ext>
              </a:extLst>
            </xdr:cNvPr>
            <xdr:cNvSpPr/>
          </xdr:nvSpPr>
          <xdr:spPr>
            <a:xfrm>
              <a:off x="8509000" y="95669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22860</xdr:colOff>
          <xdr:row>48</xdr:row>
          <xdr:rowOff>0</xdr:rowOff>
        </xdr:from>
        <xdr:to>
          <xdr:col>57</xdr:col>
          <xdr:colOff>91440</xdr:colOff>
          <xdr:row>49</xdr:row>
          <xdr:rowOff>0</xdr:rowOff>
        </xdr:to>
        <xdr:sp>
          <xdr:nvSpPr>
            <xdr:cNvPr id="2786" name="Check Box 738" hidden="1">
              <a:extLst>
                <a:ext uri="{63B3BB69-23CF-44E3-9099-C40C66FF867C}">
                  <a14:compatExt spid="_x0000_s2786"/>
                </a:ext>
              </a:extLst>
            </xdr:cNvPr>
            <xdr:cNvSpPr/>
          </xdr:nvSpPr>
          <xdr:spPr>
            <a:xfrm>
              <a:off x="9161780" y="95669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22860</xdr:colOff>
          <xdr:row>48</xdr:row>
          <xdr:rowOff>0</xdr:rowOff>
        </xdr:from>
        <xdr:to>
          <xdr:col>61</xdr:col>
          <xdr:colOff>91440</xdr:colOff>
          <xdr:row>49</xdr:row>
          <xdr:rowOff>0</xdr:rowOff>
        </xdr:to>
        <xdr:sp>
          <xdr:nvSpPr>
            <xdr:cNvPr id="2788" name="Check Box 740" hidden="1">
              <a:extLst>
                <a:ext uri="{63B3BB69-23CF-44E3-9099-C40C66FF867C}">
                  <a14:compatExt spid="_x0000_s2788"/>
                </a:ext>
              </a:extLst>
            </xdr:cNvPr>
            <xdr:cNvSpPr/>
          </xdr:nvSpPr>
          <xdr:spPr>
            <a:xfrm>
              <a:off x="9814560" y="95669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22860</xdr:colOff>
          <xdr:row>48</xdr:row>
          <xdr:rowOff>0</xdr:rowOff>
        </xdr:from>
        <xdr:to>
          <xdr:col>65</xdr:col>
          <xdr:colOff>91440</xdr:colOff>
          <xdr:row>49</xdr:row>
          <xdr:rowOff>0</xdr:rowOff>
        </xdr:to>
        <xdr:sp>
          <xdr:nvSpPr>
            <xdr:cNvPr id="2790" name="Check Box 742" hidden="1">
              <a:extLst>
                <a:ext uri="{63B3BB69-23CF-44E3-9099-C40C66FF867C}">
                  <a14:compatExt spid="_x0000_s2790"/>
                </a:ext>
              </a:extLst>
            </xdr:cNvPr>
            <xdr:cNvSpPr/>
          </xdr:nvSpPr>
          <xdr:spPr>
            <a:xfrm>
              <a:off x="10467340" y="956691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22860</xdr:colOff>
          <xdr:row>49</xdr:row>
          <xdr:rowOff>0</xdr:rowOff>
        </xdr:from>
        <xdr:to>
          <xdr:col>49</xdr:col>
          <xdr:colOff>91440</xdr:colOff>
          <xdr:row>50</xdr:row>
          <xdr:rowOff>0</xdr:rowOff>
        </xdr:to>
        <xdr:sp>
          <xdr:nvSpPr>
            <xdr:cNvPr id="2792" name="Check Box 744" hidden="1">
              <a:extLst>
                <a:ext uri="{63B3BB69-23CF-44E3-9099-C40C66FF867C}">
                  <a14:compatExt spid="_x0000_s2792"/>
                </a:ext>
              </a:extLst>
            </xdr:cNvPr>
            <xdr:cNvSpPr/>
          </xdr:nvSpPr>
          <xdr:spPr>
            <a:xfrm>
              <a:off x="7856220" y="978217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52</xdr:col>
          <xdr:colOff>22860</xdr:colOff>
          <xdr:row>49</xdr:row>
          <xdr:rowOff>0</xdr:rowOff>
        </xdr:from>
        <xdr:to>
          <xdr:col>53</xdr:col>
          <xdr:colOff>91440</xdr:colOff>
          <xdr:row>50</xdr:row>
          <xdr:rowOff>0</xdr:rowOff>
        </xdr:to>
        <xdr:sp>
          <xdr:nvSpPr>
            <xdr:cNvPr id="2794" name="Check Box 746" hidden="1">
              <a:extLst>
                <a:ext uri="{63B3BB69-23CF-44E3-9099-C40C66FF867C}">
                  <a14:compatExt spid="_x0000_s2794"/>
                </a:ext>
              </a:extLst>
            </xdr:cNvPr>
            <xdr:cNvSpPr/>
          </xdr:nvSpPr>
          <xdr:spPr>
            <a:xfrm>
              <a:off x="8509000" y="978217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22860</xdr:colOff>
          <xdr:row>49</xdr:row>
          <xdr:rowOff>0</xdr:rowOff>
        </xdr:from>
        <xdr:to>
          <xdr:col>57</xdr:col>
          <xdr:colOff>91440</xdr:colOff>
          <xdr:row>50</xdr:row>
          <xdr:rowOff>0</xdr:rowOff>
        </xdr:to>
        <xdr:sp>
          <xdr:nvSpPr>
            <xdr:cNvPr id="2796" name="Check Box 748" hidden="1">
              <a:extLst>
                <a:ext uri="{63B3BB69-23CF-44E3-9099-C40C66FF867C}">
                  <a14:compatExt spid="_x0000_s2796"/>
                </a:ext>
              </a:extLst>
            </xdr:cNvPr>
            <xdr:cNvSpPr/>
          </xdr:nvSpPr>
          <xdr:spPr>
            <a:xfrm>
              <a:off x="9161780" y="978217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22860</xdr:colOff>
          <xdr:row>49</xdr:row>
          <xdr:rowOff>0</xdr:rowOff>
        </xdr:from>
        <xdr:to>
          <xdr:col>61</xdr:col>
          <xdr:colOff>91440</xdr:colOff>
          <xdr:row>50</xdr:row>
          <xdr:rowOff>0</xdr:rowOff>
        </xdr:to>
        <xdr:sp>
          <xdr:nvSpPr>
            <xdr:cNvPr id="2798" name="Check Box 750" hidden="1">
              <a:extLst>
                <a:ext uri="{63B3BB69-23CF-44E3-9099-C40C66FF867C}">
                  <a14:compatExt spid="_x0000_s2798"/>
                </a:ext>
              </a:extLst>
            </xdr:cNvPr>
            <xdr:cNvSpPr/>
          </xdr:nvSpPr>
          <xdr:spPr>
            <a:xfrm>
              <a:off x="9814560" y="978217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152400</xdr:colOff>
          <xdr:row>54</xdr:row>
          <xdr:rowOff>15240</xdr:rowOff>
        </xdr:from>
        <xdr:to>
          <xdr:col>37</xdr:col>
          <xdr:colOff>60960</xdr:colOff>
          <xdr:row>55</xdr:row>
          <xdr:rowOff>22860</xdr:rowOff>
        </xdr:to>
        <xdr:sp>
          <xdr:nvSpPr>
            <xdr:cNvPr id="2803" name="Check Box 755" hidden="1">
              <a:extLst>
                <a:ext uri="{63B3BB69-23CF-44E3-9099-C40C66FF867C}">
                  <a14:compatExt spid="_x0000_s2803"/>
                </a:ext>
              </a:extLst>
            </xdr:cNvPr>
            <xdr:cNvSpPr/>
          </xdr:nvSpPr>
          <xdr:spPr>
            <a:xfrm>
              <a:off x="5701030" y="10873740"/>
              <a:ext cx="398145" cy="22288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76200</xdr:colOff>
          <xdr:row>37</xdr:row>
          <xdr:rowOff>15240</xdr:rowOff>
        </xdr:from>
        <xdr:to>
          <xdr:col>22</xdr:col>
          <xdr:colOff>144780</xdr:colOff>
          <xdr:row>38</xdr:row>
          <xdr:rowOff>7620</xdr:rowOff>
        </xdr:to>
        <xdr:sp>
          <xdr:nvSpPr>
            <xdr:cNvPr id="2805" name="Check Box 757" hidden="1">
              <a:extLst>
                <a:ext uri="{63B3BB69-23CF-44E3-9099-C40C66FF867C}">
                  <a14:compatExt spid="_x0000_s2805"/>
                </a:ext>
              </a:extLst>
            </xdr:cNvPr>
            <xdr:cNvSpPr/>
          </xdr:nvSpPr>
          <xdr:spPr>
            <a:xfrm>
              <a:off x="3503295" y="7214235"/>
              <a:ext cx="2317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83820</xdr:colOff>
          <xdr:row>37</xdr:row>
          <xdr:rowOff>38100</xdr:rowOff>
        </xdr:from>
        <xdr:to>
          <xdr:col>47</xdr:col>
          <xdr:colOff>7620</xdr:colOff>
          <xdr:row>38</xdr:row>
          <xdr:rowOff>7620</xdr:rowOff>
        </xdr:to>
        <xdr:sp>
          <xdr:nvSpPr>
            <xdr:cNvPr id="2807" name="Check Box 759" hidden="1">
              <a:extLst>
                <a:ext uri="{63B3BB69-23CF-44E3-9099-C40C66FF867C}">
                  <a14:compatExt spid="_x0000_s2807"/>
                </a:ext>
              </a:extLst>
            </xdr:cNvPr>
            <xdr:cNvSpPr/>
          </xdr:nvSpPr>
          <xdr:spPr>
            <a:xfrm>
              <a:off x="7264400" y="7237095"/>
              <a:ext cx="413385" cy="18478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22860</xdr:colOff>
          <xdr:row>51</xdr:row>
          <xdr:rowOff>0</xdr:rowOff>
        </xdr:from>
        <xdr:to>
          <xdr:col>51</xdr:col>
          <xdr:colOff>91440</xdr:colOff>
          <xdr:row>52</xdr:row>
          <xdr:rowOff>0</xdr:rowOff>
        </xdr:to>
        <xdr:sp>
          <xdr:nvSpPr>
            <xdr:cNvPr id="2813" name="Check Box 765" hidden="1">
              <a:extLst>
                <a:ext uri="{63B3BB69-23CF-44E3-9099-C40C66FF867C}">
                  <a14:compatExt spid="_x0000_s2813"/>
                </a:ext>
              </a:extLst>
            </xdr:cNvPr>
            <xdr:cNvSpPr/>
          </xdr:nvSpPr>
          <xdr:spPr>
            <a:xfrm>
              <a:off x="8182610" y="1021270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53</xdr:col>
          <xdr:colOff>22860</xdr:colOff>
          <xdr:row>51</xdr:row>
          <xdr:rowOff>0</xdr:rowOff>
        </xdr:from>
        <xdr:to>
          <xdr:col>54</xdr:col>
          <xdr:colOff>91440</xdr:colOff>
          <xdr:row>52</xdr:row>
          <xdr:rowOff>0</xdr:rowOff>
        </xdr:to>
        <xdr:sp>
          <xdr:nvSpPr>
            <xdr:cNvPr id="2815" name="Check Box 767" hidden="1">
              <a:extLst>
                <a:ext uri="{63B3BB69-23CF-44E3-9099-C40C66FF867C}">
                  <a14:compatExt spid="_x0000_s2815"/>
                </a:ext>
              </a:extLst>
            </xdr:cNvPr>
            <xdr:cNvSpPr/>
          </xdr:nvSpPr>
          <xdr:spPr>
            <a:xfrm>
              <a:off x="8672195" y="1021270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22860</xdr:colOff>
          <xdr:row>51</xdr:row>
          <xdr:rowOff>0</xdr:rowOff>
        </xdr:from>
        <xdr:to>
          <xdr:col>57</xdr:col>
          <xdr:colOff>91440</xdr:colOff>
          <xdr:row>52</xdr:row>
          <xdr:rowOff>0</xdr:rowOff>
        </xdr:to>
        <xdr:sp>
          <xdr:nvSpPr>
            <xdr:cNvPr id="2817" name="Check Box 769" hidden="1">
              <a:extLst>
                <a:ext uri="{63B3BB69-23CF-44E3-9099-C40C66FF867C}">
                  <a14:compatExt spid="_x0000_s2817"/>
                </a:ext>
              </a:extLst>
            </xdr:cNvPr>
            <xdr:cNvSpPr/>
          </xdr:nvSpPr>
          <xdr:spPr>
            <a:xfrm>
              <a:off x="9161780" y="1021270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22860</xdr:colOff>
          <xdr:row>51</xdr:row>
          <xdr:rowOff>0</xdr:rowOff>
        </xdr:from>
        <xdr:to>
          <xdr:col>60</xdr:col>
          <xdr:colOff>91440</xdr:colOff>
          <xdr:row>52</xdr:row>
          <xdr:rowOff>0</xdr:rowOff>
        </xdr:to>
        <xdr:sp>
          <xdr:nvSpPr>
            <xdr:cNvPr id="2819" name="Check Box 771" hidden="1">
              <a:extLst>
                <a:ext uri="{63B3BB69-23CF-44E3-9099-C40C66FF867C}">
                  <a14:compatExt spid="_x0000_s2819"/>
                </a:ext>
              </a:extLst>
            </xdr:cNvPr>
            <xdr:cNvSpPr/>
          </xdr:nvSpPr>
          <xdr:spPr>
            <a:xfrm>
              <a:off x="9651365" y="1021270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62</xdr:col>
          <xdr:colOff>22860</xdr:colOff>
          <xdr:row>51</xdr:row>
          <xdr:rowOff>0</xdr:rowOff>
        </xdr:from>
        <xdr:to>
          <xdr:col>63</xdr:col>
          <xdr:colOff>91440</xdr:colOff>
          <xdr:row>52</xdr:row>
          <xdr:rowOff>0</xdr:rowOff>
        </xdr:to>
        <xdr:sp>
          <xdr:nvSpPr>
            <xdr:cNvPr id="2821" name="Check Box 773" hidden="1">
              <a:extLst>
                <a:ext uri="{63B3BB69-23CF-44E3-9099-C40C66FF867C}">
                  <a14:compatExt spid="_x0000_s2821"/>
                </a:ext>
              </a:extLst>
            </xdr:cNvPr>
            <xdr:cNvSpPr/>
          </xdr:nvSpPr>
          <xdr:spPr>
            <a:xfrm>
              <a:off x="10140950" y="1021270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22860</xdr:colOff>
          <xdr:row>51</xdr:row>
          <xdr:rowOff>0</xdr:rowOff>
        </xdr:from>
        <xdr:to>
          <xdr:col>66</xdr:col>
          <xdr:colOff>91440</xdr:colOff>
          <xdr:row>52</xdr:row>
          <xdr:rowOff>0</xdr:rowOff>
        </xdr:to>
        <xdr:sp>
          <xdr:nvSpPr>
            <xdr:cNvPr id="2823" name="Check Box 775" hidden="1">
              <a:extLst>
                <a:ext uri="{63B3BB69-23CF-44E3-9099-C40C66FF867C}">
                  <a14:compatExt spid="_x0000_s2823"/>
                </a:ext>
              </a:extLst>
            </xdr:cNvPr>
            <xdr:cNvSpPr/>
          </xdr:nvSpPr>
          <xdr:spPr>
            <a:xfrm>
              <a:off x="10630535" y="1021270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0</xdr:colOff>
          <xdr:row>113</xdr:row>
          <xdr:rowOff>205740</xdr:rowOff>
        </xdr:from>
        <xdr:to>
          <xdr:col>66</xdr:col>
          <xdr:colOff>68580</xdr:colOff>
          <xdr:row>114</xdr:row>
          <xdr:rowOff>205740</xdr:rowOff>
        </xdr:to>
        <xdr:sp>
          <xdr:nvSpPr>
            <xdr:cNvPr id="2825" name="Check Box 777" hidden="1">
              <a:extLst>
                <a:ext uri="{63B3BB69-23CF-44E3-9099-C40C66FF867C}">
                  <a14:compatExt spid="_x0000_s2825"/>
                </a:ext>
              </a:extLst>
            </xdr:cNvPr>
            <xdr:cNvSpPr/>
          </xdr:nvSpPr>
          <xdr:spPr>
            <a:xfrm>
              <a:off x="10607675" y="23764875"/>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0</xdr:colOff>
          <xdr:row>114</xdr:row>
          <xdr:rowOff>205740</xdr:rowOff>
        </xdr:from>
        <xdr:to>
          <xdr:col>48</xdr:col>
          <xdr:colOff>68580</xdr:colOff>
          <xdr:row>115</xdr:row>
          <xdr:rowOff>205740</xdr:rowOff>
        </xdr:to>
        <xdr:sp>
          <xdr:nvSpPr>
            <xdr:cNvPr id="2828" name="Check Box 780" hidden="1">
              <a:extLst>
                <a:ext uri="{63B3BB69-23CF-44E3-9099-C40C66FF867C}">
                  <a14:compatExt spid="_x0000_s2828"/>
                </a:ext>
              </a:extLst>
            </xdr:cNvPr>
            <xdr:cNvSpPr/>
          </xdr:nvSpPr>
          <xdr:spPr>
            <a:xfrm>
              <a:off x="7670165" y="239801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0</xdr:colOff>
          <xdr:row>114</xdr:row>
          <xdr:rowOff>205740</xdr:rowOff>
        </xdr:from>
        <xdr:to>
          <xdr:col>51</xdr:col>
          <xdr:colOff>68580</xdr:colOff>
          <xdr:row>115</xdr:row>
          <xdr:rowOff>205740</xdr:rowOff>
        </xdr:to>
        <xdr:sp>
          <xdr:nvSpPr>
            <xdr:cNvPr id="2829" name="Check Box 781" hidden="1">
              <a:extLst>
                <a:ext uri="{63B3BB69-23CF-44E3-9099-C40C66FF867C}">
                  <a14:compatExt spid="_x0000_s2829"/>
                </a:ext>
              </a:extLst>
            </xdr:cNvPr>
            <xdr:cNvSpPr/>
          </xdr:nvSpPr>
          <xdr:spPr>
            <a:xfrm>
              <a:off x="8159750" y="239801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53</xdr:col>
          <xdr:colOff>0</xdr:colOff>
          <xdr:row>114</xdr:row>
          <xdr:rowOff>205740</xdr:rowOff>
        </xdr:from>
        <xdr:to>
          <xdr:col>54</xdr:col>
          <xdr:colOff>68580</xdr:colOff>
          <xdr:row>115</xdr:row>
          <xdr:rowOff>205740</xdr:rowOff>
        </xdr:to>
        <xdr:sp>
          <xdr:nvSpPr>
            <xdr:cNvPr id="2832" name="Check Box 784" hidden="1">
              <a:extLst>
                <a:ext uri="{63B3BB69-23CF-44E3-9099-C40C66FF867C}">
                  <a14:compatExt spid="_x0000_s2832"/>
                </a:ext>
              </a:extLst>
            </xdr:cNvPr>
            <xdr:cNvSpPr/>
          </xdr:nvSpPr>
          <xdr:spPr>
            <a:xfrm>
              <a:off x="8649335" y="239801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0</xdr:colOff>
          <xdr:row>114</xdr:row>
          <xdr:rowOff>205740</xdr:rowOff>
        </xdr:from>
        <xdr:to>
          <xdr:col>57</xdr:col>
          <xdr:colOff>68580</xdr:colOff>
          <xdr:row>115</xdr:row>
          <xdr:rowOff>205740</xdr:rowOff>
        </xdr:to>
        <xdr:sp>
          <xdr:nvSpPr>
            <xdr:cNvPr id="2834" name="Check Box 786" hidden="1">
              <a:extLst>
                <a:ext uri="{63B3BB69-23CF-44E3-9099-C40C66FF867C}">
                  <a14:compatExt spid="_x0000_s2834"/>
                </a:ext>
              </a:extLst>
            </xdr:cNvPr>
            <xdr:cNvSpPr/>
          </xdr:nvSpPr>
          <xdr:spPr>
            <a:xfrm>
              <a:off x="9138920" y="239801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0</xdr:colOff>
          <xdr:row>114</xdr:row>
          <xdr:rowOff>205740</xdr:rowOff>
        </xdr:from>
        <xdr:to>
          <xdr:col>60</xdr:col>
          <xdr:colOff>68580</xdr:colOff>
          <xdr:row>115</xdr:row>
          <xdr:rowOff>205740</xdr:rowOff>
        </xdr:to>
        <xdr:sp>
          <xdr:nvSpPr>
            <xdr:cNvPr id="2836" name="Check Box 788" hidden="1">
              <a:extLst>
                <a:ext uri="{63B3BB69-23CF-44E3-9099-C40C66FF867C}">
                  <a14:compatExt spid="_x0000_s2836"/>
                </a:ext>
              </a:extLst>
            </xdr:cNvPr>
            <xdr:cNvSpPr/>
          </xdr:nvSpPr>
          <xdr:spPr>
            <a:xfrm>
              <a:off x="9628505" y="239801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62</xdr:col>
          <xdr:colOff>0</xdr:colOff>
          <xdr:row>114</xdr:row>
          <xdr:rowOff>205740</xdr:rowOff>
        </xdr:from>
        <xdr:to>
          <xdr:col>63</xdr:col>
          <xdr:colOff>68580</xdr:colOff>
          <xdr:row>115</xdr:row>
          <xdr:rowOff>205740</xdr:rowOff>
        </xdr:to>
        <xdr:sp>
          <xdr:nvSpPr>
            <xdr:cNvPr id="2840" name="Check Box 792" hidden="1">
              <a:extLst>
                <a:ext uri="{63B3BB69-23CF-44E3-9099-C40C66FF867C}">
                  <a14:compatExt spid="_x0000_s2840"/>
                </a:ext>
              </a:extLst>
            </xdr:cNvPr>
            <xdr:cNvSpPr/>
          </xdr:nvSpPr>
          <xdr:spPr>
            <a:xfrm>
              <a:off x="10118090" y="239801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0</xdr:colOff>
          <xdr:row>114</xdr:row>
          <xdr:rowOff>205740</xdr:rowOff>
        </xdr:from>
        <xdr:to>
          <xdr:col>66</xdr:col>
          <xdr:colOff>68580</xdr:colOff>
          <xdr:row>115</xdr:row>
          <xdr:rowOff>205740</xdr:rowOff>
        </xdr:to>
        <xdr:sp>
          <xdr:nvSpPr>
            <xdr:cNvPr id="2842" name="Check Box 794" hidden="1">
              <a:extLst>
                <a:ext uri="{63B3BB69-23CF-44E3-9099-C40C66FF867C}">
                  <a14:compatExt spid="_x0000_s2842"/>
                </a:ext>
              </a:extLst>
            </xdr:cNvPr>
            <xdr:cNvSpPr/>
          </xdr:nvSpPr>
          <xdr:spPr>
            <a:xfrm>
              <a:off x="10607675" y="23980140"/>
              <a:ext cx="231775" cy="21526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19</xdr:col>
          <xdr:colOff>15240</xdr:colOff>
          <xdr:row>4</xdr:row>
          <xdr:rowOff>15240</xdr:rowOff>
        </xdr:from>
        <xdr:to>
          <xdr:col>20</xdr:col>
          <xdr:colOff>7620</xdr:colOff>
          <xdr:row>6</xdr:row>
          <xdr:rowOff>7620</xdr:rowOff>
        </xdr:to>
        <xdr:sp>
          <xdr:nvSpPr>
            <xdr:cNvPr id="5121" name="Spinner 1" hidden="1">
              <a:extLst>
                <a:ext uri="{63B3BB69-23CF-44E3-9099-C40C66FF867C}">
                  <a14:compatExt spid="_x0000_s5121"/>
                </a:ext>
              </a:extLst>
            </xdr:cNvPr>
            <xdr:cNvSpPr/>
          </xdr:nvSpPr>
          <xdr:spPr>
            <a:xfrm>
              <a:off x="6794500" y="811530"/>
              <a:ext cx="209550" cy="438150"/>
            </a:xfrm>
            <a:prstGeom prst="rect">
              <a:avLst/>
            </a:prstGeom>
          </xdr:spPr>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7620</xdr:colOff>
          <xdr:row>2</xdr:row>
          <xdr:rowOff>7620</xdr:rowOff>
        </xdr:from>
        <xdr:to>
          <xdr:col>4</xdr:col>
          <xdr:colOff>7620</xdr:colOff>
          <xdr:row>3</xdr:row>
          <xdr:rowOff>6350</xdr:rowOff>
        </xdr:to>
        <xdr:sp>
          <xdr:nvSpPr>
            <xdr:cNvPr id="34817" name="Spinner 1" hidden="1">
              <a:extLst>
                <a:ext uri="{63B3BB69-23CF-44E3-9099-C40C66FF867C}">
                  <a14:compatExt spid="_x0000_s34817"/>
                </a:ext>
              </a:extLst>
            </xdr:cNvPr>
            <xdr:cNvSpPr/>
          </xdr:nvSpPr>
          <xdr:spPr>
            <a:xfrm>
              <a:off x="939165" y="38227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3</xdr:row>
          <xdr:rowOff>7620</xdr:rowOff>
        </xdr:from>
        <xdr:to>
          <xdr:col>4</xdr:col>
          <xdr:colOff>7620</xdr:colOff>
          <xdr:row>4</xdr:row>
          <xdr:rowOff>0</xdr:rowOff>
        </xdr:to>
        <xdr:sp>
          <xdr:nvSpPr>
            <xdr:cNvPr id="34818" name="Spinner 2" hidden="1">
              <a:extLst>
                <a:ext uri="{63B3BB69-23CF-44E3-9099-C40C66FF867C}">
                  <a14:compatExt spid="_x0000_s34818"/>
                </a:ext>
              </a:extLst>
            </xdr:cNvPr>
            <xdr:cNvSpPr/>
          </xdr:nvSpPr>
          <xdr:spPr>
            <a:xfrm>
              <a:off x="939165" y="566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4</xdr:row>
          <xdr:rowOff>7620</xdr:rowOff>
        </xdr:from>
        <xdr:to>
          <xdr:col>4</xdr:col>
          <xdr:colOff>7620</xdr:colOff>
          <xdr:row>5</xdr:row>
          <xdr:rowOff>0</xdr:rowOff>
        </xdr:to>
        <xdr:sp>
          <xdr:nvSpPr>
            <xdr:cNvPr id="34819" name="Spinner 3" hidden="1">
              <a:extLst>
                <a:ext uri="{63B3BB69-23CF-44E3-9099-C40C66FF867C}">
                  <a14:compatExt spid="_x0000_s34819"/>
                </a:ext>
              </a:extLst>
            </xdr:cNvPr>
            <xdr:cNvSpPr/>
          </xdr:nvSpPr>
          <xdr:spPr>
            <a:xfrm>
              <a:off x="939165" y="7569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5</xdr:row>
          <xdr:rowOff>7620</xdr:rowOff>
        </xdr:from>
        <xdr:to>
          <xdr:col>4</xdr:col>
          <xdr:colOff>7620</xdr:colOff>
          <xdr:row>6</xdr:row>
          <xdr:rowOff>0</xdr:rowOff>
        </xdr:to>
        <xdr:sp>
          <xdr:nvSpPr>
            <xdr:cNvPr id="34820" name="Spinner 4" hidden="1">
              <a:extLst>
                <a:ext uri="{63B3BB69-23CF-44E3-9099-C40C66FF867C}">
                  <a14:compatExt spid="_x0000_s34820"/>
                </a:ext>
              </a:extLst>
            </xdr:cNvPr>
            <xdr:cNvSpPr/>
          </xdr:nvSpPr>
          <xdr:spPr>
            <a:xfrm>
              <a:off x="939165" y="947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6</xdr:row>
          <xdr:rowOff>7620</xdr:rowOff>
        </xdr:from>
        <xdr:to>
          <xdr:col>4</xdr:col>
          <xdr:colOff>7620</xdr:colOff>
          <xdr:row>7</xdr:row>
          <xdr:rowOff>0</xdr:rowOff>
        </xdr:to>
        <xdr:sp>
          <xdr:nvSpPr>
            <xdr:cNvPr id="34821" name="Spinner 5" hidden="1">
              <a:extLst>
                <a:ext uri="{63B3BB69-23CF-44E3-9099-C40C66FF867C}">
                  <a14:compatExt spid="_x0000_s34821"/>
                </a:ext>
              </a:extLst>
            </xdr:cNvPr>
            <xdr:cNvSpPr/>
          </xdr:nvSpPr>
          <xdr:spPr>
            <a:xfrm>
              <a:off x="939165" y="11379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7</xdr:row>
          <xdr:rowOff>7620</xdr:rowOff>
        </xdr:from>
        <xdr:to>
          <xdr:col>4</xdr:col>
          <xdr:colOff>7620</xdr:colOff>
          <xdr:row>8</xdr:row>
          <xdr:rowOff>0</xdr:rowOff>
        </xdr:to>
        <xdr:sp>
          <xdr:nvSpPr>
            <xdr:cNvPr id="34822" name="Spinner 6" hidden="1">
              <a:extLst>
                <a:ext uri="{63B3BB69-23CF-44E3-9099-C40C66FF867C}">
                  <a14:compatExt spid="_x0000_s34822"/>
                </a:ext>
              </a:extLst>
            </xdr:cNvPr>
            <xdr:cNvSpPr/>
          </xdr:nvSpPr>
          <xdr:spPr>
            <a:xfrm>
              <a:off x="939165" y="1328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2</xdr:row>
          <xdr:rowOff>7620</xdr:rowOff>
        </xdr:from>
        <xdr:to>
          <xdr:col>9</xdr:col>
          <xdr:colOff>7620</xdr:colOff>
          <xdr:row>3</xdr:row>
          <xdr:rowOff>6350</xdr:rowOff>
        </xdr:to>
        <xdr:sp>
          <xdr:nvSpPr>
            <xdr:cNvPr id="34823" name="Spinner 7" hidden="1">
              <a:extLst>
                <a:ext uri="{63B3BB69-23CF-44E3-9099-C40C66FF867C}">
                  <a14:compatExt spid="_x0000_s34823"/>
                </a:ext>
              </a:extLst>
            </xdr:cNvPr>
            <xdr:cNvSpPr/>
          </xdr:nvSpPr>
          <xdr:spPr>
            <a:xfrm>
              <a:off x="2755900" y="38227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3</xdr:row>
          <xdr:rowOff>7620</xdr:rowOff>
        </xdr:from>
        <xdr:to>
          <xdr:col>9</xdr:col>
          <xdr:colOff>7620</xdr:colOff>
          <xdr:row>4</xdr:row>
          <xdr:rowOff>0</xdr:rowOff>
        </xdr:to>
        <xdr:sp>
          <xdr:nvSpPr>
            <xdr:cNvPr id="34824" name="Spinner 8" hidden="1">
              <a:extLst>
                <a:ext uri="{63B3BB69-23CF-44E3-9099-C40C66FF867C}">
                  <a14:compatExt spid="_x0000_s34824"/>
                </a:ext>
              </a:extLst>
            </xdr:cNvPr>
            <xdr:cNvSpPr/>
          </xdr:nvSpPr>
          <xdr:spPr>
            <a:xfrm>
              <a:off x="2755900" y="566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4</xdr:row>
          <xdr:rowOff>7620</xdr:rowOff>
        </xdr:from>
        <xdr:to>
          <xdr:col>9</xdr:col>
          <xdr:colOff>7620</xdr:colOff>
          <xdr:row>5</xdr:row>
          <xdr:rowOff>0</xdr:rowOff>
        </xdr:to>
        <xdr:sp>
          <xdr:nvSpPr>
            <xdr:cNvPr id="34825" name="Spinner 9" hidden="1">
              <a:extLst>
                <a:ext uri="{63B3BB69-23CF-44E3-9099-C40C66FF867C}">
                  <a14:compatExt spid="_x0000_s34825"/>
                </a:ext>
              </a:extLst>
            </xdr:cNvPr>
            <xdr:cNvSpPr/>
          </xdr:nvSpPr>
          <xdr:spPr>
            <a:xfrm>
              <a:off x="2755900" y="7569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5</xdr:row>
          <xdr:rowOff>7620</xdr:rowOff>
        </xdr:from>
        <xdr:to>
          <xdr:col>9</xdr:col>
          <xdr:colOff>7620</xdr:colOff>
          <xdr:row>6</xdr:row>
          <xdr:rowOff>0</xdr:rowOff>
        </xdr:to>
        <xdr:sp>
          <xdr:nvSpPr>
            <xdr:cNvPr id="34826" name="Spinner 10" hidden="1">
              <a:extLst>
                <a:ext uri="{63B3BB69-23CF-44E3-9099-C40C66FF867C}">
                  <a14:compatExt spid="_x0000_s34826"/>
                </a:ext>
              </a:extLst>
            </xdr:cNvPr>
            <xdr:cNvSpPr/>
          </xdr:nvSpPr>
          <xdr:spPr>
            <a:xfrm>
              <a:off x="2755900" y="947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6</xdr:row>
          <xdr:rowOff>7620</xdr:rowOff>
        </xdr:from>
        <xdr:to>
          <xdr:col>9</xdr:col>
          <xdr:colOff>7620</xdr:colOff>
          <xdr:row>7</xdr:row>
          <xdr:rowOff>0</xdr:rowOff>
        </xdr:to>
        <xdr:sp>
          <xdr:nvSpPr>
            <xdr:cNvPr id="34827" name="Spinner 11" hidden="1">
              <a:extLst>
                <a:ext uri="{63B3BB69-23CF-44E3-9099-C40C66FF867C}">
                  <a14:compatExt spid="_x0000_s34827"/>
                </a:ext>
              </a:extLst>
            </xdr:cNvPr>
            <xdr:cNvSpPr/>
          </xdr:nvSpPr>
          <xdr:spPr>
            <a:xfrm>
              <a:off x="2755900" y="11379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7</xdr:row>
          <xdr:rowOff>7620</xdr:rowOff>
        </xdr:from>
        <xdr:to>
          <xdr:col>9</xdr:col>
          <xdr:colOff>7620</xdr:colOff>
          <xdr:row>8</xdr:row>
          <xdr:rowOff>0</xdr:rowOff>
        </xdr:to>
        <xdr:sp>
          <xdr:nvSpPr>
            <xdr:cNvPr id="34828" name="Spinner 12" hidden="1">
              <a:extLst>
                <a:ext uri="{63B3BB69-23CF-44E3-9099-C40C66FF867C}">
                  <a14:compatExt spid="_x0000_s34828"/>
                </a:ext>
              </a:extLst>
            </xdr:cNvPr>
            <xdr:cNvSpPr/>
          </xdr:nvSpPr>
          <xdr:spPr>
            <a:xfrm>
              <a:off x="2755900" y="1328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8</xdr:row>
          <xdr:rowOff>7620</xdr:rowOff>
        </xdr:from>
        <xdr:to>
          <xdr:col>9</xdr:col>
          <xdr:colOff>7620</xdr:colOff>
          <xdr:row>9</xdr:row>
          <xdr:rowOff>0</xdr:rowOff>
        </xdr:to>
        <xdr:sp>
          <xdr:nvSpPr>
            <xdr:cNvPr id="34829" name="Spinner 13" hidden="1">
              <a:extLst>
                <a:ext uri="{63B3BB69-23CF-44E3-9099-C40C66FF867C}">
                  <a14:compatExt spid="_x0000_s34829"/>
                </a:ext>
              </a:extLst>
            </xdr:cNvPr>
            <xdr:cNvSpPr/>
          </xdr:nvSpPr>
          <xdr:spPr>
            <a:xfrm>
              <a:off x="2755900" y="15189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9</xdr:row>
          <xdr:rowOff>7620</xdr:rowOff>
        </xdr:from>
        <xdr:to>
          <xdr:col>9</xdr:col>
          <xdr:colOff>7620</xdr:colOff>
          <xdr:row>10</xdr:row>
          <xdr:rowOff>0</xdr:rowOff>
        </xdr:to>
        <xdr:sp>
          <xdr:nvSpPr>
            <xdr:cNvPr id="34830" name="Spinner 14" hidden="1">
              <a:extLst>
                <a:ext uri="{63B3BB69-23CF-44E3-9099-C40C66FF867C}">
                  <a14:compatExt spid="_x0000_s34830"/>
                </a:ext>
              </a:extLst>
            </xdr:cNvPr>
            <xdr:cNvSpPr/>
          </xdr:nvSpPr>
          <xdr:spPr>
            <a:xfrm>
              <a:off x="2755900" y="1709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10</xdr:row>
          <xdr:rowOff>7620</xdr:rowOff>
        </xdr:from>
        <xdr:to>
          <xdr:col>9</xdr:col>
          <xdr:colOff>7620</xdr:colOff>
          <xdr:row>11</xdr:row>
          <xdr:rowOff>0</xdr:rowOff>
        </xdr:to>
        <xdr:sp>
          <xdr:nvSpPr>
            <xdr:cNvPr id="34831" name="Spinner 15" hidden="1">
              <a:extLst>
                <a:ext uri="{63B3BB69-23CF-44E3-9099-C40C66FF867C}">
                  <a14:compatExt spid="_x0000_s34831"/>
                </a:ext>
              </a:extLst>
            </xdr:cNvPr>
            <xdr:cNvSpPr/>
          </xdr:nvSpPr>
          <xdr:spPr>
            <a:xfrm>
              <a:off x="2755900" y="18999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11</xdr:row>
          <xdr:rowOff>7620</xdr:rowOff>
        </xdr:from>
        <xdr:to>
          <xdr:col>9</xdr:col>
          <xdr:colOff>7620</xdr:colOff>
          <xdr:row>12</xdr:row>
          <xdr:rowOff>0</xdr:rowOff>
        </xdr:to>
        <xdr:sp>
          <xdr:nvSpPr>
            <xdr:cNvPr id="34832" name="Spinner 16" hidden="1">
              <a:extLst>
                <a:ext uri="{63B3BB69-23CF-44E3-9099-C40C66FF867C}">
                  <a14:compatExt spid="_x0000_s34832"/>
                </a:ext>
              </a:extLst>
            </xdr:cNvPr>
            <xdr:cNvSpPr/>
          </xdr:nvSpPr>
          <xdr:spPr>
            <a:xfrm>
              <a:off x="2755900" y="2090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4</xdr:row>
          <xdr:rowOff>7620</xdr:rowOff>
        </xdr:from>
        <xdr:to>
          <xdr:col>15</xdr:col>
          <xdr:colOff>7620</xdr:colOff>
          <xdr:row>5</xdr:row>
          <xdr:rowOff>0</xdr:rowOff>
        </xdr:to>
        <xdr:sp>
          <xdr:nvSpPr>
            <xdr:cNvPr id="34833" name="Spinner 17" hidden="1">
              <a:extLst>
                <a:ext uri="{63B3BB69-23CF-44E3-9099-C40C66FF867C}">
                  <a14:compatExt spid="_x0000_s34833"/>
                </a:ext>
              </a:extLst>
            </xdr:cNvPr>
            <xdr:cNvSpPr/>
          </xdr:nvSpPr>
          <xdr:spPr>
            <a:xfrm>
              <a:off x="4154170" y="7569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5</xdr:row>
          <xdr:rowOff>7620</xdr:rowOff>
        </xdr:from>
        <xdr:to>
          <xdr:col>15</xdr:col>
          <xdr:colOff>7620</xdr:colOff>
          <xdr:row>6</xdr:row>
          <xdr:rowOff>0</xdr:rowOff>
        </xdr:to>
        <xdr:sp>
          <xdr:nvSpPr>
            <xdr:cNvPr id="34834" name="Spinner 18" hidden="1">
              <a:extLst>
                <a:ext uri="{63B3BB69-23CF-44E3-9099-C40C66FF867C}">
                  <a14:compatExt spid="_x0000_s34834"/>
                </a:ext>
              </a:extLst>
            </xdr:cNvPr>
            <xdr:cNvSpPr/>
          </xdr:nvSpPr>
          <xdr:spPr>
            <a:xfrm>
              <a:off x="4154170" y="947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6</xdr:row>
          <xdr:rowOff>7620</xdr:rowOff>
        </xdr:from>
        <xdr:to>
          <xdr:col>15</xdr:col>
          <xdr:colOff>7620</xdr:colOff>
          <xdr:row>7</xdr:row>
          <xdr:rowOff>0</xdr:rowOff>
        </xdr:to>
        <xdr:sp>
          <xdr:nvSpPr>
            <xdr:cNvPr id="34835" name="Spinner 19" hidden="1">
              <a:extLst>
                <a:ext uri="{63B3BB69-23CF-44E3-9099-C40C66FF867C}">
                  <a14:compatExt spid="_x0000_s34835"/>
                </a:ext>
              </a:extLst>
            </xdr:cNvPr>
            <xdr:cNvSpPr/>
          </xdr:nvSpPr>
          <xdr:spPr>
            <a:xfrm>
              <a:off x="4154170" y="11379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7</xdr:row>
          <xdr:rowOff>7620</xdr:rowOff>
        </xdr:from>
        <xdr:to>
          <xdr:col>15</xdr:col>
          <xdr:colOff>7620</xdr:colOff>
          <xdr:row>8</xdr:row>
          <xdr:rowOff>0</xdr:rowOff>
        </xdr:to>
        <xdr:sp>
          <xdr:nvSpPr>
            <xdr:cNvPr id="34836" name="Spinner 20" hidden="1">
              <a:extLst>
                <a:ext uri="{63B3BB69-23CF-44E3-9099-C40C66FF867C}">
                  <a14:compatExt spid="_x0000_s34836"/>
                </a:ext>
              </a:extLst>
            </xdr:cNvPr>
            <xdr:cNvSpPr/>
          </xdr:nvSpPr>
          <xdr:spPr>
            <a:xfrm>
              <a:off x="4154170" y="1328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8</xdr:row>
          <xdr:rowOff>7620</xdr:rowOff>
        </xdr:from>
        <xdr:to>
          <xdr:col>15</xdr:col>
          <xdr:colOff>7620</xdr:colOff>
          <xdr:row>9</xdr:row>
          <xdr:rowOff>0</xdr:rowOff>
        </xdr:to>
        <xdr:sp>
          <xdr:nvSpPr>
            <xdr:cNvPr id="34837" name="Spinner 21" hidden="1">
              <a:extLst>
                <a:ext uri="{63B3BB69-23CF-44E3-9099-C40C66FF867C}">
                  <a14:compatExt spid="_x0000_s34837"/>
                </a:ext>
              </a:extLst>
            </xdr:cNvPr>
            <xdr:cNvSpPr/>
          </xdr:nvSpPr>
          <xdr:spPr>
            <a:xfrm>
              <a:off x="4154170" y="15189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9</xdr:row>
          <xdr:rowOff>7620</xdr:rowOff>
        </xdr:from>
        <xdr:to>
          <xdr:col>15</xdr:col>
          <xdr:colOff>7620</xdr:colOff>
          <xdr:row>10</xdr:row>
          <xdr:rowOff>0</xdr:rowOff>
        </xdr:to>
        <xdr:sp>
          <xdr:nvSpPr>
            <xdr:cNvPr id="34838" name="Spinner 22" hidden="1">
              <a:extLst>
                <a:ext uri="{63B3BB69-23CF-44E3-9099-C40C66FF867C}">
                  <a14:compatExt spid="_x0000_s34838"/>
                </a:ext>
              </a:extLst>
            </xdr:cNvPr>
            <xdr:cNvSpPr/>
          </xdr:nvSpPr>
          <xdr:spPr>
            <a:xfrm>
              <a:off x="4154170" y="1709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10</xdr:row>
          <xdr:rowOff>7620</xdr:rowOff>
        </xdr:from>
        <xdr:to>
          <xdr:col>15</xdr:col>
          <xdr:colOff>7620</xdr:colOff>
          <xdr:row>11</xdr:row>
          <xdr:rowOff>0</xdr:rowOff>
        </xdr:to>
        <xdr:sp>
          <xdr:nvSpPr>
            <xdr:cNvPr id="34839" name="Spinner 23" hidden="1">
              <a:extLst>
                <a:ext uri="{63B3BB69-23CF-44E3-9099-C40C66FF867C}">
                  <a14:compatExt spid="_x0000_s34839"/>
                </a:ext>
              </a:extLst>
            </xdr:cNvPr>
            <xdr:cNvSpPr/>
          </xdr:nvSpPr>
          <xdr:spPr>
            <a:xfrm>
              <a:off x="4154170" y="18999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11</xdr:row>
          <xdr:rowOff>7620</xdr:rowOff>
        </xdr:from>
        <xdr:to>
          <xdr:col>15</xdr:col>
          <xdr:colOff>7620</xdr:colOff>
          <xdr:row>12</xdr:row>
          <xdr:rowOff>0</xdr:rowOff>
        </xdr:to>
        <xdr:sp>
          <xdr:nvSpPr>
            <xdr:cNvPr id="34840" name="Spinner 24" hidden="1">
              <a:extLst>
                <a:ext uri="{63B3BB69-23CF-44E3-9099-C40C66FF867C}">
                  <a14:compatExt spid="_x0000_s34840"/>
                </a:ext>
              </a:extLst>
            </xdr:cNvPr>
            <xdr:cNvSpPr/>
          </xdr:nvSpPr>
          <xdr:spPr>
            <a:xfrm>
              <a:off x="4154170" y="2090420"/>
              <a:ext cx="163195" cy="182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12</xdr:row>
          <xdr:rowOff>7620</xdr:rowOff>
        </xdr:from>
        <xdr:to>
          <xdr:col>15</xdr:col>
          <xdr:colOff>7620</xdr:colOff>
          <xdr:row>13</xdr:row>
          <xdr:rowOff>0</xdr:rowOff>
        </xdr:to>
        <xdr:sp>
          <xdr:nvSpPr>
            <xdr:cNvPr id="34841" name="Spinner 25" hidden="1">
              <a:extLst>
                <a:ext uri="{63B3BB69-23CF-44E3-9099-C40C66FF867C}">
                  <a14:compatExt spid="_x0000_s34841"/>
                </a:ext>
              </a:extLst>
            </xdr:cNvPr>
            <xdr:cNvSpPr/>
          </xdr:nvSpPr>
          <xdr:spPr>
            <a:xfrm>
              <a:off x="4154170" y="2280920"/>
              <a:ext cx="163195" cy="182880"/>
            </a:xfrm>
            <a:prstGeom prst="rect">
              <a:avLst/>
            </a:prstGeom>
          </xdr:spPr>
        </xdr:sp>
        <xdr:clientData/>
      </xdr:twoCellAnchor>
    </mc:Choice>
    <mc:Fallback/>
  </mc:AlternateContent>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40</xdr:col>
      <xdr:colOff>20320</xdr:colOff>
      <xdr:row>4</xdr:row>
      <xdr:rowOff>185420</xdr:rowOff>
    </xdr:from>
    <xdr:to>
      <xdr:col>41</xdr:col>
      <xdr:colOff>186055</xdr:colOff>
      <xdr:row>7</xdr:row>
      <xdr:rowOff>8890</xdr:rowOff>
    </xdr:to>
    <xdr:pic>
      <xdr:nvPicPr>
        <xdr:cNvPr id="2" name="图片 1" descr="Sintiacutetulo-7_zpsfea275e0"/>
        <xdr:cNvPicPr>
          <a:picLocks noChangeAspect="1"/>
        </xdr:cNvPicPr>
      </xdr:nvPicPr>
      <xdr:blipFill>
        <a:blip r:embed="rId1"/>
        <a:stretch>
          <a:fillRect/>
        </a:stretch>
      </xdr:blipFill>
      <xdr:spPr>
        <a:xfrm>
          <a:off x="7792720" y="1023620"/>
          <a:ext cx="360045" cy="452120"/>
        </a:xfrm>
        <a:prstGeom prst="rect">
          <a:avLst/>
        </a:prstGeom>
      </xdr:spPr>
    </xdr:pic>
    <xdr:clientData/>
  </xdr:twoCellAnchor>
  <xdr:twoCellAnchor editAs="oneCell">
    <xdr:from>
      <xdr:col>40</xdr:col>
      <xdr:colOff>12700</xdr:colOff>
      <xdr:row>11</xdr:row>
      <xdr:rowOff>10160</xdr:rowOff>
    </xdr:from>
    <xdr:to>
      <xdr:col>41</xdr:col>
      <xdr:colOff>180340</xdr:colOff>
      <xdr:row>13</xdr:row>
      <xdr:rowOff>25400</xdr:rowOff>
    </xdr:to>
    <xdr:pic>
      <xdr:nvPicPr>
        <xdr:cNvPr id="3" name="图片 2"/>
        <xdr:cNvPicPr>
          <a:picLocks noChangeAspect="1"/>
        </xdr:cNvPicPr>
      </xdr:nvPicPr>
      <xdr:blipFill>
        <a:blip r:embed="rId2"/>
        <a:stretch>
          <a:fillRect/>
        </a:stretch>
      </xdr:blipFill>
      <xdr:spPr>
        <a:xfrm>
          <a:off x="7785100" y="2315210"/>
          <a:ext cx="361950" cy="411480"/>
        </a:xfrm>
        <a:prstGeom prst="rect">
          <a:avLst/>
        </a:prstGeom>
        <a:noFill/>
        <a:ln w="9525">
          <a:noFill/>
        </a:ln>
      </xdr:spPr>
    </xdr:pic>
    <xdr:clientData/>
  </xdr:twoCellAnchor>
  <xdr:twoCellAnchor editAs="oneCell">
    <xdr:from>
      <xdr:col>40</xdr:col>
      <xdr:colOff>12700</xdr:colOff>
      <xdr:row>14</xdr:row>
      <xdr:rowOff>15875</xdr:rowOff>
    </xdr:from>
    <xdr:to>
      <xdr:col>41</xdr:col>
      <xdr:colOff>180340</xdr:colOff>
      <xdr:row>16</xdr:row>
      <xdr:rowOff>38735</xdr:rowOff>
    </xdr:to>
    <xdr:pic>
      <xdr:nvPicPr>
        <xdr:cNvPr id="4" name="图片 3"/>
        <xdr:cNvPicPr>
          <a:picLocks noChangeAspect="1"/>
        </xdr:cNvPicPr>
      </xdr:nvPicPr>
      <xdr:blipFill>
        <a:blip r:embed="rId3"/>
        <a:stretch>
          <a:fillRect/>
        </a:stretch>
      </xdr:blipFill>
      <xdr:spPr>
        <a:xfrm>
          <a:off x="7785100" y="2926715"/>
          <a:ext cx="361950" cy="419100"/>
        </a:xfrm>
        <a:prstGeom prst="rect">
          <a:avLst/>
        </a:prstGeom>
        <a:noFill/>
        <a:ln w="9525">
          <a:noFill/>
        </a:ln>
      </xdr:spPr>
    </xdr:pic>
    <xdr:clientData/>
  </xdr:twoCellAnchor>
  <xdr:twoCellAnchor editAs="oneCell">
    <xdr:from>
      <xdr:col>40</xdr:col>
      <xdr:colOff>15240</xdr:colOff>
      <xdr:row>17</xdr:row>
      <xdr:rowOff>30480</xdr:rowOff>
    </xdr:from>
    <xdr:to>
      <xdr:col>41</xdr:col>
      <xdr:colOff>184740</xdr:colOff>
      <xdr:row>18</xdr:row>
      <xdr:rowOff>167994</xdr:rowOff>
    </xdr:to>
    <xdr:pic>
      <xdr:nvPicPr>
        <xdr:cNvPr id="5" name="图片 4"/>
        <xdr:cNvPicPr>
          <a:picLocks noChangeAspect="1"/>
        </xdr:cNvPicPr>
      </xdr:nvPicPr>
      <xdr:blipFill>
        <a:blip r:embed="rId4"/>
        <a:stretch>
          <a:fillRect/>
        </a:stretch>
      </xdr:blipFill>
      <xdr:spPr>
        <a:xfrm>
          <a:off x="7787640" y="3547110"/>
          <a:ext cx="363220" cy="358140"/>
        </a:xfrm>
        <a:prstGeom prst="rect">
          <a:avLst/>
        </a:prstGeom>
      </xdr:spPr>
    </xdr:pic>
    <xdr:clientData/>
  </xdr:twoCellAnchor>
  <xdr:twoCellAnchor>
    <xdr:from>
      <xdr:col>25</xdr:col>
      <xdr:colOff>0</xdr:colOff>
      <xdr:row>32</xdr:row>
      <xdr:rowOff>15240</xdr:rowOff>
    </xdr:from>
    <xdr:to>
      <xdr:col>40</xdr:col>
      <xdr:colOff>91440</xdr:colOff>
      <xdr:row>34</xdr:row>
      <xdr:rowOff>30480</xdr:rowOff>
    </xdr:to>
    <xdr:sp>
      <xdr:nvSpPr>
        <xdr:cNvPr id="21" name="箭头: 直角上 20"/>
        <xdr:cNvSpPr/>
      </xdr:nvSpPr>
      <xdr:spPr>
        <a:xfrm>
          <a:off x="4857750" y="6560820"/>
          <a:ext cx="3006090" cy="422910"/>
        </a:xfrm>
        <a:prstGeom prst="bentUp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l"/>
          <a:endParaRPr lang="zh-CN" altLang="en-US" sz="110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99" Type="http://schemas.openxmlformats.org/officeDocument/2006/relationships/ctrlProp" Target="../ctrlProps/ctrlProp96.xml"/><Relationship Id="rId98" Type="http://schemas.openxmlformats.org/officeDocument/2006/relationships/ctrlProp" Target="../ctrlProps/ctrlProp95.xml"/><Relationship Id="rId97" Type="http://schemas.openxmlformats.org/officeDocument/2006/relationships/ctrlProp" Target="../ctrlProps/ctrlProp94.xml"/><Relationship Id="rId96" Type="http://schemas.openxmlformats.org/officeDocument/2006/relationships/ctrlProp" Target="../ctrlProps/ctrlProp93.xml"/><Relationship Id="rId95" Type="http://schemas.openxmlformats.org/officeDocument/2006/relationships/ctrlProp" Target="../ctrlProps/ctrlProp92.xml"/><Relationship Id="rId94" Type="http://schemas.openxmlformats.org/officeDocument/2006/relationships/ctrlProp" Target="../ctrlProps/ctrlProp91.xml"/><Relationship Id="rId93" Type="http://schemas.openxmlformats.org/officeDocument/2006/relationships/ctrlProp" Target="../ctrlProps/ctrlProp90.xml"/><Relationship Id="rId92" Type="http://schemas.openxmlformats.org/officeDocument/2006/relationships/ctrlProp" Target="../ctrlProps/ctrlProp89.xml"/><Relationship Id="rId91" Type="http://schemas.openxmlformats.org/officeDocument/2006/relationships/ctrlProp" Target="../ctrlProps/ctrlProp88.xml"/><Relationship Id="rId90" Type="http://schemas.openxmlformats.org/officeDocument/2006/relationships/ctrlProp" Target="../ctrlProps/ctrlProp87.xml"/><Relationship Id="rId9" Type="http://schemas.openxmlformats.org/officeDocument/2006/relationships/ctrlProp" Target="../ctrlProps/ctrlProp6.xml"/><Relationship Id="rId89" Type="http://schemas.openxmlformats.org/officeDocument/2006/relationships/ctrlProp" Target="../ctrlProps/ctrlProp86.xml"/><Relationship Id="rId88" Type="http://schemas.openxmlformats.org/officeDocument/2006/relationships/ctrlProp" Target="../ctrlProps/ctrlProp85.xml"/><Relationship Id="rId87" Type="http://schemas.openxmlformats.org/officeDocument/2006/relationships/ctrlProp" Target="../ctrlProps/ctrlProp84.xml"/><Relationship Id="rId86" Type="http://schemas.openxmlformats.org/officeDocument/2006/relationships/ctrlProp" Target="../ctrlProps/ctrlProp83.xml"/><Relationship Id="rId85" Type="http://schemas.openxmlformats.org/officeDocument/2006/relationships/ctrlProp" Target="../ctrlProps/ctrlProp82.xml"/><Relationship Id="rId84" Type="http://schemas.openxmlformats.org/officeDocument/2006/relationships/ctrlProp" Target="../ctrlProps/ctrlProp81.xml"/><Relationship Id="rId83" Type="http://schemas.openxmlformats.org/officeDocument/2006/relationships/ctrlProp" Target="../ctrlProps/ctrlProp80.xml"/><Relationship Id="rId82" Type="http://schemas.openxmlformats.org/officeDocument/2006/relationships/ctrlProp" Target="../ctrlProps/ctrlProp79.xml"/><Relationship Id="rId81" Type="http://schemas.openxmlformats.org/officeDocument/2006/relationships/ctrlProp" Target="../ctrlProps/ctrlProp78.xml"/><Relationship Id="rId80" Type="http://schemas.openxmlformats.org/officeDocument/2006/relationships/ctrlProp" Target="../ctrlProps/ctrlProp77.xml"/><Relationship Id="rId8" Type="http://schemas.openxmlformats.org/officeDocument/2006/relationships/ctrlProp" Target="../ctrlProps/ctrlProp5.xml"/><Relationship Id="rId79" Type="http://schemas.openxmlformats.org/officeDocument/2006/relationships/ctrlProp" Target="../ctrlProps/ctrlProp76.xml"/><Relationship Id="rId78" Type="http://schemas.openxmlformats.org/officeDocument/2006/relationships/ctrlProp" Target="../ctrlProps/ctrlProp75.xml"/><Relationship Id="rId77" Type="http://schemas.openxmlformats.org/officeDocument/2006/relationships/ctrlProp" Target="../ctrlProps/ctrlProp74.xml"/><Relationship Id="rId76" Type="http://schemas.openxmlformats.org/officeDocument/2006/relationships/ctrlProp" Target="../ctrlProps/ctrlProp73.xml"/><Relationship Id="rId75" Type="http://schemas.openxmlformats.org/officeDocument/2006/relationships/ctrlProp" Target="../ctrlProps/ctrlProp72.xml"/><Relationship Id="rId74" Type="http://schemas.openxmlformats.org/officeDocument/2006/relationships/ctrlProp" Target="../ctrlProps/ctrlProp71.xml"/><Relationship Id="rId73" Type="http://schemas.openxmlformats.org/officeDocument/2006/relationships/ctrlProp" Target="../ctrlProps/ctrlProp70.xml"/><Relationship Id="rId72" Type="http://schemas.openxmlformats.org/officeDocument/2006/relationships/ctrlProp" Target="../ctrlProps/ctrlProp69.xml"/><Relationship Id="rId71" Type="http://schemas.openxmlformats.org/officeDocument/2006/relationships/ctrlProp" Target="../ctrlProps/ctrlProp68.xml"/><Relationship Id="rId70" Type="http://schemas.openxmlformats.org/officeDocument/2006/relationships/ctrlProp" Target="../ctrlProps/ctrlProp67.xml"/><Relationship Id="rId7" Type="http://schemas.openxmlformats.org/officeDocument/2006/relationships/ctrlProp" Target="../ctrlProps/ctrlProp4.xml"/><Relationship Id="rId69" Type="http://schemas.openxmlformats.org/officeDocument/2006/relationships/ctrlProp" Target="../ctrlProps/ctrlProp66.xml"/><Relationship Id="rId68" Type="http://schemas.openxmlformats.org/officeDocument/2006/relationships/ctrlProp" Target="../ctrlProps/ctrlProp65.xml"/><Relationship Id="rId67" Type="http://schemas.openxmlformats.org/officeDocument/2006/relationships/ctrlProp" Target="../ctrlProps/ctrlProp64.xml"/><Relationship Id="rId66" Type="http://schemas.openxmlformats.org/officeDocument/2006/relationships/ctrlProp" Target="../ctrlProps/ctrlProp63.xml"/><Relationship Id="rId65" Type="http://schemas.openxmlformats.org/officeDocument/2006/relationships/ctrlProp" Target="../ctrlProps/ctrlProp62.xml"/><Relationship Id="rId64" Type="http://schemas.openxmlformats.org/officeDocument/2006/relationships/ctrlProp" Target="../ctrlProps/ctrlProp61.xml"/><Relationship Id="rId63" Type="http://schemas.openxmlformats.org/officeDocument/2006/relationships/ctrlProp" Target="../ctrlProps/ctrlProp60.xml"/><Relationship Id="rId62" Type="http://schemas.openxmlformats.org/officeDocument/2006/relationships/ctrlProp" Target="../ctrlProps/ctrlProp59.xml"/><Relationship Id="rId61" Type="http://schemas.openxmlformats.org/officeDocument/2006/relationships/ctrlProp" Target="../ctrlProps/ctrlProp58.xml"/><Relationship Id="rId60" Type="http://schemas.openxmlformats.org/officeDocument/2006/relationships/ctrlProp" Target="../ctrlProps/ctrlProp57.xml"/><Relationship Id="rId6" Type="http://schemas.openxmlformats.org/officeDocument/2006/relationships/ctrlProp" Target="../ctrlProps/ctrlProp3.xml"/><Relationship Id="rId59" Type="http://schemas.openxmlformats.org/officeDocument/2006/relationships/ctrlProp" Target="../ctrlProps/ctrlProp56.xml"/><Relationship Id="rId58" Type="http://schemas.openxmlformats.org/officeDocument/2006/relationships/ctrlProp" Target="../ctrlProps/ctrlProp55.xml"/><Relationship Id="rId57" Type="http://schemas.openxmlformats.org/officeDocument/2006/relationships/ctrlProp" Target="../ctrlProps/ctrlProp54.xml"/><Relationship Id="rId56" Type="http://schemas.openxmlformats.org/officeDocument/2006/relationships/ctrlProp" Target="../ctrlProps/ctrlProp53.xml"/><Relationship Id="rId55" Type="http://schemas.openxmlformats.org/officeDocument/2006/relationships/ctrlProp" Target="../ctrlProps/ctrlProp52.xml"/><Relationship Id="rId54" Type="http://schemas.openxmlformats.org/officeDocument/2006/relationships/ctrlProp" Target="../ctrlProps/ctrlProp51.xml"/><Relationship Id="rId53" Type="http://schemas.openxmlformats.org/officeDocument/2006/relationships/ctrlProp" Target="../ctrlProps/ctrlProp50.xml"/><Relationship Id="rId52" Type="http://schemas.openxmlformats.org/officeDocument/2006/relationships/ctrlProp" Target="../ctrlProps/ctrlProp49.xml"/><Relationship Id="rId51" Type="http://schemas.openxmlformats.org/officeDocument/2006/relationships/ctrlProp" Target="../ctrlProps/ctrlProp48.xml"/><Relationship Id="rId50" Type="http://schemas.openxmlformats.org/officeDocument/2006/relationships/ctrlProp" Target="../ctrlProps/ctrlProp47.xml"/><Relationship Id="rId5" Type="http://schemas.openxmlformats.org/officeDocument/2006/relationships/ctrlProp" Target="../ctrlProps/ctrlProp2.xml"/><Relationship Id="rId49" Type="http://schemas.openxmlformats.org/officeDocument/2006/relationships/ctrlProp" Target="../ctrlProps/ctrlProp46.xml"/><Relationship Id="rId48" Type="http://schemas.openxmlformats.org/officeDocument/2006/relationships/ctrlProp" Target="../ctrlProps/ctrlProp45.xml"/><Relationship Id="rId47" Type="http://schemas.openxmlformats.org/officeDocument/2006/relationships/ctrlProp" Target="../ctrlProps/ctrlProp44.xml"/><Relationship Id="rId46" Type="http://schemas.openxmlformats.org/officeDocument/2006/relationships/ctrlProp" Target="../ctrlProps/ctrlProp43.xml"/><Relationship Id="rId45" Type="http://schemas.openxmlformats.org/officeDocument/2006/relationships/ctrlProp" Target="../ctrlProps/ctrlProp42.xml"/><Relationship Id="rId44" Type="http://schemas.openxmlformats.org/officeDocument/2006/relationships/ctrlProp" Target="../ctrlProps/ctrlProp41.xml"/><Relationship Id="rId43" Type="http://schemas.openxmlformats.org/officeDocument/2006/relationships/ctrlProp" Target="../ctrlProps/ctrlProp40.xml"/><Relationship Id="rId42" Type="http://schemas.openxmlformats.org/officeDocument/2006/relationships/ctrlProp" Target="../ctrlProps/ctrlProp39.xml"/><Relationship Id="rId41" Type="http://schemas.openxmlformats.org/officeDocument/2006/relationships/ctrlProp" Target="../ctrlProps/ctrlProp38.xml"/><Relationship Id="rId40" Type="http://schemas.openxmlformats.org/officeDocument/2006/relationships/ctrlProp" Target="../ctrlProps/ctrlProp37.xml"/><Relationship Id="rId4" Type="http://schemas.openxmlformats.org/officeDocument/2006/relationships/ctrlProp" Target="../ctrlProps/ctrlProp1.xml"/><Relationship Id="rId39" Type="http://schemas.openxmlformats.org/officeDocument/2006/relationships/ctrlProp" Target="../ctrlProps/ctrlProp36.xml"/><Relationship Id="rId38" Type="http://schemas.openxmlformats.org/officeDocument/2006/relationships/ctrlProp" Target="../ctrlProps/ctrlProp35.xml"/><Relationship Id="rId37" Type="http://schemas.openxmlformats.org/officeDocument/2006/relationships/ctrlProp" Target="../ctrlProps/ctrlProp34.xml"/><Relationship Id="rId36" Type="http://schemas.openxmlformats.org/officeDocument/2006/relationships/ctrlProp" Target="../ctrlProps/ctrlProp33.xml"/><Relationship Id="rId35" Type="http://schemas.openxmlformats.org/officeDocument/2006/relationships/ctrlProp" Target="../ctrlProps/ctrlProp32.xml"/><Relationship Id="rId34" Type="http://schemas.openxmlformats.org/officeDocument/2006/relationships/ctrlProp" Target="../ctrlProps/ctrlProp31.xml"/><Relationship Id="rId33" Type="http://schemas.openxmlformats.org/officeDocument/2006/relationships/ctrlProp" Target="../ctrlProps/ctrlProp30.xml"/><Relationship Id="rId32" Type="http://schemas.openxmlformats.org/officeDocument/2006/relationships/ctrlProp" Target="../ctrlProps/ctrlProp29.xml"/><Relationship Id="rId31" Type="http://schemas.openxmlformats.org/officeDocument/2006/relationships/ctrlProp" Target="../ctrlProps/ctrlProp28.xml"/><Relationship Id="rId30" Type="http://schemas.openxmlformats.org/officeDocument/2006/relationships/ctrlProp" Target="../ctrlProps/ctrlProp27.xml"/><Relationship Id="rId3" Type="http://schemas.openxmlformats.org/officeDocument/2006/relationships/vmlDrawing" Target="../drawings/vmlDrawing2.vml"/><Relationship Id="rId29" Type="http://schemas.openxmlformats.org/officeDocument/2006/relationships/ctrlProp" Target="../ctrlProps/ctrlProp26.xml"/><Relationship Id="rId28" Type="http://schemas.openxmlformats.org/officeDocument/2006/relationships/ctrlProp" Target="../ctrlProps/ctrlProp25.xml"/><Relationship Id="rId27" Type="http://schemas.openxmlformats.org/officeDocument/2006/relationships/ctrlProp" Target="../ctrlProps/ctrlProp24.xml"/><Relationship Id="rId26" Type="http://schemas.openxmlformats.org/officeDocument/2006/relationships/ctrlProp" Target="../ctrlProps/ctrlProp23.xml"/><Relationship Id="rId25" Type="http://schemas.openxmlformats.org/officeDocument/2006/relationships/ctrlProp" Target="../ctrlProps/ctrlProp22.xml"/><Relationship Id="rId24" Type="http://schemas.openxmlformats.org/officeDocument/2006/relationships/ctrlProp" Target="../ctrlProps/ctrlProp21.xml"/><Relationship Id="rId23" Type="http://schemas.openxmlformats.org/officeDocument/2006/relationships/ctrlProp" Target="../ctrlProps/ctrlProp20.xml"/><Relationship Id="rId22" Type="http://schemas.openxmlformats.org/officeDocument/2006/relationships/ctrlProp" Target="../ctrlProps/ctrlProp19.xml"/><Relationship Id="rId21" Type="http://schemas.openxmlformats.org/officeDocument/2006/relationships/ctrlProp" Target="../ctrlProps/ctrlProp18.xml"/><Relationship Id="rId20" Type="http://schemas.openxmlformats.org/officeDocument/2006/relationships/ctrlProp" Target="../ctrlProps/ctrlProp17.xml"/><Relationship Id="rId2" Type="http://schemas.openxmlformats.org/officeDocument/2006/relationships/drawing" Target="../drawings/drawing1.xml"/><Relationship Id="rId19" Type="http://schemas.openxmlformats.org/officeDocument/2006/relationships/ctrlProp" Target="../ctrlProps/ctrlProp16.xml"/><Relationship Id="rId18" Type="http://schemas.openxmlformats.org/officeDocument/2006/relationships/ctrlProp" Target="../ctrlProps/ctrlProp15.xml"/><Relationship Id="rId17" Type="http://schemas.openxmlformats.org/officeDocument/2006/relationships/ctrlProp" Target="../ctrlProps/ctrlProp14.xml"/><Relationship Id="rId16" Type="http://schemas.openxmlformats.org/officeDocument/2006/relationships/ctrlProp" Target="../ctrlProps/ctrlProp13.xml"/><Relationship Id="rId15" Type="http://schemas.openxmlformats.org/officeDocument/2006/relationships/ctrlProp" Target="../ctrlProps/ctrlProp12.xml"/><Relationship Id="rId14" Type="http://schemas.openxmlformats.org/officeDocument/2006/relationships/ctrlProp" Target="../ctrlProps/ctrlProp11.xml"/><Relationship Id="rId133" Type="http://schemas.openxmlformats.org/officeDocument/2006/relationships/ctrlProp" Target="../ctrlProps/ctrlProp130.xml"/><Relationship Id="rId132" Type="http://schemas.openxmlformats.org/officeDocument/2006/relationships/ctrlProp" Target="../ctrlProps/ctrlProp129.xml"/><Relationship Id="rId131" Type="http://schemas.openxmlformats.org/officeDocument/2006/relationships/ctrlProp" Target="../ctrlProps/ctrlProp128.xml"/><Relationship Id="rId130" Type="http://schemas.openxmlformats.org/officeDocument/2006/relationships/ctrlProp" Target="../ctrlProps/ctrlProp127.xml"/><Relationship Id="rId13" Type="http://schemas.openxmlformats.org/officeDocument/2006/relationships/ctrlProp" Target="../ctrlProps/ctrlProp10.xml"/><Relationship Id="rId129" Type="http://schemas.openxmlformats.org/officeDocument/2006/relationships/ctrlProp" Target="../ctrlProps/ctrlProp126.xml"/><Relationship Id="rId128" Type="http://schemas.openxmlformats.org/officeDocument/2006/relationships/ctrlProp" Target="../ctrlProps/ctrlProp125.xml"/><Relationship Id="rId127" Type="http://schemas.openxmlformats.org/officeDocument/2006/relationships/ctrlProp" Target="../ctrlProps/ctrlProp124.xml"/><Relationship Id="rId126" Type="http://schemas.openxmlformats.org/officeDocument/2006/relationships/ctrlProp" Target="../ctrlProps/ctrlProp123.xml"/><Relationship Id="rId125" Type="http://schemas.openxmlformats.org/officeDocument/2006/relationships/ctrlProp" Target="../ctrlProps/ctrlProp122.xml"/><Relationship Id="rId124" Type="http://schemas.openxmlformats.org/officeDocument/2006/relationships/ctrlProp" Target="../ctrlProps/ctrlProp121.xml"/><Relationship Id="rId123" Type="http://schemas.openxmlformats.org/officeDocument/2006/relationships/ctrlProp" Target="../ctrlProps/ctrlProp120.xml"/><Relationship Id="rId122" Type="http://schemas.openxmlformats.org/officeDocument/2006/relationships/ctrlProp" Target="../ctrlProps/ctrlProp119.xml"/><Relationship Id="rId121" Type="http://schemas.openxmlformats.org/officeDocument/2006/relationships/ctrlProp" Target="../ctrlProps/ctrlProp118.xml"/><Relationship Id="rId120" Type="http://schemas.openxmlformats.org/officeDocument/2006/relationships/ctrlProp" Target="../ctrlProps/ctrlProp117.xml"/><Relationship Id="rId12" Type="http://schemas.openxmlformats.org/officeDocument/2006/relationships/ctrlProp" Target="../ctrlProps/ctrlProp9.xml"/><Relationship Id="rId119" Type="http://schemas.openxmlformats.org/officeDocument/2006/relationships/ctrlProp" Target="../ctrlProps/ctrlProp116.xml"/><Relationship Id="rId118" Type="http://schemas.openxmlformats.org/officeDocument/2006/relationships/ctrlProp" Target="../ctrlProps/ctrlProp115.xml"/><Relationship Id="rId117" Type="http://schemas.openxmlformats.org/officeDocument/2006/relationships/ctrlProp" Target="../ctrlProps/ctrlProp114.xml"/><Relationship Id="rId116" Type="http://schemas.openxmlformats.org/officeDocument/2006/relationships/ctrlProp" Target="../ctrlProps/ctrlProp113.xml"/><Relationship Id="rId115" Type="http://schemas.openxmlformats.org/officeDocument/2006/relationships/ctrlProp" Target="../ctrlProps/ctrlProp112.xml"/><Relationship Id="rId114" Type="http://schemas.openxmlformats.org/officeDocument/2006/relationships/ctrlProp" Target="../ctrlProps/ctrlProp111.xml"/><Relationship Id="rId113" Type="http://schemas.openxmlformats.org/officeDocument/2006/relationships/ctrlProp" Target="../ctrlProps/ctrlProp110.xml"/><Relationship Id="rId112" Type="http://schemas.openxmlformats.org/officeDocument/2006/relationships/ctrlProp" Target="../ctrlProps/ctrlProp109.xml"/><Relationship Id="rId111" Type="http://schemas.openxmlformats.org/officeDocument/2006/relationships/ctrlProp" Target="../ctrlProps/ctrlProp108.xml"/><Relationship Id="rId110" Type="http://schemas.openxmlformats.org/officeDocument/2006/relationships/ctrlProp" Target="../ctrlProps/ctrlProp107.xml"/><Relationship Id="rId11" Type="http://schemas.openxmlformats.org/officeDocument/2006/relationships/ctrlProp" Target="../ctrlProps/ctrlProp8.xml"/><Relationship Id="rId109" Type="http://schemas.openxmlformats.org/officeDocument/2006/relationships/ctrlProp" Target="../ctrlProps/ctrlProp106.xml"/><Relationship Id="rId108" Type="http://schemas.openxmlformats.org/officeDocument/2006/relationships/ctrlProp" Target="../ctrlProps/ctrlProp105.xml"/><Relationship Id="rId107" Type="http://schemas.openxmlformats.org/officeDocument/2006/relationships/ctrlProp" Target="../ctrlProps/ctrlProp104.xml"/><Relationship Id="rId106" Type="http://schemas.openxmlformats.org/officeDocument/2006/relationships/ctrlProp" Target="../ctrlProps/ctrlProp103.xml"/><Relationship Id="rId105" Type="http://schemas.openxmlformats.org/officeDocument/2006/relationships/ctrlProp" Target="../ctrlProps/ctrlProp102.xml"/><Relationship Id="rId104" Type="http://schemas.openxmlformats.org/officeDocument/2006/relationships/ctrlProp" Target="../ctrlProps/ctrlProp101.xml"/><Relationship Id="rId103" Type="http://schemas.openxmlformats.org/officeDocument/2006/relationships/ctrlProp" Target="../ctrlProps/ctrlProp100.xml"/><Relationship Id="rId102" Type="http://schemas.openxmlformats.org/officeDocument/2006/relationships/ctrlProp" Target="../ctrlProps/ctrlProp99.xml"/><Relationship Id="rId101" Type="http://schemas.openxmlformats.org/officeDocument/2006/relationships/ctrlProp" Target="../ctrlProps/ctrlProp98.xml"/><Relationship Id="rId100" Type="http://schemas.openxmlformats.org/officeDocument/2006/relationships/ctrlProp" Target="../ctrlProps/ctrlProp97.xml"/><Relationship Id="rId10" Type="http://schemas.openxmlformats.org/officeDocument/2006/relationships/ctrlProp" Target="../ctrlProps/ctrlProp7.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31.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9" Type="http://schemas.openxmlformats.org/officeDocument/2006/relationships/ctrlProp" Target="../ctrlProps/ctrlProp137.xml"/><Relationship Id="rId8" Type="http://schemas.openxmlformats.org/officeDocument/2006/relationships/ctrlProp" Target="../ctrlProps/ctrlProp136.xml"/><Relationship Id="rId7" Type="http://schemas.openxmlformats.org/officeDocument/2006/relationships/ctrlProp" Target="../ctrlProps/ctrlProp135.xml"/><Relationship Id="rId6" Type="http://schemas.openxmlformats.org/officeDocument/2006/relationships/ctrlProp" Target="../ctrlProps/ctrlProp134.xml"/><Relationship Id="rId5" Type="http://schemas.openxmlformats.org/officeDocument/2006/relationships/ctrlProp" Target="../ctrlProps/ctrlProp133.xml"/><Relationship Id="rId4" Type="http://schemas.openxmlformats.org/officeDocument/2006/relationships/ctrlProp" Target="../ctrlProps/ctrlProp132.xml"/><Relationship Id="rId3" Type="http://schemas.openxmlformats.org/officeDocument/2006/relationships/vmlDrawing" Target="../drawings/vmlDrawing4.vml"/><Relationship Id="rId28" Type="http://schemas.openxmlformats.org/officeDocument/2006/relationships/ctrlProp" Target="../ctrlProps/ctrlProp156.xml"/><Relationship Id="rId27" Type="http://schemas.openxmlformats.org/officeDocument/2006/relationships/ctrlProp" Target="../ctrlProps/ctrlProp155.xml"/><Relationship Id="rId26" Type="http://schemas.openxmlformats.org/officeDocument/2006/relationships/ctrlProp" Target="../ctrlProps/ctrlProp154.xml"/><Relationship Id="rId25" Type="http://schemas.openxmlformats.org/officeDocument/2006/relationships/ctrlProp" Target="../ctrlProps/ctrlProp153.xml"/><Relationship Id="rId24" Type="http://schemas.openxmlformats.org/officeDocument/2006/relationships/ctrlProp" Target="../ctrlProps/ctrlProp152.xml"/><Relationship Id="rId23" Type="http://schemas.openxmlformats.org/officeDocument/2006/relationships/ctrlProp" Target="../ctrlProps/ctrlProp151.xml"/><Relationship Id="rId22" Type="http://schemas.openxmlformats.org/officeDocument/2006/relationships/ctrlProp" Target="../ctrlProps/ctrlProp150.xml"/><Relationship Id="rId21" Type="http://schemas.openxmlformats.org/officeDocument/2006/relationships/ctrlProp" Target="../ctrlProps/ctrlProp149.xml"/><Relationship Id="rId20" Type="http://schemas.openxmlformats.org/officeDocument/2006/relationships/ctrlProp" Target="../ctrlProps/ctrlProp148.xml"/><Relationship Id="rId2" Type="http://schemas.openxmlformats.org/officeDocument/2006/relationships/drawing" Target="../drawings/drawing3.xml"/><Relationship Id="rId19" Type="http://schemas.openxmlformats.org/officeDocument/2006/relationships/ctrlProp" Target="../ctrlProps/ctrlProp147.xml"/><Relationship Id="rId18" Type="http://schemas.openxmlformats.org/officeDocument/2006/relationships/ctrlProp" Target="../ctrlProps/ctrlProp146.xml"/><Relationship Id="rId17" Type="http://schemas.openxmlformats.org/officeDocument/2006/relationships/ctrlProp" Target="../ctrlProps/ctrlProp145.xml"/><Relationship Id="rId16" Type="http://schemas.openxmlformats.org/officeDocument/2006/relationships/ctrlProp" Target="../ctrlProps/ctrlProp144.xml"/><Relationship Id="rId15" Type="http://schemas.openxmlformats.org/officeDocument/2006/relationships/ctrlProp" Target="../ctrlProps/ctrlProp143.xml"/><Relationship Id="rId14" Type="http://schemas.openxmlformats.org/officeDocument/2006/relationships/ctrlProp" Target="../ctrlProps/ctrlProp142.xml"/><Relationship Id="rId13" Type="http://schemas.openxmlformats.org/officeDocument/2006/relationships/ctrlProp" Target="../ctrlProps/ctrlProp141.xml"/><Relationship Id="rId12" Type="http://schemas.openxmlformats.org/officeDocument/2006/relationships/ctrlProp" Target="../ctrlProps/ctrlProp140.xml"/><Relationship Id="rId11" Type="http://schemas.openxmlformats.org/officeDocument/2006/relationships/ctrlProp" Target="../ctrlProps/ctrlProp139.xml"/><Relationship Id="rId10" Type="http://schemas.openxmlformats.org/officeDocument/2006/relationships/ctrlProp" Target="../ctrlProps/ctrlProp138.xml"/><Relationship Id="rId1"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5" Type="http://schemas.openxmlformats.org/officeDocument/2006/relationships/hyperlink" Target="https://&#22825;&#40607;.top:8080/home.html" TargetMode="External"/><Relationship Id="rId4" Type="http://schemas.openxmlformats.org/officeDocument/2006/relationships/hyperlink" Target="https://pan.baidu.com/s/12q0Pn5acn5PrbuWrl0gryA?pwd=meow" TargetMode="External"/><Relationship Id="rId3" Type="http://schemas.openxmlformats.org/officeDocument/2006/relationships/hyperlink" Target="https://pan.baidu.com/s/14MzyKP3pYz5a_wFUHdzcEA?pwd=aibm" TargetMode="External"/><Relationship Id="rId2" Type="http://schemas.openxmlformats.org/officeDocument/2006/relationships/hyperlink" Target="https://www.&#22825;&#40607;.top:8080/home.html" TargetMode="External"/><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autoPageBreaks="0"/>
  </sheetPr>
  <dimension ref="A1:AU51"/>
  <sheetViews>
    <sheetView zoomScaleSheetLayoutView="50" workbookViewId="0">
      <selection activeCell="E5" sqref="E5:P5"/>
    </sheetView>
  </sheetViews>
  <sheetFormatPr defaultColWidth="9" defaultRowHeight="14.5"/>
  <cols>
    <col min="1" max="48" width="2.33636363636364" style="28" customWidth="1"/>
    <col min="49" max="16384" width="9" style="28"/>
  </cols>
  <sheetData>
    <row r="1" ht="16.95" customHeight="1" spans="1:47">
      <c r="A1" s="27"/>
      <c r="B1" s="27"/>
      <c r="C1" s="27"/>
      <c r="D1" s="27"/>
      <c r="E1" s="27"/>
      <c r="F1" s="27"/>
      <c r="G1" s="27"/>
      <c r="H1" s="27"/>
      <c r="I1" s="27"/>
      <c r="J1" s="27"/>
      <c r="K1" s="27"/>
      <c r="L1" s="27"/>
      <c r="M1" s="27"/>
      <c r="N1" s="27"/>
      <c r="O1" s="27"/>
      <c r="P1" s="27"/>
      <c r="Q1" s="27"/>
      <c r="R1" s="27"/>
      <c r="S1" s="27"/>
      <c r="T1" s="26" t="s">
        <v>0</v>
      </c>
      <c r="U1" s="26"/>
      <c r="V1" s="26"/>
      <c r="W1" s="26"/>
      <c r="X1" s="26"/>
      <c r="Y1" s="26"/>
      <c r="Z1" s="26"/>
      <c r="AA1" s="26"/>
      <c r="AB1" s="26"/>
      <c r="AC1" s="27"/>
      <c r="AD1" s="27"/>
      <c r="AE1" s="27"/>
      <c r="AF1" s="27"/>
      <c r="AG1" s="27"/>
      <c r="AH1" s="27"/>
      <c r="AI1" s="27"/>
      <c r="AJ1" s="27"/>
      <c r="AK1" s="27"/>
      <c r="AL1" s="27"/>
      <c r="AM1" s="27"/>
      <c r="AN1" s="27"/>
      <c r="AO1" s="27"/>
      <c r="AP1" s="887" t="str">
        <f>_xlfn.IFS(E5="","请选择背景",AND(V3&lt;&gt;"",V4=""),"个性需两条",1,"")</f>
        <v>请选择背景</v>
      </c>
      <c r="AQ1" s="887"/>
      <c r="AR1" s="887"/>
      <c r="AS1" s="887"/>
      <c r="AT1" s="887"/>
      <c r="AU1" s="27"/>
    </row>
    <row r="2" ht="16.95" customHeight="1"/>
    <row r="3" ht="16.95" customHeight="1" spans="1:47">
      <c r="B3" s="865" t="s">
        <v>1</v>
      </c>
      <c r="C3" s="710"/>
      <c r="D3" s="710"/>
      <c r="E3" s="1127" t="str">
        <f>IF(主要!D3="","",主要!D3)</f>
        <v>卡尔玛</v>
      </c>
      <c r="F3" s="1127"/>
      <c r="G3" s="1127"/>
      <c r="H3" s="1127"/>
      <c r="I3" s="1127"/>
      <c r="J3" s="1127"/>
      <c r="K3" s="1127"/>
      <c r="L3" s="1127"/>
      <c r="M3" s="1127"/>
      <c r="N3" s="1127"/>
      <c r="O3" s="1127"/>
      <c r="P3" s="1127"/>
      <c r="R3" s="1139" t="s">
        <v>2</v>
      </c>
      <c r="S3" s="1140"/>
      <c r="T3" s="1140"/>
      <c r="U3" s="1141"/>
      <c r="V3" s="1142"/>
      <c r="W3" s="1143"/>
      <c r="X3" s="1143"/>
      <c r="Y3" s="1143"/>
      <c r="Z3" s="1143"/>
      <c r="AA3" s="1143"/>
      <c r="AB3" s="1143"/>
      <c r="AC3" s="1143"/>
      <c r="AD3" s="1143"/>
      <c r="AE3" s="1143"/>
      <c r="AF3" s="1143"/>
      <c r="AG3" s="1143"/>
      <c r="AH3" s="1143"/>
      <c r="AI3" s="1143"/>
      <c r="AJ3" s="1143"/>
      <c r="AK3" s="1143"/>
      <c r="AL3" s="1143"/>
      <c r="AM3" s="1143"/>
      <c r="AN3" s="1143"/>
      <c r="AO3" s="1143"/>
      <c r="AP3" s="1143"/>
      <c r="AQ3" s="1143"/>
      <c r="AR3" s="1143"/>
      <c r="AS3" s="1143"/>
      <c r="AT3" s="1144"/>
    </row>
    <row r="4" ht="16.95" customHeight="1" spans="1:47">
      <c r="B4" s="865" t="s">
        <v>3</v>
      </c>
      <c r="C4" s="710"/>
      <c r="D4" s="866"/>
      <c r="E4" s="975" t="str">
        <f>IF(主要!D4="","",主要!D4)</f>
        <v/>
      </c>
      <c r="F4" s="1145"/>
      <c r="G4" s="1145"/>
      <c r="H4" s="1145"/>
      <c r="I4" s="1145"/>
      <c r="J4" s="1145"/>
      <c r="K4" s="1145"/>
      <c r="L4" s="1145"/>
      <c r="M4" s="1145"/>
      <c r="N4" s="1145"/>
      <c r="O4" s="1145"/>
      <c r="P4" s="1146"/>
      <c r="R4" s="1147"/>
      <c r="S4" s="1148"/>
      <c r="T4" s="1148"/>
      <c r="U4" s="1149"/>
      <c r="V4" s="1150"/>
      <c r="W4" s="1151"/>
      <c r="X4" s="1151"/>
      <c r="Y4" s="1151"/>
      <c r="Z4" s="1151"/>
      <c r="AA4" s="1151"/>
      <c r="AB4" s="1151"/>
      <c r="AC4" s="1151"/>
      <c r="AD4" s="1151"/>
      <c r="AE4" s="1151"/>
      <c r="AF4" s="1151"/>
      <c r="AG4" s="1151"/>
      <c r="AH4" s="1151"/>
      <c r="AI4" s="1151"/>
      <c r="AJ4" s="1151"/>
      <c r="AK4" s="1151"/>
      <c r="AL4" s="1151"/>
      <c r="AM4" s="1151"/>
      <c r="AN4" s="1151"/>
      <c r="AO4" s="1151"/>
      <c r="AP4" s="1151"/>
      <c r="AQ4" s="1151"/>
      <c r="AR4" s="1151"/>
      <c r="AS4" s="1151"/>
      <c r="AT4" s="1152"/>
    </row>
    <row r="5" ht="16.95" customHeight="1" spans="1:47">
      <c r="B5" s="865" t="s">
        <v>4</v>
      </c>
      <c r="C5" s="710"/>
      <c r="D5" s="866"/>
      <c r="E5" s="759"/>
      <c r="F5" s="723"/>
      <c r="G5" s="723"/>
      <c r="H5" s="723"/>
      <c r="I5" s="723"/>
      <c r="J5" s="723"/>
      <c r="K5" s="723"/>
      <c r="L5" s="723"/>
      <c r="M5" s="723"/>
      <c r="N5" s="723"/>
      <c r="O5" s="723"/>
      <c r="P5" s="724"/>
      <c r="R5" s="1153" t="s">
        <v>5</v>
      </c>
      <c r="S5" s="1154"/>
      <c r="T5" s="1154"/>
      <c r="U5" s="1155"/>
      <c r="V5" s="1142"/>
      <c r="W5" s="1143"/>
      <c r="X5" s="1143"/>
      <c r="Y5" s="1143"/>
      <c r="Z5" s="1143"/>
      <c r="AA5" s="1143"/>
      <c r="AB5" s="1143"/>
      <c r="AC5" s="1143"/>
      <c r="AD5" s="1143"/>
      <c r="AE5" s="1143"/>
      <c r="AF5" s="1143"/>
      <c r="AG5" s="1143"/>
      <c r="AH5" s="1143"/>
      <c r="AI5" s="1143"/>
      <c r="AJ5" s="1143"/>
      <c r="AK5" s="1143"/>
      <c r="AL5" s="1143"/>
      <c r="AM5" s="1143"/>
      <c r="AN5" s="1143"/>
      <c r="AO5" s="1143"/>
      <c r="AP5" s="1143"/>
      <c r="AQ5" s="1143"/>
      <c r="AR5" s="1143"/>
      <c r="AS5" s="1143"/>
      <c r="AT5" s="1144"/>
    </row>
    <row r="6" ht="16.95" customHeight="1" spans="1:47">
      <c r="B6" s="865" t="s">
        <v>6</v>
      </c>
      <c r="C6" s="710"/>
      <c r="D6" s="866"/>
      <c r="E6" s="956"/>
      <c r="F6" s="973"/>
      <c r="G6" s="973"/>
      <c r="H6" s="973"/>
      <c r="I6" s="973"/>
      <c r="J6" s="973"/>
      <c r="K6" s="973"/>
      <c r="L6" s="973"/>
      <c r="M6" s="973"/>
      <c r="N6" s="973"/>
      <c r="O6" s="973"/>
      <c r="P6" s="957"/>
      <c r="R6" s="1153" t="s">
        <v>7</v>
      </c>
      <c r="S6" s="1154"/>
      <c r="T6" s="1154"/>
      <c r="U6" s="1155"/>
      <c r="V6" s="1150"/>
      <c r="W6" s="1151"/>
      <c r="X6" s="1151"/>
      <c r="Y6" s="1151"/>
      <c r="Z6" s="1151"/>
      <c r="AA6" s="1151"/>
      <c r="AB6" s="1151"/>
      <c r="AC6" s="1151"/>
      <c r="AD6" s="1151"/>
      <c r="AE6" s="1151"/>
      <c r="AF6" s="1151"/>
      <c r="AG6" s="1151"/>
      <c r="AH6" s="1151"/>
      <c r="AI6" s="1151"/>
      <c r="AJ6" s="1151"/>
      <c r="AK6" s="1151"/>
      <c r="AL6" s="1151"/>
      <c r="AM6" s="1151"/>
      <c r="AN6" s="1151"/>
      <c r="AO6" s="1151"/>
      <c r="AP6" s="1151"/>
      <c r="AQ6" s="1151"/>
      <c r="AR6" s="1151"/>
      <c r="AS6" s="1151"/>
      <c r="AT6" s="1152"/>
    </row>
    <row r="7" ht="16.95" customHeight="1" spans="1:47">
      <c r="B7" s="865" t="s">
        <v>8</v>
      </c>
      <c r="C7" s="710"/>
      <c r="D7" s="866"/>
      <c r="E7" s="759"/>
      <c r="F7" s="723"/>
      <c r="G7" s="723"/>
      <c r="H7" s="723"/>
      <c r="I7" s="723"/>
      <c r="J7" s="723"/>
      <c r="K7" s="723"/>
      <c r="L7" s="723"/>
      <c r="M7" s="723"/>
      <c r="N7" s="723"/>
      <c r="O7" s="723"/>
      <c r="P7" s="724"/>
      <c r="R7" s="1153" t="s">
        <v>9</v>
      </c>
      <c r="S7" s="1154"/>
      <c r="T7" s="1154"/>
      <c r="U7" s="1155"/>
      <c r="V7" s="1142"/>
      <c r="W7" s="1143"/>
      <c r="X7" s="1143"/>
      <c r="Y7" s="1143"/>
      <c r="Z7" s="1143"/>
      <c r="AA7" s="1143"/>
      <c r="AB7" s="1143"/>
      <c r="AC7" s="1143"/>
      <c r="AD7" s="1143"/>
      <c r="AE7" s="1143"/>
      <c r="AF7" s="1143"/>
      <c r="AG7" s="1143"/>
      <c r="AH7" s="1143"/>
      <c r="AI7" s="1143"/>
      <c r="AJ7" s="1143"/>
      <c r="AK7" s="1143"/>
      <c r="AL7" s="1143"/>
      <c r="AM7" s="1143"/>
      <c r="AN7" s="1143"/>
      <c r="AO7" s="1143"/>
      <c r="AP7" s="1143"/>
      <c r="AQ7" s="1143"/>
      <c r="AR7" s="1143"/>
      <c r="AS7" s="1143"/>
      <c r="AT7" s="1144"/>
    </row>
    <row r="8" ht="16.95" customHeight="1" spans="1:47">
      <c r="B8" s="865" t="s">
        <v>10</v>
      </c>
      <c r="C8" s="710"/>
      <c r="D8" s="866"/>
      <c r="E8" s="956"/>
      <c r="F8" s="973"/>
      <c r="G8" s="973"/>
      <c r="H8" s="973"/>
      <c r="I8" s="973"/>
      <c r="J8" s="973"/>
      <c r="K8" s="973"/>
      <c r="L8" s="973"/>
      <c r="M8" s="973"/>
      <c r="N8" s="973"/>
      <c r="O8" s="973"/>
      <c r="P8" s="957"/>
      <c r="R8" s="1153" t="s">
        <v>11</v>
      </c>
      <c r="S8" s="1154"/>
      <c r="T8" s="1154"/>
      <c r="U8" s="1155"/>
      <c r="V8" s="1150"/>
      <c r="W8" s="1151"/>
      <c r="X8" s="1151"/>
      <c r="Y8" s="1151"/>
      <c r="Z8" s="1151"/>
      <c r="AA8" s="1151"/>
      <c r="AB8" s="1151"/>
      <c r="AC8" s="1151"/>
      <c r="AD8" s="1151"/>
      <c r="AE8" s="1151"/>
      <c r="AF8" s="1151"/>
      <c r="AG8" s="1151"/>
      <c r="AH8" s="1151"/>
      <c r="AI8" s="1151"/>
      <c r="AJ8" s="1151"/>
      <c r="AK8" s="1151"/>
      <c r="AL8" s="1151"/>
      <c r="AM8" s="1151"/>
      <c r="AN8" s="1151"/>
      <c r="AO8" s="1151"/>
      <c r="AP8" s="1151"/>
      <c r="AQ8" s="1151"/>
      <c r="AR8" s="1151"/>
      <c r="AS8" s="1151"/>
      <c r="AT8" s="1152"/>
    </row>
    <row r="9" ht="16.95" customHeight="1" spans="1:47">
      <c r="R9" s="1153" t="str">
        <f>IF(背景数据!F96=0,"",背景数据!F96)</f>
        <v/>
      </c>
      <c r="S9" s="1154"/>
      <c r="T9" s="1154"/>
      <c r="U9" s="1155"/>
      <c r="V9" s="1142"/>
      <c r="W9" s="1143"/>
      <c r="X9" s="1143"/>
      <c r="Y9" s="1143"/>
      <c r="Z9" s="1143"/>
      <c r="AA9" s="1143"/>
      <c r="AB9" s="1143"/>
      <c r="AC9" s="1143"/>
      <c r="AD9" s="1143"/>
      <c r="AE9" s="1143"/>
      <c r="AF9" s="1143"/>
      <c r="AG9" s="1143"/>
      <c r="AH9" s="1143"/>
      <c r="AI9" s="1143"/>
      <c r="AJ9" s="1143"/>
      <c r="AK9" s="1143"/>
      <c r="AL9" s="1143"/>
      <c r="AM9" s="1143"/>
      <c r="AN9" s="1143"/>
      <c r="AO9" s="1143"/>
      <c r="AP9" s="1143"/>
      <c r="AQ9" s="1143"/>
      <c r="AR9" s="1143"/>
      <c r="AS9" s="1143"/>
      <c r="AT9" s="1144"/>
    </row>
    <row r="10" ht="16.95" customHeight="1" spans="1:47">
      <c r="B10" s="865" t="s">
        <v>12</v>
      </c>
      <c r="C10" s="710"/>
      <c r="D10" s="866"/>
      <c r="E10" s="759"/>
      <c r="F10" s="723"/>
      <c r="G10" s="723"/>
      <c r="H10" s="723"/>
      <c r="I10" s="723"/>
      <c r="J10" s="723"/>
      <c r="K10" s="723"/>
      <c r="L10" s="723"/>
      <c r="M10" s="723"/>
      <c r="N10" s="723"/>
      <c r="O10" s="723"/>
      <c r="P10" s="724"/>
    </row>
    <row r="11" ht="16.95" customHeight="1" spans="1:47">
      <c r="B11" s="865" t="s">
        <v>13</v>
      </c>
      <c r="C11" s="710"/>
      <c r="D11" s="866"/>
      <c r="E11" s="1156"/>
      <c r="F11" s="1157"/>
      <c r="G11" s="1157"/>
      <c r="H11" s="1157"/>
      <c r="I11" s="1157"/>
      <c r="J11" s="1157"/>
      <c r="K11" s="1157"/>
      <c r="L11" s="1157"/>
      <c r="M11" s="1157"/>
      <c r="N11" s="1157"/>
      <c r="O11" s="1157"/>
      <c r="P11" s="1158"/>
      <c r="R11" s="1153" t="s">
        <v>14</v>
      </c>
      <c r="S11" s="1154"/>
      <c r="T11" s="1154"/>
      <c r="U11" s="1155"/>
      <c r="V11" s="1142"/>
      <c r="W11" s="1143"/>
      <c r="X11" s="1143"/>
      <c r="Y11" s="1143"/>
      <c r="Z11" s="1143"/>
      <c r="AA11" s="1143"/>
      <c r="AB11" s="1143"/>
      <c r="AC11" s="1143"/>
      <c r="AD11" s="1143"/>
      <c r="AE11" s="1143"/>
      <c r="AF11" s="1143"/>
      <c r="AG11" s="1143"/>
      <c r="AH11" s="1143"/>
      <c r="AI11" s="1143"/>
      <c r="AJ11" s="1143"/>
      <c r="AK11" s="1143"/>
      <c r="AL11" s="1143"/>
      <c r="AM11" s="1143"/>
      <c r="AN11" s="1143"/>
      <c r="AO11" s="1143"/>
      <c r="AP11" s="1143"/>
      <c r="AQ11" s="1143"/>
      <c r="AR11" s="1143"/>
      <c r="AS11" s="1143"/>
      <c r="AT11" s="1144"/>
    </row>
    <row r="12" ht="16.95" customHeight="1" spans="1:47">
      <c r="B12" s="865" t="s">
        <v>15</v>
      </c>
      <c r="C12" s="710"/>
      <c r="D12" s="866"/>
      <c r="E12" s="759"/>
      <c r="F12" s="723"/>
      <c r="G12" s="723"/>
      <c r="H12" s="723"/>
      <c r="I12" s="723"/>
      <c r="J12" s="723"/>
      <c r="K12" s="723"/>
      <c r="L12" s="723"/>
      <c r="M12" s="723"/>
      <c r="N12" s="723"/>
      <c r="O12" s="723"/>
      <c r="P12" s="724"/>
      <c r="R12" s="1153" t="str">
        <f>IF(背景数据!I8=0,"",背景数据!I8)</f>
        <v/>
      </c>
      <c r="S12" s="1154"/>
      <c r="T12" s="1154"/>
      <c r="U12" s="1155"/>
      <c r="V12" s="1150"/>
      <c r="W12" s="1151"/>
      <c r="X12" s="1151"/>
      <c r="Y12" s="1151"/>
      <c r="Z12" s="1151"/>
      <c r="AA12" s="1151"/>
      <c r="AB12" s="1151"/>
      <c r="AC12" s="1151"/>
      <c r="AD12" s="1151"/>
      <c r="AE12" s="1151"/>
      <c r="AF12" s="1151"/>
      <c r="AG12" s="1151"/>
      <c r="AH12" s="1151"/>
      <c r="AI12" s="1151"/>
      <c r="AJ12" s="1151"/>
      <c r="AK12" s="1151"/>
      <c r="AL12" s="1151"/>
      <c r="AM12" s="1151"/>
      <c r="AN12" s="1151"/>
      <c r="AO12" s="1151"/>
      <c r="AP12" s="1151"/>
      <c r="AQ12" s="1151"/>
      <c r="AR12" s="1151"/>
      <c r="AS12" s="1151"/>
      <c r="AT12" s="1152"/>
    </row>
    <row r="13" ht="16.95" customHeight="1" spans="1:47">
      <c r="B13" s="865" t="s">
        <v>16</v>
      </c>
      <c r="C13" s="710"/>
      <c r="D13" s="866"/>
      <c r="E13" s="1156"/>
      <c r="F13" s="1157"/>
      <c r="G13" s="1157"/>
      <c r="H13" s="1157"/>
      <c r="I13" s="1157"/>
      <c r="J13" s="1157"/>
      <c r="K13" s="1157"/>
      <c r="L13" s="1157"/>
      <c r="M13" s="1157"/>
      <c r="N13" s="1157"/>
      <c r="O13" s="1157"/>
      <c r="P13" s="1158"/>
      <c r="R13" s="1153" t="str">
        <f>IF(背景数据!I14=0,"",背景数据!I14)</f>
        <v/>
      </c>
      <c r="S13" s="1154"/>
      <c r="T13" s="1154"/>
      <c r="U13" s="1155"/>
      <c r="V13" s="1142"/>
      <c r="W13" s="1143"/>
      <c r="X13" s="1143"/>
      <c r="Y13" s="1143"/>
      <c r="Z13" s="1143"/>
      <c r="AA13" s="1143"/>
      <c r="AB13" s="1143"/>
      <c r="AC13" s="1143"/>
      <c r="AD13" s="1143"/>
      <c r="AE13" s="1143"/>
      <c r="AF13" s="1143"/>
      <c r="AG13" s="1143"/>
      <c r="AH13" s="1143"/>
      <c r="AI13" s="1143"/>
      <c r="AJ13" s="1143"/>
      <c r="AK13" s="1143"/>
      <c r="AL13" s="1143"/>
      <c r="AM13" s="1143"/>
      <c r="AN13" s="1143"/>
      <c r="AO13" s="1143"/>
      <c r="AP13" s="1143"/>
      <c r="AQ13" s="1143"/>
      <c r="AR13" s="1143"/>
      <c r="AS13" s="1143"/>
      <c r="AT13" s="1144"/>
    </row>
    <row r="14" ht="16.95" customHeight="1" spans="1:47">
      <c r="R14" s="1153" t="str">
        <f>IF(背景数据!I20=0,"",背景数据!I20)</f>
        <v/>
      </c>
      <c r="S14" s="1154"/>
      <c r="T14" s="1154"/>
      <c r="U14" s="1155"/>
      <c r="V14" s="1150"/>
      <c r="W14" s="1151"/>
      <c r="X14" s="1151"/>
      <c r="Y14" s="1151"/>
      <c r="Z14" s="1151"/>
      <c r="AA14" s="1151"/>
      <c r="AB14" s="1151"/>
      <c r="AC14" s="1151"/>
      <c r="AD14" s="1151"/>
      <c r="AE14" s="1151"/>
      <c r="AF14" s="1151"/>
      <c r="AG14" s="1151"/>
      <c r="AH14" s="1151"/>
      <c r="AI14" s="1151"/>
      <c r="AJ14" s="1151"/>
      <c r="AK14" s="1151"/>
      <c r="AL14" s="1151"/>
      <c r="AM14" s="1151"/>
      <c r="AN14" s="1151"/>
      <c r="AO14" s="1151"/>
      <c r="AP14" s="1151"/>
      <c r="AQ14" s="1151"/>
      <c r="AR14" s="1151"/>
      <c r="AS14" s="1151"/>
      <c r="AT14" s="1152"/>
    </row>
    <row r="15" ht="16.95" customHeight="1" spans="1:47">
      <c r="B15" s="841" t="s">
        <v>17</v>
      </c>
      <c r="C15" s="858"/>
      <c r="D15" s="842"/>
      <c r="E15" s="1097"/>
      <c r="F15" s="1098"/>
      <c r="G15" s="1098"/>
      <c r="H15" s="1098"/>
      <c r="I15" s="1098"/>
      <c r="J15" s="1098"/>
      <c r="K15" s="1098"/>
      <c r="L15" s="1098"/>
      <c r="M15" s="1098"/>
      <c r="N15" s="1098"/>
      <c r="O15" s="1098"/>
      <c r="P15" s="1099"/>
      <c r="R15" s="1153" t="str">
        <f>IF(背景数据!I26=0,"",背景数据!I26)</f>
        <v/>
      </c>
      <c r="S15" s="1154"/>
      <c r="T15" s="1154"/>
      <c r="U15" s="1155"/>
      <c r="V15" s="1142"/>
      <c r="W15" s="1143"/>
      <c r="X15" s="1143"/>
      <c r="Y15" s="1143"/>
      <c r="Z15" s="1143"/>
      <c r="AA15" s="1143"/>
      <c r="AB15" s="1143"/>
      <c r="AC15" s="1143"/>
      <c r="AD15" s="1143"/>
      <c r="AE15" s="1143"/>
      <c r="AF15" s="1143"/>
      <c r="AG15" s="1143"/>
      <c r="AH15" s="1143"/>
      <c r="AI15" s="1143"/>
      <c r="AJ15" s="1143"/>
      <c r="AK15" s="1143"/>
      <c r="AL15" s="1143"/>
      <c r="AM15" s="1143"/>
      <c r="AN15" s="1143"/>
      <c r="AO15" s="1143"/>
      <c r="AP15" s="1143"/>
      <c r="AQ15" s="1143"/>
      <c r="AR15" s="1143"/>
      <c r="AS15" s="1143"/>
      <c r="AT15" s="1144"/>
    </row>
    <row r="16" ht="16.95" customHeight="1" spans="1:47">
      <c r="B16" s="1159"/>
      <c r="C16" s="1160"/>
      <c r="D16" s="1161"/>
      <c r="E16" s="1104"/>
      <c r="F16" s="1105"/>
      <c r="G16" s="1105"/>
      <c r="H16" s="1105"/>
      <c r="I16" s="1105"/>
      <c r="J16" s="1105"/>
      <c r="K16" s="1105"/>
      <c r="L16" s="1105"/>
      <c r="M16" s="1105"/>
      <c r="N16" s="1105"/>
      <c r="O16" s="1105"/>
      <c r="P16" s="1106"/>
      <c r="R16" s="1153" t="str">
        <f>IF(背景数据!I46=0,"",背景数据!I46)</f>
        <v/>
      </c>
      <c r="S16" s="1154"/>
      <c r="T16" s="1154"/>
      <c r="U16" s="1155"/>
      <c r="V16" s="1150"/>
      <c r="W16" s="1151"/>
      <c r="X16" s="1151"/>
      <c r="Y16" s="1151"/>
      <c r="Z16" s="1151"/>
      <c r="AA16" s="1151"/>
      <c r="AB16" s="1151"/>
      <c r="AC16" s="1151"/>
      <c r="AD16" s="1151"/>
      <c r="AE16" s="1151"/>
      <c r="AF16" s="1151"/>
      <c r="AG16" s="1151"/>
      <c r="AH16" s="1151"/>
      <c r="AI16" s="1151"/>
      <c r="AJ16" s="1151"/>
      <c r="AK16" s="1151"/>
      <c r="AL16" s="1151"/>
      <c r="AM16" s="1151"/>
      <c r="AN16" s="1151"/>
      <c r="AO16" s="1151"/>
      <c r="AP16" s="1151"/>
      <c r="AQ16" s="1151"/>
      <c r="AR16" s="1151"/>
      <c r="AS16" s="1151"/>
      <c r="AT16" s="1152"/>
    </row>
    <row r="17" ht="16.95" customHeight="1" spans="2:46">
      <c r="B17" s="1159"/>
      <c r="C17" s="1160"/>
      <c r="D17" s="1161"/>
      <c r="E17" s="1104"/>
      <c r="F17" s="1105"/>
      <c r="G17" s="1105"/>
      <c r="H17" s="1105"/>
      <c r="I17" s="1105"/>
      <c r="J17" s="1105"/>
      <c r="K17" s="1105"/>
      <c r="L17" s="1105"/>
      <c r="M17" s="1105"/>
      <c r="N17" s="1105"/>
      <c r="O17" s="1105"/>
      <c r="P17" s="1106"/>
      <c r="R17" s="1153" t="str">
        <f>IF(背景数据!I58=0,"",背景数据!I58)</f>
        <v/>
      </c>
      <c r="S17" s="1154"/>
      <c r="T17" s="1154"/>
      <c r="U17" s="1155"/>
      <c r="V17" s="1142"/>
      <c r="W17" s="1143"/>
      <c r="X17" s="1143"/>
      <c r="Y17" s="1143"/>
      <c r="Z17" s="1143"/>
      <c r="AA17" s="1143"/>
      <c r="AB17" s="1143"/>
      <c r="AC17" s="1143"/>
      <c r="AD17" s="1143"/>
      <c r="AE17" s="1143"/>
      <c r="AF17" s="1143"/>
      <c r="AG17" s="1143"/>
      <c r="AH17" s="1143"/>
      <c r="AI17" s="1143"/>
      <c r="AJ17" s="1143"/>
      <c r="AK17" s="1143"/>
      <c r="AL17" s="1143"/>
      <c r="AM17" s="1143"/>
      <c r="AN17" s="1143"/>
      <c r="AO17" s="1143"/>
      <c r="AP17" s="1143"/>
      <c r="AQ17" s="1143"/>
      <c r="AR17" s="1143"/>
      <c r="AS17" s="1143"/>
      <c r="AT17" s="1144"/>
    </row>
    <row r="18" ht="16.95" customHeight="1" spans="2:46">
      <c r="B18" s="1159"/>
      <c r="C18" s="1160"/>
      <c r="D18" s="1161"/>
      <c r="E18" s="1104"/>
      <c r="F18" s="1105"/>
      <c r="G18" s="1105"/>
      <c r="H18" s="1105"/>
      <c r="I18" s="1105"/>
      <c r="J18" s="1105"/>
      <c r="K18" s="1105"/>
      <c r="L18" s="1105"/>
      <c r="M18" s="1105"/>
      <c r="N18" s="1105"/>
      <c r="O18" s="1105"/>
      <c r="P18" s="1106"/>
    </row>
    <row r="19" ht="16.95" customHeight="1" spans="2:46">
      <c r="B19" s="1159"/>
      <c r="C19" s="1160"/>
      <c r="D19" s="1161"/>
      <c r="E19" s="1104"/>
      <c r="F19" s="1105"/>
      <c r="G19" s="1105"/>
      <c r="H19" s="1105"/>
      <c r="I19" s="1105"/>
      <c r="J19" s="1105"/>
      <c r="K19" s="1105"/>
      <c r="L19" s="1105"/>
      <c r="M19" s="1105"/>
      <c r="N19" s="1105"/>
      <c r="O19" s="1105"/>
      <c r="P19" s="1106"/>
      <c r="R19" s="1153" t="s">
        <v>18</v>
      </c>
      <c r="S19" s="1154"/>
      <c r="T19" s="1154"/>
      <c r="U19" s="1155"/>
      <c r="V19" s="1142"/>
      <c r="W19" s="1143"/>
      <c r="X19" s="1143"/>
      <c r="Y19" s="1143"/>
      <c r="Z19" s="1143"/>
      <c r="AA19" s="1143"/>
      <c r="AB19" s="1143"/>
      <c r="AC19" s="1143"/>
      <c r="AD19" s="1143"/>
      <c r="AE19" s="1143"/>
      <c r="AF19" s="1143"/>
      <c r="AG19" s="1143"/>
      <c r="AH19" s="1143"/>
      <c r="AI19" s="1143"/>
      <c r="AJ19" s="1143"/>
      <c r="AK19" s="1143"/>
      <c r="AL19" s="1143"/>
      <c r="AM19" s="1143"/>
      <c r="AN19" s="1143"/>
      <c r="AO19" s="1143"/>
      <c r="AP19" s="1143"/>
      <c r="AQ19" s="1143"/>
      <c r="AR19" s="1143"/>
      <c r="AS19" s="1143"/>
      <c r="AT19" s="1144"/>
    </row>
    <row r="20" ht="16.95" customHeight="1" spans="2:46">
      <c r="B20" s="1159"/>
      <c r="C20" s="1160"/>
      <c r="D20" s="1161"/>
      <c r="E20" s="1104"/>
      <c r="F20" s="1105"/>
      <c r="G20" s="1105"/>
      <c r="H20" s="1105"/>
      <c r="I20" s="1105"/>
      <c r="J20" s="1105"/>
      <c r="K20" s="1105"/>
      <c r="L20" s="1105"/>
      <c r="M20" s="1105"/>
      <c r="N20" s="1105"/>
      <c r="O20" s="1105"/>
      <c r="P20" s="1106"/>
      <c r="R20" s="1153"/>
      <c r="S20" s="1154"/>
      <c r="T20" s="1154"/>
      <c r="U20" s="1155"/>
      <c r="V20" s="1150"/>
      <c r="W20" s="1151"/>
      <c r="X20" s="1151"/>
      <c r="Y20" s="1151"/>
      <c r="Z20" s="1151"/>
      <c r="AA20" s="1151"/>
      <c r="AB20" s="1151"/>
      <c r="AC20" s="1151"/>
      <c r="AD20" s="1151"/>
      <c r="AE20" s="1151"/>
      <c r="AF20" s="1151"/>
      <c r="AG20" s="1151"/>
      <c r="AH20" s="1151"/>
      <c r="AI20" s="1151"/>
      <c r="AJ20" s="1151"/>
      <c r="AK20" s="1151"/>
      <c r="AL20" s="1151"/>
      <c r="AM20" s="1151"/>
      <c r="AN20" s="1151"/>
      <c r="AO20" s="1151"/>
      <c r="AP20" s="1151"/>
      <c r="AQ20" s="1151"/>
      <c r="AR20" s="1151"/>
      <c r="AS20" s="1151"/>
      <c r="AT20" s="1152"/>
    </row>
    <row r="21" ht="16.95" customHeight="1" spans="2:46">
      <c r="B21" s="1159"/>
      <c r="C21" s="1160"/>
      <c r="D21" s="1161"/>
      <c r="E21" s="1104"/>
      <c r="F21" s="1105"/>
      <c r="G21" s="1105"/>
      <c r="H21" s="1105"/>
      <c r="I21" s="1105"/>
      <c r="J21" s="1105"/>
      <c r="K21" s="1105"/>
      <c r="L21" s="1105"/>
      <c r="M21" s="1105"/>
      <c r="N21" s="1105"/>
      <c r="O21" s="1105"/>
      <c r="P21" s="1106"/>
      <c r="R21" s="1153" t="str">
        <f>IF(赠礼数据!D2=0,"",赠礼数据!D2)</f>
        <v/>
      </c>
      <c r="S21" s="1154"/>
      <c r="T21" s="1154"/>
      <c r="U21" s="1155"/>
      <c r="V21" s="1142"/>
      <c r="W21" s="1143"/>
      <c r="X21" s="1143"/>
      <c r="Y21" s="1143"/>
      <c r="Z21" s="1143"/>
      <c r="AA21" s="1143"/>
      <c r="AB21" s="1143"/>
      <c r="AC21" s="1143"/>
      <c r="AD21" s="1143"/>
      <c r="AE21" s="1143"/>
      <c r="AF21" s="1143"/>
      <c r="AG21" s="1143"/>
      <c r="AH21" s="1143"/>
      <c r="AI21" s="1143"/>
      <c r="AJ21" s="1143"/>
      <c r="AK21" s="1143"/>
      <c r="AL21" s="1143"/>
      <c r="AM21" s="1143"/>
      <c r="AN21" s="1143"/>
      <c r="AO21" s="1143"/>
      <c r="AP21" s="1143"/>
      <c r="AQ21" s="1143"/>
      <c r="AR21" s="1143"/>
      <c r="AS21" s="1143"/>
      <c r="AT21" s="1144"/>
    </row>
    <row r="22" ht="16.95" customHeight="1" spans="2:46">
      <c r="B22" s="1159"/>
      <c r="C22" s="1160"/>
      <c r="D22" s="1161"/>
      <c r="E22" s="1104"/>
      <c r="F22" s="1105"/>
      <c r="G22" s="1105"/>
      <c r="H22" s="1105"/>
      <c r="I22" s="1105"/>
      <c r="J22" s="1105"/>
      <c r="K22" s="1105"/>
      <c r="L22" s="1105"/>
      <c r="M22" s="1105"/>
      <c r="N22" s="1105"/>
      <c r="O22" s="1105"/>
      <c r="P22" s="1106"/>
      <c r="R22" s="1153" t="str">
        <f>IF(赠礼数据!D10=0,"",赠礼数据!D10)</f>
        <v/>
      </c>
      <c r="S22" s="1154"/>
      <c r="T22" s="1154"/>
      <c r="U22" s="1155"/>
      <c r="V22" s="1150"/>
      <c r="W22" s="1151"/>
      <c r="X22" s="1151"/>
      <c r="Y22" s="1151"/>
      <c r="Z22" s="1151"/>
      <c r="AA22" s="1151"/>
      <c r="AB22" s="1151"/>
      <c r="AC22" s="1151"/>
      <c r="AD22" s="1151"/>
      <c r="AE22" s="1151"/>
      <c r="AF22" s="1151"/>
      <c r="AG22" s="1151"/>
      <c r="AH22" s="1151"/>
      <c r="AI22" s="1151"/>
      <c r="AJ22" s="1151"/>
      <c r="AK22" s="1151"/>
      <c r="AL22" s="1151"/>
      <c r="AM22" s="1151"/>
      <c r="AN22" s="1151"/>
      <c r="AO22" s="1151"/>
      <c r="AP22" s="1151"/>
      <c r="AQ22" s="1151"/>
      <c r="AR22" s="1151"/>
      <c r="AS22" s="1151"/>
      <c r="AT22" s="1152"/>
    </row>
    <row r="23" ht="16.95" customHeight="1" spans="2:46">
      <c r="B23" s="1159"/>
      <c r="C23" s="1160"/>
      <c r="D23" s="1161"/>
      <c r="E23" s="1104"/>
      <c r="F23" s="1105"/>
      <c r="G23" s="1105"/>
      <c r="H23" s="1105"/>
      <c r="I23" s="1105"/>
      <c r="J23" s="1105"/>
      <c r="K23" s="1105"/>
      <c r="L23" s="1105"/>
      <c r="M23" s="1105"/>
      <c r="N23" s="1105"/>
      <c r="O23" s="1105"/>
      <c r="P23" s="1106"/>
      <c r="R23" s="1153" t="s">
        <v>19</v>
      </c>
      <c r="S23" s="1154"/>
      <c r="T23" s="1154"/>
      <c r="U23" s="1155"/>
      <c r="V23" s="1142"/>
      <c r="W23" s="1143"/>
      <c r="X23" s="1143"/>
      <c r="Y23" s="1143"/>
      <c r="Z23" s="1143"/>
      <c r="AA23" s="1143"/>
      <c r="AB23" s="1143"/>
      <c r="AC23" s="1143"/>
      <c r="AD23" s="1143"/>
      <c r="AE23" s="1143"/>
      <c r="AF23" s="1143"/>
      <c r="AG23" s="1143"/>
      <c r="AH23" s="1143"/>
      <c r="AI23" s="1143"/>
      <c r="AJ23" s="1143"/>
      <c r="AK23" s="1143"/>
      <c r="AL23" s="1143"/>
      <c r="AM23" s="1143"/>
      <c r="AN23" s="1143"/>
      <c r="AO23" s="1143"/>
      <c r="AP23" s="1143"/>
      <c r="AQ23" s="1143"/>
      <c r="AR23" s="1143"/>
      <c r="AS23" s="1143"/>
      <c r="AT23" s="1144"/>
    </row>
    <row r="24" ht="16.95" customHeight="1" spans="2:46">
      <c r="B24" s="850"/>
      <c r="C24" s="862"/>
      <c r="D24" s="851"/>
      <c r="E24" s="1113"/>
      <c r="F24" s="1114"/>
      <c r="G24" s="1114"/>
      <c r="H24" s="1114"/>
      <c r="I24" s="1114"/>
      <c r="J24" s="1114"/>
      <c r="K24" s="1114"/>
      <c r="L24" s="1114"/>
      <c r="M24" s="1114"/>
      <c r="N24" s="1114"/>
      <c r="O24" s="1114"/>
      <c r="P24" s="1115"/>
      <c r="R24" s="1153"/>
      <c r="S24" s="1154"/>
      <c r="T24" s="1154"/>
      <c r="U24" s="1155"/>
      <c r="V24" s="1150"/>
      <c r="W24" s="1151"/>
      <c r="X24" s="1151"/>
      <c r="Y24" s="1151"/>
      <c r="Z24" s="1151"/>
      <c r="AA24" s="1151"/>
      <c r="AB24" s="1151"/>
      <c r="AC24" s="1151"/>
      <c r="AD24" s="1151"/>
      <c r="AE24" s="1151"/>
      <c r="AF24" s="1151"/>
      <c r="AG24" s="1151"/>
      <c r="AH24" s="1151"/>
      <c r="AI24" s="1151"/>
      <c r="AJ24" s="1151"/>
      <c r="AK24" s="1151"/>
      <c r="AL24" s="1151"/>
      <c r="AM24" s="1151"/>
      <c r="AN24" s="1151"/>
      <c r="AO24" s="1151"/>
      <c r="AP24" s="1151"/>
      <c r="AQ24" s="1151"/>
      <c r="AR24" s="1151"/>
      <c r="AS24" s="1151"/>
      <c r="AT24" s="1152"/>
    </row>
    <row r="25" ht="16.95" customHeight="1"/>
    <row r="26" ht="16.95" customHeight="1" spans="2:46">
      <c r="B26" s="1127"/>
      <c r="C26" s="1162"/>
      <c r="D26" s="1162"/>
      <c r="E26" s="1162"/>
      <c r="F26" s="1162"/>
      <c r="G26" s="1162"/>
      <c r="H26" s="1162"/>
      <c r="I26" s="1162"/>
      <c r="J26" s="1162"/>
      <c r="K26" s="1162"/>
      <c r="L26" s="1162"/>
      <c r="M26" s="1162"/>
      <c r="N26" s="1162"/>
      <c r="O26" s="1162"/>
      <c r="P26" s="1162"/>
      <c r="R26" s="1160" t="s">
        <v>20</v>
      </c>
      <c r="S26" s="1160"/>
      <c r="T26" s="1160"/>
      <c r="U26" s="1161"/>
      <c r="V26" s="1163"/>
      <c r="W26" s="1164"/>
      <c r="X26" s="1164"/>
      <c r="Y26" s="1164"/>
      <c r="Z26" s="1164"/>
      <c r="AA26" s="1164"/>
      <c r="AB26" s="1164"/>
      <c r="AC26" s="1164"/>
      <c r="AD26" s="1164"/>
      <c r="AE26" s="1164"/>
      <c r="AF26" s="1164"/>
      <c r="AG26" s="1164"/>
      <c r="AH26" s="1164"/>
      <c r="AI26" s="1164"/>
      <c r="AJ26" s="1164"/>
      <c r="AK26" s="1164"/>
      <c r="AL26" s="1164"/>
      <c r="AM26" s="1164"/>
      <c r="AN26" s="1164"/>
      <c r="AO26" s="1164"/>
      <c r="AP26" s="1164"/>
      <c r="AQ26" s="1164"/>
      <c r="AR26" s="1164"/>
      <c r="AS26" s="1164"/>
      <c r="AT26" s="1165"/>
    </row>
    <row r="27" ht="16.95" customHeight="1" spans="2:46">
      <c r="B27" s="1162"/>
      <c r="C27" s="1162"/>
      <c r="D27" s="1162"/>
      <c r="E27" s="1162"/>
      <c r="F27" s="1162"/>
      <c r="G27" s="1162"/>
      <c r="H27" s="1162"/>
      <c r="I27" s="1162"/>
      <c r="J27" s="1162"/>
      <c r="K27" s="1162"/>
      <c r="L27" s="1162"/>
      <c r="M27" s="1162"/>
      <c r="N27" s="1162"/>
      <c r="O27" s="1162"/>
      <c r="P27" s="1162"/>
      <c r="R27" s="1160"/>
      <c r="S27" s="1160"/>
      <c r="T27" s="1160"/>
      <c r="U27" s="1161"/>
      <c r="V27" s="1166"/>
      <c r="W27" s="1167"/>
      <c r="X27" s="1167"/>
      <c r="Y27" s="1167"/>
      <c r="Z27" s="1167"/>
      <c r="AA27" s="1167"/>
      <c r="AB27" s="1167"/>
      <c r="AC27" s="1167"/>
      <c r="AD27" s="1167"/>
      <c r="AE27" s="1167"/>
      <c r="AF27" s="1167"/>
      <c r="AG27" s="1167"/>
      <c r="AH27" s="1167"/>
      <c r="AI27" s="1167"/>
      <c r="AJ27" s="1167"/>
      <c r="AK27" s="1167"/>
      <c r="AL27" s="1167"/>
      <c r="AM27" s="1167"/>
      <c r="AN27" s="1167"/>
      <c r="AO27" s="1167"/>
      <c r="AP27" s="1167"/>
      <c r="AQ27" s="1167"/>
      <c r="AR27" s="1167"/>
      <c r="AS27" s="1167"/>
      <c r="AT27" s="1168"/>
    </row>
    <row r="28" ht="16.95" customHeight="1" spans="2:46">
      <c r="B28" s="1162"/>
      <c r="C28" s="1162"/>
      <c r="D28" s="1162"/>
      <c r="E28" s="1162"/>
      <c r="F28" s="1162"/>
      <c r="G28" s="1162"/>
      <c r="H28" s="1162"/>
      <c r="I28" s="1162"/>
      <c r="J28" s="1162"/>
      <c r="K28" s="1162"/>
      <c r="L28" s="1162"/>
      <c r="M28" s="1162"/>
      <c r="N28" s="1162"/>
      <c r="O28" s="1162"/>
      <c r="P28" s="1162"/>
      <c r="R28" s="1160"/>
      <c r="S28" s="1160"/>
      <c r="T28" s="1160"/>
      <c r="U28" s="1161"/>
      <c r="V28" s="1166"/>
      <c r="W28" s="1167"/>
      <c r="X28" s="1167"/>
      <c r="Y28" s="1167"/>
      <c r="Z28" s="1167"/>
      <c r="AA28" s="1167"/>
      <c r="AB28" s="1167"/>
      <c r="AC28" s="1167"/>
      <c r="AD28" s="1167"/>
      <c r="AE28" s="1167"/>
      <c r="AF28" s="1167"/>
      <c r="AG28" s="1167"/>
      <c r="AH28" s="1167"/>
      <c r="AI28" s="1167"/>
      <c r="AJ28" s="1167"/>
      <c r="AK28" s="1167"/>
      <c r="AL28" s="1167"/>
      <c r="AM28" s="1167"/>
      <c r="AN28" s="1167"/>
      <c r="AO28" s="1167"/>
      <c r="AP28" s="1167"/>
      <c r="AQ28" s="1167"/>
      <c r="AR28" s="1167"/>
      <c r="AS28" s="1167"/>
      <c r="AT28" s="1168"/>
    </row>
    <row r="29" ht="16.95" customHeight="1" spans="2:46">
      <c r="B29" s="1162"/>
      <c r="C29" s="1162"/>
      <c r="D29" s="1162"/>
      <c r="E29" s="1162"/>
      <c r="F29" s="1162"/>
      <c r="G29" s="1162"/>
      <c r="H29" s="1162"/>
      <c r="I29" s="1162"/>
      <c r="J29" s="1162"/>
      <c r="K29" s="1162"/>
      <c r="L29" s="1162"/>
      <c r="M29" s="1162"/>
      <c r="N29" s="1162"/>
      <c r="O29" s="1162"/>
      <c r="P29" s="1162"/>
      <c r="V29" s="1166"/>
      <c r="W29" s="1167"/>
      <c r="X29" s="1167"/>
      <c r="Y29" s="1167"/>
      <c r="Z29" s="1167"/>
      <c r="AA29" s="1167"/>
      <c r="AB29" s="1167"/>
      <c r="AC29" s="1167"/>
      <c r="AD29" s="1167"/>
      <c r="AE29" s="1167"/>
      <c r="AF29" s="1167"/>
      <c r="AG29" s="1167"/>
      <c r="AH29" s="1167"/>
      <c r="AI29" s="1167"/>
      <c r="AJ29" s="1167"/>
      <c r="AK29" s="1167"/>
      <c r="AL29" s="1167"/>
      <c r="AM29" s="1167"/>
      <c r="AN29" s="1167"/>
      <c r="AO29" s="1167"/>
      <c r="AP29" s="1167"/>
      <c r="AQ29" s="1167"/>
      <c r="AR29" s="1167"/>
      <c r="AS29" s="1167"/>
      <c r="AT29" s="1168"/>
    </row>
    <row r="30" ht="16.95" customHeight="1" spans="2:46">
      <c r="B30" s="1162"/>
      <c r="C30" s="1162"/>
      <c r="D30" s="1162"/>
      <c r="E30" s="1162"/>
      <c r="F30" s="1162"/>
      <c r="G30" s="1162"/>
      <c r="H30" s="1162"/>
      <c r="I30" s="1162"/>
      <c r="J30" s="1162"/>
      <c r="K30" s="1162"/>
      <c r="L30" s="1162"/>
      <c r="M30" s="1162"/>
      <c r="N30" s="1162"/>
      <c r="O30" s="1162"/>
      <c r="P30" s="1162"/>
      <c r="V30" s="1166"/>
      <c r="W30" s="1167"/>
      <c r="X30" s="1167"/>
      <c r="Y30" s="1167"/>
      <c r="Z30" s="1167"/>
      <c r="AA30" s="1167"/>
      <c r="AB30" s="1167"/>
      <c r="AC30" s="1167"/>
      <c r="AD30" s="1167"/>
      <c r="AE30" s="1167"/>
      <c r="AF30" s="1167"/>
      <c r="AG30" s="1167"/>
      <c r="AH30" s="1167"/>
      <c r="AI30" s="1167"/>
      <c r="AJ30" s="1167"/>
      <c r="AK30" s="1167"/>
      <c r="AL30" s="1167"/>
      <c r="AM30" s="1167"/>
      <c r="AN30" s="1167"/>
      <c r="AO30" s="1167"/>
      <c r="AP30" s="1167"/>
      <c r="AQ30" s="1167"/>
      <c r="AR30" s="1167"/>
      <c r="AS30" s="1167"/>
      <c r="AT30" s="1168"/>
    </row>
    <row r="31" ht="16.95" customHeight="1" spans="2:46">
      <c r="B31" s="1162"/>
      <c r="C31" s="1162"/>
      <c r="D31" s="1162"/>
      <c r="E31" s="1162"/>
      <c r="F31" s="1162"/>
      <c r="G31" s="1162"/>
      <c r="H31" s="1162"/>
      <c r="I31" s="1162"/>
      <c r="J31" s="1162"/>
      <c r="K31" s="1162"/>
      <c r="L31" s="1162"/>
      <c r="M31" s="1162"/>
      <c r="N31" s="1162"/>
      <c r="O31" s="1162"/>
      <c r="P31" s="1162"/>
      <c r="V31" s="1166"/>
      <c r="W31" s="1167"/>
      <c r="X31" s="1167"/>
      <c r="Y31" s="1167"/>
      <c r="Z31" s="1167"/>
      <c r="AA31" s="1167"/>
      <c r="AB31" s="1167"/>
      <c r="AC31" s="1167"/>
      <c r="AD31" s="1167"/>
      <c r="AE31" s="1167"/>
      <c r="AF31" s="1167"/>
      <c r="AG31" s="1167"/>
      <c r="AH31" s="1167"/>
      <c r="AI31" s="1167"/>
      <c r="AJ31" s="1167"/>
      <c r="AK31" s="1167"/>
      <c r="AL31" s="1167"/>
      <c r="AM31" s="1167"/>
      <c r="AN31" s="1167"/>
      <c r="AO31" s="1167"/>
      <c r="AP31" s="1167"/>
      <c r="AQ31" s="1167"/>
      <c r="AR31" s="1167"/>
      <c r="AS31" s="1167"/>
      <c r="AT31" s="1168"/>
    </row>
    <row r="32" ht="16.95" customHeight="1" spans="2:46">
      <c r="B32" s="1162"/>
      <c r="C32" s="1162"/>
      <c r="D32" s="1162"/>
      <c r="E32" s="1162"/>
      <c r="F32" s="1162"/>
      <c r="G32" s="1162"/>
      <c r="H32" s="1162"/>
      <c r="I32" s="1162"/>
      <c r="J32" s="1162"/>
      <c r="K32" s="1162"/>
      <c r="L32" s="1162"/>
      <c r="M32" s="1162"/>
      <c r="N32" s="1162"/>
      <c r="O32" s="1162"/>
      <c r="P32" s="1162"/>
      <c r="V32" s="1166"/>
      <c r="W32" s="1167"/>
      <c r="X32" s="1167"/>
      <c r="Y32" s="1167"/>
      <c r="Z32" s="1167"/>
      <c r="AA32" s="1167"/>
      <c r="AB32" s="1167"/>
      <c r="AC32" s="1167"/>
      <c r="AD32" s="1167"/>
      <c r="AE32" s="1167"/>
      <c r="AF32" s="1167"/>
      <c r="AG32" s="1167"/>
      <c r="AH32" s="1167"/>
      <c r="AI32" s="1167"/>
      <c r="AJ32" s="1167"/>
      <c r="AK32" s="1167"/>
      <c r="AL32" s="1167"/>
      <c r="AM32" s="1167"/>
      <c r="AN32" s="1167"/>
      <c r="AO32" s="1167"/>
      <c r="AP32" s="1167"/>
      <c r="AQ32" s="1167"/>
      <c r="AR32" s="1167"/>
      <c r="AS32" s="1167"/>
      <c r="AT32" s="1168"/>
    </row>
    <row r="33" ht="15" customHeight="1" spans="2:46">
      <c r="B33" s="1162"/>
      <c r="C33" s="1162"/>
      <c r="D33" s="1162"/>
      <c r="E33" s="1162"/>
      <c r="F33" s="1162"/>
      <c r="G33" s="1162"/>
      <c r="H33" s="1162"/>
      <c r="I33" s="1162"/>
      <c r="J33" s="1162"/>
      <c r="K33" s="1162"/>
      <c r="L33" s="1162"/>
      <c r="M33" s="1162"/>
      <c r="N33" s="1162"/>
      <c r="O33" s="1162"/>
      <c r="P33" s="1162"/>
      <c r="V33" s="1166"/>
      <c r="W33" s="1167"/>
      <c r="X33" s="1167"/>
      <c r="Y33" s="1167"/>
      <c r="Z33" s="1167"/>
      <c r="AA33" s="1167"/>
      <c r="AB33" s="1167"/>
      <c r="AC33" s="1167"/>
      <c r="AD33" s="1167"/>
      <c r="AE33" s="1167"/>
      <c r="AF33" s="1167"/>
      <c r="AG33" s="1167"/>
      <c r="AH33" s="1167"/>
      <c r="AI33" s="1167"/>
      <c r="AJ33" s="1167"/>
      <c r="AK33" s="1167"/>
      <c r="AL33" s="1167"/>
      <c r="AM33" s="1167"/>
      <c r="AN33" s="1167"/>
      <c r="AO33" s="1167"/>
      <c r="AP33" s="1167"/>
      <c r="AQ33" s="1167"/>
      <c r="AR33" s="1167"/>
      <c r="AS33" s="1167"/>
      <c r="AT33" s="1168"/>
    </row>
    <row r="34" spans="2:46">
      <c r="B34" s="1162"/>
      <c r="C34" s="1162"/>
      <c r="D34" s="1162"/>
      <c r="E34" s="1162"/>
      <c r="F34" s="1162"/>
      <c r="G34" s="1162"/>
      <c r="H34" s="1162"/>
      <c r="I34" s="1162"/>
      <c r="J34" s="1162"/>
      <c r="K34" s="1162"/>
      <c r="L34" s="1162"/>
      <c r="M34" s="1162"/>
      <c r="N34" s="1162"/>
      <c r="O34" s="1162"/>
      <c r="P34" s="1162"/>
      <c r="V34" s="1166"/>
      <c r="W34" s="1167"/>
      <c r="X34" s="1167"/>
      <c r="Y34" s="1167"/>
      <c r="Z34" s="1167"/>
      <c r="AA34" s="1167"/>
      <c r="AB34" s="1167"/>
      <c r="AC34" s="1167"/>
      <c r="AD34" s="1167"/>
      <c r="AE34" s="1167"/>
      <c r="AF34" s="1167"/>
      <c r="AG34" s="1167"/>
      <c r="AH34" s="1167"/>
      <c r="AI34" s="1167"/>
      <c r="AJ34" s="1167"/>
      <c r="AK34" s="1167"/>
      <c r="AL34" s="1167"/>
      <c r="AM34" s="1167"/>
      <c r="AN34" s="1167"/>
      <c r="AO34" s="1167"/>
      <c r="AP34" s="1167"/>
      <c r="AQ34" s="1167"/>
      <c r="AR34" s="1167"/>
      <c r="AS34" s="1167"/>
      <c r="AT34" s="1168"/>
    </row>
    <row r="35" spans="2:46">
      <c r="B35" s="1162"/>
      <c r="C35" s="1162"/>
      <c r="D35" s="1162"/>
      <c r="E35" s="1162"/>
      <c r="F35" s="1162"/>
      <c r="G35" s="1162"/>
      <c r="H35" s="1162"/>
      <c r="I35" s="1162"/>
      <c r="J35" s="1162"/>
      <c r="K35" s="1162"/>
      <c r="L35" s="1162"/>
      <c r="M35" s="1162"/>
      <c r="N35" s="1162"/>
      <c r="O35" s="1162"/>
      <c r="P35" s="1162"/>
      <c r="V35" s="1166"/>
      <c r="W35" s="1167"/>
      <c r="X35" s="1167"/>
      <c r="Y35" s="1167"/>
      <c r="Z35" s="1167"/>
      <c r="AA35" s="1167"/>
      <c r="AB35" s="1167"/>
      <c r="AC35" s="1167"/>
      <c r="AD35" s="1167"/>
      <c r="AE35" s="1167"/>
      <c r="AF35" s="1167"/>
      <c r="AG35" s="1167"/>
      <c r="AH35" s="1167"/>
      <c r="AI35" s="1167"/>
      <c r="AJ35" s="1167"/>
      <c r="AK35" s="1167"/>
      <c r="AL35" s="1167"/>
      <c r="AM35" s="1167"/>
      <c r="AN35" s="1167"/>
      <c r="AO35" s="1167"/>
      <c r="AP35" s="1167"/>
      <c r="AQ35" s="1167"/>
      <c r="AR35" s="1167"/>
      <c r="AS35" s="1167"/>
      <c r="AT35" s="1168"/>
    </row>
    <row r="36" spans="2:46">
      <c r="B36" s="1162"/>
      <c r="C36" s="1162"/>
      <c r="D36" s="1162"/>
      <c r="E36" s="1162"/>
      <c r="F36" s="1162"/>
      <c r="G36" s="1162"/>
      <c r="H36" s="1162"/>
      <c r="I36" s="1162"/>
      <c r="J36" s="1162"/>
      <c r="K36" s="1162"/>
      <c r="L36" s="1162"/>
      <c r="M36" s="1162"/>
      <c r="N36" s="1162"/>
      <c r="O36" s="1162"/>
      <c r="P36" s="1162"/>
      <c r="V36" s="1166"/>
      <c r="W36" s="1167"/>
      <c r="X36" s="1167"/>
      <c r="Y36" s="1167"/>
      <c r="Z36" s="1167"/>
      <c r="AA36" s="1167"/>
      <c r="AB36" s="1167"/>
      <c r="AC36" s="1167"/>
      <c r="AD36" s="1167"/>
      <c r="AE36" s="1167"/>
      <c r="AF36" s="1167"/>
      <c r="AG36" s="1167"/>
      <c r="AH36" s="1167"/>
      <c r="AI36" s="1167"/>
      <c r="AJ36" s="1167"/>
      <c r="AK36" s="1167"/>
      <c r="AL36" s="1167"/>
      <c r="AM36" s="1167"/>
      <c r="AN36" s="1167"/>
      <c r="AO36" s="1167"/>
      <c r="AP36" s="1167"/>
      <c r="AQ36" s="1167"/>
      <c r="AR36" s="1167"/>
      <c r="AS36" s="1167"/>
      <c r="AT36" s="1168"/>
    </row>
    <row r="37" ht="15" customHeight="1" spans="2:46">
      <c r="B37" s="1162"/>
      <c r="C37" s="1162"/>
      <c r="D37" s="1162"/>
      <c r="E37" s="1162"/>
      <c r="F37" s="1162"/>
      <c r="G37" s="1162"/>
      <c r="H37" s="1162"/>
      <c r="I37" s="1162"/>
      <c r="J37" s="1162"/>
      <c r="K37" s="1162"/>
      <c r="L37" s="1162"/>
      <c r="M37" s="1162"/>
      <c r="N37" s="1162"/>
      <c r="O37" s="1162"/>
      <c r="P37" s="1162"/>
      <c r="V37" s="1166"/>
      <c r="W37" s="1167"/>
      <c r="X37" s="1167"/>
      <c r="Y37" s="1167"/>
      <c r="Z37" s="1167"/>
      <c r="AA37" s="1167"/>
      <c r="AB37" s="1167"/>
      <c r="AC37" s="1167"/>
      <c r="AD37" s="1167"/>
      <c r="AE37" s="1167"/>
      <c r="AF37" s="1167"/>
      <c r="AG37" s="1167"/>
      <c r="AH37" s="1167"/>
      <c r="AI37" s="1167"/>
      <c r="AJ37" s="1167"/>
      <c r="AK37" s="1167"/>
      <c r="AL37" s="1167"/>
      <c r="AM37" s="1167"/>
      <c r="AN37" s="1167"/>
      <c r="AO37" s="1167"/>
      <c r="AP37" s="1167"/>
      <c r="AQ37" s="1167"/>
      <c r="AR37" s="1167"/>
      <c r="AS37" s="1167"/>
      <c r="AT37" s="1168"/>
    </row>
    <row r="38" spans="2:46">
      <c r="B38" s="1162"/>
      <c r="C38" s="1162"/>
      <c r="D38" s="1162"/>
      <c r="E38" s="1162"/>
      <c r="F38" s="1162"/>
      <c r="G38" s="1162"/>
      <c r="H38" s="1162"/>
      <c r="I38" s="1162"/>
      <c r="J38" s="1162"/>
      <c r="K38" s="1162"/>
      <c r="L38" s="1162"/>
      <c r="M38" s="1162"/>
      <c r="N38" s="1162"/>
      <c r="O38" s="1162"/>
      <c r="P38" s="1162"/>
      <c r="V38" s="1166"/>
      <c r="W38" s="1167"/>
      <c r="X38" s="1167"/>
      <c r="Y38" s="1167"/>
      <c r="Z38" s="1167"/>
      <c r="AA38" s="1167"/>
      <c r="AB38" s="1167"/>
      <c r="AC38" s="1167"/>
      <c r="AD38" s="1167"/>
      <c r="AE38" s="1167"/>
      <c r="AF38" s="1167"/>
      <c r="AG38" s="1167"/>
      <c r="AH38" s="1167"/>
      <c r="AI38" s="1167"/>
      <c r="AJ38" s="1167"/>
      <c r="AK38" s="1167"/>
      <c r="AL38" s="1167"/>
      <c r="AM38" s="1167"/>
      <c r="AN38" s="1167"/>
      <c r="AO38" s="1167"/>
      <c r="AP38" s="1167"/>
      <c r="AQ38" s="1167"/>
      <c r="AR38" s="1167"/>
      <c r="AS38" s="1167"/>
      <c r="AT38" s="1168"/>
    </row>
    <row r="39" spans="2:46">
      <c r="B39" s="1162"/>
      <c r="C39" s="1162"/>
      <c r="D39" s="1162"/>
      <c r="E39" s="1162"/>
      <c r="F39" s="1162"/>
      <c r="G39" s="1162"/>
      <c r="H39" s="1162"/>
      <c r="I39" s="1162"/>
      <c r="J39" s="1162"/>
      <c r="K39" s="1162"/>
      <c r="L39" s="1162"/>
      <c r="M39" s="1162"/>
      <c r="N39" s="1162"/>
      <c r="O39" s="1162"/>
      <c r="P39" s="1162"/>
      <c r="V39" s="1166"/>
      <c r="W39" s="1167"/>
      <c r="X39" s="1167"/>
      <c r="Y39" s="1167"/>
      <c r="Z39" s="1167"/>
      <c r="AA39" s="1167"/>
      <c r="AB39" s="1167"/>
      <c r="AC39" s="1167"/>
      <c r="AD39" s="1167"/>
      <c r="AE39" s="1167"/>
      <c r="AF39" s="1167"/>
      <c r="AG39" s="1167"/>
      <c r="AH39" s="1167"/>
      <c r="AI39" s="1167"/>
      <c r="AJ39" s="1167"/>
      <c r="AK39" s="1167"/>
      <c r="AL39" s="1167"/>
      <c r="AM39" s="1167"/>
      <c r="AN39" s="1167"/>
      <c r="AO39" s="1167"/>
      <c r="AP39" s="1167"/>
      <c r="AQ39" s="1167"/>
      <c r="AR39" s="1167"/>
      <c r="AS39" s="1167"/>
      <c r="AT39" s="1168"/>
    </row>
    <row r="40" spans="2:46">
      <c r="B40" s="1162"/>
      <c r="C40" s="1162"/>
      <c r="D40" s="1162"/>
      <c r="E40" s="1162"/>
      <c r="F40" s="1162"/>
      <c r="G40" s="1162"/>
      <c r="H40" s="1162"/>
      <c r="I40" s="1162"/>
      <c r="J40" s="1162"/>
      <c r="K40" s="1162"/>
      <c r="L40" s="1162"/>
      <c r="M40" s="1162"/>
      <c r="N40" s="1162"/>
      <c r="O40" s="1162"/>
      <c r="P40" s="1162"/>
      <c r="V40" s="1166"/>
      <c r="W40" s="1167"/>
      <c r="X40" s="1167"/>
      <c r="Y40" s="1167"/>
      <c r="Z40" s="1167"/>
      <c r="AA40" s="1167"/>
      <c r="AB40" s="1167"/>
      <c r="AC40" s="1167"/>
      <c r="AD40" s="1167"/>
      <c r="AE40" s="1167"/>
      <c r="AF40" s="1167"/>
      <c r="AG40" s="1167"/>
      <c r="AH40" s="1167"/>
      <c r="AI40" s="1167"/>
      <c r="AJ40" s="1167"/>
      <c r="AK40" s="1167"/>
      <c r="AL40" s="1167"/>
      <c r="AM40" s="1167"/>
      <c r="AN40" s="1167"/>
      <c r="AO40" s="1167"/>
      <c r="AP40" s="1167"/>
      <c r="AQ40" s="1167"/>
      <c r="AR40" s="1167"/>
      <c r="AS40" s="1167"/>
      <c r="AT40" s="1168"/>
    </row>
    <row r="41" spans="2:46">
      <c r="B41" s="1162"/>
      <c r="C41" s="1162"/>
      <c r="D41" s="1162"/>
      <c r="E41" s="1162"/>
      <c r="F41" s="1162"/>
      <c r="G41" s="1162"/>
      <c r="H41" s="1162"/>
      <c r="I41" s="1162"/>
      <c r="J41" s="1162"/>
      <c r="K41" s="1162"/>
      <c r="L41" s="1162"/>
      <c r="M41" s="1162"/>
      <c r="N41" s="1162"/>
      <c r="O41" s="1162"/>
      <c r="P41" s="1162"/>
      <c r="V41" s="1166"/>
      <c r="W41" s="1167"/>
      <c r="X41" s="1167"/>
      <c r="Y41" s="1167"/>
      <c r="Z41" s="1167"/>
      <c r="AA41" s="1167"/>
      <c r="AB41" s="1167"/>
      <c r="AC41" s="1167"/>
      <c r="AD41" s="1167"/>
      <c r="AE41" s="1167"/>
      <c r="AF41" s="1167"/>
      <c r="AG41" s="1167"/>
      <c r="AH41" s="1167"/>
      <c r="AI41" s="1167"/>
      <c r="AJ41" s="1167"/>
      <c r="AK41" s="1167"/>
      <c r="AL41" s="1167"/>
      <c r="AM41" s="1167"/>
      <c r="AN41" s="1167"/>
      <c r="AO41" s="1167"/>
      <c r="AP41" s="1167"/>
      <c r="AQ41" s="1167"/>
      <c r="AR41" s="1167"/>
      <c r="AS41" s="1167"/>
      <c r="AT41" s="1168"/>
    </row>
    <row r="42" spans="2:46">
      <c r="B42" s="1162"/>
      <c r="C42" s="1162"/>
      <c r="D42" s="1162"/>
      <c r="E42" s="1162"/>
      <c r="F42" s="1162"/>
      <c r="G42" s="1162"/>
      <c r="H42" s="1162"/>
      <c r="I42" s="1162"/>
      <c r="J42" s="1162"/>
      <c r="K42" s="1162"/>
      <c r="L42" s="1162"/>
      <c r="M42" s="1162"/>
      <c r="N42" s="1162"/>
      <c r="O42" s="1162"/>
      <c r="P42" s="1162"/>
      <c r="V42" s="1166"/>
      <c r="W42" s="1167"/>
      <c r="X42" s="1167"/>
      <c r="Y42" s="1167"/>
      <c r="Z42" s="1167"/>
      <c r="AA42" s="1167"/>
      <c r="AB42" s="1167"/>
      <c r="AC42" s="1167"/>
      <c r="AD42" s="1167"/>
      <c r="AE42" s="1167"/>
      <c r="AF42" s="1167"/>
      <c r="AG42" s="1167"/>
      <c r="AH42" s="1167"/>
      <c r="AI42" s="1167"/>
      <c r="AJ42" s="1167"/>
      <c r="AK42" s="1167"/>
      <c r="AL42" s="1167"/>
      <c r="AM42" s="1167"/>
      <c r="AN42" s="1167"/>
      <c r="AO42" s="1167"/>
      <c r="AP42" s="1167"/>
      <c r="AQ42" s="1167"/>
      <c r="AR42" s="1167"/>
      <c r="AS42" s="1167"/>
      <c r="AT42" s="1168"/>
    </row>
    <row r="43" ht="15" customHeight="1" spans="2:46">
      <c r="B43" s="1162"/>
      <c r="C43" s="1162"/>
      <c r="D43" s="1162"/>
      <c r="E43" s="1162"/>
      <c r="F43" s="1162"/>
      <c r="G43" s="1162"/>
      <c r="H43" s="1162"/>
      <c r="I43" s="1162"/>
      <c r="J43" s="1162"/>
      <c r="K43" s="1162"/>
      <c r="L43" s="1162"/>
      <c r="M43" s="1162"/>
      <c r="N43" s="1162"/>
      <c r="O43" s="1162"/>
      <c r="P43" s="1162"/>
      <c r="V43" s="1166"/>
      <c r="W43" s="1167"/>
      <c r="X43" s="1167"/>
      <c r="Y43" s="1167"/>
      <c r="Z43" s="1167"/>
      <c r="AA43" s="1167"/>
      <c r="AB43" s="1167"/>
      <c r="AC43" s="1167"/>
      <c r="AD43" s="1167"/>
      <c r="AE43" s="1167"/>
      <c r="AF43" s="1167"/>
      <c r="AG43" s="1167"/>
      <c r="AH43" s="1167"/>
      <c r="AI43" s="1167"/>
      <c r="AJ43" s="1167"/>
      <c r="AK43" s="1167"/>
      <c r="AL43" s="1167"/>
      <c r="AM43" s="1167"/>
      <c r="AN43" s="1167"/>
      <c r="AO43" s="1167"/>
      <c r="AP43" s="1167"/>
      <c r="AQ43" s="1167"/>
      <c r="AR43" s="1167"/>
      <c r="AS43" s="1167"/>
      <c r="AT43" s="1168"/>
    </row>
    <row r="44" ht="15" customHeight="1" spans="2:46">
      <c r="B44" s="1162"/>
      <c r="C44" s="1162"/>
      <c r="D44" s="1162"/>
      <c r="E44" s="1162"/>
      <c r="F44" s="1162"/>
      <c r="G44" s="1162"/>
      <c r="H44" s="1162"/>
      <c r="I44" s="1162"/>
      <c r="J44" s="1162"/>
      <c r="K44" s="1162"/>
      <c r="L44" s="1162"/>
      <c r="M44" s="1162"/>
      <c r="N44" s="1162"/>
      <c r="O44" s="1162"/>
      <c r="P44" s="1162"/>
      <c r="V44" s="1166"/>
      <c r="W44" s="1167"/>
      <c r="X44" s="1167"/>
      <c r="Y44" s="1167"/>
      <c r="Z44" s="1167"/>
      <c r="AA44" s="1167"/>
      <c r="AB44" s="1167"/>
      <c r="AC44" s="1167"/>
      <c r="AD44" s="1167"/>
      <c r="AE44" s="1167"/>
      <c r="AF44" s="1167"/>
      <c r="AG44" s="1167"/>
      <c r="AH44" s="1167"/>
      <c r="AI44" s="1167"/>
      <c r="AJ44" s="1167"/>
      <c r="AK44" s="1167"/>
      <c r="AL44" s="1167"/>
      <c r="AM44" s="1167"/>
      <c r="AN44" s="1167"/>
      <c r="AO44" s="1167"/>
      <c r="AP44" s="1167"/>
      <c r="AQ44" s="1167"/>
      <c r="AR44" s="1167"/>
      <c r="AS44" s="1167"/>
      <c r="AT44" s="1168"/>
    </row>
    <row r="45" spans="2:46">
      <c r="B45" s="1162"/>
      <c r="C45" s="1162"/>
      <c r="D45" s="1162"/>
      <c r="E45" s="1162"/>
      <c r="F45" s="1162"/>
      <c r="G45" s="1162"/>
      <c r="H45" s="1162"/>
      <c r="I45" s="1162"/>
      <c r="J45" s="1162"/>
      <c r="K45" s="1162"/>
      <c r="L45" s="1162"/>
      <c r="M45" s="1162"/>
      <c r="N45" s="1162"/>
      <c r="O45" s="1162"/>
      <c r="P45" s="1162"/>
      <c r="V45" s="1166"/>
      <c r="W45" s="1167"/>
      <c r="X45" s="1167"/>
      <c r="Y45" s="1167"/>
      <c r="Z45" s="1167"/>
      <c r="AA45" s="1167"/>
      <c r="AB45" s="1167"/>
      <c r="AC45" s="1167"/>
      <c r="AD45" s="1167"/>
      <c r="AE45" s="1167"/>
      <c r="AF45" s="1167"/>
      <c r="AG45" s="1167"/>
      <c r="AH45" s="1167"/>
      <c r="AI45" s="1167"/>
      <c r="AJ45" s="1167"/>
      <c r="AK45" s="1167"/>
      <c r="AL45" s="1167"/>
      <c r="AM45" s="1167"/>
      <c r="AN45" s="1167"/>
      <c r="AO45" s="1167"/>
      <c r="AP45" s="1167"/>
      <c r="AQ45" s="1167"/>
      <c r="AR45" s="1167"/>
      <c r="AS45" s="1167"/>
      <c r="AT45" s="1168"/>
    </row>
    <row r="46" spans="2:46">
      <c r="B46" s="758" t="s">
        <v>21</v>
      </c>
      <c r="C46" s="758"/>
      <c r="D46" s="758"/>
      <c r="E46" s="758"/>
      <c r="F46" s="758"/>
      <c r="G46" s="758"/>
      <c r="H46" s="758"/>
      <c r="I46" s="758"/>
      <c r="J46" s="758"/>
      <c r="K46" s="758"/>
      <c r="L46" s="758"/>
      <c r="M46" s="758"/>
      <c r="N46" s="758"/>
      <c r="O46" s="758"/>
      <c r="P46" s="758"/>
      <c r="V46" s="1166"/>
      <c r="W46" s="1167"/>
      <c r="X46" s="1167"/>
      <c r="Y46" s="1167"/>
      <c r="Z46" s="1167"/>
      <c r="AA46" s="1167"/>
      <c r="AB46" s="1167"/>
      <c r="AC46" s="1167"/>
      <c r="AD46" s="1167"/>
      <c r="AE46" s="1167"/>
      <c r="AF46" s="1167"/>
      <c r="AG46" s="1167"/>
      <c r="AH46" s="1167"/>
      <c r="AI46" s="1167"/>
      <c r="AJ46" s="1167"/>
      <c r="AK46" s="1167"/>
      <c r="AL46" s="1167"/>
      <c r="AM46" s="1167"/>
      <c r="AN46" s="1167"/>
      <c r="AO46" s="1167"/>
      <c r="AP46" s="1167"/>
      <c r="AQ46" s="1167"/>
      <c r="AR46" s="1167"/>
      <c r="AS46" s="1167"/>
      <c r="AT46" s="1168"/>
    </row>
    <row r="47" spans="2:46">
      <c r="V47" s="1166"/>
      <c r="W47" s="1167"/>
      <c r="X47" s="1167"/>
      <c r="Y47" s="1167"/>
      <c r="Z47" s="1167"/>
      <c r="AA47" s="1167"/>
      <c r="AB47" s="1167"/>
      <c r="AC47" s="1167"/>
      <c r="AD47" s="1167"/>
      <c r="AE47" s="1167"/>
      <c r="AF47" s="1167"/>
      <c r="AG47" s="1167"/>
      <c r="AH47" s="1167"/>
      <c r="AI47" s="1167"/>
      <c r="AJ47" s="1167"/>
      <c r="AK47" s="1167"/>
      <c r="AL47" s="1167"/>
      <c r="AM47" s="1167"/>
      <c r="AN47" s="1167"/>
      <c r="AO47" s="1167"/>
      <c r="AP47" s="1167"/>
      <c r="AQ47" s="1167"/>
      <c r="AR47" s="1167"/>
      <c r="AS47" s="1167"/>
      <c r="AT47" s="1168"/>
    </row>
    <row r="48" spans="2:46">
      <c r="B48" s="1160" t="s">
        <v>22</v>
      </c>
      <c r="C48" s="1160"/>
      <c r="D48" s="1161"/>
      <c r="E48" s="759"/>
      <c r="F48" s="723"/>
      <c r="G48" s="723"/>
      <c r="H48" s="723"/>
      <c r="I48" s="723"/>
      <c r="J48" s="724"/>
      <c r="K48" s="759"/>
      <c r="L48" s="723"/>
      <c r="M48" s="723"/>
      <c r="N48" s="723"/>
      <c r="O48" s="723"/>
      <c r="P48" s="724"/>
      <c r="V48" s="1166"/>
      <c r="W48" s="1167"/>
      <c r="X48" s="1167"/>
      <c r="Y48" s="1167"/>
      <c r="Z48" s="1167"/>
      <c r="AA48" s="1167"/>
      <c r="AB48" s="1167"/>
      <c r="AC48" s="1167"/>
      <c r="AD48" s="1167"/>
      <c r="AE48" s="1167"/>
      <c r="AF48" s="1167"/>
      <c r="AG48" s="1167"/>
      <c r="AH48" s="1167"/>
      <c r="AI48" s="1167"/>
      <c r="AJ48" s="1167"/>
      <c r="AK48" s="1167"/>
      <c r="AL48" s="1167"/>
      <c r="AM48" s="1167"/>
      <c r="AN48" s="1167"/>
      <c r="AO48" s="1167"/>
      <c r="AP48" s="1167"/>
      <c r="AQ48" s="1167"/>
      <c r="AR48" s="1167"/>
      <c r="AS48" s="1167"/>
      <c r="AT48" s="1168"/>
    </row>
    <row r="49" spans="2:46">
      <c r="B49" s="1160"/>
      <c r="C49" s="1160"/>
      <c r="D49" s="1161"/>
      <c r="E49" s="956"/>
      <c r="F49" s="973"/>
      <c r="G49" s="973"/>
      <c r="H49" s="973"/>
      <c r="I49" s="973"/>
      <c r="J49" s="957"/>
      <c r="K49" s="956"/>
      <c r="L49" s="973"/>
      <c r="M49" s="973"/>
      <c r="N49" s="973"/>
      <c r="O49" s="973"/>
      <c r="P49" s="957"/>
      <c r="V49" s="1166"/>
      <c r="W49" s="1167"/>
      <c r="X49" s="1167"/>
      <c r="Y49" s="1167"/>
      <c r="Z49" s="1167"/>
      <c r="AA49" s="1167"/>
      <c r="AB49" s="1167"/>
      <c r="AC49" s="1167"/>
      <c r="AD49" s="1167"/>
      <c r="AE49" s="1167"/>
      <c r="AF49" s="1167"/>
      <c r="AG49" s="1167"/>
      <c r="AH49" s="1167"/>
      <c r="AI49" s="1167"/>
      <c r="AJ49" s="1167"/>
      <c r="AK49" s="1167"/>
      <c r="AL49" s="1167"/>
      <c r="AM49" s="1167"/>
      <c r="AN49" s="1167"/>
      <c r="AO49" s="1167"/>
      <c r="AP49" s="1167"/>
      <c r="AQ49" s="1167"/>
      <c r="AR49" s="1167"/>
      <c r="AS49" s="1167"/>
      <c r="AT49" s="1168"/>
    </row>
    <row r="50" spans="2:46">
      <c r="B50" s="1160"/>
      <c r="C50" s="1160"/>
      <c r="D50" s="1161"/>
      <c r="E50" s="759"/>
      <c r="F50" s="723"/>
      <c r="G50" s="723"/>
      <c r="H50" s="723"/>
      <c r="I50" s="723"/>
      <c r="J50" s="724"/>
      <c r="K50" s="759"/>
      <c r="L50" s="723"/>
      <c r="M50" s="723"/>
      <c r="N50" s="723"/>
      <c r="O50" s="723"/>
      <c r="P50" s="724"/>
      <c r="V50" s="1166"/>
      <c r="W50" s="1167"/>
      <c r="X50" s="1167"/>
      <c r="Y50" s="1167"/>
      <c r="Z50" s="1167"/>
      <c r="AA50" s="1167"/>
      <c r="AB50" s="1167"/>
      <c r="AC50" s="1167"/>
      <c r="AD50" s="1167"/>
      <c r="AE50" s="1167"/>
      <c r="AF50" s="1167"/>
      <c r="AG50" s="1167"/>
      <c r="AH50" s="1167"/>
      <c r="AI50" s="1167"/>
      <c r="AJ50" s="1167"/>
      <c r="AK50" s="1167"/>
      <c r="AL50" s="1167"/>
      <c r="AM50" s="1167"/>
      <c r="AN50" s="1167"/>
      <c r="AO50" s="1167"/>
      <c r="AP50" s="1167"/>
      <c r="AQ50" s="1167"/>
      <c r="AR50" s="1167"/>
      <c r="AS50" s="1167"/>
      <c r="AT50" s="1168"/>
    </row>
    <row r="51" spans="2:46">
      <c r="B51" s="1160"/>
      <c r="C51" s="1160"/>
      <c r="D51" s="1161"/>
      <c r="E51" s="956"/>
      <c r="F51" s="973"/>
      <c r="G51" s="973"/>
      <c r="H51" s="973"/>
      <c r="I51" s="973"/>
      <c r="J51" s="957"/>
      <c r="K51" s="956"/>
      <c r="L51" s="973"/>
      <c r="M51" s="973"/>
      <c r="N51" s="973"/>
      <c r="O51" s="973"/>
      <c r="P51" s="957"/>
      <c r="V51" s="1169"/>
      <c r="W51" s="1170"/>
      <c r="X51" s="1170"/>
      <c r="Y51" s="1170"/>
      <c r="Z51" s="1170"/>
      <c r="AA51" s="1170"/>
      <c r="AB51" s="1170"/>
      <c r="AC51" s="1170"/>
      <c r="AD51" s="1170"/>
      <c r="AE51" s="1170"/>
      <c r="AF51" s="1170"/>
      <c r="AG51" s="1170"/>
      <c r="AH51" s="1170"/>
      <c r="AI51" s="1170"/>
      <c r="AJ51" s="1170"/>
      <c r="AK51" s="1170"/>
      <c r="AL51" s="1170"/>
      <c r="AM51" s="1170"/>
      <c r="AN51" s="1170"/>
      <c r="AO51" s="1170"/>
      <c r="AP51" s="1170"/>
      <c r="AQ51" s="1170"/>
      <c r="AR51" s="1170"/>
      <c r="AS51" s="1170"/>
      <c r="AT51" s="1171"/>
    </row>
  </sheetData>
  <sheetProtection sheet="1" scenarios="1"/>
  <mergeCells count="76">
    <mergeCell ref="T1:AB1"/>
    <mergeCell ref="AP1:AT1"/>
    <mergeCell ref="B3:D3"/>
    <mergeCell ref="E3:P3"/>
    <mergeCell ref="V3:AT3"/>
    <mergeCell ref="B4:D4"/>
    <mergeCell ref="E4:P4"/>
    <mergeCell ref="V4:AT4"/>
    <mergeCell ref="B5:D5"/>
    <mergeCell ref="E5:P5"/>
    <mergeCell ref="R5:U5"/>
    <mergeCell ref="V5:AT5"/>
    <mergeCell ref="B6:D6"/>
    <mergeCell ref="E6:P6"/>
    <mergeCell ref="R6:U6"/>
    <mergeCell ref="V6:AT6"/>
    <mergeCell ref="B7:D7"/>
    <mergeCell ref="E7:P7"/>
    <mergeCell ref="R7:U7"/>
    <mergeCell ref="V7:AT7"/>
    <mergeCell ref="B8:D8"/>
    <mergeCell ref="E8:P8"/>
    <mergeCell ref="R8:U8"/>
    <mergeCell ref="V8:AT8"/>
    <mergeCell ref="R9:U9"/>
    <mergeCell ref="V9:AT9"/>
    <mergeCell ref="B10:D10"/>
    <mergeCell ref="E10:P10"/>
    <mergeCell ref="B11:D11"/>
    <mergeCell ref="E11:P11"/>
    <mergeCell ref="R11:U11"/>
    <mergeCell ref="V11:AT11"/>
    <mergeCell ref="B12:D12"/>
    <mergeCell ref="E12:P12"/>
    <mergeCell ref="R12:U12"/>
    <mergeCell ref="V12:AT12"/>
    <mergeCell ref="B13:D13"/>
    <mergeCell ref="E13:P13"/>
    <mergeCell ref="R13:U13"/>
    <mergeCell ref="V13:AT13"/>
    <mergeCell ref="R14:U14"/>
    <mergeCell ref="V14:AT14"/>
    <mergeCell ref="R15:U15"/>
    <mergeCell ref="V15:AT15"/>
    <mergeCell ref="R16:U16"/>
    <mergeCell ref="V16:AT16"/>
    <mergeCell ref="R17:U17"/>
    <mergeCell ref="V17:AT17"/>
    <mergeCell ref="R19:U19"/>
    <mergeCell ref="V19:AT19"/>
    <mergeCell ref="R20:U20"/>
    <mergeCell ref="V20:AT20"/>
    <mergeCell ref="R21:U21"/>
    <mergeCell ref="V21:AT21"/>
    <mergeCell ref="R22:U22"/>
    <mergeCell ref="V22:AT22"/>
    <mergeCell ref="R23:U23"/>
    <mergeCell ref="V23:AT23"/>
    <mergeCell ref="R24:U24"/>
    <mergeCell ref="V24:AT24"/>
    <mergeCell ref="B46:P46"/>
    <mergeCell ref="E48:J48"/>
    <mergeCell ref="K48:P48"/>
    <mergeCell ref="E49:J49"/>
    <mergeCell ref="K49:P49"/>
    <mergeCell ref="E50:J50"/>
    <mergeCell ref="K50:P50"/>
    <mergeCell ref="E51:J51"/>
    <mergeCell ref="K51:P51"/>
    <mergeCell ref="R3:U4"/>
    <mergeCell ref="E15:P24"/>
    <mergeCell ref="B15:D24"/>
    <mergeCell ref="B48:D51"/>
    <mergeCell ref="B26:P45"/>
    <mergeCell ref="R26:U28"/>
    <mergeCell ref="V26:AT51"/>
  </mergeCells>
  <conditionalFormatting sqref="V3:AT4">
    <cfRule type="duplicateValues" dxfId="0" priority="1"/>
  </conditionalFormatting>
  <dataValidations count="28">
    <dataValidation allowBlank="1" showInputMessage="1" sqref="E4"/>
    <dataValidation type="list" allowBlank="1" showInputMessage="1" sqref="E5:P5">
      <formula1>OFFSET(背景数据!$E$2,,,SUMPRODUCT(N(LEN(背景数据!$E$2:$E$78)&gt;1)),)</formula1>
    </dataValidation>
    <dataValidation type="list" allowBlank="1" showInputMessage="1" sqref="U5 U11">
      <formula1>OFFSET(背景数据!$G$33,,,SUMPRODUCT(N(LEN(背景数据!$G$33:$G$38)&gt;1)),)</formula1>
    </dataValidation>
    <dataValidation type="list" allowBlank="1" showInputMessage="1" sqref="V5:AT5">
      <formula1>OFFSET(背景数据!$H$33,,,SUMPRODUCT(N(LEN(背景数据!$H$33:$H$50)&gt;1)),)</formula1>
    </dataValidation>
    <dataValidation type="list" allowBlank="1" showInputMessage="1" sqref="U6 U19 U21 U12:U16">
      <formula1>OFFSET(背景数据!$G$52,,,SUMPRODUCT(N(LEN(背景数据!$G$52:$G$57)&gt;1)),)</formula1>
    </dataValidation>
    <dataValidation type="list" allowBlank="1" showInputMessage="1" sqref="V6:AT6">
      <formula1>OFFSET(背景数据!$H$52,,,SUMPRODUCT(N(LEN(背景数据!$H$52:$H$69)&gt;1)),)</formula1>
    </dataValidation>
    <dataValidation type="list" allowBlank="1" showInputMessage="1" sqref="V7:AT7 W8:AT8">
      <formula1>OFFSET(背景数据!$H$71,,,SUMPRODUCT(N(LEN(背景数据!$H$71:$H$88)&gt;1)),)</formula1>
    </dataValidation>
    <dataValidation type="list" allowBlank="1" showInputMessage="1" sqref="E8:P8">
      <formula1>背景数据!$A$34:$A$45</formula1>
    </dataValidation>
    <dataValidation type="list" allowBlank="1" showInputMessage="1" sqref="V8">
      <formula1>OFFSET(背景数据!$G$90,,,SUMPRODUCT(N(LEN(背景数据!$G$90:$G$95)&gt;1)),)</formula1>
    </dataValidation>
    <dataValidation type="list" allowBlank="1" showInputMessage="1" sqref="V9:AT9">
      <formula1>OFFSET(背景数据!$G$96,,,SUMPRODUCT(N(LEN(背景数据!$G$96:$G$115)&gt;1)),)</formula1>
    </dataValidation>
    <dataValidation type="list" allowBlank="1" showInputMessage="1" sqref="V11:AT11">
      <formula1>OFFSET(背景数据!$J$2,,,SUMPRODUCT(N(LEN(背景数据!$J$2:$J$7)&gt;1)),)</formula1>
    </dataValidation>
    <dataValidation type="list" allowBlank="1" showInputMessage="1" sqref="V12:AT12">
      <formula1>OFFSET(背景数据!$J$8,,,SUMPRODUCT(N(LEN(背景数据!$J$8:$J$13)&gt;1)),)</formula1>
    </dataValidation>
    <dataValidation type="list" allowBlank="1" showInputMessage="1" sqref="V13:AT13">
      <formula1>OFFSET(背景数据!$J$14,,,SUMPRODUCT(N(LEN(背景数据!$J$14:$J$19)&gt;1)),)</formula1>
    </dataValidation>
    <dataValidation type="list" allowBlank="1" showInputMessage="1" sqref="V14:AT14">
      <formula1>OFFSET(背景数据!$J$20,,,SUMPRODUCT(N(LEN(背景数据!$J$20:$J$25)&gt;1)),)</formula1>
    </dataValidation>
    <dataValidation type="list" allowBlank="1" showInputMessage="1" sqref="V15:AT15">
      <formula1>OFFSET(背景数据!$J$26,,,SUMPRODUCT(N(LEN(背景数据!$J$26:$J$45)&gt;1)),)</formula1>
    </dataValidation>
    <dataValidation type="list" allowBlank="1" showInputMessage="1" sqref="V16:AT16">
      <formula1>OFFSET(背景数据!$J$46,,,SUMPRODUCT(N(LEN(背景数据!$J$46:$J$57)&gt;1)),)</formula1>
    </dataValidation>
    <dataValidation type="list" allowBlank="1" showInputMessage="1" sqref="V17:AT17">
      <formula1>OFFSET(背景数据!$J$58,,,SUMPRODUCT(N(LEN(背景数据!$J$58:$J$67)&gt;1)),)</formula1>
    </dataValidation>
    <dataValidation type="list" allowBlank="1" showInputMessage="1" sqref="V19:AT19">
      <formula1>赠礼数据!$A$2:$A$13</formula1>
    </dataValidation>
    <dataValidation type="list" allowBlank="1" showInputMessage="1" showErrorMessage="1" sqref="R20:U20">
      <formula1>背景数据!$K$95:$K$98</formula1>
    </dataValidation>
    <dataValidation type="list" allowBlank="1" showInputMessage="1" sqref="V20:AT20">
      <formula1>OFFSET(背景数据!$B$36,,,SUMPRODUCT(N(LEN(背景数据!$B$36:$B$57)&gt;1)),)</formula1>
    </dataValidation>
    <dataValidation type="list" allowBlank="1" showInputMessage="1" sqref="V21:AT21">
      <formula1>OFFSET(赠礼数据!$E$2,,,SUMPRODUCT(N(LEN(赠礼数据!$E$2:$E$9)&gt;1)),)</formula1>
    </dataValidation>
    <dataValidation type="list" allowBlank="1" showInputMessage="1" sqref="V22:AT22">
      <formula1>OFFSET(赠礼数据!$E$10,,,SUMPRODUCT(N(LEN(赠礼数据!$E$10:$E$15)&gt;1)),)</formula1>
    </dataValidation>
    <dataValidation type="list" allowBlank="1" showInputMessage="1" sqref="V23:AT23">
      <formula1>赠礼数据!$B$2:$B$11</formula1>
    </dataValidation>
    <dataValidation type="list" allowBlank="1" showInputMessage="1" showErrorMessage="1" sqref="R24:U24">
      <formula1>赠礼数据!$I$21:$I$24</formula1>
    </dataValidation>
    <dataValidation type="list" allowBlank="1" showInputMessage="1" sqref="V24:AT24">
      <formula1>OFFSET(赠礼数据!$F$3,,,SUMPRODUCT(N(LEN(赠礼数据!$F$3:$F$8)&gt;1)),)</formula1>
    </dataValidation>
    <dataValidation type="list" allowBlank="1" showInputMessage="1" sqref="U7:U9">
      <formula1>OFFSET(背景数据!$G$71,,,SUMPRODUCT(N(LEN(背景数据!$G$71:$G$76)&gt;1)),)</formula1>
    </dataValidation>
    <dataValidation type="list" allowBlank="1" showInputMessage="1" sqref="V3:AT4">
      <formula1>OFFSET(背景数据!$H$12,,,SUMPRODUCT(N(LEN(背景数据!$H$12:$H$31)&gt;1)),)</formula1>
    </dataValidation>
    <dataValidation type="list" allowBlank="1" showInputMessage="1" sqref="E48:P51">
      <formula1>背景数据!$D$2:$D$34</formula1>
    </dataValidation>
  </dataValidations>
  <pageMargins left="0.75" right="0.75" top="1" bottom="1" header="0.511805555555556" footer="0.511805555555556"/>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5" tint="-0.499984740745262"/>
    <pageSetUpPr fitToPage="1"/>
  </sheetPr>
  <dimension ref="A1:BQ142"/>
  <sheetViews>
    <sheetView showGridLines="0" workbookViewId="0">
      <selection activeCell="R3" sqref="R3:X3"/>
    </sheetView>
  </sheetViews>
  <sheetFormatPr defaultColWidth="9" defaultRowHeight="14.5"/>
  <cols>
    <col min="1" max="69" width="2.33636363636364" style="34" customWidth="1"/>
    <col min="70" max="16384" width="9" style="25"/>
  </cols>
  <sheetData>
    <row r="1" ht="16.95" customHeight="1" spans="1:69">
      <c r="A1" s="713"/>
      <c r="B1" s="713"/>
      <c r="C1" s="713"/>
      <c r="D1" s="713"/>
      <c r="E1" s="713"/>
      <c r="F1" s="713"/>
      <c r="G1" s="713"/>
      <c r="H1" s="713"/>
      <c r="I1" s="713"/>
      <c r="J1" s="713"/>
      <c r="K1" s="713"/>
      <c r="L1" s="713"/>
      <c r="M1" s="713"/>
      <c r="N1" s="714"/>
      <c r="O1" s="715" t="s">
        <v>23</v>
      </c>
      <c r="P1" s="716"/>
      <c r="Q1" s="716"/>
      <c r="R1" s="716"/>
      <c r="S1" s="716"/>
      <c r="T1" s="716"/>
      <c r="U1" s="716"/>
      <c r="V1" s="716"/>
      <c r="W1" s="716"/>
      <c r="X1" s="716"/>
      <c r="Y1" s="716"/>
      <c r="Z1" s="716"/>
      <c r="AA1" s="716"/>
      <c r="AB1" s="716"/>
      <c r="AC1" s="716"/>
      <c r="AD1" s="716"/>
      <c r="AE1" s="716"/>
      <c r="AF1" s="717"/>
      <c r="AG1" s="718" t="s">
        <v>24</v>
      </c>
      <c r="AH1" s="713"/>
      <c r="AI1" s="713"/>
      <c r="AJ1" s="713"/>
      <c r="AK1" s="713"/>
      <c r="AL1" s="713"/>
      <c r="AM1" s="713"/>
      <c r="AN1" s="713"/>
      <c r="AO1" s="713"/>
      <c r="AP1" s="713"/>
      <c r="AQ1" s="713"/>
      <c r="AR1" s="713"/>
      <c r="AS1" s="713"/>
      <c r="AT1" s="713"/>
    </row>
    <row r="2" ht="16.95" customHeight="1" spans="1:69">
      <c r="Y2" s="683"/>
      <c r="Z2" s="683"/>
      <c r="AV2" s="2" t="s">
        <v>25</v>
      </c>
      <c r="AW2" s="2"/>
      <c r="AX2" s="2"/>
      <c r="AY2" s="2"/>
      <c r="AZ2" s="2"/>
      <c r="BA2" s="2"/>
      <c r="BB2" s="2"/>
      <c r="BC2" s="2"/>
      <c r="BD2" s="2"/>
      <c r="BE2" s="2"/>
      <c r="BF2" s="2"/>
      <c r="BG2" s="2"/>
      <c r="BH2" s="2"/>
      <c r="BI2" s="2"/>
      <c r="BJ2" s="2"/>
      <c r="BK2" s="2"/>
      <c r="BL2" s="2"/>
      <c r="BM2" s="2"/>
      <c r="BN2" s="2"/>
      <c r="BO2" s="2"/>
      <c r="BP2" s="2"/>
      <c r="BQ2" s="2"/>
    </row>
    <row r="3" ht="16.95" customHeight="1" spans="1:69">
      <c r="B3" s="719" t="s">
        <v>1</v>
      </c>
      <c r="C3" s="719"/>
      <c r="D3" s="720" t="s">
        <v>26</v>
      </c>
      <c r="E3" s="721"/>
      <c r="F3" s="721"/>
      <c r="G3" s="721"/>
      <c r="H3" s="721"/>
      <c r="I3" s="721"/>
      <c r="J3" s="721"/>
      <c r="K3" s="721"/>
      <c r="L3" s="721"/>
      <c r="M3" s="721"/>
      <c r="N3" s="722"/>
      <c r="P3" s="719" t="s">
        <v>27</v>
      </c>
      <c r="Q3" s="719"/>
      <c r="R3" s="723">
        <v>900</v>
      </c>
      <c r="S3" s="723"/>
      <c r="T3" s="723"/>
      <c r="U3" s="723"/>
      <c r="V3" s="723"/>
      <c r="W3" s="723"/>
      <c r="X3" s="724"/>
      <c r="Y3" s="725">
        <f>IF(R3="",1,LOOKUP($R$3,综合数据!D:D,综合数据!C:C))</f>
        <v>3</v>
      </c>
      <c r="Z3" s="725"/>
      <c r="AB3" s="726"/>
      <c r="AC3" s="727"/>
      <c r="AD3" s="727"/>
      <c r="AE3" s="727"/>
      <c r="AF3" s="727"/>
      <c r="AG3" s="727"/>
      <c r="AH3" s="727"/>
      <c r="AI3" s="727"/>
      <c r="AJ3" s="727"/>
      <c r="AK3" s="727"/>
      <c r="AL3" s="727"/>
      <c r="AM3" s="727"/>
      <c r="AN3" s="727"/>
      <c r="AO3" s="727"/>
      <c r="AP3" s="727"/>
      <c r="AQ3" s="727"/>
      <c r="AR3" s="727"/>
      <c r="AS3" s="728"/>
      <c r="AW3" s="31" t="s">
        <v>28</v>
      </c>
      <c r="AX3" s="31"/>
      <c r="AY3" s="31" t="s">
        <v>29</v>
      </c>
      <c r="AZ3" s="31"/>
      <c r="BA3" s="31" t="s">
        <v>30</v>
      </c>
      <c r="BB3" s="31"/>
      <c r="BC3" s="31" t="s">
        <v>31</v>
      </c>
      <c r="BD3" s="31"/>
      <c r="BE3" s="31" t="s">
        <v>32</v>
      </c>
      <c r="BF3" s="31"/>
      <c r="BG3" s="31" t="s">
        <v>33</v>
      </c>
      <c r="BH3" s="31"/>
      <c r="BI3" s="31" t="s">
        <v>34</v>
      </c>
      <c r="BJ3" s="31"/>
      <c r="BK3" s="31" t="s">
        <v>35</v>
      </c>
      <c r="BL3" s="31"/>
      <c r="BM3" s="31" t="s">
        <v>36</v>
      </c>
      <c r="BN3" s="31"/>
      <c r="BO3" s="31" t="s">
        <v>37</v>
      </c>
      <c r="BP3" s="31"/>
    </row>
    <row r="4" ht="16.95" customHeight="1" spans="1:69">
      <c r="B4" s="719" t="s">
        <v>3</v>
      </c>
      <c r="C4" s="719"/>
      <c r="D4" s="729"/>
      <c r="E4" s="730"/>
      <c r="F4" s="730"/>
      <c r="G4" s="730"/>
      <c r="H4" s="730"/>
      <c r="I4" s="730"/>
      <c r="J4" s="730"/>
      <c r="K4" s="730"/>
      <c r="L4" s="730"/>
      <c r="M4" s="730"/>
      <c r="N4" s="731"/>
      <c r="P4" s="719" t="s">
        <v>38</v>
      </c>
      <c r="Q4" s="719"/>
      <c r="R4" s="732" t="s">
        <v>39</v>
      </c>
      <c r="S4" s="732"/>
      <c r="T4" s="732"/>
      <c r="U4" s="733"/>
      <c r="V4" s="734"/>
      <c r="W4" s="732"/>
      <c r="X4" s="733"/>
      <c r="Y4" s="735">
        <v>1</v>
      </c>
      <c r="Z4" s="736"/>
      <c r="AB4" s="737"/>
      <c r="AC4" s="738"/>
      <c r="AD4" s="738"/>
      <c r="AE4" s="738"/>
      <c r="AF4" s="738"/>
      <c r="AG4" s="738"/>
      <c r="AH4" s="738"/>
      <c r="AI4" s="738"/>
      <c r="AJ4" s="738"/>
      <c r="AK4" s="738"/>
      <c r="AL4" s="738"/>
      <c r="AM4" s="738"/>
      <c r="AN4" s="738"/>
      <c r="AO4" s="738"/>
      <c r="AP4" s="738"/>
      <c r="AQ4" s="738"/>
      <c r="AR4" s="738"/>
      <c r="AS4" s="739"/>
      <c r="AV4" s="740" t="s">
        <v>40</v>
      </c>
      <c r="AW4" s="689"/>
      <c r="AX4" s="689"/>
      <c r="AY4" s="689"/>
      <c r="AZ4" s="689"/>
      <c r="BA4" s="689"/>
      <c r="BB4" s="689"/>
      <c r="BC4" s="689"/>
      <c r="BD4" s="689"/>
      <c r="BE4" s="689"/>
      <c r="BF4" s="689"/>
      <c r="BG4" s="689"/>
      <c r="BH4" s="689"/>
      <c r="BI4" s="689"/>
      <c r="BJ4" s="689"/>
      <c r="BK4" s="689"/>
      <c r="BL4" s="689"/>
      <c r="BM4" s="689"/>
      <c r="BN4" s="689"/>
      <c r="BO4" s="689"/>
      <c r="BP4" s="689"/>
    </row>
    <row r="5" ht="7.95" customHeight="1" spans="1:69">
      <c r="P5" s="741">
        <f>综合数据!G2</f>
        <v>0</v>
      </c>
      <c r="Q5" s="741"/>
      <c r="R5" s="741"/>
      <c r="S5" s="741"/>
      <c r="T5" s="741"/>
      <c r="U5" s="741"/>
      <c r="V5" s="741"/>
      <c r="W5" s="741"/>
      <c r="X5" s="741"/>
      <c r="Y5" s="741"/>
      <c r="Z5" s="741"/>
      <c r="AB5" s="737"/>
      <c r="AC5" s="738"/>
      <c r="AD5" s="738"/>
      <c r="AE5" s="738"/>
      <c r="AF5" s="738"/>
      <c r="AG5" s="738"/>
      <c r="AH5" s="738"/>
      <c r="AI5" s="738"/>
      <c r="AJ5" s="738"/>
      <c r="AK5" s="738"/>
      <c r="AL5" s="738"/>
      <c r="AM5" s="738"/>
      <c r="AN5" s="738"/>
      <c r="AO5" s="738"/>
      <c r="AP5" s="738"/>
      <c r="AQ5" s="738"/>
      <c r="AR5" s="738"/>
      <c r="AS5" s="739"/>
      <c r="AV5" s="740"/>
    </row>
    <row r="6" ht="16.95" customHeight="1" spans="1:69">
      <c r="B6" s="719" t="s">
        <v>41</v>
      </c>
      <c r="C6" s="719"/>
      <c r="D6" s="742" t="s">
        <v>42</v>
      </c>
      <c r="E6" s="743"/>
      <c r="F6" s="743"/>
      <c r="G6" s="743"/>
      <c r="H6" s="744"/>
      <c r="J6" s="719" t="s">
        <v>43</v>
      </c>
      <c r="K6" s="719"/>
      <c r="L6" s="745" t="s">
        <v>44</v>
      </c>
      <c r="M6" s="745"/>
      <c r="N6" s="746"/>
      <c r="P6" s="719" t="s">
        <v>45</v>
      </c>
      <c r="Q6" s="719"/>
      <c r="R6" s="732"/>
      <c r="S6" s="732"/>
      <c r="T6" s="732"/>
      <c r="U6" s="733"/>
      <c r="V6" s="734"/>
      <c r="W6" s="732"/>
      <c r="X6" s="733"/>
      <c r="Y6" s="735"/>
      <c r="Z6" s="736"/>
      <c r="AB6" s="737"/>
      <c r="AC6" s="738"/>
      <c r="AD6" s="738"/>
      <c r="AE6" s="738"/>
      <c r="AF6" s="738"/>
      <c r="AG6" s="738"/>
      <c r="AH6" s="738"/>
      <c r="AI6" s="738"/>
      <c r="AJ6" s="738"/>
      <c r="AK6" s="738"/>
      <c r="AL6" s="738"/>
      <c r="AM6" s="738"/>
      <c r="AN6" s="738"/>
      <c r="AO6" s="738"/>
      <c r="AP6" s="738"/>
      <c r="AQ6" s="738"/>
      <c r="AR6" s="738"/>
      <c r="AS6" s="739"/>
      <c r="AT6" s="747"/>
      <c r="AV6" s="740"/>
      <c r="AW6" s="31" t="s">
        <v>46</v>
      </c>
      <c r="AX6" s="31"/>
      <c r="AY6" s="31" t="s">
        <v>47</v>
      </c>
      <c r="AZ6" s="31"/>
      <c r="BA6" s="31" t="s">
        <v>48</v>
      </c>
      <c r="BB6" s="31"/>
      <c r="BC6" s="31" t="s">
        <v>49</v>
      </c>
      <c r="BD6" s="31"/>
      <c r="BE6" s="31" t="s">
        <v>50</v>
      </c>
      <c r="BF6" s="31"/>
      <c r="BG6" s="31" t="s">
        <v>51</v>
      </c>
      <c r="BH6" s="31"/>
      <c r="BI6" s="31" t="s">
        <v>52</v>
      </c>
      <c r="BJ6" s="31"/>
      <c r="BK6" s="31" t="s">
        <v>53</v>
      </c>
      <c r="BL6" s="31"/>
      <c r="BM6" s="31" t="s">
        <v>54</v>
      </c>
      <c r="BN6" s="31"/>
      <c r="BO6" s="31" t="s">
        <v>55</v>
      </c>
      <c r="BP6" s="31"/>
    </row>
    <row r="7" ht="16.95" customHeight="1" spans="1:69">
      <c r="B7" s="719" t="s">
        <v>56</v>
      </c>
      <c r="C7" s="719"/>
      <c r="D7" s="743"/>
      <c r="E7" s="743"/>
      <c r="F7" s="743"/>
      <c r="G7" s="743"/>
      <c r="H7" s="744"/>
      <c r="I7" s="748"/>
      <c r="J7" s="719" t="s">
        <v>57</v>
      </c>
      <c r="K7" s="719"/>
      <c r="L7" s="749"/>
      <c r="M7" s="750"/>
      <c r="N7" s="751"/>
      <c r="P7" s="719"/>
      <c r="Q7" s="719"/>
      <c r="R7" s="732"/>
      <c r="S7" s="732"/>
      <c r="T7" s="732"/>
      <c r="U7" s="733"/>
      <c r="V7" s="734"/>
      <c r="W7" s="732"/>
      <c r="X7" s="733"/>
      <c r="Y7" s="735"/>
      <c r="Z7" s="736"/>
      <c r="AB7" s="737"/>
      <c r="AC7" s="738"/>
      <c r="AD7" s="738"/>
      <c r="AE7" s="738"/>
      <c r="AF7" s="738"/>
      <c r="AG7" s="738"/>
      <c r="AH7" s="738"/>
      <c r="AI7" s="738"/>
      <c r="AJ7" s="738"/>
      <c r="AK7" s="738"/>
      <c r="AL7" s="738"/>
      <c r="AM7" s="738"/>
      <c r="AN7" s="738"/>
      <c r="AO7" s="738"/>
      <c r="AP7" s="738"/>
      <c r="AQ7" s="738"/>
      <c r="AR7" s="738"/>
      <c r="AS7" s="739"/>
      <c r="AT7" s="747"/>
      <c r="AV7" s="740"/>
      <c r="AW7" s="689"/>
      <c r="AX7" s="689"/>
      <c r="AY7" s="689"/>
      <c r="AZ7" s="689"/>
      <c r="BA7" s="689"/>
      <c r="BB7" s="689"/>
      <c r="BC7" s="689"/>
      <c r="BD7" s="689"/>
      <c r="BE7" s="689"/>
      <c r="BF7" s="689"/>
      <c r="BG7" s="689"/>
      <c r="BH7" s="689"/>
      <c r="BI7" s="689"/>
      <c r="BJ7" s="689"/>
      <c r="BK7" s="689"/>
      <c r="BL7" s="689"/>
      <c r="BM7" s="689"/>
      <c r="BN7" s="689"/>
      <c r="BO7" s="689"/>
      <c r="BP7" s="689"/>
    </row>
    <row r="8" ht="7.95" customHeight="1" spans="1:69">
      <c r="AB8" s="737"/>
      <c r="AC8" s="738"/>
      <c r="AD8" s="738"/>
      <c r="AE8" s="738"/>
      <c r="AF8" s="738"/>
      <c r="AG8" s="738"/>
      <c r="AH8" s="738"/>
      <c r="AI8" s="738"/>
      <c r="AJ8" s="738"/>
      <c r="AK8" s="738"/>
      <c r="AL8" s="738"/>
      <c r="AM8" s="738"/>
      <c r="AN8" s="738"/>
      <c r="AO8" s="738"/>
      <c r="AP8" s="738"/>
      <c r="AQ8" s="738"/>
      <c r="AR8" s="738"/>
      <c r="AS8" s="739"/>
      <c r="AV8" s="740"/>
    </row>
    <row r="9" ht="16.95" customHeight="1" spans="1:69">
      <c r="B9" s="719" t="s">
        <v>58</v>
      </c>
      <c r="C9" s="719"/>
      <c r="D9" s="752"/>
      <c r="E9" s="752"/>
      <c r="F9" s="752"/>
      <c r="G9" s="752"/>
      <c r="H9" s="753"/>
      <c r="J9" s="719" t="s">
        <v>59</v>
      </c>
      <c r="K9" s="719"/>
      <c r="L9" s="745"/>
      <c r="M9" s="745"/>
      <c r="N9" s="745"/>
      <c r="O9" s="745"/>
      <c r="P9" s="745"/>
      <c r="Q9" s="746"/>
      <c r="S9" s="719" t="s">
        <v>60</v>
      </c>
      <c r="T9" s="719"/>
      <c r="U9" s="754">
        <f>IFERROR(ROUNDUP(Y3/4,)+1+Y10,2)</f>
        <v>2</v>
      </c>
      <c r="V9" s="754"/>
      <c r="W9" s="754"/>
      <c r="Y9" s="683" t="s">
        <v>16</v>
      </c>
      <c r="Z9" s="683"/>
      <c r="AB9" s="737"/>
      <c r="AC9" s="738"/>
      <c r="AD9" s="738"/>
      <c r="AE9" s="738"/>
      <c r="AF9" s="738"/>
      <c r="AG9" s="738"/>
      <c r="AH9" s="738"/>
      <c r="AI9" s="738"/>
      <c r="AJ9" s="738"/>
      <c r="AK9" s="738"/>
      <c r="AL9" s="738"/>
      <c r="AM9" s="738"/>
      <c r="AN9" s="738"/>
      <c r="AO9" s="738"/>
      <c r="AP9" s="738"/>
      <c r="AQ9" s="738"/>
      <c r="AR9" s="738"/>
      <c r="AS9" s="739"/>
      <c r="AV9" s="740"/>
      <c r="AW9" s="4" t="s">
        <v>61</v>
      </c>
      <c r="AX9" s="4"/>
      <c r="AY9" s="4"/>
      <c r="BA9" s="4" t="s">
        <v>62</v>
      </c>
      <c r="BB9" s="4"/>
      <c r="BC9" s="4"/>
      <c r="BE9" s="4" t="s">
        <v>63</v>
      </c>
      <c r="BF9" s="4"/>
      <c r="BG9" s="4"/>
      <c r="BH9" s="740" t="s">
        <v>64</v>
      </c>
      <c r="BI9" s="755"/>
      <c r="BJ9" s="755"/>
      <c r="BK9" s="755"/>
      <c r="BL9" s="755"/>
      <c r="BM9" s="755"/>
      <c r="BN9" s="755"/>
      <c r="BO9" s="755"/>
      <c r="BP9" s="755"/>
    </row>
    <row r="10" ht="16.95" customHeight="1" spans="1:69">
      <c r="B10" s="719" t="s">
        <v>65</v>
      </c>
      <c r="C10" s="719"/>
      <c r="D10" s="756"/>
      <c r="E10" s="756"/>
      <c r="F10" s="756"/>
      <c r="G10" s="756"/>
      <c r="H10" s="757"/>
      <c r="J10" s="758" t="s">
        <v>66</v>
      </c>
      <c r="K10" s="758"/>
      <c r="L10" s="745"/>
      <c r="M10" s="745"/>
      <c r="N10" s="745"/>
      <c r="O10" s="745"/>
      <c r="P10" s="745"/>
      <c r="Q10" s="746"/>
      <c r="S10" s="719"/>
      <c r="T10" s="719"/>
      <c r="U10" s="754"/>
      <c r="V10" s="754"/>
      <c r="W10" s="754"/>
      <c r="X10" s="619" t="s">
        <v>67</v>
      </c>
      <c r="Y10" s="759"/>
      <c r="Z10" s="724"/>
      <c r="AB10" s="737"/>
      <c r="AC10" s="738"/>
      <c r="AD10" s="738"/>
      <c r="AE10" s="738"/>
      <c r="AF10" s="738"/>
      <c r="AG10" s="738"/>
      <c r="AH10" s="738"/>
      <c r="AI10" s="738"/>
      <c r="AJ10" s="738"/>
      <c r="AK10" s="738"/>
      <c r="AL10" s="738"/>
      <c r="AM10" s="738"/>
      <c r="AN10" s="738"/>
      <c r="AO10" s="738"/>
      <c r="AP10" s="738"/>
      <c r="AQ10" s="738"/>
      <c r="AR10" s="738"/>
      <c r="AS10" s="739"/>
      <c r="AV10" s="740"/>
      <c r="AW10" s="760">
        <f>R16+综合数据!E2</f>
        <v>-1</v>
      </c>
      <c r="AX10" s="761"/>
      <c r="AY10" s="762"/>
      <c r="BA10" s="760">
        <f>COUNTA(AW4:BP4,AW7:BP7)</f>
        <v>0</v>
      </c>
      <c r="BB10" s="761"/>
      <c r="BC10" s="762"/>
      <c r="BE10" s="763">
        <f>SUM(综合数据!E3:E22)+IF(COUNTIF(职业数据!AD16:AD18,职业数据!B11),职业数据!AG11,0)</f>
        <v>0</v>
      </c>
      <c r="BF10" s="764"/>
      <c r="BG10" s="765"/>
      <c r="BH10" s="755"/>
      <c r="BI10" s="755"/>
      <c r="BJ10" s="755"/>
      <c r="BK10" s="755"/>
      <c r="BL10" s="755"/>
      <c r="BM10" s="755"/>
      <c r="BN10" s="755"/>
      <c r="BO10" s="755"/>
      <c r="BP10" s="755"/>
    </row>
    <row r="11" ht="7.95" customHeight="1" spans="1:69">
      <c r="AB11" s="737"/>
      <c r="AC11" s="738"/>
      <c r="AD11" s="738"/>
      <c r="AE11" s="738"/>
      <c r="AF11" s="738"/>
      <c r="AG11" s="738"/>
      <c r="AH11" s="738"/>
      <c r="AI11" s="738"/>
      <c r="AJ11" s="738"/>
      <c r="AK11" s="738"/>
      <c r="AL11" s="738"/>
      <c r="AM11" s="738"/>
      <c r="AN11" s="738"/>
      <c r="AO11" s="738"/>
      <c r="AP11" s="738"/>
      <c r="AQ11" s="738"/>
      <c r="AR11" s="738"/>
      <c r="AS11" s="739"/>
    </row>
    <row r="12" ht="16.05" customHeight="1" spans="1:69">
      <c r="A12" s="766"/>
      <c r="B12" s="26"/>
      <c r="C12" s="26"/>
      <c r="D12" s="26"/>
      <c r="E12" s="26"/>
      <c r="F12" s="26"/>
      <c r="G12" s="26"/>
      <c r="H12" s="26"/>
      <c r="I12" s="26"/>
      <c r="J12" s="26"/>
      <c r="K12" s="27"/>
      <c r="L12" s="767"/>
      <c r="M12" s="2" t="s">
        <v>68</v>
      </c>
      <c r="N12" s="2"/>
      <c r="O12" s="2"/>
      <c r="P12" s="767"/>
      <c r="Q12" s="767"/>
      <c r="R12" s="767"/>
      <c r="S12" s="767"/>
      <c r="T12" s="767"/>
      <c r="U12" s="768" t="str">
        <f>_xlfn.IFS(D6="","请选择种族",种族数据!U18=1,"未选亚种",种族数据!T18=0,"错误亚种",1,"")</f>
        <v/>
      </c>
      <c r="V12" s="768"/>
      <c r="W12" s="768"/>
      <c r="X12" s="768"/>
      <c r="Y12" s="768"/>
      <c r="Z12" s="767"/>
      <c r="AB12" s="737"/>
      <c r="AC12" s="738"/>
      <c r="AD12" s="738"/>
      <c r="AE12" s="738"/>
      <c r="AF12" s="738"/>
      <c r="AG12" s="738"/>
      <c r="AH12" s="738"/>
      <c r="AI12" s="738"/>
      <c r="AJ12" s="738"/>
      <c r="AK12" s="738"/>
      <c r="AL12" s="738"/>
      <c r="AM12" s="738"/>
      <c r="AN12" s="738"/>
      <c r="AO12" s="738"/>
      <c r="AP12" s="738"/>
      <c r="AQ12" s="738"/>
      <c r="AR12" s="738"/>
      <c r="AS12" s="739"/>
      <c r="AV12" s="767"/>
      <c r="AW12" s="767"/>
      <c r="AX12" s="767"/>
      <c r="AY12" s="767"/>
      <c r="AZ12" s="767"/>
      <c r="BA12" s="767"/>
      <c r="BB12" s="767"/>
      <c r="BC12" s="767"/>
      <c r="BD12" s="2" t="s">
        <v>69</v>
      </c>
      <c r="BE12" s="2"/>
      <c r="BF12" s="2"/>
      <c r="BG12" s="2"/>
      <c r="BH12" s="2"/>
      <c r="BI12" s="2"/>
      <c r="BJ12" s="767"/>
      <c r="BK12" s="767"/>
      <c r="BL12" s="767"/>
      <c r="BM12" s="767"/>
      <c r="BN12" s="767"/>
      <c r="BO12" s="767"/>
      <c r="BP12" s="767"/>
      <c r="BQ12" s="767"/>
    </row>
    <row r="13" ht="16.95" customHeight="1" spans="1:69">
      <c r="B13" s="769" t="s">
        <v>60</v>
      </c>
      <c r="C13" s="770"/>
      <c r="D13" s="771"/>
      <c r="E13" s="771"/>
      <c r="F13" s="683" t="s">
        <v>70</v>
      </c>
      <c r="G13" s="683"/>
      <c r="H13" s="771"/>
      <c r="I13" s="772" t="s">
        <v>71</v>
      </c>
      <c r="J13" s="772"/>
      <c r="K13" s="683" t="s">
        <v>41</v>
      </c>
      <c r="L13" s="683"/>
      <c r="M13" s="683" t="s">
        <v>72</v>
      </c>
      <c r="N13" s="683"/>
      <c r="O13" s="683" t="s">
        <v>73</v>
      </c>
      <c r="P13" s="683"/>
      <c r="Q13" s="771"/>
      <c r="R13" s="772" t="s">
        <v>61</v>
      </c>
      <c r="S13" s="772"/>
      <c r="T13" s="683" t="s">
        <v>74</v>
      </c>
      <c r="U13" s="683"/>
      <c r="V13" s="771"/>
      <c r="W13" s="683" t="s">
        <v>73</v>
      </c>
      <c r="X13" s="683"/>
      <c r="Y13" s="683" t="s">
        <v>75</v>
      </c>
      <c r="Z13" s="683"/>
      <c r="AB13" s="737"/>
      <c r="AC13" s="738"/>
      <c r="AD13" s="738"/>
      <c r="AE13" s="738"/>
      <c r="AF13" s="738"/>
      <c r="AG13" s="738"/>
      <c r="AH13" s="738"/>
      <c r="AI13" s="738"/>
      <c r="AJ13" s="738"/>
      <c r="AK13" s="738"/>
      <c r="AL13" s="738"/>
      <c r="AM13" s="738"/>
      <c r="AN13" s="738"/>
      <c r="AO13" s="738"/>
      <c r="AP13" s="738"/>
      <c r="AQ13" s="738"/>
      <c r="AR13" s="738"/>
      <c r="AS13" s="739"/>
    </row>
    <row r="14" ht="25.05" customHeight="1" spans="1:69">
      <c r="A14" s="773"/>
      <c r="B14" s="774"/>
      <c r="C14" s="775" t="s">
        <v>76</v>
      </c>
      <c r="D14" s="775"/>
      <c r="E14" s="775"/>
      <c r="F14" s="776">
        <f t="shared" ref="F14:F19" si="0">SUM(I14:P14)</f>
        <v>8</v>
      </c>
      <c r="G14" s="776"/>
      <c r="H14" s="777" t="s">
        <v>67</v>
      </c>
      <c r="I14" s="778">
        <v>8</v>
      </c>
      <c r="J14" s="779"/>
      <c r="K14" s="778"/>
      <c r="L14" s="779"/>
      <c r="M14" s="778"/>
      <c r="N14" s="779"/>
      <c r="O14" s="778"/>
      <c r="P14" s="779"/>
      <c r="Q14" s="780" t="s">
        <v>77</v>
      </c>
      <c r="R14" s="781">
        <f>INT(F14/2-5)</f>
        <v>-1</v>
      </c>
      <c r="S14" s="781"/>
      <c r="T14" s="782">
        <f>INT(F14/2-5)+IF(综合数据!I1=TRUE,$U$9,0)+SUM(W14:Z14)</f>
        <v>-1</v>
      </c>
      <c r="U14" s="782"/>
      <c r="V14" s="777" t="s">
        <v>67</v>
      </c>
      <c r="W14" s="778"/>
      <c r="X14" s="779"/>
      <c r="Y14" s="778"/>
      <c r="Z14" s="779"/>
      <c r="AB14" s="737"/>
      <c r="AC14" s="738"/>
      <c r="AD14" s="738"/>
      <c r="AE14" s="738"/>
      <c r="AF14" s="738"/>
      <c r="AG14" s="738"/>
      <c r="AH14" s="738"/>
      <c r="AI14" s="738"/>
      <c r="AJ14" s="738"/>
      <c r="AK14" s="738"/>
      <c r="AL14" s="738"/>
      <c r="AM14" s="738"/>
      <c r="AN14" s="738"/>
      <c r="AO14" s="738"/>
      <c r="AP14" s="738"/>
      <c r="AQ14" s="738"/>
      <c r="AR14" s="738"/>
      <c r="AS14" s="739"/>
    </row>
    <row r="15" ht="25.05" customHeight="1" spans="1:69">
      <c r="A15" s="773"/>
      <c r="B15" s="774"/>
      <c r="C15" s="775" t="s">
        <v>78</v>
      </c>
      <c r="D15" s="775"/>
      <c r="E15" s="775"/>
      <c r="F15" s="776">
        <f t="shared" si="0"/>
        <v>8</v>
      </c>
      <c r="G15" s="776"/>
      <c r="H15" s="777" t="s">
        <v>67</v>
      </c>
      <c r="I15" s="778">
        <v>8</v>
      </c>
      <c r="J15" s="779"/>
      <c r="K15" s="778"/>
      <c r="L15" s="779"/>
      <c r="M15" s="778"/>
      <c r="N15" s="779"/>
      <c r="O15" s="778"/>
      <c r="P15" s="779"/>
      <c r="Q15" s="780" t="s">
        <v>77</v>
      </c>
      <c r="R15" s="781">
        <f t="shared" ref="R15:R19" si="1">INT(F15/2-5)</f>
        <v>-1</v>
      </c>
      <c r="S15" s="781"/>
      <c r="T15" s="782">
        <f>INT(F15/2-5)+IF(综合数据!J1=TRUE,$U$9,0)+SUM(W15:Z15)</f>
        <v>-1</v>
      </c>
      <c r="U15" s="782"/>
      <c r="V15" s="777" t="s">
        <v>67</v>
      </c>
      <c r="W15" s="778"/>
      <c r="X15" s="779"/>
      <c r="Y15" s="778"/>
      <c r="Z15" s="779"/>
      <c r="AB15" s="737"/>
      <c r="AC15" s="738"/>
      <c r="AD15" s="738"/>
      <c r="AE15" s="738"/>
      <c r="AF15" s="738"/>
      <c r="AG15" s="738"/>
      <c r="AH15" s="738"/>
      <c r="AI15" s="738"/>
      <c r="AJ15" s="738"/>
      <c r="AK15" s="738"/>
      <c r="AL15" s="738"/>
      <c r="AM15" s="738"/>
      <c r="AN15" s="738"/>
      <c r="AO15" s="738"/>
      <c r="AP15" s="738"/>
      <c r="AQ15" s="738"/>
      <c r="AR15" s="738"/>
      <c r="AS15" s="739"/>
    </row>
    <row r="16" ht="25.05" customHeight="1" spans="1:69">
      <c r="A16" s="773"/>
      <c r="B16" s="774"/>
      <c r="C16" s="775" t="s">
        <v>79</v>
      </c>
      <c r="D16" s="775"/>
      <c r="E16" s="775"/>
      <c r="F16" s="776">
        <f t="shared" si="0"/>
        <v>8</v>
      </c>
      <c r="G16" s="776"/>
      <c r="H16" s="777" t="s">
        <v>67</v>
      </c>
      <c r="I16" s="778">
        <v>8</v>
      </c>
      <c r="J16" s="779"/>
      <c r="K16" s="778"/>
      <c r="L16" s="779"/>
      <c r="M16" s="778"/>
      <c r="N16" s="779"/>
      <c r="O16" s="778"/>
      <c r="P16" s="779"/>
      <c r="Q16" s="780" t="s">
        <v>77</v>
      </c>
      <c r="R16" s="781">
        <f t="shared" si="1"/>
        <v>-1</v>
      </c>
      <c r="S16" s="781"/>
      <c r="T16" s="782">
        <f>INT(F16/2-5)+IF(综合数据!K1=TRUE,$U$9,0)+SUM(W16:Z16)</f>
        <v>-1</v>
      </c>
      <c r="U16" s="782"/>
      <c r="V16" s="777" t="s">
        <v>67</v>
      </c>
      <c r="W16" s="778"/>
      <c r="X16" s="779"/>
      <c r="Y16" s="778"/>
      <c r="Z16" s="779"/>
      <c r="AB16" s="737"/>
      <c r="AC16" s="738"/>
      <c r="AD16" s="738"/>
      <c r="AE16" s="738"/>
      <c r="AF16" s="738"/>
      <c r="AG16" s="738"/>
      <c r="AH16" s="738"/>
      <c r="AI16" s="738"/>
      <c r="AJ16" s="738"/>
      <c r="AK16" s="738"/>
      <c r="AL16" s="738"/>
      <c r="AM16" s="738"/>
      <c r="AN16" s="738"/>
      <c r="AO16" s="738"/>
      <c r="AP16" s="738"/>
      <c r="AQ16" s="738"/>
      <c r="AR16" s="738"/>
      <c r="AS16" s="739"/>
    </row>
    <row r="17" ht="25.05" customHeight="1" spans="1:69">
      <c r="A17" s="773"/>
      <c r="B17" s="774"/>
      <c r="C17" s="775" t="s">
        <v>80</v>
      </c>
      <c r="D17" s="775"/>
      <c r="E17" s="775"/>
      <c r="F17" s="776">
        <f t="shared" si="0"/>
        <v>8</v>
      </c>
      <c r="G17" s="776"/>
      <c r="H17" s="777" t="s">
        <v>67</v>
      </c>
      <c r="I17" s="778">
        <v>8</v>
      </c>
      <c r="J17" s="779"/>
      <c r="K17" s="778"/>
      <c r="L17" s="779"/>
      <c r="M17" s="778"/>
      <c r="N17" s="779"/>
      <c r="O17" s="778"/>
      <c r="P17" s="779"/>
      <c r="Q17" s="780" t="s">
        <v>77</v>
      </c>
      <c r="R17" s="781">
        <f t="shared" si="1"/>
        <v>-1</v>
      </c>
      <c r="S17" s="781"/>
      <c r="T17" s="782">
        <f>INT(F17/2-5)+IF(综合数据!L1=TRUE,$U$9,0)+SUM(W17:Z17)</f>
        <v>-1</v>
      </c>
      <c r="U17" s="782"/>
      <c r="V17" s="777" t="s">
        <v>67</v>
      </c>
      <c r="W17" s="778"/>
      <c r="X17" s="779"/>
      <c r="Y17" s="778"/>
      <c r="Z17" s="779"/>
      <c r="AB17" s="737"/>
      <c r="AC17" s="738"/>
      <c r="AD17" s="738"/>
      <c r="AE17" s="738"/>
      <c r="AF17" s="738"/>
      <c r="AG17" s="738"/>
      <c r="AH17" s="738"/>
      <c r="AI17" s="738"/>
      <c r="AJ17" s="738"/>
      <c r="AK17" s="738"/>
      <c r="AL17" s="738"/>
      <c r="AM17" s="738"/>
      <c r="AN17" s="738"/>
      <c r="AO17" s="738"/>
      <c r="AP17" s="738"/>
      <c r="AQ17" s="738"/>
      <c r="AR17" s="738"/>
      <c r="AS17" s="739"/>
    </row>
    <row r="18" ht="25.05" customHeight="1" spans="1:69">
      <c r="A18" s="773"/>
      <c r="B18" s="774"/>
      <c r="C18" s="775" t="s">
        <v>81</v>
      </c>
      <c r="D18" s="775"/>
      <c r="E18" s="775"/>
      <c r="F18" s="776">
        <f t="shared" si="0"/>
        <v>8</v>
      </c>
      <c r="G18" s="776"/>
      <c r="H18" s="777" t="s">
        <v>67</v>
      </c>
      <c r="I18" s="778">
        <v>8</v>
      </c>
      <c r="J18" s="779"/>
      <c r="K18" s="778"/>
      <c r="L18" s="779"/>
      <c r="M18" s="778"/>
      <c r="N18" s="779"/>
      <c r="O18" s="778"/>
      <c r="P18" s="779"/>
      <c r="Q18" s="780" t="s">
        <v>77</v>
      </c>
      <c r="R18" s="781">
        <f t="shared" si="1"/>
        <v>-1</v>
      </c>
      <c r="S18" s="781"/>
      <c r="T18" s="782">
        <f>INT(F18/2-5)+IF(综合数据!M1=TRUE,$U$9,0)+SUM(W18:Z18)</f>
        <v>-1</v>
      </c>
      <c r="U18" s="782"/>
      <c r="V18" s="777" t="s">
        <v>67</v>
      </c>
      <c r="W18" s="778"/>
      <c r="X18" s="779"/>
      <c r="Y18" s="778"/>
      <c r="Z18" s="779"/>
      <c r="AB18" s="737"/>
      <c r="AC18" s="738"/>
      <c r="AD18" s="738"/>
      <c r="AE18" s="738"/>
      <c r="AF18" s="738"/>
      <c r="AG18" s="738"/>
      <c r="AH18" s="738"/>
      <c r="AI18" s="738"/>
      <c r="AJ18" s="738"/>
      <c r="AK18" s="738"/>
      <c r="AL18" s="738"/>
      <c r="AM18" s="738"/>
      <c r="AN18" s="738"/>
      <c r="AO18" s="738"/>
      <c r="AP18" s="738"/>
      <c r="AQ18" s="738"/>
      <c r="AR18" s="738"/>
      <c r="AS18" s="739"/>
    </row>
    <row r="19" ht="25.05" customHeight="1" spans="1:69">
      <c r="A19" s="773"/>
      <c r="B19" s="774"/>
      <c r="C19" s="775" t="s">
        <v>82</v>
      </c>
      <c r="D19" s="775"/>
      <c r="E19" s="775"/>
      <c r="F19" s="776">
        <f t="shared" si="0"/>
        <v>8</v>
      </c>
      <c r="G19" s="776"/>
      <c r="H19" s="777" t="s">
        <v>67</v>
      </c>
      <c r="I19" s="783">
        <v>8</v>
      </c>
      <c r="J19" s="783"/>
      <c r="K19" s="783"/>
      <c r="L19" s="783"/>
      <c r="M19" s="783"/>
      <c r="N19" s="783"/>
      <c r="O19" s="783"/>
      <c r="P19" s="783"/>
      <c r="Q19" s="780" t="s">
        <v>77</v>
      </c>
      <c r="R19" s="781">
        <f t="shared" si="1"/>
        <v>-1</v>
      </c>
      <c r="S19" s="781"/>
      <c r="T19" s="782">
        <f>INT(F19/2-5)+IF(综合数据!N1=TRUE,$U$9,0)+SUM(W19:Z19)</f>
        <v>-1</v>
      </c>
      <c r="U19" s="782"/>
      <c r="V19" s="777" t="s">
        <v>67</v>
      </c>
      <c r="W19" s="783"/>
      <c r="X19" s="783"/>
      <c r="Y19" s="783"/>
      <c r="Z19" s="783"/>
      <c r="AB19" s="737"/>
      <c r="AC19" s="738"/>
      <c r="AD19" s="738"/>
      <c r="AE19" s="738"/>
      <c r="AF19" s="738"/>
      <c r="AG19" s="738"/>
      <c r="AH19" s="738"/>
      <c r="AI19" s="738"/>
      <c r="AJ19" s="738"/>
      <c r="AK19" s="738"/>
      <c r="AL19" s="738"/>
      <c r="AM19" s="738"/>
      <c r="AN19" s="738"/>
      <c r="AO19" s="738"/>
      <c r="AP19" s="738"/>
      <c r="AQ19" s="738"/>
      <c r="AR19" s="738"/>
      <c r="AS19" s="739"/>
    </row>
    <row r="20" ht="7.95" customHeight="1" spans="1:69">
      <c r="AB20" s="737"/>
      <c r="AC20" s="738"/>
      <c r="AD20" s="738"/>
      <c r="AE20" s="738"/>
      <c r="AF20" s="738"/>
      <c r="AG20" s="738"/>
      <c r="AH20" s="738"/>
      <c r="AI20" s="738"/>
      <c r="AJ20" s="738"/>
      <c r="AK20" s="738"/>
      <c r="AL20" s="738"/>
      <c r="AM20" s="738"/>
      <c r="AN20" s="738"/>
      <c r="AO20" s="738"/>
      <c r="AP20" s="738"/>
      <c r="AQ20" s="738"/>
      <c r="AR20" s="738"/>
      <c r="AS20" s="739"/>
    </row>
    <row r="21" ht="16.95" customHeight="1" spans="1:69">
      <c r="B21" s="2" t="s">
        <v>83</v>
      </c>
      <c r="C21" s="2"/>
      <c r="D21" s="2"/>
      <c r="E21" s="2"/>
      <c r="F21" s="2"/>
      <c r="G21" s="2"/>
      <c r="H21" s="2"/>
      <c r="I21" s="2"/>
      <c r="J21" s="2"/>
      <c r="K21" s="2"/>
      <c r="L21" s="2"/>
      <c r="M21" s="2"/>
      <c r="N21" s="2"/>
      <c r="O21" s="2"/>
      <c r="P21" s="2"/>
      <c r="Q21" s="2"/>
      <c r="R21" s="2"/>
      <c r="S21" s="2"/>
      <c r="T21" s="2"/>
      <c r="U21" s="2"/>
      <c r="V21" s="2"/>
      <c r="W21" s="2"/>
      <c r="X21" s="2"/>
      <c r="Y21" s="2"/>
      <c r="Z21" s="2"/>
      <c r="AB21" s="737"/>
      <c r="AC21" s="738"/>
      <c r="AD21" s="738"/>
      <c r="AE21" s="738"/>
      <c r="AF21" s="738"/>
      <c r="AG21" s="738"/>
      <c r="AH21" s="738"/>
      <c r="AI21" s="738"/>
      <c r="AJ21" s="738"/>
      <c r="AK21" s="738"/>
      <c r="AL21" s="738"/>
      <c r="AM21" s="738"/>
      <c r="AN21" s="738"/>
      <c r="AO21" s="738"/>
      <c r="AP21" s="738"/>
      <c r="AQ21" s="738"/>
      <c r="AR21" s="738"/>
      <c r="AS21" s="739"/>
    </row>
    <row r="22" ht="16.95" customHeight="1" spans="1:69">
      <c r="G22" s="683" t="s">
        <v>75</v>
      </c>
      <c r="H22" s="683"/>
      <c r="N22" s="683" t="s">
        <v>84</v>
      </c>
      <c r="O22" s="683"/>
      <c r="Q22" s="683" t="s">
        <v>85</v>
      </c>
      <c r="R22" s="683"/>
      <c r="AB22" s="737"/>
      <c r="AC22" s="738"/>
      <c r="AD22" s="738"/>
      <c r="AE22" s="738"/>
      <c r="AF22" s="738"/>
      <c r="AG22" s="738"/>
      <c r="AH22" s="738"/>
      <c r="AI22" s="738"/>
      <c r="AJ22" s="738"/>
      <c r="AK22" s="738"/>
      <c r="AL22" s="738"/>
      <c r="AM22" s="738"/>
      <c r="AN22" s="738"/>
      <c r="AO22" s="738"/>
      <c r="AP22" s="738"/>
      <c r="AQ22" s="738"/>
      <c r="AR22" s="738"/>
      <c r="AS22" s="739"/>
    </row>
    <row r="23" ht="7.95" customHeight="1" spans="1:69">
      <c r="B23" s="784" t="s">
        <v>86</v>
      </c>
      <c r="C23" s="785"/>
      <c r="D23" s="786">
        <f>SUM(R15+G23)+IF(COUNTIF(专长数据!E2:E7,专长数据!A3),5,0)+IF(COUNTIF(职业数据!AD16:AD18,职业数据!D9),R18,0)+IF(COUNTIF(职业数据!AD16:AD18,职业数据!H10),R19,0)+IF(OR(COUNTIF(职业数据!AD16:AD18,职业数据!K13),COUNTIF(职业数据!AD16:AD18,职业数据!L13)),R17,0)</f>
        <v>-1</v>
      </c>
      <c r="E23" s="787"/>
      <c r="F23" s="780" t="s">
        <v>67</v>
      </c>
      <c r="G23" s="788"/>
      <c r="H23" s="789"/>
      <c r="J23" s="790" t="s">
        <v>87</v>
      </c>
      <c r="K23" s="791"/>
      <c r="L23" s="791"/>
      <c r="M23" s="792">
        <v>0</v>
      </c>
      <c r="N23" s="792"/>
      <c r="O23" s="792"/>
      <c r="P23" s="793" t="s">
        <v>88</v>
      </c>
      <c r="Q23" s="794">
        <f>BE10</f>
        <v>0</v>
      </c>
      <c r="R23" s="794"/>
      <c r="S23" s="795"/>
      <c r="V23" s="796" t="s">
        <v>89</v>
      </c>
      <c r="W23" s="796"/>
      <c r="X23" s="797">
        <v>0</v>
      </c>
      <c r="Y23" s="797"/>
      <c r="AB23" s="737"/>
      <c r="AC23" s="738"/>
      <c r="AD23" s="738"/>
      <c r="AE23" s="738"/>
      <c r="AF23" s="738"/>
      <c r="AG23" s="738"/>
      <c r="AH23" s="738"/>
      <c r="AI23" s="738"/>
      <c r="AJ23" s="738"/>
      <c r="AK23" s="738"/>
      <c r="AL23" s="738"/>
      <c r="AM23" s="738"/>
      <c r="AN23" s="738"/>
      <c r="AO23" s="738"/>
      <c r="AP23" s="738"/>
      <c r="AQ23" s="738"/>
      <c r="AR23" s="738"/>
      <c r="AS23" s="739"/>
    </row>
    <row r="24" ht="16.95" customHeight="1" spans="1:69">
      <c r="B24" s="798"/>
      <c r="C24" s="799"/>
      <c r="D24" s="800"/>
      <c r="E24" s="801"/>
      <c r="F24" s="780"/>
      <c r="G24" s="802"/>
      <c r="H24" s="803"/>
      <c r="J24" s="804"/>
      <c r="K24" s="805"/>
      <c r="L24" s="805"/>
      <c r="M24" s="806"/>
      <c r="N24" s="806"/>
      <c r="O24" s="806"/>
      <c r="P24" s="807"/>
      <c r="Q24" s="808"/>
      <c r="R24" s="808"/>
      <c r="S24" s="809"/>
      <c r="U24" s="810"/>
      <c r="V24" s="796"/>
      <c r="W24" s="796"/>
      <c r="X24" s="797"/>
      <c r="Y24" s="797"/>
      <c r="AB24" s="737"/>
      <c r="AC24" s="738"/>
      <c r="AD24" s="738"/>
      <c r="AE24" s="738"/>
      <c r="AF24" s="738"/>
      <c r="AG24" s="738"/>
      <c r="AH24" s="738"/>
      <c r="AI24" s="738"/>
      <c r="AJ24" s="738"/>
      <c r="AK24" s="738"/>
      <c r="AL24" s="738"/>
      <c r="AM24" s="738"/>
      <c r="AN24" s="738"/>
      <c r="AO24" s="738"/>
      <c r="AP24" s="738"/>
      <c r="AQ24" s="738"/>
      <c r="AR24" s="738"/>
      <c r="AS24" s="739"/>
    </row>
    <row r="25" ht="7.95" customHeight="1" spans="1:69">
      <c r="F25" s="811"/>
      <c r="J25" s="812">
        <f>M23</f>
        <v>0</v>
      </c>
      <c r="K25" s="812"/>
      <c r="L25" s="812"/>
      <c r="M25" s="812"/>
      <c r="N25" s="812"/>
      <c r="O25" s="812"/>
      <c r="P25" s="812"/>
      <c r="Q25" s="812"/>
      <c r="R25" s="812"/>
      <c r="S25" s="812"/>
      <c r="T25" s="812"/>
      <c r="U25" s="810"/>
      <c r="AB25" s="737"/>
      <c r="AC25" s="738"/>
      <c r="AD25" s="738"/>
      <c r="AE25" s="738"/>
      <c r="AF25" s="738"/>
      <c r="AG25" s="738"/>
      <c r="AH25" s="738"/>
      <c r="AI25" s="738"/>
      <c r="AJ25" s="738"/>
      <c r="AK25" s="738"/>
      <c r="AL25" s="738"/>
      <c r="AM25" s="738"/>
      <c r="AN25" s="738"/>
      <c r="AO25" s="738"/>
      <c r="AP25" s="738"/>
      <c r="AQ25" s="738"/>
      <c r="AR25" s="738"/>
      <c r="AS25" s="739"/>
    </row>
    <row r="26" ht="16.95" customHeight="1" spans="1:69">
      <c r="B26" s="790" t="s">
        <v>90</v>
      </c>
      <c r="C26" s="813"/>
      <c r="D26" s="786">
        <f>IF(AC39="",0,AC39)+IF(种族数据!V3=种族数据!A34,0,IF(AND(装备数据!AO2&lt;&gt;"",装备数据!AO2&lt;R15),装备数据!AO2,IF(装备数据!AO2=0,0,R15)))+G26+IF(装备数据!AS2=TRUE,IF(AP39="",0,AP39),0)+IF(AND(装备数据!AL2=装备数据!J4,装备数据!K4=10),MAX(IF(职业数据!AG2&gt;=1,R16,0),IF(AND(职业数据!AG7&gt;=1,装备数据!AS2=FALSE),R18,0),0),0)+IF(D6=种族数据!A25,R16-R15,0)</f>
        <v>9</v>
      </c>
      <c r="E26" s="787"/>
      <c r="F26" s="780" t="s">
        <v>67</v>
      </c>
      <c r="G26" s="788"/>
      <c r="H26" s="789"/>
      <c r="J26" s="790" t="s">
        <v>91</v>
      </c>
      <c r="K26" s="791"/>
      <c r="L26" s="814">
        <v>1</v>
      </c>
      <c r="M26" s="815"/>
      <c r="N26" s="793" t="s">
        <v>88</v>
      </c>
      <c r="O26" s="816">
        <f>IF(Y4&lt;=0,"",Y4)</f>
        <v>1</v>
      </c>
      <c r="P26" s="816"/>
      <c r="Q26" s="817" t="str">
        <f>职业数据!AS6</f>
        <v>D8</v>
      </c>
      <c r="R26" s="818"/>
      <c r="S26" s="819" t="s">
        <v>92</v>
      </c>
      <c r="T26" s="814"/>
      <c r="U26" s="815"/>
      <c r="V26" s="793" t="s">
        <v>88</v>
      </c>
      <c r="W26" s="820"/>
      <c r="X26" s="820"/>
      <c r="Y26" s="821"/>
      <c r="Z26" s="822"/>
      <c r="AB26" s="737"/>
      <c r="AC26" s="738"/>
      <c r="AD26" s="738"/>
      <c r="AE26" s="738"/>
      <c r="AF26" s="738"/>
      <c r="AG26" s="738"/>
      <c r="AH26" s="738"/>
      <c r="AI26" s="738"/>
      <c r="AJ26" s="738"/>
      <c r="AK26" s="738"/>
      <c r="AL26" s="738"/>
      <c r="AM26" s="738"/>
      <c r="AN26" s="738"/>
      <c r="AO26" s="738"/>
      <c r="AP26" s="738"/>
      <c r="AQ26" s="738"/>
      <c r="AR26" s="738"/>
      <c r="AS26" s="739"/>
    </row>
    <row r="27" ht="7.95" customHeight="1" spans="1:69">
      <c r="B27" s="804"/>
      <c r="C27" s="823"/>
      <c r="D27" s="800"/>
      <c r="E27" s="801"/>
      <c r="F27" s="780"/>
      <c r="G27" s="802"/>
      <c r="H27" s="803"/>
      <c r="J27" s="804"/>
      <c r="K27" s="805"/>
      <c r="L27" s="824"/>
      <c r="M27" s="825"/>
      <c r="N27" s="807"/>
      <c r="O27" s="826"/>
      <c r="P27" s="826"/>
      <c r="Q27" s="827"/>
      <c r="R27" s="828"/>
      <c r="S27" s="819"/>
      <c r="T27" s="824"/>
      <c r="U27" s="825"/>
      <c r="V27" s="807"/>
      <c r="W27" s="829"/>
      <c r="X27" s="829"/>
      <c r="Y27" s="830"/>
      <c r="Z27" s="831"/>
      <c r="AB27" s="832"/>
      <c r="AC27" s="833"/>
      <c r="AD27" s="833"/>
      <c r="AE27" s="833"/>
      <c r="AF27" s="833"/>
      <c r="AG27" s="833"/>
      <c r="AH27" s="833"/>
      <c r="AI27" s="833"/>
      <c r="AJ27" s="833"/>
      <c r="AK27" s="833"/>
      <c r="AL27" s="833"/>
      <c r="AM27" s="833"/>
      <c r="AN27" s="833"/>
      <c r="AO27" s="833"/>
      <c r="AP27" s="833"/>
      <c r="AQ27" s="833"/>
      <c r="AR27" s="833"/>
      <c r="AS27" s="834"/>
    </row>
    <row r="28" ht="16.95" customHeight="1" spans="1:69">
      <c r="D28" s="835" t="s">
        <v>93</v>
      </c>
      <c r="E28" s="835"/>
      <c r="G28" s="836" t="s">
        <v>16</v>
      </c>
      <c r="H28" s="836"/>
      <c r="J28" s="837" t="s">
        <v>94</v>
      </c>
      <c r="K28" s="837"/>
      <c r="L28" s="837"/>
      <c r="M28" s="837"/>
      <c r="Q28" s="838" t="s">
        <v>95</v>
      </c>
      <c r="R28" s="838"/>
      <c r="AB28" s="839" t="s">
        <v>96</v>
      </c>
      <c r="AC28" s="839"/>
      <c r="AD28" s="839"/>
      <c r="AE28" s="839"/>
      <c r="AF28" s="839"/>
      <c r="AG28" s="839"/>
      <c r="AH28" s="839"/>
      <c r="AI28" s="839"/>
      <c r="AJ28" s="839"/>
      <c r="AK28" s="839"/>
      <c r="AL28" s="839"/>
      <c r="AM28" s="839"/>
      <c r="AN28" s="839"/>
      <c r="AO28" s="839"/>
      <c r="AP28" s="839"/>
      <c r="AQ28" s="839"/>
      <c r="AR28" s="839"/>
      <c r="AS28" s="839"/>
    </row>
    <row r="29" ht="7.95" customHeight="1" spans="1:69">
      <c r="B29" s="790" t="s">
        <v>97</v>
      </c>
      <c r="C29" s="813"/>
      <c r="D29" s="786">
        <f>8+U9+G29+_xlfn.IFS(F31=C14,R14,F31=C15,R15,F31=C16,R16,F31=C17,R17,F31=C18,R18,F31=C19,R19)</f>
        <v>9</v>
      </c>
      <c r="E29" s="787"/>
      <c r="F29" s="780" t="s">
        <v>67</v>
      </c>
      <c r="G29" s="788"/>
      <c r="H29" s="789"/>
      <c r="I29" s="840"/>
      <c r="J29" s="841" t="s">
        <v>98</v>
      </c>
      <c r="K29" s="842"/>
      <c r="L29" s="843"/>
      <c r="M29" s="844"/>
      <c r="N29" s="844"/>
      <c r="O29" s="844"/>
      <c r="P29" s="844"/>
      <c r="Q29" s="844"/>
      <c r="R29" s="844"/>
      <c r="S29" s="844"/>
      <c r="T29" s="844"/>
      <c r="U29" s="844"/>
      <c r="V29" s="844"/>
      <c r="W29" s="844"/>
      <c r="X29" s="844"/>
      <c r="Y29" s="844"/>
      <c r="Z29" s="845"/>
      <c r="AB29" s="841" t="s">
        <v>99</v>
      </c>
      <c r="AC29" s="842"/>
      <c r="AD29" s="846"/>
      <c r="AE29" s="847"/>
      <c r="AF29" s="847"/>
      <c r="AG29" s="847"/>
      <c r="AH29" s="847"/>
      <c r="AI29" s="847"/>
      <c r="AJ29" s="847"/>
      <c r="AK29" s="847"/>
      <c r="AL29" s="847"/>
      <c r="AM29" s="847"/>
      <c r="AN29" s="847"/>
      <c r="AO29" s="847"/>
      <c r="AP29" s="847"/>
      <c r="AQ29" s="847"/>
      <c r="AR29" s="847"/>
      <c r="AS29" s="848"/>
    </row>
    <row r="30" ht="16.95" customHeight="1" spans="1:69">
      <c r="B30" s="804"/>
      <c r="C30" s="823"/>
      <c r="D30" s="800"/>
      <c r="E30" s="801"/>
      <c r="F30" s="849"/>
      <c r="G30" s="802"/>
      <c r="H30" s="803"/>
      <c r="I30" s="840"/>
      <c r="J30" s="850"/>
      <c r="K30" s="851"/>
      <c r="L30" s="852"/>
      <c r="M30" s="853"/>
      <c r="N30" s="853"/>
      <c r="O30" s="853"/>
      <c r="P30" s="853"/>
      <c r="Q30" s="853"/>
      <c r="R30" s="853"/>
      <c r="S30" s="853"/>
      <c r="T30" s="853"/>
      <c r="U30" s="853"/>
      <c r="V30" s="853"/>
      <c r="W30" s="853"/>
      <c r="X30" s="853"/>
      <c r="Y30" s="853"/>
      <c r="Z30" s="854"/>
      <c r="AB30" s="850"/>
      <c r="AC30" s="851"/>
      <c r="AD30" s="855"/>
      <c r="AE30" s="856"/>
      <c r="AF30" s="856"/>
      <c r="AG30" s="856"/>
      <c r="AH30" s="856"/>
      <c r="AI30" s="856"/>
      <c r="AJ30" s="856"/>
      <c r="AK30" s="856"/>
      <c r="AL30" s="856"/>
      <c r="AM30" s="856"/>
      <c r="AN30" s="856"/>
      <c r="AO30" s="856"/>
      <c r="AP30" s="856"/>
      <c r="AQ30" s="856"/>
      <c r="AR30" s="856"/>
      <c r="AS30" s="857"/>
      <c r="AV30" s="2" t="s">
        <v>100</v>
      </c>
      <c r="AW30" s="2"/>
      <c r="AX30" s="2"/>
      <c r="AY30" s="2"/>
      <c r="AZ30" s="2"/>
      <c r="BA30" s="2"/>
      <c r="BB30" s="2"/>
      <c r="BC30" s="2"/>
      <c r="BD30" s="2"/>
      <c r="BE30" s="2"/>
      <c r="BF30" s="2"/>
      <c r="BG30" s="2"/>
      <c r="BH30" s="2"/>
      <c r="BI30" s="2"/>
      <c r="BJ30" s="2"/>
      <c r="BK30" s="2"/>
      <c r="BL30" s="2"/>
      <c r="BM30" s="2"/>
      <c r="BN30" s="2"/>
      <c r="BO30" s="2"/>
      <c r="BP30" s="2"/>
      <c r="BQ30" s="2"/>
    </row>
    <row r="31" ht="7.95" customHeight="1" spans="1:69">
      <c r="B31" s="858" t="s">
        <v>101</v>
      </c>
      <c r="C31" s="858"/>
      <c r="D31" s="858"/>
      <c r="E31" s="858"/>
      <c r="F31" s="859" t="s">
        <v>76</v>
      </c>
      <c r="G31" s="859"/>
      <c r="H31" s="860"/>
      <c r="I31" s="861"/>
      <c r="AH31" s="837"/>
      <c r="AI31" s="837"/>
      <c r="AJ31" s="837"/>
      <c r="AK31" s="837"/>
      <c r="AL31" s="837"/>
      <c r="AM31" s="837"/>
      <c r="AN31" s="837"/>
      <c r="AO31" s="837"/>
      <c r="AP31" s="837"/>
      <c r="AQ31" s="837"/>
      <c r="AR31" s="837"/>
      <c r="AS31" s="837"/>
    </row>
    <row r="32" ht="16.95" customHeight="1" spans="1:69">
      <c r="B32" s="862"/>
      <c r="C32" s="862"/>
      <c r="D32" s="862"/>
      <c r="E32" s="862"/>
      <c r="F32" s="863"/>
      <c r="G32" s="863"/>
      <c r="H32" s="864"/>
      <c r="I32" s="861"/>
      <c r="J32" s="865" t="s">
        <v>102</v>
      </c>
      <c r="K32" s="866"/>
      <c r="L32" s="867"/>
      <c r="M32" s="868"/>
      <c r="N32" s="869"/>
      <c r="P32" s="865" t="s">
        <v>103</v>
      </c>
      <c r="Q32" s="866"/>
      <c r="R32" s="870"/>
      <c r="S32" s="871"/>
      <c r="T32" s="871"/>
      <c r="U32" s="871"/>
      <c r="V32" s="871"/>
      <c r="W32" s="871"/>
      <c r="X32" s="871"/>
      <c r="Y32" s="871"/>
      <c r="Z32" s="872"/>
      <c r="AB32" s="841" t="s">
        <v>104</v>
      </c>
      <c r="AC32" s="842"/>
      <c r="AD32" s="846"/>
      <c r="AE32" s="847"/>
      <c r="AF32" s="847"/>
      <c r="AG32" s="847"/>
      <c r="AH32" s="847"/>
      <c r="AI32" s="847"/>
      <c r="AJ32" s="847"/>
      <c r="AK32" s="847"/>
      <c r="AL32" s="847"/>
      <c r="AM32" s="847"/>
      <c r="AN32" s="847"/>
      <c r="AO32" s="847"/>
      <c r="AP32" s="847"/>
      <c r="AQ32" s="847"/>
      <c r="AR32" s="847"/>
      <c r="AS32" s="848"/>
    </row>
    <row r="33" ht="7.95" customHeight="1" spans="1:69">
      <c r="AB33" s="850"/>
      <c r="AC33" s="851"/>
      <c r="AD33" s="855"/>
      <c r="AE33" s="856"/>
      <c r="AF33" s="856"/>
      <c r="AG33" s="856"/>
      <c r="AH33" s="856"/>
      <c r="AI33" s="856"/>
      <c r="AJ33" s="856"/>
      <c r="AK33" s="856"/>
      <c r="AL33" s="856"/>
      <c r="AM33" s="856"/>
      <c r="AN33" s="856"/>
      <c r="AO33" s="856"/>
      <c r="AP33" s="856"/>
      <c r="AQ33" s="856"/>
      <c r="AR33" s="856"/>
      <c r="AS33" s="857"/>
    </row>
    <row r="34" ht="16.95" customHeight="1" spans="1:69">
      <c r="B34" s="841" t="s">
        <v>105</v>
      </c>
      <c r="C34" s="858"/>
      <c r="D34" s="858"/>
      <c r="E34" s="842"/>
      <c r="F34" s="786">
        <f>SUM(10+I54)</f>
        <v>9</v>
      </c>
      <c r="G34" s="873"/>
      <c r="H34" s="787"/>
      <c r="J34" s="874" t="s">
        <v>106</v>
      </c>
      <c r="K34" s="875"/>
      <c r="L34" s="875"/>
      <c r="M34" s="876"/>
      <c r="N34" s="877"/>
      <c r="O34" s="878"/>
      <c r="P34" s="879"/>
      <c r="S34" s="874" t="s">
        <v>106</v>
      </c>
      <c r="T34" s="875"/>
      <c r="U34" s="875"/>
      <c r="V34" s="876"/>
      <c r="W34" s="877"/>
      <c r="X34" s="878"/>
      <c r="Y34" s="879"/>
      <c r="AB34" s="841" t="s">
        <v>107</v>
      </c>
      <c r="AC34" s="842"/>
      <c r="AD34" s="846"/>
      <c r="AE34" s="847"/>
      <c r="AF34" s="847"/>
      <c r="AG34" s="847"/>
      <c r="AH34" s="847"/>
      <c r="AI34" s="847"/>
      <c r="AJ34" s="847"/>
      <c r="AK34" s="847"/>
      <c r="AL34" s="847"/>
      <c r="AM34" s="847"/>
      <c r="AN34" s="847"/>
      <c r="AO34" s="847"/>
      <c r="AP34" s="847"/>
      <c r="AQ34" s="847"/>
      <c r="AR34" s="847"/>
      <c r="AS34" s="848"/>
    </row>
    <row r="35" ht="7.95" customHeight="1" spans="1:69">
      <c r="B35" s="850"/>
      <c r="C35" s="862"/>
      <c r="D35" s="862"/>
      <c r="E35" s="851"/>
      <c r="F35" s="800"/>
      <c r="G35" s="880"/>
      <c r="H35" s="801"/>
      <c r="J35" s="881"/>
      <c r="K35" s="882"/>
      <c r="L35" s="882"/>
      <c r="M35" s="883"/>
      <c r="N35" s="884"/>
      <c r="O35" s="885"/>
      <c r="P35" s="886"/>
      <c r="S35" s="881"/>
      <c r="T35" s="882"/>
      <c r="U35" s="882"/>
      <c r="V35" s="883"/>
      <c r="W35" s="884"/>
      <c r="X35" s="885"/>
      <c r="Y35" s="886"/>
      <c r="AB35" s="850"/>
      <c r="AC35" s="851"/>
      <c r="AD35" s="855"/>
      <c r="AE35" s="856"/>
      <c r="AF35" s="856"/>
      <c r="AG35" s="856"/>
      <c r="AH35" s="856"/>
      <c r="AI35" s="856"/>
      <c r="AJ35" s="856"/>
      <c r="AK35" s="856"/>
      <c r="AL35" s="856"/>
      <c r="AM35" s="856"/>
      <c r="AN35" s="856"/>
      <c r="AO35" s="856"/>
      <c r="AP35" s="856"/>
      <c r="AQ35" s="856"/>
      <c r="AR35" s="856"/>
      <c r="AS35" s="857"/>
    </row>
    <row r="36" ht="7.95" customHeight="1" spans="1:69">
      <c r="AH36" s="837"/>
      <c r="AI36" s="837"/>
      <c r="AJ36" s="837"/>
      <c r="AK36" s="837"/>
      <c r="AL36" s="837"/>
      <c r="AM36" s="837"/>
      <c r="AN36" s="837"/>
      <c r="AO36" s="837"/>
      <c r="AP36" s="837"/>
      <c r="AQ36" s="837"/>
      <c r="AR36" s="837"/>
      <c r="AS36" s="837"/>
      <c r="AU36" s="33"/>
    </row>
    <row r="37" ht="16.95" customHeight="1" spans="1:69">
      <c r="B37" s="2" t="s">
        <v>108</v>
      </c>
      <c r="C37" s="2"/>
      <c r="D37" s="2"/>
      <c r="E37" s="2"/>
      <c r="F37" s="2"/>
      <c r="G37" s="2"/>
      <c r="H37" s="2"/>
      <c r="I37" s="2"/>
      <c r="J37" s="2"/>
      <c r="L37" s="887" t="str">
        <f>_xlfn.IFS(AND(COUNTIF(职业数据!AC16:AC18,职业数据!A7),装备数据!AU6=0),"无法使用武僧武器",OR(AND(COUNTIF(L41:N45,"专用*")&gt;=1,装备数据!AU7=0),AND(COUNTIF(L41:N45,"剑圣*")&gt;=1,装备数据!AU7&lt;2),AND(COUNTIF(L41:N45,"匠师*")&gt;=1,装备数据!AU9=0),AND(COUNTIF(L41:N45,"咒术")&gt;=1,装备数据!AU8=0)),"无法使用职业武器",装备数据!AW3=0,"护甲种类有误",AND(种族数据!V3=种族数据!A34,装备数据!AW2=1),"龟人无法使用护甲",装备数据!R47&lt;=-1,"同调装备过多",1,"")</f>
        <v/>
      </c>
      <c r="M37" s="887"/>
      <c r="N37" s="887"/>
      <c r="O37" s="887"/>
      <c r="P37" s="887"/>
      <c r="Q37" s="887"/>
      <c r="R37" s="887"/>
      <c r="S37" s="2" t="s">
        <v>109</v>
      </c>
      <c r="T37" s="2"/>
      <c r="U37" s="2"/>
      <c r="V37" s="888"/>
      <c r="W37" s="889" t="str">
        <f>IF(COUNTIF(装备数据!R30:R45,TRUE)=0,"","已同调的装备："&amp;COUNTIF(装备数据!R30:R45,TRUE)&amp;"/"&amp;_xlfn.IFS(职业数据!AG14&gt;=18,6,职业数据!AG14&gt;=14,5,职业数据!AG14&gt;=10,4,1,3))</f>
        <v/>
      </c>
      <c r="X37" s="889"/>
      <c r="Y37" s="889"/>
      <c r="Z37" s="889"/>
      <c r="AA37" s="889"/>
      <c r="AB37" s="889"/>
      <c r="AD37" s="2" t="s">
        <v>110</v>
      </c>
      <c r="AE37" s="2"/>
      <c r="AF37" s="2"/>
      <c r="AG37" s="2"/>
      <c r="AH37" s="2"/>
      <c r="AI37" s="2"/>
      <c r="AJ37" s="2"/>
      <c r="AK37" s="2"/>
      <c r="AL37" s="2"/>
      <c r="AM37" s="2"/>
      <c r="AN37" s="2"/>
      <c r="AO37" s="2"/>
      <c r="AP37" s="2"/>
      <c r="AQ37" s="2"/>
      <c r="AR37" s="2"/>
      <c r="AS37" s="2"/>
      <c r="AU37" s="33"/>
    </row>
    <row r="38" ht="16.95" customHeight="1" spans="1:69">
      <c r="A38" s="890" t="s">
        <v>60</v>
      </c>
      <c r="B38" s="890"/>
      <c r="C38" s="772" t="s">
        <v>111</v>
      </c>
      <c r="D38" s="772"/>
      <c r="E38" s="772"/>
      <c r="F38" s="683" t="s">
        <v>73</v>
      </c>
      <c r="G38" s="683"/>
      <c r="H38" s="891"/>
      <c r="I38" s="683" t="s">
        <v>70</v>
      </c>
      <c r="J38" s="683"/>
      <c r="K38" s="31"/>
      <c r="L38" s="31" t="s">
        <v>112</v>
      </c>
      <c r="M38" s="31"/>
      <c r="N38" s="892"/>
      <c r="O38" s="893" t="s">
        <v>113</v>
      </c>
      <c r="P38" s="683" t="s">
        <v>114</v>
      </c>
      <c r="Q38" s="683"/>
      <c r="R38" s="683"/>
      <c r="S38" s="894"/>
      <c r="T38" s="895"/>
      <c r="U38" s="683" t="s">
        <v>115</v>
      </c>
      <c r="V38" s="683"/>
      <c r="W38" s="895"/>
      <c r="X38" s="893" t="s">
        <v>60</v>
      </c>
      <c r="Y38" s="683" t="s">
        <v>116</v>
      </c>
      <c r="Z38" s="683"/>
      <c r="AA38" s="683"/>
      <c r="AB38" s="4" t="s">
        <v>117</v>
      </c>
      <c r="AC38" s="4"/>
      <c r="AD38" s="890" t="s">
        <v>118</v>
      </c>
      <c r="AE38" s="890"/>
      <c r="AF38" s="890"/>
      <c r="AG38" s="33"/>
      <c r="AH38" s="33" t="s">
        <v>107</v>
      </c>
      <c r="AI38" s="33"/>
      <c r="AJ38" s="772" t="s">
        <v>119</v>
      </c>
      <c r="AK38" s="772"/>
      <c r="AL38" s="33" t="s">
        <v>113</v>
      </c>
      <c r="AN38" s="896" t="s">
        <v>114</v>
      </c>
      <c r="AO38" s="896"/>
      <c r="AP38" s="772" t="s">
        <v>90</v>
      </c>
      <c r="AQ38" s="772"/>
      <c r="AR38" s="683" t="s">
        <v>116</v>
      </c>
      <c r="AS38" s="683"/>
      <c r="AT38" s="740"/>
      <c r="AU38" s="890" t="s">
        <v>60</v>
      </c>
    </row>
    <row r="39" ht="16.95" customHeight="1" spans="1:69">
      <c r="A39" s="773"/>
      <c r="C39" s="897" t="s">
        <v>120</v>
      </c>
      <c r="D39" s="898"/>
      <c r="E39" s="899"/>
      <c r="F39" s="900"/>
      <c r="G39" s="901"/>
      <c r="H39" s="619" t="s">
        <v>77</v>
      </c>
      <c r="I39" s="902">
        <f>$R$14+IF(综合数据!Q2=TRUE,$U$9,0)+F39</f>
        <v>-1</v>
      </c>
      <c r="J39" s="903"/>
      <c r="K39" s="904"/>
      <c r="L39" s="905" t="s">
        <v>121</v>
      </c>
      <c r="M39" s="905"/>
      <c r="N39" s="905"/>
      <c r="O39" s="906"/>
      <c r="P39" s="907"/>
      <c r="Q39" s="908"/>
      <c r="R39" s="908"/>
      <c r="S39" s="909"/>
      <c r="T39" s="910"/>
      <c r="U39" s="910"/>
      <c r="V39" s="910"/>
      <c r="W39" s="910"/>
      <c r="X39" s="911"/>
      <c r="Y39" s="912"/>
      <c r="Z39" s="912"/>
      <c r="AA39" s="912"/>
      <c r="AB39" s="619" t="s">
        <v>77</v>
      </c>
      <c r="AC39" s="913">
        <f>装备数据!$AM$2</f>
        <v>10</v>
      </c>
      <c r="AD39" s="914"/>
      <c r="AE39" s="915"/>
      <c r="AH39" s="33" t="s">
        <v>122</v>
      </c>
      <c r="AI39" s="33"/>
      <c r="AJ39" s="916"/>
      <c r="AK39" s="916"/>
      <c r="AL39" s="917"/>
      <c r="AM39" s="917"/>
      <c r="AN39" s="917"/>
      <c r="AO39" s="918"/>
      <c r="AP39" s="919"/>
      <c r="AQ39" s="920"/>
      <c r="AR39" s="687" t="s">
        <v>123</v>
      </c>
      <c r="AS39" s="687"/>
    </row>
    <row r="40" ht="16.95" customHeight="1" spans="1:69">
      <c r="B40" s="891"/>
      <c r="C40" s="921" t="s">
        <v>124</v>
      </c>
      <c r="D40" s="921"/>
      <c r="E40" s="921"/>
      <c r="F40" s="891"/>
      <c r="G40" s="891"/>
      <c r="H40" s="922"/>
      <c r="I40" s="923"/>
      <c r="J40" s="923"/>
      <c r="K40" s="904"/>
      <c r="L40" s="31" t="s">
        <v>125</v>
      </c>
      <c r="M40" s="31"/>
      <c r="N40" s="924"/>
      <c r="O40" s="890" t="s">
        <v>113</v>
      </c>
      <c r="P40" s="836" t="s">
        <v>114</v>
      </c>
      <c r="Q40" s="836"/>
      <c r="R40" s="836"/>
      <c r="T40" s="836" t="s">
        <v>115</v>
      </c>
      <c r="U40" s="836"/>
      <c r="V40" s="836"/>
      <c r="W40" s="836"/>
      <c r="X40" s="31"/>
      <c r="Y40" s="31" t="s">
        <v>116</v>
      </c>
      <c r="Z40" s="31"/>
      <c r="AA40" s="31"/>
      <c r="AC40" s="890" t="s">
        <v>60</v>
      </c>
      <c r="AD40" s="772" t="s">
        <v>126</v>
      </c>
      <c r="AE40" s="772"/>
      <c r="AF40" s="772"/>
      <c r="AG40" s="772" t="s">
        <v>127</v>
      </c>
      <c r="AH40" s="772"/>
      <c r="AI40" s="683" t="s">
        <v>128</v>
      </c>
      <c r="AJ40" s="683"/>
      <c r="AK40" s="683"/>
      <c r="AL40" s="921" t="s">
        <v>127</v>
      </c>
      <c r="AM40" s="921"/>
      <c r="AN40" s="921" t="s">
        <v>129</v>
      </c>
      <c r="AO40" s="921"/>
      <c r="AP40" s="925"/>
      <c r="AQ40" s="926" t="s">
        <v>130</v>
      </c>
      <c r="AR40" s="927"/>
      <c r="AT40" s="33" t="s">
        <v>131</v>
      </c>
    </row>
    <row r="41" ht="16.95" customHeight="1" spans="1:69">
      <c r="A41" s="773"/>
      <c r="C41" s="897" t="s">
        <v>132</v>
      </c>
      <c r="D41" s="898"/>
      <c r="E41" s="899"/>
      <c r="F41" s="900"/>
      <c r="G41" s="901"/>
      <c r="H41" s="619" t="s">
        <v>77</v>
      </c>
      <c r="I41" s="902">
        <f>$R$15+IF(综合数据!Q3=TRUE,$U$9,0)+F41</f>
        <v>-1</v>
      </c>
      <c r="J41" s="903"/>
      <c r="K41" s="904"/>
      <c r="L41" s="928" t="s">
        <v>133</v>
      </c>
      <c r="M41" s="928"/>
      <c r="N41" s="928"/>
      <c r="O41" s="929"/>
      <c r="P41" s="930"/>
      <c r="Q41" s="930"/>
      <c r="R41" s="930"/>
      <c r="S41" s="931"/>
      <c r="T41" s="932"/>
      <c r="U41" s="932"/>
      <c r="V41" s="932"/>
      <c r="W41" s="932"/>
      <c r="X41" s="933"/>
      <c r="Y41" s="912"/>
      <c r="Z41" s="912"/>
      <c r="AA41" s="912"/>
      <c r="AB41" s="619" t="s">
        <v>77</v>
      </c>
      <c r="AD41" s="934" t="str">
        <f>IF(L41="","","D20"&amp;IF(装备数据!AR6&gt;0,"+","")&amp;IF(装备数据!AR6&lt;&gt;0,装备数据!AR6,""))</f>
        <v>D20-1</v>
      </c>
      <c r="AE41" s="935"/>
      <c r="AF41" s="936"/>
      <c r="AG41" s="937"/>
      <c r="AH41" s="938"/>
      <c r="AI41" s="939"/>
      <c r="AJ41" s="939"/>
      <c r="AK41" s="940"/>
      <c r="AL41" s="937"/>
      <c r="AM41" s="938"/>
      <c r="AN41" s="941" t="s">
        <v>134</v>
      </c>
      <c r="AO41" s="941"/>
      <c r="AP41" s="773"/>
      <c r="AQ41" s="942" t="s">
        <v>135</v>
      </c>
      <c r="AR41" s="759"/>
      <c r="AS41" s="724"/>
    </row>
    <row r="42" ht="16.95" customHeight="1" spans="1:69">
      <c r="A42" s="773"/>
      <c r="C42" s="897" t="s">
        <v>136</v>
      </c>
      <c r="D42" s="898"/>
      <c r="E42" s="899"/>
      <c r="F42" s="900"/>
      <c r="G42" s="901"/>
      <c r="H42" s="619" t="s">
        <v>77</v>
      </c>
      <c r="I42" s="902">
        <f>$R$15+IF(综合数据!Q4=TRUE,$U$9,0)+F42</f>
        <v>-1</v>
      </c>
      <c r="J42" s="903"/>
      <c r="K42" s="904"/>
      <c r="L42" s="928"/>
      <c r="M42" s="928"/>
      <c r="N42" s="928"/>
      <c r="O42" s="943"/>
      <c r="P42" s="944"/>
      <c r="Q42" s="944"/>
      <c r="R42" s="944"/>
      <c r="S42" s="945"/>
      <c r="T42" s="946"/>
      <c r="U42" s="946"/>
      <c r="V42" s="946"/>
      <c r="W42" s="946"/>
      <c r="X42" s="947"/>
      <c r="Y42" s="948"/>
      <c r="Z42" s="948"/>
      <c r="AA42" s="948"/>
      <c r="AB42" s="619" t="s">
        <v>77</v>
      </c>
      <c r="AD42" s="949" t="str">
        <f>IF(L42="","","D20"&amp;IF(装备数据!AR7&gt;0,"+","")&amp;IF(装备数据!AR7&lt;&gt;0,装备数据!AR7,""))</f>
        <v/>
      </c>
      <c r="AE42" s="950"/>
      <c r="AF42" s="951"/>
      <c r="AG42" s="952"/>
      <c r="AH42" s="953"/>
      <c r="AI42" s="696"/>
      <c r="AJ42" s="696"/>
      <c r="AK42" s="954"/>
      <c r="AL42" s="952"/>
      <c r="AM42" s="953"/>
      <c r="AN42" s="955"/>
      <c r="AO42" s="955"/>
      <c r="AP42" s="773"/>
      <c r="AQ42" s="942" t="s">
        <v>137</v>
      </c>
      <c r="AR42" s="956"/>
      <c r="AS42" s="957"/>
    </row>
    <row r="43" ht="16.95" customHeight="1" spans="1:69">
      <c r="A43" s="773"/>
      <c r="C43" s="897" t="s">
        <v>138</v>
      </c>
      <c r="D43" s="898"/>
      <c r="E43" s="899"/>
      <c r="F43" s="900"/>
      <c r="G43" s="901"/>
      <c r="H43" s="619" t="s">
        <v>77</v>
      </c>
      <c r="I43" s="902">
        <f>$R$15+IF(综合数据!Q5=TRUE,$U$9,0)+F43</f>
        <v>-1</v>
      </c>
      <c r="J43" s="903"/>
      <c r="K43" s="904"/>
      <c r="L43" s="928"/>
      <c r="M43" s="928"/>
      <c r="N43" s="928" t="s">
        <v>77</v>
      </c>
      <c r="O43" s="929"/>
      <c r="P43" s="930"/>
      <c r="Q43" s="930"/>
      <c r="R43" s="930"/>
      <c r="S43" s="931"/>
      <c r="T43" s="932"/>
      <c r="U43" s="932"/>
      <c r="V43" s="932"/>
      <c r="W43" s="932"/>
      <c r="X43" s="933"/>
      <c r="Y43" s="912"/>
      <c r="Z43" s="912"/>
      <c r="AA43" s="912"/>
      <c r="AB43" s="619" t="s">
        <v>77</v>
      </c>
      <c r="AD43" s="934" t="str">
        <f>IF(L43="","","D20"&amp;IF(装备数据!AR8&gt;0,"+","")&amp;IF(装备数据!AR8&lt;&gt;0,装备数据!AR8,""))</f>
        <v/>
      </c>
      <c r="AE43" s="935"/>
      <c r="AF43" s="936"/>
      <c r="AG43" s="937"/>
      <c r="AH43" s="938"/>
      <c r="AI43" s="939" t="s">
        <v>123</v>
      </c>
      <c r="AJ43" s="939"/>
      <c r="AK43" s="940"/>
      <c r="AL43" s="937"/>
      <c r="AM43" s="938"/>
      <c r="AN43" s="941"/>
      <c r="AO43" s="941"/>
      <c r="AP43" s="773"/>
      <c r="AQ43" s="942" t="s">
        <v>139</v>
      </c>
      <c r="AR43" s="759"/>
      <c r="AS43" s="724"/>
    </row>
    <row r="44" ht="16.95" customHeight="1" spans="1:69">
      <c r="B44" s="891"/>
      <c r="C44" s="921" t="s">
        <v>140</v>
      </c>
      <c r="D44" s="921"/>
      <c r="E44" s="921"/>
      <c r="F44" s="891"/>
      <c r="G44" s="891"/>
      <c r="H44" s="922"/>
      <c r="I44" s="923"/>
      <c r="J44" s="923"/>
      <c r="K44" s="904"/>
      <c r="L44" s="928"/>
      <c r="M44" s="928"/>
      <c r="N44" s="928" t="s">
        <v>77</v>
      </c>
      <c r="O44" s="943"/>
      <c r="P44" s="944"/>
      <c r="Q44" s="944"/>
      <c r="R44" s="944"/>
      <c r="S44" s="945"/>
      <c r="T44" s="946"/>
      <c r="U44" s="946"/>
      <c r="V44" s="946"/>
      <c r="W44" s="946"/>
      <c r="X44" s="947"/>
      <c r="Y44" s="948"/>
      <c r="Z44" s="948"/>
      <c r="AA44" s="948"/>
      <c r="AB44" s="619" t="s">
        <v>77</v>
      </c>
      <c r="AD44" s="949" t="str">
        <f>IF(L44="","","D20"&amp;IF(装备数据!AR9&gt;0,"+","")&amp;IF(装备数据!AR9&lt;&gt;0,装备数据!AR9,""))</f>
        <v/>
      </c>
      <c r="AE44" s="950"/>
      <c r="AF44" s="951"/>
      <c r="AG44" s="952"/>
      <c r="AH44" s="953"/>
      <c r="AI44" s="696"/>
      <c r="AJ44" s="696"/>
      <c r="AK44" s="954"/>
      <c r="AL44" s="952"/>
      <c r="AM44" s="953"/>
      <c r="AN44" s="955"/>
      <c r="AO44" s="955"/>
      <c r="AP44" s="773"/>
      <c r="AQ44" s="942" t="s">
        <v>141</v>
      </c>
      <c r="AR44" s="956"/>
      <c r="AS44" s="957"/>
    </row>
    <row r="45" ht="16.95" customHeight="1" spans="1:69">
      <c r="A45" s="773"/>
      <c r="C45" s="897" t="s">
        <v>142</v>
      </c>
      <c r="D45" s="898"/>
      <c r="E45" s="899"/>
      <c r="F45" s="900"/>
      <c r="G45" s="901"/>
      <c r="H45" s="619" t="s">
        <v>77</v>
      </c>
      <c r="I45" s="902">
        <f>$R$17+IF(综合数据!Q6=TRUE,$U$9,0)+F45</f>
        <v>-1</v>
      </c>
      <c r="J45" s="903"/>
      <c r="K45" s="904"/>
      <c r="L45" s="928"/>
      <c r="M45" s="928"/>
      <c r="N45" s="928" t="s">
        <v>77</v>
      </c>
      <c r="O45" s="929"/>
      <c r="P45" s="930"/>
      <c r="Q45" s="930"/>
      <c r="R45" s="930"/>
      <c r="S45" s="931"/>
      <c r="T45" s="932"/>
      <c r="U45" s="932"/>
      <c r="V45" s="932"/>
      <c r="W45" s="932"/>
      <c r="X45" s="933"/>
      <c r="Y45" s="912"/>
      <c r="Z45" s="912"/>
      <c r="AA45" s="912"/>
      <c r="AB45" s="619" t="s">
        <v>77</v>
      </c>
      <c r="AD45" s="934" t="str">
        <f>IF(L45="","","D20"&amp;IF(装备数据!AR10&gt;0,"+","")&amp;IF(装备数据!AR10&lt;&gt;0,装备数据!AR10,""))</f>
        <v/>
      </c>
      <c r="AE45" s="935"/>
      <c r="AF45" s="936"/>
      <c r="AG45" s="937"/>
      <c r="AH45" s="938"/>
      <c r="AI45" s="939"/>
      <c r="AJ45" s="939"/>
      <c r="AK45" s="940"/>
      <c r="AL45" s="937"/>
      <c r="AM45" s="938"/>
      <c r="AN45" s="941"/>
      <c r="AO45" s="941"/>
      <c r="AP45" s="773"/>
      <c r="AQ45" s="942" t="s">
        <v>143</v>
      </c>
      <c r="AR45" s="759"/>
      <c r="AS45" s="724"/>
    </row>
    <row r="46" ht="16.95" customHeight="1" spans="1:69">
      <c r="A46" s="773"/>
      <c r="C46" s="897" t="s">
        <v>144</v>
      </c>
      <c r="D46" s="898"/>
      <c r="E46" s="899"/>
      <c r="F46" s="900"/>
      <c r="G46" s="901"/>
      <c r="H46" s="619" t="s">
        <v>77</v>
      </c>
      <c r="I46" s="902">
        <f>$R$17+IF(综合数据!Q7=TRUE,$U$9,0)+F46</f>
        <v>-1</v>
      </c>
      <c r="J46" s="903"/>
      <c r="K46" s="904"/>
      <c r="L46" s="921" t="s">
        <v>16</v>
      </c>
      <c r="M46" s="921"/>
      <c r="N46" s="771"/>
      <c r="O46" s="890" t="s">
        <v>113</v>
      </c>
      <c r="Q46" s="836" t="s">
        <v>114</v>
      </c>
      <c r="R46" s="836"/>
      <c r="S46" s="891"/>
      <c r="T46" s="836" t="s">
        <v>115</v>
      </c>
      <c r="U46" s="836"/>
      <c r="V46" s="836"/>
      <c r="W46" s="836"/>
      <c r="X46" s="836"/>
      <c r="Y46" s="836"/>
      <c r="Z46" s="894"/>
      <c r="AA46" s="31" t="s">
        <v>116</v>
      </c>
      <c r="AB46" s="31"/>
      <c r="AD46" s="958"/>
      <c r="AE46" s="958"/>
      <c r="AF46" s="958"/>
      <c r="AG46" s="958"/>
      <c r="AM46" s="958"/>
      <c r="AN46" s="958"/>
      <c r="AO46" s="958"/>
      <c r="AP46" s="958"/>
      <c r="AV46" s="2" t="s">
        <v>145</v>
      </c>
      <c r="AW46" s="2"/>
      <c r="AX46" s="2"/>
      <c r="AY46" s="2"/>
      <c r="AZ46" s="2"/>
      <c r="BA46" s="2"/>
      <c r="BB46" s="2"/>
      <c r="BC46" s="2"/>
      <c r="BD46" s="2"/>
      <c r="BE46" s="2"/>
      <c r="BF46" s="2"/>
      <c r="BG46" s="2"/>
      <c r="BH46" s="2"/>
      <c r="BI46" s="2"/>
      <c r="BJ46" s="2"/>
      <c r="BK46" s="2"/>
      <c r="BL46" s="2"/>
      <c r="BM46" s="2"/>
      <c r="BN46" s="2"/>
      <c r="BO46" s="2"/>
      <c r="BP46" s="2"/>
      <c r="BQ46" s="2"/>
    </row>
    <row r="47" ht="16.95" customHeight="1" spans="1:69">
      <c r="A47" s="773"/>
      <c r="C47" s="897" t="s">
        <v>146</v>
      </c>
      <c r="D47" s="898"/>
      <c r="E47" s="899"/>
      <c r="F47" s="900"/>
      <c r="G47" s="901"/>
      <c r="H47" s="619" t="s">
        <v>77</v>
      </c>
      <c r="I47" s="902">
        <f>$R$17+IF(综合数据!Q8=TRUE,$U$9,0)+F47</f>
        <v>-1</v>
      </c>
      <c r="J47" s="903"/>
      <c r="K47" s="904"/>
      <c r="L47" s="959" t="s">
        <v>147</v>
      </c>
      <c r="M47" s="960"/>
      <c r="N47" s="619" t="s">
        <v>77</v>
      </c>
      <c r="O47" s="906"/>
      <c r="P47" s="930" t="s">
        <v>148</v>
      </c>
      <c r="Q47" s="930"/>
      <c r="R47" s="930"/>
      <c r="S47" s="930"/>
      <c r="T47" s="961"/>
      <c r="U47" s="962"/>
      <c r="V47" s="962"/>
      <c r="W47" s="962"/>
      <c r="X47" s="962"/>
      <c r="Y47" s="963"/>
      <c r="Z47" s="912">
        <v>3</v>
      </c>
      <c r="AA47" s="912"/>
      <c r="AB47" s="912"/>
      <c r="AD47" s="767"/>
      <c r="AE47" s="767"/>
      <c r="AF47" s="767"/>
      <c r="AG47" s="767"/>
      <c r="AH47" s="767"/>
      <c r="AI47" s="767"/>
      <c r="AJ47" s="767"/>
      <c r="AK47" s="2" t="s">
        <v>149</v>
      </c>
      <c r="AL47" s="2"/>
      <c r="AM47" s="964" t="str">
        <f>IF(SUMPRODUCT(--(AO52:AO60&gt;AR52:AR60)),"法术位超上限","")</f>
        <v/>
      </c>
      <c r="AN47" s="964"/>
      <c r="AO47" s="964"/>
      <c r="AP47" s="964"/>
      <c r="AQ47" s="964"/>
      <c r="AR47" s="964"/>
      <c r="AS47" s="767"/>
      <c r="AW47" s="965" t="s">
        <v>150</v>
      </c>
      <c r="AX47" s="965"/>
      <c r="AY47" s="965"/>
      <c r="AZ47" s="965"/>
      <c r="BA47" s="965"/>
      <c r="BB47" s="965"/>
      <c r="BC47" s="965"/>
      <c r="BD47" s="965"/>
      <c r="BE47" s="965"/>
      <c r="BF47" s="965"/>
      <c r="BG47" s="965"/>
      <c r="BH47" s="965"/>
      <c r="BI47" s="965"/>
      <c r="BJ47" s="965"/>
      <c r="BK47" s="965"/>
      <c r="BL47" s="965"/>
      <c r="BM47" s="965"/>
      <c r="BN47" s="965"/>
      <c r="BO47" s="965"/>
      <c r="BP47" s="965"/>
      <c r="BQ47" s="25"/>
    </row>
    <row r="48" ht="16.95" customHeight="1" spans="1:69">
      <c r="A48" s="773"/>
      <c r="C48" s="897" t="s">
        <v>151</v>
      </c>
      <c r="D48" s="898"/>
      <c r="E48" s="899"/>
      <c r="F48" s="900"/>
      <c r="G48" s="901"/>
      <c r="H48" s="619" t="s">
        <v>77</v>
      </c>
      <c r="I48" s="902">
        <f>$R$17+IF(综合数据!Q9=TRUE,$U$9,0)+F48</f>
        <v>-1</v>
      </c>
      <c r="J48" s="903"/>
      <c r="K48" s="904"/>
      <c r="L48" s="959"/>
      <c r="M48" s="960"/>
      <c r="N48" s="619" t="s">
        <v>77</v>
      </c>
      <c r="O48" s="966"/>
      <c r="P48" s="944"/>
      <c r="Q48" s="944"/>
      <c r="R48" s="944"/>
      <c r="S48" s="944"/>
      <c r="T48" s="967"/>
      <c r="U48" s="968"/>
      <c r="V48" s="968"/>
      <c r="W48" s="968"/>
      <c r="X48" s="968"/>
      <c r="Y48" s="969"/>
      <c r="Z48" s="948"/>
      <c r="AA48" s="948"/>
      <c r="AB48" s="948"/>
      <c r="AD48" s="4" t="s">
        <v>152</v>
      </c>
      <c r="AE48" s="4"/>
      <c r="AF48" s="4"/>
      <c r="AG48" s="4"/>
      <c r="AH48" s="683" t="s">
        <v>126</v>
      </c>
      <c r="AI48" s="683"/>
      <c r="AJ48" s="683"/>
      <c r="AK48" s="683" t="s">
        <v>127</v>
      </c>
      <c r="AL48" s="683"/>
      <c r="AM48" s="683"/>
      <c r="AO48" s="772" t="s">
        <v>153</v>
      </c>
      <c r="AP48" s="772"/>
      <c r="AQ48" s="772" t="s">
        <v>127</v>
      </c>
      <c r="AR48" s="772"/>
      <c r="AS48" s="772"/>
      <c r="AW48" s="25"/>
      <c r="AX48" s="755" t="s">
        <v>154</v>
      </c>
      <c r="AY48" s="755"/>
      <c r="BB48" s="755" t="s">
        <v>155</v>
      </c>
      <c r="BC48" s="755"/>
      <c r="BF48" s="755" t="s">
        <v>156</v>
      </c>
      <c r="BG48" s="755"/>
      <c r="BJ48" s="755" t="s">
        <v>157</v>
      </c>
      <c r="BK48" s="755"/>
      <c r="BN48" s="755" t="s">
        <v>158</v>
      </c>
      <c r="BO48" s="755"/>
      <c r="BQ48" s="25"/>
    </row>
    <row r="49" ht="16.95" customHeight="1" spans="1:69">
      <c r="A49" s="773"/>
      <c r="C49" s="897" t="s">
        <v>159</v>
      </c>
      <c r="D49" s="898"/>
      <c r="E49" s="899"/>
      <c r="F49" s="900"/>
      <c r="G49" s="901"/>
      <c r="H49" s="619" t="s">
        <v>77</v>
      </c>
      <c r="I49" s="902">
        <f>$R$17+IF(综合数据!Q10=TRUE,$U$9,0)+F49</f>
        <v>-1</v>
      </c>
      <c r="J49" s="903"/>
      <c r="K49" s="904"/>
      <c r="L49" s="959"/>
      <c r="M49" s="960"/>
      <c r="N49" s="619" t="s">
        <v>77</v>
      </c>
      <c r="O49" s="970"/>
      <c r="P49" s="930"/>
      <c r="Q49" s="930"/>
      <c r="R49" s="930"/>
      <c r="S49" s="930"/>
      <c r="T49" s="961"/>
      <c r="U49" s="962"/>
      <c r="V49" s="962"/>
      <c r="W49" s="962"/>
      <c r="X49" s="962"/>
      <c r="Y49" s="963"/>
      <c r="Z49" s="912"/>
      <c r="AA49" s="912"/>
      <c r="AB49" s="912"/>
      <c r="AC49" s="922"/>
      <c r="AD49" s="759"/>
      <c r="AE49" s="723"/>
      <c r="AF49" s="724"/>
      <c r="AG49" s="619" t="s">
        <v>77</v>
      </c>
      <c r="AH49" s="934" t="str">
        <f>IF(AD49="","","D20"&amp;IF(法术数据!AU8&gt;0,"+","")&amp;IF(法术数据!AU8&lt;&gt;0,法术数据!AU8,""))</f>
        <v/>
      </c>
      <c r="AI49" s="935"/>
      <c r="AJ49" s="935"/>
      <c r="AK49" s="971"/>
      <c r="AL49" s="971"/>
      <c r="AM49" s="971"/>
      <c r="AN49" s="619" t="s">
        <v>88</v>
      </c>
      <c r="AO49" s="760" t="str">
        <f>IF(AD49="","",8+法术数据!AU8)</f>
        <v/>
      </c>
      <c r="AP49" s="762"/>
      <c r="AQ49" s="971"/>
      <c r="AR49" s="971"/>
      <c r="AS49" s="971"/>
      <c r="AW49" s="25"/>
      <c r="AX49" s="755" t="s">
        <v>160</v>
      </c>
      <c r="AY49" s="755"/>
      <c r="BB49" s="755" t="s">
        <v>161</v>
      </c>
      <c r="BC49" s="755"/>
      <c r="BF49" s="755" t="s">
        <v>162</v>
      </c>
      <c r="BG49" s="755"/>
      <c r="BJ49" s="755" t="s">
        <v>163</v>
      </c>
      <c r="BK49" s="755"/>
      <c r="BN49" s="755" t="s">
        <v>164</v>
      </c>
      <c r="BO49" s="755"/>
      <c r="BQ49" s="25"/>
    </row>
    <row r="50" ht="16.95" customHeight="1" spans="1:69">
      <c r="B50" s="891"/>
      <c r="C50" s="921" t="s">
        <v>165</v>
      </c>
      <c r="D50" s="921"/>
      <c r="E50" s="921"/>
      <c r="F50" s="891"/>
      <c r="G50" s="891"/>
      <c r="H50" s="922"/>
      <c r="I50" s="923"/>
      <c r="J50" s="923"/>
      <c r="K50" s="904"/>
      <c r="L50" s="959"/>
      <c r="M50" s="960"/>
      <c r="N50" s="619" t="s">
        <v>77</v>
      </c>
      <c r="O50" s="972"/>
      <c r="P50" s="944"/>
      <c r="Q50" s="944"/>
      <c r="R50" s="944"/>
      <c r="S50" s="944"/>
      <c r="T50" s="967"/>
      <c r="U50" s="968"/>
      <c r="V50" s="968"/>
      <c r="W50" s="968"/>
      <c r="X50" s="968"/>
      <c r="Y50" s="969"/>
      <c r="Z50" s="948"/>
      <c r="AA50" s="948"/>
      <c r="AB50" s="948"/>
      <c r="AC50" s="922"/>
      <c r="AD50" s="956"/>
      <c r="AE50" s="973"/>
      <c r="AF50" s="957"/>
      <c r="AG50" s="619" t="s">
        <v>77</v>
      </c>
      <c r="AH50" s="949" t="str">
        <f>IF(AD50="","","D20"&amp;IF(法术数据!AU9&gt;0,"+","")&amp;IF(法术数据!AU9&lt;&gt;0,法术数据!AU9,""))</f>
        <v/>
      </c>
      <c r="AI50" s="950"/>
      <c r="AJ50" s="950"/>
      <c r="AK50" s="974"/>
      <c r="AL50" s="974"/>
      <c r="AM50" s="974"/>
      <c r="AN50" s="619" t="s">
        <v>88</v>
      </c>
      <c r="AO50" s="975" t="str">
        <f>IF(AD50="","",8+法术数据!AU9)</f>
        <v/>
      </c>
      <c r="AP50" s="976"/>
      <c r="AQ50" s="974"/>
      <c r="AR50" s="974"/>
      <c r="AS50" s="974"/>
      <c r="AW50" s="25"/>
      <c r="AX50" s="755" t="s">
        <v>166</v>
      </c>
      <c r="AY50" s="755"/>
      <c r="BB50" s="755" t="s">
        <v>167</v>
      </c>
      <c r="BC50" s="755"/>
      <c r="BF50" s="755" t="s">
        <v>168</v>
      </c>
      <c r="BG50" s="755"/>
      <c r="BJ50" s="755" t="s">
        <v>169</v>
      </c>
      <c r="BK50" s="755"/>
      <c r="BQ50" s="25"/>
    </row>
    <row r="51" ht="16.95" customHeight="1" spans="1:69">
      <c r="A51" s="773"/>
      <c r="C51" s="897" t="s">
        <v>170</v>
      </c>
      <c r="D51" s="898"/>
      <c r="E51" s="899"/>
      <c r="F51" s="900"/>
      <c r="G51" s="901"/>
      <c r="H51" s="619" t="s">
        <v>77</v>
      </c>
      <c r="I51" s="902">
        <f>$R$18+IF(综合数据!Q11=TRUE,$U$9,0)+F51</f>
        <v>-1</v>
      </c>
      <c r="J51" s="903"/>
      <c r="K51" s="904"/>
      <c r="L51" s="959"/>
      <c r="M51" s="960"/>
      <c r="N51" s="619" t="s">
        <v>77</v>
      </c>
      <c r="O51" s="970"/>
      <c r="P51" s="930"/>
      <c r="Q51" s="930"/>
      <c r="R51" s="930"/>
      <c r="S51" s="930"/>
      <c r="T51" s="961"/>
      <c r="U51" s="962"/>
      <c r="V51" s="962"/>
      <c r="W51" s="962"/>
      <c r="X51" s="962"/>
      <c r="Y51" s="963"/>
      <c r="Z51" s="912"/>
      <c r="AA51" s="912"/>
      <c r="AB51" s="912"/>
      <c r="AC51" s="922"/>
      <c r="AD51" s="977" t="s">
        <v>171</v>
      </c>
      <c r="AE51" s="683" t="s">
        <v>172</v>
      </c>
      <c r="AF51" s="683"/>
      <c r="AG51" s="683"/>
      <c r="AI51" s="921" t="s">
        <v>173</v>
      </c>
      <c r="AJ51" s="921"/>
      <c r="AK51" s="921"/>
      <c r="AL51" s="925"/>
      <c r="AM51" s="31" t="s">
        <v>174</v>
      </c>
      <c r="AN51" s="31"/>
      <c r="AO51" s="31"/>
      <c r="AP51" s="31"/>
      <c r="AQ51" s="31"/>
      <c r="AR51" s="31"/>
      <c r="AS51" s="31"/>
      <c r="AT51" s="31"/>
      <c r="AV51" s="25"/>
      <c r="AW51" s="683" t="s">
        <v>175</v>
      </c>
      <c r="AX51" s="683"/>
      <c r="AY51" s="31" t="s">
        <v>176</v>
      </c>
      <c r="AZ51" s="31"/>
      <c r="BA51" s="31"/>
      <c r="BB51" s="31"/>
      <c r="BC51" s="31"/>
      <c r="BD51" s="31"/>
      <c r="BE51" s="31"/>
      <c r="BF51" s="31"/>
      <c r="BG51" s="31"/>
      <c r="BH51" s="31"/>
      <c r="BI51" s="31"/>
      <c r="BJ51" s="31"/>
      <c r="BK51" s="31"/>
      <c r="BL51" s="31"/>
      <c r="BM51" s="31"/>
      <c r="BN51" s="31"/>
      <c r="BO51" s="31"/>
      <c r="BP51" s="31"/>
      <c r="BQ51" s="25"/>
    </row>
    <row r="52" ht="16.95" customHeight="1" spans="1:69">
      <c r="A52" s="773"/>
      <c r="C52" s="897" t="s">
        <v>177</v>
      </c>
      <c r="D52" s="898"/>
      <c r="E52" s="899"/>
      <c r="F52" s="900"/>
      <c r="G52" s="901"/>
      <c r="H52" s="619" t="s">
        <v>77</v>
      </c>
      <c r="I52" s="902">
        <f>$R$18+IF(综合数据!Q12=TRUE,$U$9,0)+F52</f>
        <v>-1</v>
      </c>
      <c r="J52" s="903"/>
      <c r="K52" s="904"/>
      <c r="L52" s="959"/>
      <c r="M52" s="960"/>
      <c r="N52" s="619" t="s">
        <v>77</v>
      </c>
      <c r="O52" s="972"/>
      <c r="P52" s="944"/>
      <c r="Q52" s="944"/>
      <c r="R52" s="944"/>
      <c r="S52" s="944"/>
      <c r="T52" s="967"/>
      <c r="U52" s="968"/>
      <c r="V52" s="968"/>
      <c r="W52" s="968"/>
      <c r="X52" s="968"/>
      <c r="Y52" s="969"/>
      <c r="Z52" s="948"/>
      <c r="AA52" s="948"/>
      <c r="AB52" s="948"/>
      <c r="AC52" s="922"/>
      <c r="AD52" s="740"/>
      <c r="AE52" s="978" t="str">
        <f>IF(AI52="","",R4)</f>
        <v>奇械师</v>
      </c>
      <c r="AF52" s="978"/>
      <c r="AG52" s="978"/>
      <c r="AH52" s="619" t="s">
        <v>77</v>
      </c>
      <c r="AI52" s="979">
        <f>IFERROR(VLOOKUP(R4,法术数据!$AU$2:$AV$6,2,0),"")</f>
        <v>1</v>
      </c>
      <c r="AJ52" s="980"/>
      <c r="AK52" s="981"/>
      <c r="AM52" s="982">
        <v>1</v>
      </c>
      <c r="AN52" s="983"/>
      <c r="AO52" s="984">
        <v>0</v>
      </c>
      <c r="AP52" s="985"/>
      <c r="AQ52" s="986" t="s">
        <v>88</v>
      </c>
      <c r="AR52" s="987">
        <f>_xlfn.IFS(职业数据!AE22&gt;=3,4,职业数据!AE22&gt;=2,3,职业数据!AE22&gt;=1,2,1,0)+IF(职业数据!AG12&lt;=2,职业数据!AG12)</f>
        <v>2</v>
      </c>
      <c r="AS52" s="988"/>
      <c r="AW52" s="989" t="s">
        <v>178</v>
      </c>
      <c r="AX52" s="989"/>
      <c r="AY52" s="990"/>
      <c r="AZ52" s="991" t="s">
        <v>28</v>
      </c>
      <c r="BA52" s="991"/>
      <c r="BB52" s="992"/>
      <c r="BC52" s="991" t="s">
        <v>29</v>
      </c>
      <c r="BD52" s="991"/>
      <c r="BE52" s="992"/>
      <c r="BF52" s="991" t="s">
        <v>30</v>
      </c>
      <c r="BG52" s="991"/>
      <c r="BH52" s="992"/>
      <c r="BI52" s="991" t="s">
        <v>31</v>
      </c>
      <c r="BJ52" s="991"/>
      <c r="BK52" s="992"/>
      <c r="BL52" s="991" t="s">
        <v>32</v>
      </c>
      <c r="BM52" s="991"/>
      <c r="BN52" s="992"/>
      <c r="BO52" s="991" t="s">
        <v>33</v>
      </c>
      <c r="BP52" s="993"/>
    </row>
    <row r="53" ht="16.95" customHeight="1" spans="1:69">
      <c r="A53" s="773"/>
      <c r="C53" s="897" t="s">
        <v>179</v>
      </c>
      <c r="D53" s="898"/>
      <c r="E53" s="899"/>
      <c r="F53" s="900"/>
      <c r="G53" s="901"/>
      <c r="H53" s="619" t="s">
        <v>77</v>
      </c>
      <c r="I53" s="902">
        <f>$R$18+IF(综合数据!Q13=TRUE,$U$9,0)+F53</f>
        <v>-1</v>
      </c>
      <c r="J53" s="903"/>
      <c r="K53" s="904"/>
      <c r="L53" s="959"/>
      <c r="M53" s="960"/>
      <c r="N53" s="619" t="s">
        <v>77</v>
      </c>
      <c r="O53" s="970"/>
      <c r="P53" s="930"/>
      <c r="Q53" s="930"/>
      <c r="R53" s="930"/>
      <c r="S53" s="930"/>
      <c r="T53" s="961"/>
      <c r="U53" s="962"/>
      <c r="V53" s="962"/>
      <c r="W53" s="962"/>
      <c r="X53" s="962"/>
      <c r="Y53" s="963"/>
      <c r="Z53" s="912"/>
      <c r="AA53" s="912"/>
      <c r="AB53" s="912"/>
      <c r="AC53" s="922"/>
      <c r="AD53" s="740"/>
      <c r="AE53" s="994" t="str">
        <f>IF(AI53="","",R6)</f>
        <v/>
      </c>
      <c r="AF53" s="994"/>
      <c r="AG53" s="994"/>
      <c r="AH53" s="619" t="s">
        <v>77</v>
      </c>
      <c r="AI53" s="995" t="str">
        <f>IFERROR(VLOOKUP(R6,法术数据!$AU$2:$AV$6,2,0),"")</f>
        <v/>
      </c>
      <c r="AJ53" s="995"/>
      <c r="AK53" s="995"/>
      <c r="AM53" s="982">
        <v>2</v>
      </c>
      <c r="AN53" s="983">
        <v>0</v>
      </c>
      <c r="AO53" s="984">
        <v>0</v>
      </c>
      <c r="AP53" s="985" t="s">
        <v>88</v>
      </c>
      <c r="AQ53" s="986" t="s">
        <v>88</v>
      </c>
      <c r="AR53" s="987">
        <f>_xlfn.IFS(职业数据!AE22&gt;=4,3,职业数据!AE22&gt;=3,2,1,0)+IF(AND(职业数据!AG12&gt;=3,职业数据!AG12&lt;=4),2,0)</f>
        <v>0</v>
      </c>
      <c r="AS53" s="988"/>
      <c r="AW53" s="989" t="s">
        <v>180</v>
      </c>
      <c r="AX53" s="989"/>
      <c r="AY53" s="996"/>
      <c r="AZ53" s="996"/>
      <c r="BA53" s="996"/>
      <c r="BB53" s="996"/>
      <c r="BC53" s="996"/>
      <c r="BD53" s="996"/>
      <c r="BE53" s="996"/>
      <c r="BF53" s="996"/>
      <c r="BG53" s="996"/>
      <c r="BH53" s="996"/>
      <c r="BI53" s="996"/>
      <c r="BJ53" s="996"/>
      <c r="BK53" s="996"/>
      <c r="BL53" s="996"/>
      <c r="BM53" s="996"/>
      <c r="BN53" s="996"/>
      <c r="BO53" s="996"/>
      <c r="BP53" s="996"/>
    </row>
    <row r="54" ht="16.95" customHeight="1" spans="1:69">
      <c r="A54" s="773"/>
      <c r="C54" s="897" t="s">
        <v>181</v>
      </c>
      <c r="D54" s="898"/>
      <c r="E54" s="899"/>
      <c r="F54" s="900"/>
      <c r="G54" s="901"/>
      <c r="H54" s="619" t="s">
        <v>77</v>
      </c>
      <c r="I54" s="902">
        <f>$R$18+IF(综合数据!Q14=TRUE,$U$9,0)+F54</f>
        <v>-1</v>
      </c>
      <c r="J54" s="903"/>
      <c r="K54" s="904"/>
      <c r="L54" s="959"/>
      <c r="M54" s="960"/>
      <c r="N54" s="619" t="s">
        <v>77</v>
      </c>
      <c r="O54" s="972"/>
      <c r="P54" s="944"/>
      <c r="Q54" s="944"/>
      <c r="R54" s="944"/>
      <c r="S54" s="944"/>
      <c r="T54" s="967"/>
      <c r="U54" s="968"/>
      <c r="V54" s="968"/>
      <c r="W54" s="968"/>
      <c r="X54" s="968"/>
      <c r="Y54" s="969"/>
      <c r="Z54" s="948"/>
      <c r="AA54" s="948"/>
      <c r="AB54" s="948"/>
      <c r="AC54" s="922"/>
      <c r="AD54" s="740"/>
      <c r="AE54" s="978" t="str">
        <f>IF(AI54="","",R7)</f>
        <v/>
      </c>
      <c r="AF54" s="978"/>
      <c r="AG54" s="978"/>
      <c r="AH54" s="619" t="s">
        <v>77</v>
      </c>
      <c r="AI54" s="997" t="str">
        <f>IFERROR(VLOOKUP(R7,法术数据!$AU$2:$AV$6,2,0),"")</f>
        <v/>
      </c>
      <c r="AJ54" s="997"/>
      <c r="AK54" s="997"/>
      <c r="AL54" s="619"/>
      <c r="AM54" s="982">
        <v>3</v>
      </c>
      <c r="AN54" s="983">
        <v>0</v>
      </c>
      <c r="AO54" s="984">
        <v>0</v>
      </c>
      <c r="AP54" s="985" t="s">
        <v>88</v>
      </c>
      <c r="AQ54" s="986" t="s">
        <v>88</v>
      </c>
      <c r="AR54" s="987">
        <f>_xlfn.IFS(职业数据!AE22&gt;=6,3,职业数据!AE22&gt;=5,2,1,0)+IF(AND(职业数据!AG12&gt;=5,职业数据!AG12&lt;=6),2,0)</f>
        <v>0</v>
      </c>
      <c r="AS54" s="988"/>
      <c r="AW54" s="897" t="s">
        <v>182</v>
      </c>
      <c r="AX54" s="899"/>
      <c r="AY54" s="998"/>
      <c r="AZ54" s="998"/>
      <c r="BA54" s="998"/>
      <c r="BB54" s="998"/>
      <c r="BC54" s="998"/>
      <c r="BD54" s="998"/>
      <c r="BE54" s="998"/>
      <c r="BF54" s="998"/>
      <c r="BG54" s="998"/>
      <c r="BH54" s="998"/>
      <c r="BI54" s="998"/>
      <c r="BJ54" s="998"/>
      <c r="BK54" s="998"/>
      <c r="BL54" s="998"/>
      <c r="BM54" s="998"/>
      <c r="BN54" s="998"/>
      <c r="BO54" s="998"/>
      <c r="BP54" s="998"/>
    </row>
    <row r="55" ht="16.95" customHeight="1" spans="1:69">
      <c r="A55" s="773"/>
      <c r="C55" s="897" t="s">
        <v>183</v>
      </c>
      <c r="D55" s="898"/>
      <c r="E55" s="899"/>
      <c r="F55" s="900"/>
      <c r="G55" s="901"/>
      <c r="H55" s="619" t="s">
        <v>77</v>
      </c>
      <c r="I55" s="902">
        <f>$R$18+IF(综合数据!Q15=TRUE,$U$9,0)+F55</f>
        <v>-1</v>
      </c>
      <c r="J55" s="903"/>
      <c r="K55" s="904"/>
      <c r="L55" s="999"/>
      <c r="M55" s="1000"/>
      <c r="N55" s="619" t="s">
        <v>77</v>
      </c>
      <c r="O55" s="1001"/>
      <c r="P55" s="930"/>
      <c r="Q55" s="930"/>
      <c r="R55" s="930"/>
      <c r="S55" s="930"/>
      <c r="T55" s="961"/>
      <c r="U55" s="962"/>
      <c r="V55" s="962"/>
      <c r="W55" s="962"/>
      <c r="X55" s="962"/>
      <c r="Y55" s="963"/>
      <c r="Z55" s="912"/>
      <c r="AA55" s="912"/>
      <c r="AB55" s="912"/>
      <c r="AC55" s="922"/>
      <c r="AE55" s="683" t="s">
        <v>184</v>
      </c>
      <c r="AF55" s="683"/>
      <c r="AG55" s="683"/>
      <c r="AH55" s="683"/>
      <c r="AI55" s="683"/>
      <c r="AJ55" s="683"/>
      <c r="AK55" s="1002" t="s">
        <v>131</v>
      </c>
      <c r="AL55" s="1003"/>
      <c r="AM55" s="982">
        <v>4</v>
      </c>
      <c r="AN55" s="983">
        <v>0</v>
      </c>
      <c r="AO55" s="984">
        <v>0</v>
      </c>
      <c r="AP55" s="985" t="s">
        <v>88</v>
      </c>
      <c r="AQ55" s="986" t="s">
        <v>88</v>
      </c>
      <c r="AR55" s="987">
        <f>_xlfn.IFS(职业数据!AE22&gt;=9,3,职业数据!AE22&gt;=8,2,职业数据!AE22&gt;=7,1,1,0)+IF(AND(职业数据!AG12&gt;=7,职业数据!AG12&lt;=8),2,0)</f>
        <v>0</v>
      </c>
      <c r="AS55" s="988"/>
      <c r="AV55" s="25"/>
      <c r="AW55" s="897" t="s">
        <v>185</v>
      </c>
      <c r="AX55" s="899"/>
      <c r="AY55" s="996"/>
      <c r="AZ55" s="996"/>
      <c r="BA55" s="996"/>
      <c r="BB55" s="996"/>
      <c r="BC55" s="996"/>
      <c r="BD55" s="996"/>
      <c r="BE55" s="996"/>
      <c r="BF55" s="996"/>
      <c r="BG55" s="996"/>
      <c r="BH55" s="996"/>
      <c r="BI55" s="996"/>
      <c r="BJ55" s="996"/>
      <c r="BK55" s="996"/>
      <c r="BL55" s="996"/>
      <c r="BM55" s="996"/>
      <c r="BN55" s="996"/>
      <c r="BO55" s="996"/>
      <c r="BP55" s="996"/>
    </row>
    <row r="56" ht="16.95" customHeight="1" spans="1:69">
      <c r="B56" s="891"/>
      <c r="C56" s="921" t="s">
        <v>186</v>
      </c>
      <c r="D56" s="921"/>
      <c r="E56" s="921"/>
      <c r="F56" s="891"/>
      <c r="G56" s="891"/>
      <c r="H56" s="922"/>
      <c r="I56" s="923"/>
      <c r="J56" s="923"/>
      <c r="L56" s="1004" t="s">
        <v>187</v>
      </c>
      <c r="M56" s="1005"/>
      <c r="N56" s="1005"/>
      <c r="O56" s="1006">
        <v>15</v>
      </c>
      <c r="P56" s="1007"/>
      <c r="Q56" s="31"/>
      <c r="R56" s="965" t="s">
        <v>188</v>
      </c>
      <c r="S56" s="965"/>
      <c r="T56" s="965"/>
      <c r="U56" s="965"/>
      <c r="V56" s="965"/>
      <c r="W56" s="965"/>
      <c r="X56" s="31"/>
      <c r="Y56" s="31"/>
      <c r="Z56" s="31"/>
      <c r="AA56" s="31"/>
      <c r="AB56" s="31"/>
      <c r="AC56" s="31"/>
      <c r="AE56" s="1008" t="s">
        <v>189</v>
      </c>
      <c r="AF56" s="1009"/>
      <c r="AG56" s="759"/>
      <c r="AH56" s="723"/>
      <c r="AI56" s="723"/>
      <c r="AJ56" s="723"/>
      <c r="AK56" s="724"/>
      <c r="AL56" s="619"/>
      <c r="AM56" s="982">
        <v>5</v>
      </c>
      <c r="AN56" s="983">
        <v>0</v>
      </c>
      <c r="AO56" s="984">
        <v>0</v>
      </c>
      <c r="AP56" s="985" t="s">
        <v>88</v>
      </c>
      <c r="AQ56" s="986" t="s">
        <v>88</v>
      </c>
      <c r="AR56" s="987">
        <f>_xlfn.IFS(职业数据!AE22&gt;=18,3,职业数据!AE22&gt;=10,2,职业数据!AE22&gt;=9,1,1,0)+_xlfn.IFS(职业数据!AG12&gt;=17,4,职业数据!AG12&gt;=11,3,职业数据!AG12&gt;=9,2,1,0)</f>
        <v>0</v>
      </c>
      <c r="AS56" s="988"/>
      <c r="AU56" s="25"/>
      <c r="AY56" s="772" t="s">
        <v>70</v>
      </c>
      <c r="AZ56" s="772"/>
      <c r="BB56" s="4" t="s">
        <v>71</v>
      </c>
      <c r="BC56" s="4"/>
      <c r="BD56" s="4" t="s">
        <v>72</v>
      </c>
      <c r="BE56" s="4"/>
      <c r="BG56" s="772" t="s">
        <v>74</v>
      </c>
      <c r="BH56" s="772"/>
      <c r="BI56" s="25"/>
      <c r="BJ56" s="1010" t="s">
        <v>190</v>
      </c>
      <c r="BK56" s="1010"/>
      <c r="BL56" s="1010"/>
      <c r="BM56" s="1010"/>
      <c r="BN56" s="1010"/>
      <c r="BO56" s="1010"/>
      <c r="BP56" s="1010"/>
    </row>
    <row r="57" ht="16.95" customHeight="1" spans="1:69">
      <c r="A57" s="773"/>
      <c r="C57" s="897" t="s">
        <v>191</v>
      </c>
      <c r="D57" s="898"/>
      <c r="E57" s="899"/>
      <c r="F57" s="900"/>
      <c r="G57" s="901"/>
      <c r="H57" s="619" t="s">
        <v>77</v>
      </c>
      <c r="I57" s="902">
        <f>$R$19+IF(综合数据!Q16=TRUE,$U$9,0)+F57</f>
        <v>-1</v>
      </c>
      <c r="J57" s="903"/>
      <c r="L57" s="865" t="s">
        <v>109</v>
      </c>
      <c r="M57" s="710"/>
      <c r="N57" s="866"/>
      <c r="O57" s="865" t="s">
        <v>192</v>
      </c>
      <c r="P57" s="710"/>
      <c r="Q57" s="866"/>
      <c r="R57" s="865" t="s">
        <v>193</v>
      </c>
      <c r="S57" s="710"/>
      <c r="T57" s="866"/>
      <c r="U57" s="1011" t="s">
        <v>77</v>
      </c>
      <c r="V57" s="865" t="s">
        <v>194</v>
      </c>
      <c r="W57" s="710"/>
      <c r="X57" s="710"/>
      <c r="Y57" s="866"/>
      <c r="Z57" s="1011" t="s">
        <v>67</v>
      </c>
      <c r="AA57" s="865" t="s">
        <v>195</v>
      </c>
      <c r="AB57" s="710"/>
      <c r="AC57" s="866"/>
      <c r="AD57" s="1011" t="s">
        <v>67</v>
      </c>
      <c r="AE57" s="1012" t="s">
        <v>196</v>
      </c>
      <c r="AF57" s="1013"/>
      <c r="AG57" s="956"/>
      <c r="AH57" s="973"/>
      <c r="AI57" s="973"/>
      <c r="AJ57" s="973"/>
      <c r="AK57" s="957"/>
      <c r="AL57" s="619"/>
      <c r="AM57" s="982">
        <v>6</v>
      </c>
      <c r="AN57" s="983">
        <v>1</v>
      </c>
      <c r="AO57" s="984">
        <v>0</v>
      </c>
      <c r="AP57" s="985" t="s">
        <v>88</v>
      </c>
      <c r="AQ57" s="986" t="s">
        <v>88</v>
      </c>
      <c r="AR57" s="987">
        <f>_xlfn.IFS(职业数据!AE22&gt;=19,3,职业数据!AE22&gt;=11,1,1,0)</f>
        <v>0</v>
      </c>
      <c r="AS57" s="988"/>
      <c r="AU57" s="1014"/>
      <c r="AW57" s="1015" t="s">
        <v>197</v>
      </c>
      <c r="AX57" s="1016"/>
      <c r="AY57" s="1017">
        <f>SUM(BB57:BE57)</f>
        <v>8</v>
      </c>
      <c r="AZ57" s="1018"/>
      <c r="BA57" s="1019" t="s">
        <v>67</v>
      </c>
      <c r="BB57" s="783">
        <v>8</v>
      </c>
      <c r="BC57" s="783"/>
      <c r="BD57" s="783"/>
      <c r="BE57" s="783"/>
      <c r="BF57" s="1020" t="s">
        <v>77</v>
      </c>
      <c r="BG57" s="1021">
        <f>INT(AY57/2-5)</f>
        <v>-1</v>
      </c>
      <c r="BH57" s="1022"/>
      <c r="BI57" s="25"/>
      <c r="BK57" s="755" t="s">
        <v>198</v>
      </c>
      <c r="BL57" s="755"/>
      <c r="BO57" s="755" t="s">
        <v>199</v>
      </c>
      <c r="BP57" s="755"/>
    </row>
    <row r="58" ht="16.95" customHeight="1" spans="1:69">
      <c r="A58" s="773"/>
      <c r="C58" s="897" t="s">
        <v>200</v>
      </c>
      <c r="D58" s="898"/>
      <c r="E58" s="899"/>
      <c r="F58" s="900"/>
      <c r="G58" s="901"/>
      <c r="H58" s="619" t="s">
        <v>77</v>
      </c>
      <c r="I58" s="902">
        <f>$R$19+IF(综合数据!Q17=TRUE,$U$9,0)+F58</f>
        <v>-1</v>
      </c>
      <c r="J58" s="903"/>
      <c r="L58" s="1023">
        <f>SUM(AA47:AB55,Y41:Z45,Y39,AR39,IF(综合数据!Q20=TRUE,装备数据!AD1,0))</f>
        <v>0</v>
      </c>
      <c r="M58" s="1024"/>
      <c r="N58" s="1025"/>
      <c r="O58" s="1023">
        <f>背包!V3</f>
        <v>5</v>
      </c>
      <c r="P58" s="1026"/>
      <c r="Q58" s="1025"/>
      <c r="R58" s="1023">
        <f>背包!AS3</f>
        <v>1</v>
      </c>
      <c r="S58" s="1024"/>
      <c r="T58" s="1025"/>
      <c r="U58" s="1011"/>
      <c r="V58" s="1027">
        <f>SUM(L58:T58)+AA58+AA60</f>
        <v>6</v>
      </c>
      <c r="W58" s="1028"/>
      <c r="X58" s="1028"/>
      <c r="Y58" s="1029"/>
      <c r="Z58" s="1011"/>
      <c r="AA58" s="1023">
        <f>IF(综合数据!Q21=TRUE,SUM(AG56:AK60)/50,0)</f>
        <v>0</v>
      </c>
      <c r="AB58" s="1024"/>
      <c r="AC58" s="1025"/>
      <c r="AD58" s="1011"/>
      <c r="AE58" s="1030" t="s">
        <v>201</v>
      </c>
      <c r="AF58" s="1031"/>
      <c r="AG58" s="759"/>
      <c r="AH58" s="723"/>
      <c r="AI58" s="723"/>
      <c r="AJ58" s="723"/>
      <c r="AK58" s="724"/>
      <c r="AL58" s="619"/>
      <c r="AM58" s="982">
        <v>7</v>
      </c>
      <c r="AN58" s="983">
        <v>0</v>
      </c>
      <c r="AO58" s="984">
        <v>0</v>
      </c>
      <c r="AP58" s="985" t="s">
        <v>88</v>
      </c>
      <c r="AQ58" s="986" t="s">
        <v>88</v>
      </c>
      <c r="AR58" s="987">
        <f>_xlfn.IFS(职业数据!AE22=20,2,职业数据!AE22&gt;=13,1,1,0)</f>
        <v>0</v>
      </c>
      <c r="AS58" s="988"/>
      <c r="AU58" s="1014"/>
      <c r="AW58" s="989" t="s">
        <v>202</v>
      </c>
      <c r="AX58" s="989"/>
      <c r="AY58" s="776">
        <f>SUM(BB58:BE58)</f>
        <v>8</v>
      </c>
      <c r="AZ58" s="776"/>
      <c r="BA58" s="1019" t="s">
        <v>67</v>
      </c>
      <c r="BB58" s="783">
        <v>8</v>
      </c>
      <c r="BC58" s="783"/>
      <c r="BD58" s="783"/>
      <c r="BE58" s="783"/>
      <c r="BF58" s="1020" t="s">
        <v>77</v>
      </c>
      <c r="BG58" s="782">
        <f>INT(AY58/2-5)</f>
        <v>-1</v>
      </c>
      <c r="BH58" s="782"/>
      <c r="BI58" s="25"/>
      <c r="BK58" s="755" t="s">
        <v>203</v>
      </c>
      <c r="BL58" s="755"/>
    </row>
    <row r="59" ht="16.95" customHeight="1" spans="1:69">
      <c r="A59" s="773"/>
      <c r="C59" s="897" t="s">
        <v>204</v>
      </c>
      <c r="D59" s="898"/>
      <c r="E59" s="899"/>
      <c r="F59" s="900"/>
      <c r="G59" s="901"/>
      <c r="H59" s="619" t="s">
        <v>77</v>
      </c>
      <c r="I59" s="902">
        <f>$R$19+IF(综合数据!Q18=TRUE,$U$9,0)+F59</f>
        <v>-1</v>
      </c>
      <c r="J59" s="903"/>
      <c r="L59" s="865" t="s">
        <v>205</v>
      </c>
      <c r="M59" s="710"/>
      <c r="N59" s="710"/>
      <c r="O59" s="710"/>
      <c r="P59" s="1032" t="s">
        <v>88</v>
      </c>
      <c r="Q59" s="866" t="s">
        <v>206</v>
      </c>
      <c r="R59" s="719"/>
      <c r="S59" s="719"/>
      <c r="T59" s="719"/>
      <c r="V59" s="865" t="s">
        <v>175</v>
      </c>
      <c r="W59" s="710"/>
      <c r="X59" s="710"/>
      <c r="Y59" s="866"/>
      <c r="AA59" s="865" t="s">
        <v>207</v>
      </c>
      <c r="AB59" s="710"/>
      <c r="AC59" s="866"/>
      <c r="AE59" s="1033" t="s">
        <v>208</v>
      </c>
      <c r="AF59" s="1034"/>
      <c r="AG59" s="956"/>
      <c r="AH59" s="973"/>
      <c r="AI59" s="973"/>
      <c r="AJ59" s="973"/>
      <c r="AK59" s="957"/>
      <c r="AL59" s="619"/>
      <c r="AM59" s="982">
        <v>8</v>
      </c>
      <c r="AN59" s="983">
        <v>1</v>
      </c>
      <c r="AO59" s="984">
        <v>0</v>
      </c>
      <c r="AP59" s="985" t="s">
        <v>88</v>
      </c>
      <c r="AQ59" s="986" t="s">
        <v>88</v>
      </c>
      <c r="AR59" s="987">
        <f>IF(职业数据!AE22&gt;=15,1,0)</f>
        <v>0</v>
      </c>
      <c r="AS59" s="988"/>
      <c r="AU59" s="1014"/>
    </row>
    <row r="60" ht="16.95" customHeight="1" spans="1:69">
      <c r="A60" s="773"/>
      <c r="C60" s="897" t="s">
        <v>209</v>
      </c>
      <c r="D60" s="898"/>
      <c r="E60" s="899"/>
      <c r="F60" s="900"/>
      <c r="G60" s="901"/>
      <c r="H60" s="619" t="s">
        <v>77</v>
      </c>
      <c r="I60" s="902">
        <f>$R$19+IF(综合数据!Q19=TRUE,$U$9,0)+F60</f>
        <v>-1</v>
      </c>
      <c r="J60" s="903"/>
      <c r="K60" s="1035"/>
      <c r="L60" s="1023">
        <f>F14*O56*IF(OR(种族数据!V3=种族数据!A12,种族数据!V3=种族数据!A13,种族数据!V4=种族数据!B18,种族数据!V3=种族数据!A20,种族数据!V3=种族数据!A25,COUNTIF(职业数据!$BG$2:$BG$44,职业数据!B44)),2,1)</f>
        <v>120</v>
      </c>
      <c r="M60" s="1024"/>
      <c r="N60" s="1024"/>
      <c r="O60" s="1024"/>
      <c r="P60" s="1036" t="s">
        <v>88</v>
      </c>
      <c r="Q60" s="1025">
        <f>L60*2</f>
        <v>240</v>
      </c>
      <c r="R60" s="1037"/>
      <c r="S60" s="1037"/>
      <c r="T60" s="1037"/>
      <c r="V60" s="1027" t="str">
        <f>_xlfn.IFS(V58&gt;Q60,"超载",V58&gt;L60,"重载",1,"轻载")</f>
        <v>轻载</v>
      </c>
      <c r="W60" s="1028"/>
      <c r="X60" s="1028"/>
      <c r="Y60" s="1029"/>
      <c r="AA60" s="1023">
        <f>IF(背包!B27="无效",0,15)+IF(背包!Y27="无效",0,5)</f>
        <v>0</v>
      </c>
      <c r="AB60" s="1024"/>
      <c r="AC60" s="1025"/>
      <c r="AD60" s="1035"/>
      <c r="AE60" s="1038" t="s">
        <v>210</v>
      </c>
      <c r="AF60" s="1039"/>
      <c r="AG60" s="759"/>
      <c r="AH60" s="723"/>
      <c r="AI60" s="723"/>
      <c r="AJ60" s="723"/>
      <c r="AK60" s="724"/>
      <c r="AL60" s="619"/>
      <c r="AM60" s="982">
        <v>9</v>
      </c>
      <c r="AN60" s="983">
        <v>0</v>
      </c>
      <c r="AO60" s="984">
        <v>0</v>
      </c>
      <c r="AP60" s="985" t="s">
        <v>88</v>
      </c>
      <c r="AQ60" s="986" t="s">
        <v>88</v>
      </c>
      <c r="AR60" s="987">
        <f>IF(职业数据!AE22&gt;=17,1,0)</f>
        <v>0</v>
      </c>
      <c r="AS60" s="988"/>
      <c r="AU60" s="1014"/>
      <c r="AV60" s="2" t="s">
        <v>211</v>
      </c>
      <c r="AW60" s="2"/>
      <c r="AX60" s="2"/>
      <c r="AY60" s="2"/>
      <c r="AZ60" s="2"/>
      <c r="BA60" s="2"/>
      <c r="BB60" s="2"/>
      <c r="BC60" s="2"/>
      <c r="BD60" s="2"/>
      <c r="BE60" s="2"/>
      <c r="BF60" s="2"/>
      <c r="BG60" s="2"/>
      <c r="BH60" s="2"/>
      <c r="BI60" s="2"/>
      <c r="BJ60" s="2"/>
      <c r="BK60" s="2"/>
      <c r="BL60" s="2"/>
      <c r="BM60" s="2"/>
      <c r="BN60" s="2"/>
      <c r="BO60" s="2"/>
      <c r="BP60" s="2"/>
      <c r="BQ60" s="2"/>
    </row>
    <row r="61" ht="16.95" customHeight="1" spans="1:69">
      <c r="B61" s="772" t="s">
        <v>212</v>
      </c>
      <c r="C61" s="772"/>
      <c r="D61" s="772"/>
      <c r="E61" s="772"/>
      <c r="F61" s="772"/>
      <c r="G61" s="772"/>
      <c r="H61" s="772"/>
      <c r="I61" s="772"/>
      <c r="J61" s="772"/>
      <c r="K61" s="772"/>
      <c r="L61" s="772"/>
      <c r="N61" s="836" t="s">
        <v>116</v>
      </c>
      <c r="O61" s="836"/>
      <c r="P61" s="836"/>
      <c r="Q61" s="836" t="s">
        <v>213</v>
      </c>
      <c r="R61" s="836"/>
      <c r="S61" s="836"/>
      <c r="T61" s="836"/>
      <c r="U61" s="836"/>
      <c r="V61" s="836"/>
      <c r="W61" s="31" t="s">
        <v>214</v>
      </c>
      <c r="X61" s="31"/>
      <c r="Y61" s="31"/>
      <c r="Z61" s="31"/>
      <c r="AA61" s="31"/>
      <c r="AB61" s="31"/>
      <c r="AC61" s="31" t="s">
        <v>215</v>
      </c>
      <c r="AD61" s="31"/>
      <c r="AE61" s="31"/>
      <c r="AF61" s="31"/>
      <c r="AG61" s="31"/>
      <c r="AH61" s="31"/>
      <c r="AI61" s="965" t="s">
        <v>216</v>
      </c>
      <c r="AJ61" s="965"/>
      <c r="AK61" s="965"/>
      <c r="AL61" s="965"/>
      <c r="AM61" s="965"/>
      <c r="AN61" s="965"/>
      <c r="AO61" s="31" t="s">
        <v>217</v>
      </c>
      <c r="AP61" s="31"/>
      <c r="AQ61" s="31"/>
      <c r="AR61" s="31"/>
      <c r="AS61" s="31"/>
      <c r="AT61" s="31"/>
      <c r="AV61" s="706"/>
      <c r="AW61" s="706"/>
      <c r="AX61" s="706"/>
      <c r="AY61" s="706"/>
      <c r="AZ61" s="706"/>
      <c r="BA61" s="706"/>
      <c r="BB61" s="706"/>
      <c r="BC61" s="706"/>
      <c r="BD61" s="706"/>
      <c r="BE61" s="706"/>
      <c r="BF61" s="706"/>
      <c r="BG61" s="706"/>
      <c r="BH61" s="706"/>
      <c r="BI61" s="706"/>
      <c r="BJ61" s="706"/>
      <c r="BK61" s="706"/>
      <c r="BL61" s="706"/>
      <c r="BM61" s="706"/>
      <c r="BN61" s="706"/>
      <c r="BO61" s="706"/>
      <c r="BP61" s="706"/>
      <c r="BQ61" s="706"/>
    </row>
    <row r="62" ht="16.95" customHeight="1" spans="1:69">
      <c r="B62" s="900"/>
      <c r="C62" s="1040"/>
      <c r="D62" s="1040"/>
      <c r="E62" s="1040"/>
      <c r="F62" s="1040"/>
      <c r="G62" s="901"/>
      <c r="H62" s="940" t="s">
        <v>216</v>
      </c>
      <c r="I62" s="1041"/>
      <c r="J62" s="1041"/>
      <c r="K62" s="1041"/>
      <c r="L62" s="1042"/>
      <c r="M62" s="619" t="s">
        <v>77</v>
      </c>
      <c r="N62" s="970">
        <f>B62/50</f>
        <v>0</v>
      </c>
      <c r="O62" s="1043"/>
      <c r="P62" s="1044"/>
      <c r="Q62" s="970">
        <f>综合数据!O21*100</f>
        <v>0</v>
      </c>
      <c r="R62" s="1043"/>
      <c r="S62" s="1043"/>
      <c r="T62" s="1043"/>
      <c r="U62" s="1043"/>
      <c r="V62" s="1044"/>
      <c r="W62" s="970">
        <f>综合数据!O21*10</f>
        <v>0</v>
      </c>
      <c r="X62" s="1043"/>
      <c r="Y62" s="1043"/>
      <c r="Z62" s="1043"/>
      <c r="AA62" s="1043"/>
      <c r="AB62" s="1044"/>
      <c r="AC62" s="970">
        <f>综合数据!O21*2</f>
        <v>0</v>
      </c>
      <c r="AD62" s="1043"/>
      <c r="AE62" s="1043"/>
      <c r="AF62" s="1043"/>
      <c r="AG62" s="1043"/>
      <c r="AH62" s="1044"/>
      <c r="AI62" s="970">
        <f>综合数据!O21</f>
        <v>0</v>
      </c>
      <c r="AJ62" s="1043"/>
      <c r="AK62" s="1043"/>
      <c r="AL62" s="1043"/>
      <c r="AM62" s="1043"/>
      <c r="AN62" s="1044"/>
      <c r="AO62" s="970">
        <f>综合数据!O21/10</f>
        <v>0</v>
      </c>
      <c r="AP62" s="1043"/>
      <c r="AQ62" s="1043"/>
      <c r="AR62" s="1043"/>
      <c r="AS62" s="1043"/>
      <c r="AT62" s="1044"/>
      <c r="AW62" s="865" t="s">
        <v>218</v>
      </c>
      <c r="AX62" s="866"/>
      <c r="AY62" s="759"/>
      <c r="AZ62" s="723"/>
      <c r="BA62" s="723"/>
      <c r="BB62" s="723"/>
      <c r="BC62" s="723"/>
      <c r="BD62" s="723"/>
      <c r="BE62" s="723"/>
      <c r="BF62" s="724"/>
      <c r="BG62" s="865" t="s">
        <v>41</v>
      </c>
      <c r="BH62" s="866"/>
      <c r="BI62" s="759"/>
      <c r="BJ62" s="723"/>
      <c r="BK62" s="723"/>
      <c r="BL62" s="723"/>
      <c r="BM62" s="723"/>
      <c r="BN62" s="723"/>
      <c r="BO62" s="723"/>
      <c r="BP62" s="724"/>
    </row>
    <row r="63" ht="16.95" customHeight="1" spans="1:69">
      <c r="AE63" s="608"/>
      <c r="AF63" s="608"/>
      <c r="AG63" s="608"/>
      <c r="AH63" s="608"/>
      <c r="AP63" s="766"/>
      <c r="AQ63" s="766"/>
      <c r="AR63" s="766"/>
      <c r="AS63" s="766"/>
      <c r="AT63" s="766"/>
      <c r="AW63" s="719" t="s">
        <v>102</v>
      </c>
      <c r="AX63" s="719"/>
      <c r="AY63" s="689"/>
      <c r="AZ63" s="689"/>
      <c r="BA63" s="689"/>
      <c r="BB63" s="689"/>
      <c r="BC63" s="719" t="s">
        <v>219</v>
      </c>
      <c r="BD63" s="719"/>
      <c r="BE63" s="1045"/>
      <c r="BF63" s="1045"/>
      <c r="BG63" s="1045"/>
      <c r="BH63" s="1045"/>
      <c r="BI63" s="1045"/>
      <c r="BJ63" s="719" t="s">
        <v>59</v>
      </c>
      <c r="BK63" s="719"/>
      <c r="BL63" s="1046"/>
      <c r="BM63" s="1047"/>
      <c r="BN63" s="1047"/>
      <c r="BO63" s="1047"/>
      <c r="BP63" s="1048"/>
    </row>
    <row r="64" ht="16.95" customHeight="1" spans="1:69">
      <c r="B64" s="767"/>
      <c r="C64" s="887" t="str">
        <f>IF(法术数据!AO47&gt;1,"有重复法术","")</f>
        <v/>
      </c>
      <c r="D64" s="887"/>
      <c r="E64" s="887"/>
      <c r="F64" s="887"/>
      <c r="G64" s="887"/>
      <c r="H64" s="767"/>
      <c r="I64" s="2" t="s">
        <v>220</v>
      </c>
      <c r="J64" s="2"/>
      <c r="K64" s="2"/>
      <c r="L64" s="2"/>
      <c r="M64" s="2"/>
      <c r="N64" s="2"/>
      <c r="O64" s="767"/>
      <c r="P64" s="889" t="str">
        <f>IF(法术数据!AQ47=0,"","有"&amp;法术数据!AQ47&amp;"个法术需要专注")</f>
        <v/>
      </c>
      <c r="Q64" s="889"/>
      <c r="R64" s="889"/>
      <c r="S64" s="889"/>
      <c r="T64" s="889"/>
      <c r="U64" s="889"/>
      <c r="W64" s="767"/>
      <c r="X64" s="889" t="s">
        <v>221</v>
      </c>
      <c r="Y64" s="889"/>
      <c r="Z64" s="767"/>
      <c r="AA64" s="767"/>
      <c r="AB64" s="767"/>
      <c r="AC64" s="767"/>
      <c r="AD64" s="767"/>
      <c r="AE64" s="2" t="s">
        <v>222</v>
      </c>
      <c r="AF64" s="2"/>
      <c r="AG64" s="2"/>
      <c r="AH64" s="2"/>
      <c r="AI64" s="2"/>
      <c r="AJ64" s="2"/>
      <c r="AK64" s="2"/>
      <c r="AL64" s="767"/>
      <c r="AM64" s="767"/>
      <c r="AN64" s="767"/>
      <c r="AO64" s="767"/>
      <c r="AP64" s="767"/>
      <c r="AQ64" s="767"/>
      <c r="AR64" s="767"/>
      <c r="AS64" s="767"/>
      <c r="AT64" s="766"/>
      <c r="BM64" s="4"/>
      <c r="BN64" s="4"/>
      <c r="BO64" s="4" t="s">
        <v>60</v>
      </c>
      <c r="BP64" s="4"/>
    </row>
    <row r="65" ht="16.95" customHeight="1" spans="2:69">
      <c r="B65" s="31" t="s">
        <v>223</v>
      </c>
      <c r="C65" s="683" t="s">
        <v>224</v>
      </c>
      <c r="D65" s="683"/>
      <c r="E65" s="683"/>
      <c r="F65" s="683"/>
      <c r="G65" s="683"/>
      <c r="H65" s="31"/>
      <c r="I65" s="31" t="s">
        <v>223</v>
      </c>
      <c r="J65" s="683" t="s">
        <v>224</v>
      </c>
      <c r="K65" s="683"/>
      <c r="L65" s="683"/>
      <c r="M65" s="683"/>
      <c r="N65" s="683"/>
      <c r="O65" s="31"/>
      <c r="P65" s="31" t="s">
        <v>223</v>
      </c>
      <c r="Q65" s="683" t="s">
        <v>224</v>
      </c>
      <c r="R65" s="683"/>
      <c r="S65" s="683"/>
      <c r="T65" s="683"/>
      <c r="U65" s="683"/>
      <c r="W65" s="31" t="s">
        <v>225</v>
      </c>
      <c r="X65" s="31"/>
      <c r="Y65" s="31"/>
      <c r="Z65" s="31"/>
      <c r="AA65" s="31"/>
      <c r="AB65" s="31"/>
      <c r="AC65" s="31"/>
      <c r="AE65" s="683" t="s">
        <v>226</v>
      </c>
      <c r="AF65" s="683"/>
      <c r="AH65" s="683" t="s">
        <v>227</v>
      </c>
      <c r="AI65" s="683"/>
      <c r="AK65" s="31" t="s">
        <v>228</v>
      </c>
      <c r="AL65" s="31"/>
      <c r="AM65" s="31"/>
      <c r="AN65" s="31"/>
      <c r="AO65" s="31"/>
      <c r="AP65" s="31"/>
      <c r="AQ65" s="31"/>
      <c r="AR65" s="31"/>
      <c r="AS65" s="31"/>
      <c r="AT65" s="766"/>
      <c r="AW65" s="865" t="s">
        <v>90</v>
      </c>
      <c r="AX65" s="866"/>
      <c r="AY65" s="1049"/>
      <c r="AZ65" s="1050"/>
      <c r="BB65" s="865" t="s">
        <v>103</v>
      </c>
      <c r="BC65" s="866"/>
      <c r="BD65" s="1051"/>
      <c r="BE65" s="1052"/>
      <c r="BF65" s="1052"/>
      <c r="BG65" s="1052"/>
      <c r="BH65" s="1052"/>
      <c r="BI65" s="1053"/>
      <c r="BJ65" s="766"/>
      <c r="BK65" s="865" t="s">
        <v>226</v>
      </c>
      <c r="BL65" s="866"/>
      <c r="BM65" s="1049"/>
      <c r="BN65" s="1050"/>
      <c r="BO65" s="1054">
        <f>IFERROR(ROUNDUP(Y3/4,)+1,2)</f>
        <v>2</v>
      </c>
      <c r="BP65" s="1055"/>
    </row>
    <row r="66" ht="16.95" customHeight="1" spans="2:69">
      <c r="B66" s="1056" t="str">
        <f>法术数据!AP2</f>
        <v/>
      </c>
      <c r="C66" s="1057"/>
      <c r="D66" s="1058"/>
      <c r="E66" s="1058"/>
      <c r="F66" s="1058"/>
      <c r="G66" s="1059"/>
      <c r="I66" s="1056" t="str">
        <f>法术数据!AP17</f>
        <v/>
      </c>
      <c r="J66" s="1060"/>
      <c r="K66" s="1061"/>
      <c r="L66" s="1061"/>
      <c r="M66" s="1061"/>
      <c r="N66" s="1062"/>
      <c r="P66" s="1056" t="str">
        <f>法术数据!AP32</f>
        <v/>
      </c>
      <c r="Q66" s="1060"/>
      <c r="R66" s="1061"/>
      <c r="S66" s="1061"/>
      <c r="T66" s="1061"/>
      <c r="U66" s="1062"/>
      <c r="W66" s="1063"/>
      <c r="X66" s="1063"/>
      <c r="Y66" s="1063"/>
      <c r="Z66" s="1063"/>
      <c r="AA66" s="1063"/>
      <c r="AB66" s="1063"/>
      <c r="AC66" s="1063"/>
      <c r="AE66" s="929" t="str">
        <f>IF(W66="","",VLOOKUP(VLOOKUP(W66,法术数据!B:P,15,FALSE),CHOOSE({1,2},法术数据!AI2:AI11,法术数据!AH2:AH11),2,FALSE))</f>
        <v/>
      </c>
      <c r="AF66" s="1064"/>
      <c r="AH66" s="929" t="str">
        <f>IF(W66="","",VLOOKUP(W66,法术数据!B:E,4,0))</f>
        <v/>
      </c>
      <c r="AI66" s="1064"/>
      <c r="AK66" s="1056" t="str">
        <f>IF(W66="","",VLOOKUP(W66,法术数据!B:G,6,0))</f>
        <v/>
      </c>
      <c r="AL66" s="1056"/>
      <c r="AM66" s="1056"/>
      <c r="AN66" s="1056"/>
      <c r="AO66" s="1056"/>
      <c r="AP66" s="1056"/>
      <c r="AQ66" s="1056"/>
      <c r="AR66" s="1056"/>
      <c r="AS66" s="1056"/>
      <c r="AT66" s="766"/>
      <c r="AV66" s="1065"/>
      <c r="AW66" s="1065"/>
      <c r="AX66" s="1065"/>
      <c r="AY66" s="1065"/>
      <c r="AZ66" s="1065"/>
      <c r="BA66" s="1065"/>
      <c r="BB66" s="1065"/>
      <c r="BC66" s="1065"/>
      <c r="BD66" s="1065"/>
      <c r="BE66" s="1065"/>
      <c r="BF66" s="1065"/>
      <c r="BG66" s="1065"/>
      <c r="BH66" s="1065"/>
      <c r="BI66" s="1065"/>
      <c r="BJ66" s="1065"/>
      <c r="BK66" s="1065"/>
      <c r="BL66" s="1065"/>
      <c r="BM66" s="1065"/>
      <c r="BN66" s="1065"/>
      <c r="BO66" s="1065"/>
      <c r="BP66" s="1065"/>
      <c r="BQ66" s="1065"/>
    </row>
    <row r="67" ht="16.95" customHeight="1" spans="2:69">
      <c r="B67" s="1056" t="str">
        <f>法术数据!AP3</f>
        <v/>
      </c>
      <c r="C67" s="1057"/>
      <c r="D67" s="1058"/>
      <c r="E67" s="1058"/>
      <c r="F67" s="1058"/>
      <c r="G67" s="1059"/>
      <c r="I67" s="1056" t="str">
        <f>法术数据!AP18</f>
        <v/>
      </c>
      <c r="J67" s="1060"/>
      <c r="K67" s="1061"/>
      <c r="L67" s="1061"/>
      <c r="M67" s="1061"/>
      <c r="N67" s="1062"/>
      <c r="P67" s="1056" t="str">
        <f>法术数据!AP33</f>
        <v/>
      </c>
      <c r="Q67" s="1060"/>
      <c r="R67" s="1061"/>
      <c r="S67" s="1061"/>
      <c r="T67" s="1061"/>
      <c r="U67" s="1062"/>
      <c r="W67" s="31" t="s">
        <v>229</v>
      </c>
      <c r="X67" s="31"/>
      <c r="Y67" s="31"/>
      <c r="Z67" s="31"/>
      <c r="AA67" s="31"/>
      <c r="AB67" s="31"/>
      <c r="AC67" s="31"/>
      <c r="AD67" s="31"/>
      <c r="AE67" s="31"/>
      <c r="AF67" s="31"/>
      <c r="AG67" s="31"/>
      <c r="AH67" s="31"/>
      <c r="AI67" s="31"/>
      <c r="AJ67" s="31"/>
      <c r="AK67" s="31"/>
      <c r="AL67" s="31"/>
      <c r="AM67" s="31"/>
      <c r="AN67" s="31"/>
      <c r="AO67" s="31"/>
      <c r="AP67" s="31"/>
      <c r="AQ67" s="31"/>
      <c r="AR67" s="31"/>
      <c r="AS67" s="31"/>
      <c r="AT67" s="766"/>
      <c r="AV67" s="1065"/>
      <c r="AW67" s="865" t="s">
        <v>87</v>
      </c>
      <c r="AX67" s="866"/>
      <c r="AY67" s="759"/>
      <c r="AZ67" s="723"/>
      <c r="BA67" s="723"/>
      <c r="BB67" s="1066" t="s">
        <v>88</v>
      </c>
      <c r="BC67" s="723"/>
      <c r="BD67" s="723"/>
      <c r="BE67" s="724"/>
      <c r="BF67" s="1065"/>
      <c r="BG67" s="865" t="s">
        <v>91</v>
      </c>
      <c r="BH67" s="866"/>
      <c r="BI67" s="1049"/>
      <c r="BJ67" s="1067"/>
      <c r="BK67" s="1066" t="s">
        <v>88</v>
      </c>
      <c r="BL67" s="1067"/>
      <c r="BM67" s="1050"/>
      <c r="BN67" s="1068"/>
      <c r="BO67" s="1069"/>
      <c r="BP67" s="1070"/>
      <c r="BQ67" s="1065"/>
    </row>
    <row r="68" ht="16.95" customHeight="1" spans="2:69">
      <c r="B68" s="1056" t="str">
        <f>法术数据!AP4</f>
        <v/>
      </c>
      <c r="C68" s="1057"/>
      <c r="D68" s="1058"/>
      <c r="E68" s="1058"/>
      <c r="F68" s="1058"/>
      <c r="G68" s="1059"/>
      <c r="I68" s="1056" t="str">
        <f>法术数据!AP19</f>
        <v/>
      </c>
      <c r="J68" s="1060"/>
      <c r="K68" s="1061"/>
      <c r="L68" s="1061"/>
      <c r="M68" s="1061"/>
      <c r="N68" s="1062"/>
      <c r="P68" s="1056" t="str">
        <f>法术数据!AP34</f>
        <v/>
      </c>
      <c r="Q68" s="1060"/>
      <c r="R68" s="1061"/>
      <c r="S68" s="1061"/>
      <c r="T68" s="1061"/>
      <c r="U68" s="1062"/>
      <c r="W68" s="1056" t="str">
        <f>IF(W66="","",VLOOKUP(W66,法术数据!B:F,5,0)&amp;IF(VLOOKUP(W66,法术数据!B:D,3,0)=1,"（仪式）",""))</f>
        <v/>
      </c>
      <c r="X68" s="1056"/>
      <c r="Y68" s="1056"/>
      <c r="Z68" s="1056"/>
      <c r="AA68" s="1056"/>
      <c r="AB68" s="1056"/>
      <c r="AC68" s="1056"/>
      <c r="AD68" s="1056"/>
      <c r="AE68" s="1056"/>
      <c r="AF68" s="1056"/>
      <c r="AG68" s="1056"/>
      <c r="AH68" s="1056"/>
      <c r="AI68" s="1056"/>
      <c r="AJ68" s="1056"/>
      <c r="AK68" s="1056"/>
      <c r="AL68" s="1056"/>
      <c r="AM68" s="1056"/>
      <c r="AN68" s="1056"/>
      <c r="AO68" s="1056"/>
      <c r="AP68" s="1056"/>
      <c r="AQ68" s="1056"/>
      <c r="AR68" s="1056"/>
      <c r="AS68" s="1056"/>
      <c r="AT68" s="766"/>
      <c r="AV68" s="1065"/>
      <c r="AW68" s="769" t="s">
        <v>60</v>
      </c>
      <c r="AX68" s="1065"/>
      <c r="AY68" s="1065"/>
      <c r="AZ68" s="836" t="s">
        <v>70</v>
      </c>
      <c r="BA68" s="836"/>
      <c r="BB68" s="1065"/>
      <c r="BC68" s="836" t="s">
        <v>61</v>
      </c>
      <c r="BD68" s="836"/>
      <c r="BE68" s="683" t="s">
        <v>74</v>
      </c>
      <c r="BF68" s="683"/>
      <c r="BG68" s="1065"/>
      <c r="BH68" s="1065"/>
      <c r="BI68" s="1065"/>
      <c r="BJ68" s="1065"/>
      <c r="BK68" s="1065"/>
      <c r="BL68" s="1065"/>
      <c r="BM68" s="1065"/>
      <c r="BN68" s="1065"/>
      <c r="BO68" s="1065"/>
      <c r="BP68" s="1065"/>
      <c r="BQ68" s="1065"/>
    </row>
    <row r="69" ht="16.95" customHeight="1" spans="2:69">
      <c r="B69" s="1056" t="str">
        <f>法术数据!AP5</f>
        <v/>
      </c>
      <c r="C69" s="1057"/>
      <c r="D69" s="1058"/>
      <c r="E69" s="1058"/>
      <c r="F69" s="1058"/>
      <c r="G69" s="1059"/>
      <c r="I69" s="1056" t="str">
        <f>法术数据!AP20</f>
        <v/>
      </c>
      <c r="J69" s="1060"/>
      <c r="K69" s="1061"/>
      <c r="L69" s="1061"/>
      <c r="M69" s="1061"/>
      <c r="N69" s="1062"/>
      <c r="P69" s="1056" t="str">
        <f>法术数据!AP35</f>
        <v/>
      </c>
      <c r="Q69" s="1060"/>
      <c r="R69" s="1061"/>
      <c r="S69" s="1061"/>
      <c r="T69" s="1061"/>
      <c r="U69" s="1062"/>
      <c r="W69" s="965" t="s">
        <v>230</v>
      </c>
      <c r="X69" s="965"/>
      <c r="Y69" s="965"/>
      <c r="Z69" s="965"/>
      <c r="AA69" s="965"/>
      <c r="AB69" s="965"/>
      <c r="AD69" s="836" t="s">
        <v>231</v>
      </c>
      <c r="AE69" s="836"/>
      <c r="AF69" s="836"/>
      <c r="AG69" s="836"/>
      <c r="AH69" s="836"/>
      <c r="AI69" s="836"/>
      <c r="AJ69" s="836"/>
      <c r="AK69" s="1071" t="str">
        <f>IF(W66="","",IF(VLOOKUP(W66,法术数据!B:H,7,0)=1," 言语 ","")&amp;IF(VLOOKUP(W66,法术数据!B:I,8,0)=1," 姿势 ","")&amp;IF(VLOOKUP(W66,法术数据!B:J,9,0)=1," 材料 ",""))</f>
        <v/>
      </c>
      <c r="AL69" s="1071"/>
      <c r="AM69" s="1071"/>
      <c r="AN69" s="1071"/>
      <c r="AO69" s="1071"/>
      <c r="AP69" s="1071"/>
      <c r="AQ69" s="1071"/>
      <c r="AR69" s="1071"/>
      <c r="AS69" s="1071"/>
      <c r="AT69" s="766"/>
      <c r="AV69" s="1065"/>
      <c r="AW69" s="1072" t="b">
        <v>0</v>
      </c>
      <c r="AX69" s="897" t="s">
        <v>76</v>
      </c>
      <c r="AY69" s="899"/>
      <c r="AZ69" s="1049">
        <v>8</v>
      </c>
      <c r="BA69" s="1050"/>
      <c r="BB69" s="1073" t="s">
        <v>77</v>
      </c>
      <c r="BC69" s="1074">
        <f t="shared" ref="BC69:BC74" si="2">INT(AZ69/2-5)</f>
        <v>-1</v>
      </c>
      <c r="BD69" s="1075"/>
      <c r="BE69" s="1076">
        <f t="shared" ref="BE69:BE74" si="3">INT(AZ69/2-5)+IF(AW69=TRUE,$BO$65,0)</f>
        <v>-1</v>
      </c>
      <c r="BF69" s="1077"/>
      <c r="BG69" s="1065"/>
      <c r="BH69" s="1078"/>
      <c r="BI69" s="1079"/>
      <c r="BJ69" s="1079"/>
      <c r="BK69" s="1079"/>
      <c r="BL69" s="1079"/>
      <c r="BM69" s="1079"/>
      <c r="BN69" s="1079"/>
      <c r="BO69" s="1079"/>
      <c r="BP69" s="1080"/>
      <c r="BQ69" s="1065"/>
    </row>
    <row r="70" ht="16.95" customHeight="1" spans="2:69">
      <c r="B70" s="1056" t="str">
        <f>法术数据!AP6</f>
        <v/>
      </c>
      <c r="C70" s="1057"/>
      <c r="D70" s="1058"/>
      <c r="E70" s="1058"/>
      <c r="F70" s="1058"/>
      <c r="G70" s="1059"/>
      <c r="I70" s="1056" t="str">
        <f>法术数据!AP21</f>
        <v/>
      </c>
      <c r="J70" s="1060"/>
      <c r="K70" s="1061"/>
      <c r="L70" s="1061"/>
      <c r="M70" s="1061"/>
      <c r="N70" s="1062"/>
      <c r="P70" s="1056" t="str">
        <f>法术数据!AP36</f>
        <v/>
      </c>
      <c r="Q70" s="1060"/>
      <c r="R70" s="1061"/>
      <c r="S70" s="1061"/>
      <c r="T70" s="1061"/>
      <c r="U70" s="1062"/>
      <c r="W70" s="1056" t="str">
        <f>IF(W66="","",IF(VLOOKUP(W66,法术数据!B:M,12,0)=1,"专注，","")&amp;VLOOKUP(W66,法术数据!B:N,13,0))</f>
        <v/>
      </c>
      <c r="X70" s="1056"/>
      <c r="Y70" s="1056"/>
      <c r="Z70" s="1056"/>
      <c r="AA70" s="1056"/>
      <c r="AB70" s="1056"/>
      <c r="AD70" s="929" t="str">
        <f>IF(W66="","",IF(VLOOKUP(W66,法术数据!B:K,10,0)="","",VLOOKUP(W66,法术数据!B:K,10,0))&amp;IF(VLOOKUP(W66,法术数据!B:J,9,0)=2,CHAR(10),"")&amp;IF(VLOOKUP(W66,法术数据!B:L,11,0)="","",(VLOOKUP(W66,法术数据!B:L,11,0))))</f>
        <v/>
      </c>
      <c r="AE70" s="1081"/>
      <c r="AF70" s="1081"/>
      <c r="AG70" s="1081"/>
      <c r="AH70" s="1081"/>
      <c r="AI70" s="1081"/>
      <c r="AJ70" s="1081"/>
      <c r="AK70" s="1081"/>
      <c r="AL70" s="1081"/>
      <c r="AM70" s="1081"/>
      <c r="AN70" s="1081"/>
      <c r="AO70" s="1081"/>
      <c r="AP70" s="1081"/>
      <c r="AQ70" s="1081"/>
      <c r="AR70" s="1081"/>
      <c r="AS70" s="1064"/>
      <c r="AT70" s="766"/>
      <c r="AV70" s="1065"/>
      <c r="AW70" s="1072" t="b">
        <v>0</v>
      </c>
      <c r="AX70" s="897" t="s">
        <v>78</v>
      </c>
      <c r="AY70" s="899"/>
      <c r="AZ70" s="1049">
        <v>8</v>
      </c>
      <c r="BA70" s="1050"/>
      <c r="BB70" s="1073" t="s">
        <v>77</v>
      </c>
      <c r="BC70" s="1074">
        <f t="shared" si="2"/>
        <v>-1</v>
      </c>
      <c r="BD70" s="1075"/>
      <c r="BE70" s="1076">
        <f t="shared" si="3"/>
        <v>-1</v>
      </c>
      <c r="BF70" s="1077"/>
      <c r="BG70" s="1065"/>
      <c r="BH70" s="1082"/>
      <c r="BI70" s="1083"/>
      <c r="BJ70" s="1083"/>
      <c r="BK70" s="1083"/>
      <c r="BL70" s="1083"/>
      <c r="BM70" s="1083"/>
      <c r="BN70" s="1083"/>
      <c r="BO70" s="1083"/>
      <c r="BP70" s="1084"/>
      <c r="BQ70" s="1065"/>
    </row>
    <row r="71" ht="16.95" customHeight="1" spans="2:69">
      <c r="B71" s="1056" t="str">
        <f>法术数据!AP7</f>
        <v/>
      </c>
      <c r="C71" s="1057"/>
      <c r="D71" s="1058"/>
      <c r="E71" s="1058"/>
      <c r="F71" s="1058"/>
      <c r="G71" s="1059"/>
      <c r="I71" s="1056" t="str">
        <f>法术数据!AP22</f>
        <v/>
      </c>
      <c r="J71" s="1060"/>
      <c r="K71" s="1061"/>
      <c r="L71" s="1061"/>
      <c r="M71" s="1061"/>
      <c r="N71" s="1062"/>
      <c r="P71" s="1056" t="str">
        <f>法术数据!AP37</f>
        <v/>
      </c>
      <c r="Q71" s="1060"/>
      <c r="R71" s="1061"/>
      <c r="S71" s="1061"/>
      <c r="T71" s="1061"/>
      <c r="U71" s="1062"/>
      <c r="W71" s="683" t="s">
        <v>232</v>
      </c>
      <c r="X71" s="683"/>
      <c r="Y71" s="683"/>
      <c r="Z71" s="683"/>
      <c r="AA71" s="683"/>
      <c r="AB71" s="683"/>
      <c r="AC71" s="683"/>
      <c r="AD71" s="683"/>
      <c r="AE71" s="683"/>
      <c r="AF71" s="683"/>
      <c r="AG71" s="683"/>
      <c r="AH71" s="683"/>
      <c r="AI71" s="683"/>
      <c r="AJ71" s="683"/>
      <c r="AK71" s="683"/>
      <c r="AL71" s="683"/>
      <c r="AM71" s="683"/>
      <c r="AN71" s="683"/>
      <c r="AO71" s="683"/>
      <c r="AP71" s="683"/>
      <c r="AQ71" s="683"/>
      <c r="AR71" s="683"/>
      <c r="AS71" s="683"/>
      <c r="AT71" s="766"/>
      <c r="AV71" s="1065"/>
      <c r="AW71" s="1072" t="b">
        <v>0</v>
      </c>
      <c r="AX71" s="897" t="s">
        <v>79</v>
      </c>
      <c r="AY71" s="899"/>
      <c r="AZ71" s="1049">
        <v>8</v>
      </c>
      <c r="BA71" s="1050"/>
      <c r="BB71" s="1073" t="s">
        <v>77</v>
      </c>
      <c r="BC71" s="1074">
        <f t="shared" si="2"/>
        <v>-1</v>
      </c>
      <c r="BD71" s="1075"/>
      <c r="BE71" s="1076">
        <f t="shared" si="3"/>
        <v>-1</v>
      </c>
      <c r="BF71" s="1077"/>
      <c r="BG71" s="1065"/>
      <c r="BH71" s="1082"/>
      <c r="BI71" s="1083"/>
      <c r="BJ71" s="1083"/>
      <c r="BK71" s="1083"/>
      <c r="BL71" s="1083"/>
      <c r="BM71" s="1083"/>
      <c r="BN71" s="1083"/>
      <c r="BO71" s="1083"/>
      <c r="BP71" s="1084"/>
      <c r="BQ71" s="1065"/>
    </row>
    <row r="72" ht="16.95" customHeight="1" spans="2:69">
      <c r="B72" s="1056" t="str">
        <f>法术数据!AP8</f>
        <v/>
      </c>
      <c r="C72" s="1057"/>
      <c r="D72" s="1058"/>
      <c r="E72" s="1058"/>
      <c r="F72" s="1058"/>
      <c r="G72" s="1059"/>
      <c r="I72" s="1056" t="str">
        <f>法术数据!AP23</f>
        <v/>
      </c>
      <c r="J72" s="1060"/>
      <c r="K72" s="1061"/>
      <c r="L72" s="1061"/>
      <c r="M72" s="1061"/>
      <c r="N72" s="1062"/>
      <c r="P72" s="1056" t="str">
        <f>法术数据!AP38</f>
        <v/>
      </c>
      <c r="Q72" s="1060"/>
      <c r="R72" s="1061"/>
      <c r="S72" s="1061"/>
      <c r="T72" s="1061"/>
      <c r="U72" s="1062"/>
      <c r="W72" s="1085" t="str">
        <f>IF(W66="","",VLOOKUP(W66,法术数据!B:O,14,0))</f>
        <v/>
      </c>
      <c r="X72" s="1086"/>
      <c r="Y72" s="1086"/>
      <c r="Z72" s="1086"/>
      <c r="AA72" s="1086"/>
      <c r="AB72" s="1086"/>
      <c r="AC72" s="1086"/>
      <c r="AD72" s="1086"/>
      <c r="AE72" s="1086"/>
      <c r="AF72" s="1086"/>
      <c r="AG72" s="1086"/>
      <c r="AH72" s="1086"/>
      <c r="AI72" s="1086"/>
      <c r="AJ72" s="1086"/>
      <c r="AK72" s="1086"/>
      <c r="AL72" s="1086"/>
      <c r="AM72" s="1086"/>
      <c r="AN72" s="1086"/>
      <c r="AO72" s="1086"/>
      <c r="AP72" s="1086"/>
      <c r="AQ72" s="1086"/>
      <c r="AR72" s="1086"/>
      <c r="AS72" s="1087"/>
      <c r="AT72" s="766"/>
      <c r="AV72" s="1065"/>
      <c r="AW72" s="1072"/>
      <c r="AX72" s="897" t="s">
        <v>80</v>
      </c>
      <c r="AY72" s="899"/>
      <c r="AZ72" s="1049">
        <v>8</v>
      </c>
      <c r="BA72" s="1050"/>
      <c r="BB72" s="1073" t="s">
        <v>77</v>
      </c>
      <c r="BC72" s="1074">
        <f t="shared" si="2"/>
        <v>-1</v>
      </c>
      <c r="BD72" s="1075"/>
      <c r="BE72" s="1076">
        <f t="shared" si="3"/>
        <v>-1</v>
      </c>
      <c r="BF72" s="1077"/>
      <c r="BG72" s="1065"/>
      <c r="BH72" s="1082"/>
      <c r="BI72" s="1083"/>
      <c r="BJ72" s="1083"/>
      <c r="BK72" s="1083"/>
      <c r="BL72" s="1083"/>
      <c r="BM72" s="1083"/>
      <c r="BN72" s="1083"/>
      <c r="BO72" s="1083"/>
      <c r="BP72" s="1084"/>
      <c r="BQ72" s="1065"/>
    </row>
    <row r="73" ht="16.95" customHeight="1" spans="2:69">
      <c r="B73" s="1056" t="str">
        <f>法术数据!AP9</f>
        <v/>
      </c>
      <c r="C73" s="1057"/>
      <c r="D73" s="1058"/>
      <c r="E73" s="1058"/>
      <c r="F73" s="1058"/>
      <c r="G73" s="1059"/>
      <c r="I73" s="1056" t="str">
        <f>法术数据!AP24</f>
        <v/>
      </c>
      <c r="J73" s="1060"/>
      <c r="K73" s="1061"/>
      <c r="L73" s="1061"/>
      <c r="M73" s="1061"/>
      <c r="N73" s="1062"/>
      <c r="P73" s="1056" t="str">
        <f>法术数据!AP39</f>
        <v/>
      </c>
      <c r="Q73" s="1060"/>
      <c r="R73" s="1061"/>
      <c r="S73" s="1061"/>
      <c r="T73" s="1061"/>
      <c r="U73" s="1062"/>
      <c r="W73" s="1088"/>
      <c r="X73" s="1089"/>
      <c r="Y73" s="1089"/>
      <c r="Z73" s="1089"/>
      <c r="AA73" s="1089"/>
      <c r="AB73" s="1089"/>
      <c r="AC73" s="1089"/>
      <c r="AD73" s="1089"/>
      <c r="AE73" s="1089"/>
      <c r="AF73" s="1089"/>
      <c r="AG73" s="1089"/>
      <c r="AH73" s="1089"/>
      <c r="AI73" s="1089"/>
      <c r="AJ73" s="1089"/>
      <c r="AK73" s="1089"/>
      <c r="AL73" s="1089"/>
      <c r="AM73" s="1089"/>
      <c r="AN73" s="1089"/>
      <c r="AO73" s="1089"/>
      <c r="AP73" s="1089"/>
      <c r="AQ73" s="1089"/>
      <c r="AR73" s="1089"/>
      <c r="AS73" s="1090"/>
      <c r="AT73" s="766"/>
      <c r="AV73" s="1065"/>
      <c r="AW73" s="1072" t="b">
        <v>0</v>
      </c>
      <c r="AX73" s="897" t="s">
        <v>81</v>
      </c>
      <c r="AY73" s="899"/>
      <c r="AZ73" s="1049">
        <v>8</v>
      </c>
      <c r="BA73" s="1050"/>
      <c r="BB73" s="1073" t="s">
        <v>77</v>
      </c>
      <c r="BC73" s="1074">
        <f t="shared" si="2"/>
        <v>-1</v>
      </c>
      <c r="BD73" s="1075"/>
      <c r="BE73" s="1076">
        <f t="shared" si="3"/>
        <v>-1</v>
      </c>
      <c r="BF73" s="1077"/>
      <c r="BG73" s="1065"/>
      <c r="BH73" s="1082"/>
      <c r="BI73" s="1083"/>
      <c r="BJ73" s="1083"/>
      <c r="BK73" s="1083"/>
      <c r="BL73" s="1083"/>
      <c r="BM73" s="1083"/>
      <c r="BN73" s="1083"/>
      <c r="BO73" s="1083"/>
      <c r="BP73" s="1084"/>
      <c r="BQ73" s="1065"/>
    </row>
    <row r="74" ht="16.95" customHeight="1" spans="2:69">
      <c r="B74" s="1056" t="str">
        <f>法术数据!AP10</f>
        <v/>
      </c>
      <c r="C74" s="1057"/>
      <c r="D74" s="1058"/>
      <c r="E74" s="1058"/>
      <c r="F74" s="1058"/>
      <c r="G74" s="1059"/>
      <c r="I74" s="1056" t="str">
        <f>法术数据!AP25</f>
        <v/>
      </c>
      <c r="J74" s="1060"/>
      <c r="K74" s="1061"/>
      <c r="L74" s="1061"/>
      <c r="M74" s="1061"/>
      <c r="N74" s="1062"/>
      <c r="P74" s="1056" t="str">
        <f>法术数据!AP40</f>
        <v/>
      </c>
      <c r="Q74" s="1060"/>
      <c r="R74" s="1061"/>
      <c r="S74" s="1061"/>
      <c r="T74" s="1061"/>
      <c r="U74" s="1062"/>
      <c r="W74" s="1088"/>
      <c r="X74" s="1089"/>
      <c r="Y74" s="1089"/>
      <c r="Z74" s="1089"/>
      <c r="AA74" s="1089"/>
      <c r="AB74" s="1089"/>
      <c r="AC74" s="1089"/>
      <c r="AD74" s="1089"/>
      <c r="AE74" s="1089"/>
      <c r="AF74" s="1089"/>
      <c r="AG74" s="1089"/>
      <c r="AH74" s="1089"/>
      <c r="AI74" s="1089"/>
      <c r="AJ74" s="1089"/>
      <c r="AK74" s="1089"/>
      <c r="AL74" s="1089"/>
      <c r="AM74" s="1089"/>
      <c r="AN74" s="1089"/>
      <c r="AO74" s="1089"/>
      <c r="AP74" s="1089"/>
      <c r="AQ74" s="1089"/>
      <c r="AR74" s="1089"/>
      <c r="AS74" s="1090"/>
      <c r="AT74" s="766"/>
      <c r="AV74" s="1065"/>
      <c r="AW74" s="1072"/>
      <c r="AX74" s="897" t="s">
        <v>82</v>
      </c>
      <c r="AY74" s="899"/>
      <c r="AZ74" s="1049">
        <v>8</v>
      </c>
      <c r="BA74" s="1050"/>
      <c r="BB74" s="1073" t="s">
        <v>77</v>
      </c>
      <c r="BC74" s="1074">
        <f t="shared" si="2"/>
        <v>-1</v>
      </c>
      <c r="BD74" s="1075"/>
      <c r="BE74" s="1076">
        <f t="shared" si="3"/>
        <v>-1</v>
      </c>
      <c r="BF74" s="1077"/>
      <c r="BG74" s="1065"/>
      <c r="BH74" s="1091"/>
      <c r="BI74" s="1092"/>
      <c r="BJ74" s="1092"/>
      <c r="BK74" s="1092"/>
      <c r="BL74" s="1092"/>
      <c r="BM74" s="1092"/>
      <c r="BN74" s="1092"/>
      <c r="BO74" s="1092"/>
      <c r="BP74" s="1093"/>
      <c r="BQ74" s="1065"/>
    </row>
    <row r="75" ht="16.95" customHeight="1" spans="2:69">
      <c r="B75" s="1056" t="str">
        <f>法术数据!AP11</f>
        <v/>
      </c>
      <c r="C75" s="1057"/>
      <c r="D75" s="1058"/>
      <c r="E75" s="1058"/>
      <c r="F75" s="1058"/>
      <c r="G75" s="1059"/>
      <c r="I75" s="1056" t="str">
        <f>法术数据!AP26</f>
        <v/>
      </c>
      <c r="J75" s="1060"/>
      <c r="K75" s="1061"/>
      <c r="L75" s="1061"/>
      <c r="M75" s="1061"/>
      <c r="N75" s="1062"/>
      <c r="P75" s="1056" t="str">
        <f>法术数据!AP41</f>
        <v/>
      </c>
      <c r="Q75" s="1060"/>
      <c r="R75" s="1061"/>
      <c r="S75" s="1061"/>
      <c r="T75" s="1061"/>
      <c r="U75" s="1062"/>
      <c r="W75" s="1088"/>
      <c r="X75" s="1089"/>
      <c r="Y75" s="1089"/>
      <c r="Z75" s="1089"/>
      <c r="AA75" s="1089"/>
      <c r="AB75" s="1089"/>
      <c r="AC75" s="1089"/>
      <c r="AD75" s="1089"/>
      <c r="AE75" s="1089"/>
      <c r="AF75" s="1089"/>
      <c r="AG75" s="1089"/>
      <c r="AH75" s="1089"/>
      <c r="AI75" s="1089"/>
      <c r="AJ75" s="1089"/>
      <c r="AK75" s="1089"/>
      <c r="AL75" s="1089"/>
      <c r="AM75" s="1089"/>
      <c r="AN75" s="1089"/>
      <c r="AO75" s="1089"/>
      <c r="AP75" s="1089"/>
      <c r="AQ75" s="1089"/>
      <c r="AR75" s="1089"/>
      <c r="AS75" s="1090"/>
      <c r="AT75" s="766"/>
      <c r="AV75" s="1065"/>
      <c r="AW75" s="1065"/>
      <c r="AX75" s="1065"/>
      <c r="AY75" s="1065"/>
      <c r="AZ75" s="1065"/>
      <c r="BA75" s="1065"/>
      <c r="BB75" s="1065"/>
      <c r="BC75" s="1065"/>
      <c r="BD75" s="1065"/>
      <c r="BE75" s="1065"/>
      <c r="BF75" s="1065"/>
      <c r="BG75" s="1065"/>
      <c r="BH75" s="1065"/>
      <c r="BI75" s="1065"/>
      <c r="BJ75" s="1065"/>
      <c r="BK75" s="1065"/>
      <c r="BL75" s="1065"/>
      <c r="BM75" s="1065"/>
      <c r="BN75" s="1065"/>
      <c r="BO75" s="1065"/>
      <c r="BP75" s="1065"/>
      <c r="BQ75" s="1065"/>
    </row>
    <row r="76" ht="16.95" customHeight="1" spans="2:69">
      <c r="B76" s="1056" t="str">
        <f>法术数据!AP12</f>
        <v/>
      </c>
      <c r="C76" s="1057"/>
      <c r="D76" s="1058"/>
      <c r="E76" s="1058"/>
      <c r="F76" s="1058"/>
      <c r="G76" s="1059"/>
      <c r="I76" s="1056" t="str">
        <f>法术数据!AP27</f>
        <v/>
      </c>
      <c r="J76" s="1060"/>
      <c r="K76" s="1061"/>
      <c r="L76" s="1061"/>
      <c r="M76" s="1061"/>
      <c r="N76" s="1062"/>
      <c r="P76" s="1056" t="str">
        <f>法术数据!AP42</f>
        <v/>
      </c>
      <c r="Q76" s="1060"/>
      <c r="R76" s="1061"/>
      <c r="S76" s="1061"/>
      <c r="T76" s="1061"/>
      <c r="U76" s="1062"/>
      <c r="W76" s="1088"/>
      <c r="X76" s="1089"/>
      <c r="Y76" s="1089"/>
      <c r="Z76" s="1089"/>
      <c r="AA76" s="1089"/>
      <c r="AB76" s="1089"/>
      <c r="AC76" s="1089"/>
      <c r="AD76" s="1089"/>
      <c r="AE76" s="1089"/>
      <c r="AF76" s="1089"/>
      <c r="AG76" s="1089"/>
      <c r="AH76" s="1089"/>
      <c r="AI76" s="1089"/>
      <c r="AJ76" s="1089"/>
      <c r="AK76" s="1089"/>
      <c r="AL76" s="1089"/>
      <c r="AM76" s="1089"/>
      <c r="AN76" s="1089"/>
      <c r="AO76" s="1089"/>
      <c r="AP76" s="1089"/>
      <c r="AQ76" s="1089"/>
      <c r="AR76" s="1089"/>
      <c r="AS76" s="1090"/>
      <c r="AT76" s="766"/>
      <c r="AV76" s="1065"/>
      <c r="AW76" s="865" t="s">
        <v>108</v>
      </c>
      <c r="AX76" s="866"/>
      <c r="AY76" s="690"/>
      <c r="AZ76" s="691"/>
      <c r="BA76" s="691"/>
      <c r="BB76" s="691"/>
      <c r="BC76" s="691"/>
      <c r="BD76" s="691"/>
      <c r="BE76" s="691"/>
      <c r="BF76" s="691"/>
      <c r="BG76" s="691"/>
      <c r="BH76" s="691"/>
      <c r="BI76" s="691"/>
      <c r="BJ76" s="691"/>
      <c r="BK76" s="691"/>
      <c r="BL76" s="691"/>
      <c r="BM76" s="691"/>
      <c r="BN76" s="691"/>
      <c r="BO76" s="691"/>
      <c r="BP76" s="692"/>
      <c r="BQ76" s="1065"/>
    </row>
    <row r="77" ht="16.95" customHeight="1" spans="2:69">
      <c r="B77" s="1056" t="str">
        <f>法术数据!AP13</f>
        <v/>
      </c>
      <c r="C77" s="1057"/>
      <c r="D77" s="1058"/>
      <c r="E77" s="1058"/>
      <c r="F77" s="1058"/>
      <c r="G77" s="1059"/>
      <c r="I77" s="1056" t="str">
        <f>法术数据!AP28</f>
        <v/>
      </c>
      <c r="J77" s="1060"/>
      <c r="K77" s="1061"/>
      <c r="L77" s="1061"/>
      <c r="M77" s="1061"/>
      <c r="N77" s="1062"/>
      <c r="P77" s="1056" t="str">
        <f>法术数据!AP43</f>
        <v/>
      </c>
      <c r="Q77" s="1060"/>
      <c r="R77" s="1061"/>
      <c r="S77" s="1061"/>
      <c r="T77" s="1061"/>
      <c r="U77" s="1062"/>
      <c r="W77" s="1088"/>
      <c r="X77" s="1089"/>
      <c r="Y77" s="1089"/>
      <c r="Z77" s="1089"/>
      <c r="AA77" s="1089"/>
      <c r="AB77" s="1089"/>
      <c r="AC77" s="1089"/>
      <c r="AD77" s="1089"/>
      <c r="AE77" s="1089"/>
      <c r="AF77" s="1089"/>
      <c r="AG77" s="1089"/>
      <c r="AH77" s="1089"/>
      <c r="AI77" s="1089"/>
      <c r="AJ77" s="1089"/>
      <c r="AK77" s="1089"/>
      <c r="AL77" s="1089"/>
      <c r="AM77" s="1089"/>
      <c r="AN77" s="1089"/>
      <c r="AO77" s="1089"/>
      <c r="AP77" s="1089"/>
      <c r="AQ77" s="1089"/>
      <c r="AR77" s="1089"/>
      <c r="AS77" s="1090"/>
      <c r="AT77" s="766"/>
      <c r="AV77" s="1065"/>
      <c r="AW77" s="865" t="s">
        <v>98</v>
      </c>
      <c r="AX77" s="866"/>
      <c r="AY77" s="690"/>
      <c r="AZ77" s="691"/>
      <c r="BA77" s="691"/>
      <c r="BB77" s="691"/>
      <c r="BC77" s="691"/>
      <c r="BD77" s="691"/>
      <c r="BE77" s="691"/>
      <c r="BF77" s="691"/>
      <c r="BG77" s="691"/>
      <c r="BH77" s="691"/>
      <c r="BI77" s="691"/>
      <c r="BJ77" s="691"/>
      <c r="BK77" s="691"/>
      <c r="BL77" s="691"/>
      <c r="BM77" s="691"/>
      <c r="BN77" s="691"/>
      <c r="BO77" s="691"/>
      <c r="BP77" s="692"/>
      <c r="BQ77" s="1065"/>
    </row>
    <row r="78" ht="16.95" customHeight="1" spans="2:69">
      <c r="B78" s="1056" t="str">
        <f>法术数据!AP14</f>
        <v/>
      </c>
      <c r="C78" s="1057"/>
      <c r="D78" s="1058"/>
      <c r="E78" s="1058"/>
      <c r="F78" s="1058"/>
      <c r="G78" s="1059"/>
      <c r="I78" s="1056" t="str">
        <f>法术数据!AP29</f>
        <v/>
      </c>
      <c r="J78" s="1060"/>
      <c r="K78" s="1061"/>
      <c r="L78" s="1061"/>
      <c r="M78" s="1061"/>
      <c r="N78" s="1062"/>
      <c r="P78" s="1056" t="str">
        <f>法术数据!AP44</f>
        <v/>
      </c>
      <c r="Q78" s="1060"/>
      <c r="R78" s="1061"/>
      <c r="S78" s="1061"/>
      <c r="T78" s="1061"/>
      <c r="U78" s="1062"/>
      <c r="W78" s="1088"/>
      <c r="X78" s="1089"/>
      <c r="Y78" s="1089"/>
      <c r="Z78" s="1089"/>
      <c r="AA78" s="1089"/>
      <c r="AB78" s="1089"/>
      <c r="AC78" s="1089"/>
      <c r="AD78" s="1089"/>
      <c r="AE78" s="1089"/>
      <c r="AF78" s="1089"/>
      <c r="AG78" s="1089"/>
      <c r="AH78" s="1089"/>
      <c r="AI78" s="1089"/>
      <c r="AJ78" s="1089"/>
      <c r="AK78" s="1089"/>
      <c r="AL78" s="1089"/>
      <c r="AM78" s="1089"/>
      <c r="AN78" s="1089"/>
      <c r="AO78" s="1089"/>
      <c r="AP78" s="1089"/>
      <c r="AQ78" s="1089"/>
      <c r="AR78" s="1089"/>
      <c r="AS78" s="1090"/>
      <c r="AT78" s="766"/>
      <c r="AV78" s="1065"/>
      <c r="AW78" s="865" t="s">
        <v>99</v>
      </c>
      <c r="AX78" s="866"/>
      <c r="AY78" s="690"/>
      <c r="AZ78" s="691"/>
      <c r="BA78" s="691"/>
      <c r="BB78" s="691"/>
      <c r="BC78" s="691"/>
      <c r="BD78" s="691"/>
      <c r="BE78" s="691"/>
      <c r="BF78" s="691"/>
      <c r="BG78" s="691"/>
      <c r="BH78" s="691"/>
      <c r="BI78" s="691"/>
      <c r="BJ78" s="691"/>
      <c r="BK78" s="691"/>
      <c r="BL78" s="691"/>
      <c r="BM78" s="691"/>
      <c r="BN78" s="691"/>
      <c r="BO78" s="691"/>
      <c r="BP78" s="692"/>
      <c r="BQ78" s="1065"/>
    </row>
    <row r="79" ht="16.95" customHeight="1" spans="2:69">
      <c r="B79" s="1056" t="str">
        <f>法术数据!AP15</f>
        <v/>
      </c>
      <c r="C79" s="1057"/>
      <c r="D79" s="1058"/>
      <c r="E79" s="1058"/>
      <c r="F79" s="1058"/>
      <c r="G79" s="1059"/>
      <c r="I79" s="1056" t="str">
        <f>法术数据!AP30</f>
        <v/>
      </c>
      <c r="J79" s="1060"/>
      <c r="K79" s="1061"/>
      <c r="L79" s="1061"/>
      <c r="M79" s="1061"/>
      <c r="N79" s="1062"/>
      <c r="P79" s="1056" t="str">
        <f>法术数据!AP45</f>
        <v/>
      </c>
      <c r="Q79" s="1060"/>
      <c r="R79" s="1061"/>
      <c r="S79" s="1061"/>
      <c r="T79" s="1061"/>
      <c r="U79" s="1062"/>
      <c r="W79" s="1088"/>
      <c r="X79" s="1089"/>
      <c r="Y79" s="1089"/>
      <c r="Z79" s="1089"/>
      <c r="AA79" s="1089"/>
      <c r="AB79" s="1089"/>
      <c r="AC79" s="1089"/>
      <c r="AD79" s="1089"/>
      <c r="AE79" s="1089"/>
      <c r="AF79" s="1089"/>
      <c r="AG79" s="1089"/>
      <c r="AH79" s="1089"/>
      <c r="AI79" s="1089"/>
      <c r="AJ79" s="1089"/>
      <c r="AK79" s="1089"/>
      <c r="AL79" s="1089"/>
      <c r="AM79" s="1089"/>
      <c r="AN79" s="1089"/>
      <c r="AO79" s="1089"/>
      <c r="AP79" s="1089"/>
      <c r="AQ79" s="1089"/>
      <c r="AR79" s="1089"/>
      <c r="AS79" s="1090"/>
      <c r="AT79" s="766"/>
      <c r="AV79" s="1065"/>
      <c r="AW79" s="865" t="s">
        <v>233</v>
      </c>
      <c r="AX79" s="866"/>
      <c r="AY79" s="690"/>
      <c r="AZ79" s="691"/>
      <c r="BA79" s="691"/>
      <c r="BB79" s="691"/>
      <c r="BC79" s="691"/>
      <c r="BD79" s="691"/>
      <c r="BE79" s="691"/>
      <c r="BF79" s="692"/>
      <c r="BG79" s="865" t="s">
        <v>22</v>
      </c>
      <c r="BH79" s="866"/>
      <c r="BI79" s="690"/>
      <c r="BJ79" s="691"/>
      <c r="BK79" s="691"/>
      <c r="BL79" s="691"/>
      <c r="BM79" s="691"/>
      <c r="BN79" s="691"/>
      <c r="BO79" s="691"/>
      <c r="BP79" s="692"/>
      <c r="BQ79" s="1065"/>
    </row>
    <row r="80" ht="16.95" customHeight="1" spans="2:69">
      <c r="B80" s="1056" t="str">
        <f>法术数据!AP16</f>
        <v/>
      </c>
      <c r="C80" s="1057"/>
      <c r="D80" s="1058"/>
      <c r="E80" s="1058"/>
      <c r="F80" s="1058"/>
      <c r="G80" s="1059"/>
      <c r="I80" s="1056" t="str">
        <f>法术数据!AP31</f>
        <v/>
      </c>
      <c r="J80" s="1060"/>
      <c r="K80" s="1061"/>
      <c r="L80" s="1061"/>
      <c r="M80" s="1061"/>
      <c r="N80" s="1062"/>
      <c r="P80" s="1056" t="str">
        <f>法术数据!AP46</f>
        <v/>
      </c>
      <c r="Q80" s="1060"/>
      <c r="R80" s="1061"/>
      <c r="S80" s="1061"/>
      <c r="T80" s="1061"/>
      <c r="U80" s="1062"/>
      <c r="W80" s="1094"/>
      <c r="X80" s="1095"/>
      <c r="Y80" s="1095"/>
      <c r="Z80" s="1095"/>
      <c r="AA80" s="1095"/>
      <c r="AB80" s="1095"/>
      <c r="AC80" s="1095"/>
      <c r="AD80" s="1095"/>
      <c r="AE80" s="1095"/>
      <c r="AF80" s="1095"/>
      <c r="AG80" s="1095"/>
      <c r="AH80" s="1095"/>
      <c r="AI80" s="1095"/>
      <c r="AJ80" s="1095"/>
      <c r="AK80" s="1095"/>
      <c r="AL80" s="1095"/>
      <c r="AM80" s="1095"/>
      <c r="AN80" s="1095"/>
      <c r="AO80" s="1095"/>
      <c r="AP80" s="1095"/>
      <c r="AQ80" s="1095"/>
      <c r="AR80" s="1095"/>
      <c r="AS80" s="1096"/>
      <c r="AT80" s="766"/>
      <c r="AV80" s="1065"/>
      <c r="AW80" s="836" t="s">
        <v>234</v>
      </c>
      <c r="AX80" s="836"/>
      <c r="AY80" s="1065"/>
      <c r="AZ80" s="1065"/>
      <c r="BA80" s="1065"/>
      <c r="BB80" s="1065"/>
      <c r="BC80" s="1065"/>
      <c r="BD80" s="1065"/>
      <c r="BE80" s="1065"/>
      <c r="BF80" s="1065"/>
      <c r="BG80" s="1065"/>
      <c r="BH80" s="1065"/>
      <c r="BI80" s="1065"/>
      <c r="BJ80" s="1065"/>
      <c r="BK80" s="1065"/>
      <c r="BL80" s="1065"/>
      <c r="BM80" s="1065"/>
      <c r="BN80" s="1065"/>
      <c r="BO80" s="1065"/>
      <c r="BP80" s="1065"/>
      <c r="BQ80" s="1065"/>
    </row>
    <row r="81" ht="16.95" customHeight="1" spans="2:69">
      <c r="AP81" s="766"/>
      <c r="AQ81" s="766"/>
      <c r="AR81" s="766"/>
      <c r="AS81" s="766"/>
      <c r="AT81" s="766"/>
      <c r="AV81" s="1065"/>
      <c r="AW81" s="1097"/>
      <c r="AX81" s="1098"/>
      <c r="AY81" s="1098"/>
      <c r="AZ81" s="1098"/>
      <c r="BA81" s="1098"/>
      <c r="BB81" s="1098"/>
      <c r="BC81" s="1098"/>
      <c r="BD81" s="1098"/>
      <c r="BE81" s="1098"/>
      <c r="BF81" s="1098"/>
      <c r="BG81" s="1098"/>
      <c r="BH81" s="1098"/>
      <c r="BI81" s="1098"/>
      <c r="BJ81" s="1098"/>
      <c r="BK81" s="1098"/>
      <c r="BL81" s="1098"/>
      <c r="BM81" s="1098"/>
      <c r="BN81" s="1098"/>
      <c r="BO81" s="1098"/>
      <c r="BP81" s="1099"/>
      <c r="BQ81" s="1065"/>
    </row>
    <row r="82" ht="16.95" customHeight="1" spans="2:69">
      <c r="B82" s="1100"/>
      <c r="C82" s="1101"/>
      <c r="D82" s="1101"/>
      <c r="E82" s="1101"/>
      <c r="F82" s="1101"/>
      <c r="G82" s="1102"/>
      <c r="H82" s="1103"/>
      <c r="I82" s="767"/>
      <c r="J82" s="767"/>
      <c r="K82" s="2" t="s">
        <v>235</v>
      </c>
      <c r="L82" s="2"/>
      <c r="M82" s="2"/>
      <c r="N82" s="2"/>
      <c r="O82" s="2"/>
      <c r="P82" s="767"/>
      <c r="Q82" s="767"/>
      <c r="R82" s="887" t="str">
        <f>_xlfn.IFS(B82="","请选择职业",职业数据!AC22&gt;=1,"职业无等级",职业数据!AB20&gt;=1,"职业重复",职业数据!AC20&gt;=1,"子职错误",职业数据!AC21&gt;=1,"未选子职",职业数据!BI48&gt;1,"有重复特性",职业数据!BH47&gt;=1,"有互斥特性",职业数据!BI50&gt;=1,"可选特性未选",职业数据!BI51&gt;=1,"可选特性选多",1,"")</f>
        <v>请选择职业</v>
      </c>
      <c r="S82" s="887"/>
      <c r="T82" s="887"/>
      <c r="U82" s="887"/>
      <c r="V82" s="887"/>
      <c r="W82" s="767"/>
      <c r="Y82" s="767"/>
      <c r="Z82" s="768" t="str">
        <f>_xlfn.IFS(D6="","请选择种族",种族数据!U18=1,"未选亚种",种族数据!T18=0,"错误亚种",种族数据!AC16&gt;1,"有重复特性",种族数据!AC17&gt;=1,"有互斥特性",种族数据!AD17&gt;1,"强化错误",1,"")</f>
        <v/>
      </c>
      <c r="AA82" s="768"/>
      <c r="AB82" s="768"/>
      <c r="AC82" s="768"/>
      <c r="AD82" s="768"/>
      <c r="AE82" s="767"/>
      <c r="AF82" s="767"/>
      <c r="AG82" s="2" t="s">
        <v>236</v>
      </c>
      <c r="AH82" s="2"/>
      <c r="AI82" s="2"/>
      <c r="AJ82" s="2"/>
      <c r="AK82" s="2"/>
      <c r="AL82" s="767"/>
      <c r="AM82" s="767"/>
      <c r="AN82" s="767"/>
      <c r="AO82" s="2"/>
      <c r="AP82" s="2"/>
      <c r="AQ82" s="2"/>
      <c r="AR82" s="2"/>
      <c r="AS82" s="2"/>
      <c r="AT82" s="766"/>
      <c r="AV82" s="1065"/>
      <c r="AW82" s="1104"/>
      <c r="AX82" s="1105"/>
      <c r="AY82" s="1105"/>
      <c r="AZ82" s="1105"/>
      <c r="BA82" s="1105"/>
      <c r="BB82" s="1105"/>
      <c r="BC82" s="1105"/>
      <c r="BD82" s="1105"/>
      <c r="BE82" s="1105"/>
      <c r="BF82" s="1105"/>
      <c r="BG82" s="1105"/>
      <c r="BH82" s="1105"/>
      <c r="BI82" s="1105"/>
      <c r="BJ82" s="1105"/>
      <c r="BK82" s="1105"/>
      <c r="BL82" s="1105"/>
      <c r="BM82" s="1105"/>
      <c r="BN82" s="1105"/>
      <c r="BO82" s="1105"/>
      <c r="BP82" s="1106"/>
      <c r="BQ82" s="1065"/>
    </row>
    <row r="83" ht="16.95" customHeight="1" spans="2:69">
      <c r="B83" s="1107" t="s">
        <v>237</v>
      </c>
      <c r="C83" s="1107"/>
      <c r="D83" s="1108" t="s">
        <v>114</v>
      </c>
      <c r="E83" s="1108"/>
      <c r="F83" s="1108"/>
      <c r="G83" s="1109"/>
      <c r="H83" s="683" t="s">
        <v>176</v>
      </c>
      <c r="I83" s="683"/>
      <c r="J83" s="683"/>
      <c r="K83" s="683"/>
      <c r="L83" s="683"/>
      <c r="M83" s="683"/>
      <c r="N83" s="683"/>
      <c r="O83" s="683"/>
      <c r="P83" s="683"/>
      <c r="Q83" s="683"/>
      <c r="R83" s="683"/>
      <c r="S83" s="683"/>
      <c r="T83" s="683"/>
      <c r="U83" s="683"/>
      <c r="V83" s="683"/>
      <c r="W83" s="683"/>
      <c r="Y83" s="683" t="s">
        <v>237</v>
      </c>
      <c r="Z83" s="683"/>
      <c r="AA83" s="683" t="s">
        <v>114</v>
      </c>
      <c r="AB83" s="683"/>
      <c r="AC83" s="683"/>
      <c r="AD83" s="895"/>
      <c r="AE83" s="683" t="s">
        <v>176</v>
      </c>
      <c r="AF83" s="683"/>
      <c r="AG83" s="683"/>
      <c r="AH83" s="683"/>
      <c r="AI83" s="683"/>
      <c r="AJ83" s="683"/>
      <c r="AK83" s="683"/>
      <c r="AL83" s="683"/>
      <c r="AM83" s="683"/>
      <c r="AN83" s="683"/>
      <c r="AO83" s="683"/>
      <c r="AP83" s="683"/>
      <c r="AQ83" s="683"/>
      <c r="AR83" s="683"/>
      <c r="AS83" s="683"/>
      <c r="AT83" s="766"/>
      <c r="AV83" s="1065"/>
      <c r="AW83" s="1104"/>
      <c r="AX83" s="1105"/>
      <c r="AY83" s="1105"/>
      <c r="AZ83" s="1105"/>
      <c r="BA83" s="1105"/>
      <c r="BB83" s="1105"/>
      <c r="BC83" s="1105"/>
      <c r="BD83" s="1105"/>
      <c r="BE83" s="1105"/>
      <c r="BF83" s="1105"/>
      <c r="BG83" s="1105"/>
      <c r="BH83" s="1105"/>
      <c r="BI83" s="1105"/>
      <c r="BJ83" s="1105"/>
      <c r="BK83" s="1105"/>
      <c r="BL83" s="1105"/>
      <c r="BM83" s="1105"/>
      <c r="BN83" s="1105"/>
      <c r="BO83" s="1105"/>
      <c r="BP83" s="1106"/>
      <c r="BQ83" s="1065"/>
    </row>
    <row r="84" ht="16.95" customHeight="1" spans="2:69">
      <c r="B84" s="687"/>
      <c r="C84" s="1110" t="s">
        <v>238</v>
      </c>
      <c r="D84" s="930"/>
      <c r="E84" s="930"/>
      <c r="F84" s="930"/>
      <c r="G84" s="907"/>
      <c r="H84" s="961"/>
      <c r="I84" s="962"/>
      <c r="J84" s="962"/>
      <c r="K84" s="962"/>
      <c r="L84" s="962"/>
      <c r="M84" s="962"/>
      <c r="N84" s="962"/>
      <c r="O84" s="962"/>
      <c r="P84" s="962"/>
      <c r="Q84" s="962"/>
      <c r="R84" s="962"/>
      <c r="S84" s="962"/>
      <c r="T84" s="962"/>
      <c r="U84" s="962"/>
      <c r="V84" s="962"/>
      <c r="W84" s="963"/>
      <c r="Y84" s="687"/>
      <c r="Z84" s="1110" t="s">
        <v>239</v>
      </c>
      <c r="AA84" s="930"/>
      <c r="AB84" s="930"/>
      <c r="AC84" s="930"/>
      <c r="AD84" s="907"/>
      <c r="AE84" s="961" t="s">
        <v>123</v>
      </c>
      <c r="AF84" s="962"/>
      <c r="AG84" s="962"/>
      <c r="AH84" s="962"/>
      <c r="AI84" s="962"/>
      <c r="AJ84" s="962"/>
      <c r="AK84" s="962"/>
      <c r="AL84" s="962"/>
      <c r="AM84" s="962"/>
      <c r="AN84" s="962"/>
      <c r="AO84" s="962"/>
      <c r="AP84" s="962"/>
      <c r="AQ84" s="962"/>
      <c r="AR84" s="962"/>
      <c r="AS84" s="963"/>
      <c r="AV84" s="1065"/>
      <c r="AW84" s="1104"/>
      <c r="AX84" s="1105"/>
      <c r="AY84" s="1105"/>
      <c r="AZ84" s="1105"/>
      <c r="BA84" s="1105"/>
      <c r="BB84" s="1105"/>
      <c r="BC84" s="1105"/>
      <c r="BD84" s="1105"/>
      <c r="BE84" s="1105"/>
      <c r="BF84" s="1105"/>
      <c r="BG84" s="1105"/>
      <c r="BH84" s="1105"/>
      <c r="BI84" s="1105"/>
      <c r="BJ84" s="1105"/>
      <c r="BK84" s="1105"/>
      <c r="BL84" s="1105"/>
      <c r="BM84" s="1105"/>
      <c r="BN84" s="1105"/>
      <c r="BO84" s="1105"/>
      <c r="BP84" s="1106"/>
      <c r="BQ84" s="1065"/>
    </row>
    <row r="85" ht="16.95" customHeight="1" spans="2:69">
      <c r="B85" s="696"/>
      <c r="C85" s="1111" t="s">
        <v>240</v>
      </c>
      <c r="D85" s="944"/>
      <c r="E85" s="944"/>
      <c r="F85" s="944"/>
      <c r="G85" s="1112"/>
      <c r="H85" s="967"/>
      <c r="I85" s="968"/>
      <c r="J85" s="968"/>
      <c r="K85" s="968"/>
      <c r="L85" s="968"/>
      <c r="M85" s="968"/>
      <c r="N85" s="968"/>
      <c r="O85" s="968"/>
      <c r="P85" s="968"/>
      <c r="Q85" s="968"/>
      <c r="R85" s="968"/>
      <c r="S85" s="968"/>
      <c r="T85" s="968"/>
      <c r="U85" s="968"/>
      <c r="V85" s="968"/>
      <c r="W85" s="969"/>
      <c r="Y85" s="696"/>
      <c r="Z85" s="1111" t="s">
        <v>102</v>
      </c>
      <c r="AA85" s="944"/>
      <c r="AB85" s="944"/>
      <c r="AC85" s="944"/>
      <c r="AD85" s="1112"/>
      <c r="AE85" s="967"/>
      <c r="AF85" s="968"/>
      <c r="AG85" s="968"/>
      <c r="AH85" s="968"/>
      <c r="AI85" s="968"/>
      <c r="AJ85" s="968"/>
      <c r="AK85" s="968"/>
      <c r="AL85" s="968"/>
      <c r="AM85" s="968"/>
      <c r="AN85" s="968"/>
      <c r="AO85" s="968"/>
      <c r="AP85" s="968"/>
      <c r="AQ85" s="968"/>
      <c r="AR85" s="968"/>
      <c r="AS85" s="969"/>
      <c r="AV85" s="1065"/>
      <c r="AW85" s="1104"/>
      <c r="AX85" s="1105"/>
      <c r="AY85" s="1105"/>
      <c r="AZ85" s="1105"/>
      <c r="BA85" s="1105"/>
      <c r="BB85" s="1105"/>
      <c r="BC85" s="1105"/>
      <c r="BD85" s="1105"/>
      <c r="BE85" s="1105"/>
      <c r="BF85" s="1105"/>
      <c r="BG85" s="1105"/>
      <c r="BH85" s="1105"/>
      <c r="BI85" s="1105"/>
      <c r="BJ85" s="1105"/>
      <c r="BK85" s="1105"/>
      <c r="BL85" s="1105"/>
      <c r="BM85" s="1105"/>
      <c r="BN85" s="1105"/>
      <c r="BO85" s="1105"/>
      <c r="BP85" s="1106"/>
      <c r="BQ85" s="1065"/>
    </row>
    <row r="86" ht="16.95" customHeight="1" spans="2:69">
      <c r="B86" s="687"/>
      <c r="C86" s="1110" t="s">
        <v>241</v>
      </c>
      <c r="D86" s="930"/>
      <c r="E86" s="930"/>
      <c r="F86" s="930"/>
      <c r="G86" s="907"/>
      <c r="H86" s="961"/>
      <c r="I86" s="962"/>
      <c r="J86" s="962"/>
      <c r="K86" s="962"/>
      <c r="L86" s="962"/>
      <c r="M86" s="962"/>
      <c r="N86" s="962"/>
      <c r="O86" s="962"/>
      <c r="P86" s="962"/>
      <c r="Q86" s="962"/>
      <c r="R86" s="962"/>
      <c r="S86" s="962"/>
      <c r="T86" s="962"/>
      <c r="U86" s="962"/>
      <c r="V86" s="962"/>
      <c r="W86" s="963"/>
      <c r="Y86" s="687"/>
      <c r="Z86" s="1110" t="s">
        <v>103</v>
      </c>
      <c r="AA86" s="930"/>
      <c r="AB86" s="930"/>
      <c r="AC86" s="930"/>
      <c r="AD86" s="907"/>
      <c r="AE86" s="961"/>
      <c r="AF86" s="962"/>
      <c r="AG86" s="962"/>
      <c r="AH86" s="962"/>
      <c r="AI86" s="962"/>
      <c r="AJ86" s="962"/>
      <c r="AK86" s="962"/>
      <c r="AL86" s="962"/>
      <c r="AM86" s="962"/>
      <c r="AN86" s="962"/>
      <c r="AO86" s="962"/>
      <c r="AP86" s="962"/>
      <c r="AQ86" s="962"/>
      <c r="AR86" s="962"/>
      <c r="AS86" s="963"/>
      <c r="AV86" s="1065"/>
      <c r="AW86" s="1104"/>
      <c r="AX86" s="1105"/>
      <c r="AY86" s="1105"/>
      <c r="AZ86" s="1105"/>
      <c r="BA86" s="1105"/>
      <c r="BB86" s="1105"/>
      <c r="BC86" s="1105"/>
      <c r="BD86" s="1105"/>
      <c r="BE86" s="1105"/>
      <c r="BF86" s="1105"/>
      <c r="BG86" s="1105"/>
      <c r="BH86" s="1105"/>
      <c r="BI86" s="1105"/>
      <c r="BJ86" s="1105"/>
      <c r="BK86" s="1105"/>
      <c r="BL86" s="1105"/>
      <c r="BM86" s="1105"/>
      <c r="BN86" s="1105"/>
      <c r="BO86" s="1105"/>
      <c r="BP86" s="1106"/>
      <c r="BQ86" s="1065"/>
    </row>
    <row r="87" ht="16.95" customHeight="1" spans="2:69">
      <c r="B87" s="696"/>
      <c r="C87" s="1111" t="s">
        <v>242</v>
      </c>
      <c r="D87" s="944"/>
      <c r="E87" s="944"/>
      <c r="F87" s="944"/>
      <c r="G87" s="1112"/>
      <c r="H87" s="967"/>
      <c r="I87" s="968"/>
      <c r="J87" s="968"/>
      <c r="K87" s="968"/>
      <c r="L87" s="968"/>
      <c r="M87" s="968"/>
      <c r="N87" s="968"/>
      <c r="O87" s="968"/>
      <c r="P87" s="968"/>
      <c r="Q87" s="968"/>
      <c r="R87" s="968"/>
      <c r="S87" s="968"/>
      <c r="T87" s="968"/>
      <c r="U87" s="968"/>
      <c r="V87" s="968"/>
      <c r="W87" s="969"/>
      <c r="Y87" s="696"/>
      <c r="Z87" s="1111" t="s">
        <v>22</v>
      </c>
      <c r="AA87" s="944"/>
      <c r="AB87" s="944"/>
      <c r="AC87" s="944"/>
      <c r="AD87" s="1112"/>
      <c r="AE87" s="967"/>
      <c r="AF87" s="968"/>
      <c r="AG87" s="968"/>
      <c r="AH87" s="968"/>
      <c r="AI87" s="968"/>
      <c r="AJ87" s="968"/>
      <c r="AK87" s="968"/>
      <c r="AL87" s="968"/>
      <c r="AM87" s="968"/>
      <c r="AN87" s="968"/>
      <c r="AO87" s="968"/>
      <c r="AP87" s="968"/>
      <c r="AQ87" s="968"/>
      <c r="AR87" s="968"/>
      <c r="AS87" s="969"/>
      <c r="AV87" s="1065"/>
      <c r="AW87" s="1104"/>
      <c r="AX87" s="1105"/>
      <c r="AY87" s="1105"/>
      <c r="AZ87" s="1105"/>
      <c r="BA87" s="1105"/>
      <c r="BB87" s="1105"/>
      <c r="BC87" s="1105"/>
      <c r="BD87" s="1105"/>
      <c r="BE87" s="1105"/>
      <c r="BF87" s="1105"/>
      <c r="BG87" s="1105"/>
      <c r="BH87" s="1105"/>
      <c r="BI87" s="1105"/>
      <c r="BJ87" s="1105"/>
      <c r="BK87" s="1105"/>
      <c r="BL87" s="1105"/>
      <c r="BM87" s="1105"/>
      <c r="BN87" s="1105"/>
      <c r="BO87" s="1105"/>
      <c r="BP87" s="1106"/>
      <c r="BQ87" s="1065"/>
    </row>
    <row r="88" ht="16.95" customHeight="1" spans="2:69">
      <c r="B88" s="687"/>
      <c r="C88" s="1110" t="s">
        <v>243</v>
      </c>
      <c r="D88" s="930"/>
      <c r="E88" s="930"/>
      <c r="F88" s="930"/>
      <c r="G88" s="907"/>
      <c r="H88" s="961"/>
      <c r="I88" s="962"/>
      <c r="J88" s="962"/>
      <c r="K88" s="962"/>
      <c r="L88" s="962"/>
      <c r="M88" s="962"/>
      <c r="N88" s="962"/>
      <c r="O88" s="962"/>
      <c r="P88" s="962"/>
      <c r="Q88" s="962"/>
      <c r="R88" s="962"/>
      <c r="S88" s="962"/>
      <c r="T88" s="962"/>
      <c r="U88" s="962"/>
      <c r="V88" s="962"/>
      <c r="W88" s="963"/>
      <c r="Y88" s="687"/>
      <c r="Z88" s="1110"/>
      <c r="AA88" s="930"/>
      <c r="AB88" s="930"/>
      <c r="AC88" s="930"/>
      <c r="AD88" s="907"/>
      <c r="AE88" s="961"/>
      <c r="AF88" s="962"/>
      <c r="AG88" s="962"/>
      <c r="AH88" s="962"/>
      <c r="AI88" s="962"/>
      <c r="AJ88" s="962"/>
      <c r="AK88" s="962"/>
      <c r="AL88" s="962"/>
      <c r="AM88" s="962"/>
      <c r="AN88" s="962"/>
      <c r="AO88" s="962"/>
      <c r="AP88" s="962"/>
      <c r="AQ88" s="962"/>
      <c r="AR88" s="962"/>
      <c r="AS88" s="963"/>
      <c r="AV88" s="1065"/>
      <c r="AW88" s="1104"/>
      <c r="AX88" s="1105"/>
      <c r="AY88" s="1105"/>
      <c r="AZ88" s="1105"/>
      <c r="BA88" s="1105"/>
      <c r="BB88" s="1105"/>
      <c r="BC88" s="1105"/>
      <c r="BD88" s="1105"/>
      <c r="BE88" s="1105"/>
      <c r="BF88" s="1105"/>
      <c r="BG88" s="1105"/>
      <c r="BH88" s="1105"/>
      <c r="BI88" s="1105"/>
      <c r="BJ88" s="1105"/>
      <c r="BK88" s="1105"/>
      <c r="BL88" s="1105"/>
      <c r="BM88" s="1105"/>
      <c r="BN88" s="1105"/>
      <c r="BO88" s="1105"/>
      <c r="BP88" s="1106"/>
      <c r="BQ88" s="1065"/>
    </row>
    <row r="89" ht="16.95" customHeight="1" spans="2:69">
      <c r="B89" s="696"/>
      <c r="C89" s="1111" t="s">
        <v>244</v>
      </c>
      <c r="D89" s="944"/>
      <c r="E89" s="944"/>
      <c r="F89" s="944"/>
      <c r="G89" s="1112"/>
      <c r="H89" s="967"/>
      <c r="I89" s="968"/>
      <c r="J89" s="968"/>
      <c r="K89" s="968"/>
      <c r="L89" s="968"/>
      <c r="M89" s="968"/>
      <c r="N89" s="968"/>
      <c r="O89" s="968"/>
      <c r="P89" s="968"/>
      <c r="Q89" s="968"/>
      <c r="R89" s="968"/>
      <c r="S89" s="968"/>
      <c r="T89" s="968"/>
      <c r="U89" s="968"/>
      <c r="V89" s="968"/>
      <c r="W89" s="969"/>
      <c r="Y89" s="696"/>
      <c r="Z89" s="1111"/>
      <c r="AA89" s="944"/>
      <c r="AB89" s="944"/>
      <c r="AC89" s="944"/>
      <c r="AD89" s="1112"/>
      <c r="AE89" s="967"/>
      <c r="AF89" s="968"/>
      <c r="AG89" s="968"/>
      <c r="AH89" s="968"/>
      <c r="AI89" s="968"/>
      <c r="AJ89" s="968"/>
      <c r="AK89" s="968"/>
      <c r="AL89" s="968"/>
      <c r="AM89" s="968"/>
      <c r="AN89" s="968"/>
      <c r="AO89" s="968"/>
      <c r="AP89" s="968"/>
      <c r="AQ89" s="968"/>
      <c r="AR89" s="968"/>
      <c r="AS89" s="969"/>
      <c r="AV89" s="1065"/>
      <c r="AW89" s="1104"/>
      <c r="AX89" s="1105"/>
      <c r="AY89" s="1105"/>
      <c r="AZ89" s="1105"/>
      <c r="BA89" s="1105"/>
      <c r="BB89" s="1105"/>
      <c r="BC89" s="1105"/>
      <c r="BD89" s="1105"/>
      <c r="BE89" s="1105"/>
      <c r="BF89" s="1105"/>
      <c r="BG89" s="1105"/>
      <c r="BH89" s="1105"/>
      <c r="BI89" s="1105"/>
      <c r="BJ89" s="1105"/>
      <c r="BK89" s="1105"/>
      <c r="BL89" s="1105"/>
      <c r="BM89" s="1105"/>
      <c r="BN89" s="1105"/>
      <c r="BO89" s="1105"/>
      <c r="BP89" s="1106"/>
      <c r="BQ89" s="1065"/>
    </row>
    <row r="90" ht="16.95" customHeight="1" spans="2:69">
      <c r="B90" s="687"/>
      <c r="C90" s="1110" t="s">
        <v>245</v>
      </c>
      <c r="D90" s="930"/>
      <c r="E90" s="930"/>
      <c r="F90" s="930"/>
      <c r="G90" s="907"/>
      <c r="H90" s="961"/>
      <c r="I90" s="962"/>
      <c r="J90" s="962"/>
      <c r="K90" s="962"/>
      <c r="L90" s="962"/>
      <c r="M90" s="962"/>
      <c r="N90" s="962"/>
      <c r="O90" s="962"/>
      <c r="P90" s="962"/>
      <c r="Q90" s="962"/>
      <c r="R90" s="962"/>
      <c r="S90" s="962"/>
      <c r="T90" s="962"/>
      <c r="U90" s="962"/>
      <c r="V90" s="962"/>
      <c r="W90" s="963"/>
      <c r="Y90" s="687"/>
      <c r="Z90" s="1110"/>
      <c r="AA90" s="930"/>
      <c r="AB90" s="930"/>
      <c r="AC90" s="930"/>
      <c r="AD90" s="907"/>
      <c r="AE90" s="961"/>
      <c r="AF90" s="962"/>
      <c r="AG90" s="962"/>
      <c r="AH90" s="962"/>
      <c r="AI90" s="962"/>
      <c r="AJ90" s="962"/>
      <c r="AK90" s="962"/>
      <c r="AL90" s="962"/>
      <c r="AM90" s="962"/>
      <c r="AN90" s="962"/>
      <c r="AO90" s="962"/>
      <c r="AP90" s="962"/>
      <c r="AQ90" s="962"/>
      <c r="AR90" s="962"/>
      <c r="AS90" s="963"/>
      <c r="AV90" s="1065"/>
      <c r="AW90" s="1104"/>
      <c r="AX90" s="1105"/>
      <c r="AY90" s="1105"/>
      <c r="AZ90" s="1105"/>
      <c r="BA90" s="1105"/>
      <c r="BB90" s="1105"/>
      <c r="BC90" s="1105"/>
      <c r="BD90" s="1105"/>
      <c r="BE90" s="1105"/>
      <c r="BF90" s="1105"/>
      <c r="BG90" s="1105"/>
      <c r="BH90" s="1105"/>
      <c r="BI90" s="1105"/>
      <c r="BJ90" s="1105"/>
      <c r="BK90" s="1105"/>
      <c r="BL90" s="1105"/>
      <c r="BM90" s="1105"/>
      <c r="BN90" s="1105"/>
      <c r="BO90" s="1105"/>
      <c r="BP90" s="1106"/>
      <c r="BQ90" s="1065"/>
    </row>
    <row r="91" ht="16.95" customHeight="1" spans="2:69">
      <c r="B91" s="696"/>
      <c r="C91" s="1111"/>
      <c r="D91" s="944"/>
      <c r="E91" s="944"/>
      <c r="F91" s="944"/>
      <c r="G91" s="1112"/>
      <c r="H91" s="967"/>
      <c r="I91" s="968"/>
      <c r="J91" s="968"/>
      <c r="K91" s="968"/>
      <c r="L91" s="968"/>
      <c r="M91" s="968"/>
      <c r="N91" s="968"/>
      <c r="O91" s="968"/>
      <c r="P91" s="968"/>
      <c r="Q91" s="968"/>
      <c r="R91" s="968"/>
      <c r="S91" s="968"/>
      <c r="T91" s="968"/>
      <c r="U91" s="968"/>
      <c r="V91" s="968"/>
      <c r="W91" s="969"/>
      <c r="Y91" s="696"/>
      <c r="Z91" s="1111"/>
      <c r="AA91" s="944"/>
      <c r="AB91" s="944"/>
      <c r="AC91" s="944"/>
      <c r="AD91" s="1112"/>
      <c r="AE91" s="967"/>
      <c r="AF91" s="968"/>
      <c r="AG91" s="968"/>
      <c r="AH91" s="968"/>
      <c r="AI91" s="968"/>
      <c r="AJ91" s="968"/>
      <c r="AK91" s="968"/>
      <c r="AL91" s="968"/>
      <c r="AM91" s="968"/>
      <c r="AN91" s="968"/>
      <c r="AO91" s="968"/>
      <c r="AP91" s="968"/>
      <c r="AQ91" s="968"/>
      <c r="AR91" s="968"/>
      <c r="AS91" s="969"/>
      <c r="AV91" s="1065"/>
      <c r="AW91" s="1104"/>
      <c r="AX91" s="1105"/>
      <c r="AY91" s="1105"/>
      <c r="AZ91" s="1105"/>
      <c r="BA91" s="1105"/>
      <c r="BB91" s="1105"/>
      <c r="BC91" s="1105"/>
      <c r="BD91" s="1105"/>
      <c r="BE91" s="1105"/>
      <c r="BF91" s="1105"/>
      <c r="BG91" s="1105"/>
      <c r="BH91" s="1105"/>
      <c r="BI91" s="1105"/>
      <c r="BJ91" s="1105"/>
      <c r="BK91" s="1105"/>
      <c r="BL91" s="1105"/>
      <c r="BM91" s="1105"/>
      <c r="BN91" s="1105"/>
      <c r="BO91" s="1105"/>
      <c r="BP91" s="1106"/>
      <c r="BQ91" s="1065"/>
    </row>
    <row r="92" ht="16.95" customHeight="1" spans="2:69">
      <c r="B92" s="687"/>
      <c r="C92" s="1110"/>
      <c r="D92" s="930"/>
      <c r="E92" s="930"/>
      <c r="F92" s="930"/>
      <c r="G92" s="907"/>
      <c r="H92" s="961"/>
      <c r="I92" s="962"/>
      <c r="J92" s="962"/>
      <c r="K92" s="962"/>
      <c r="L92" s="962"/>
      <c r="M92" s="962"/>
      <c r="N92" s="962"/>
      <c r="O92" s="962"/>
      <c r="P92" s="962"/>
      <c r="Q92" s="962"/>
      <c r="R92" s="962"/>
      <c r="S92" s="962"/>
      <c r="T92" s="962"/>
      <c r="U92" s="962"/>
      <c r="V92" s="962"/>
      <c r="W92" s="963"/>
      <c r="Y92" s="687"/>
      <c r="Z92" s="1110"/>
      <c r="AA92" s="930"/>
      <c r="AB92" s="930"/>
      <c r="AC92" s="930"/>
      <c r="AD92" s="907"/>
      <c r="AE92" s="961"/>
      <c r="AF92" s="962"/>
      <c r="AG92" s="962"/>
      <c r="AH92" s="962"/>
      <c r="AI92" s="962"/>
      <c r="AJ92" s="962"/>
      <c r="AK92" s="962"/>
      <c r="AL92" s="962"/>
      <c r="AM92" s="962"/>
      <c r="AN92" s="962"/>
      <c r="AO92" s="962"/>
      <c r="AP92" s="962"/>
      <c r="AQ92" s="962"/>
      <c r="AR92" s="962"/>
      <c r="AS92" s="963"/>
      <c r="AV92" s="1065"/>
      <c r="AW92" s="1104"/>
      <c r="AX92" s="1105"/>
      <c r="AY92" s="1105"/>
      <c r="AZ92" s="1105"/>
      <c r="BA92" s="1105"/>
      <c r="BB92" s="1105"/>
      <c r="BC92" s="1105"/>
      <c r="BD92" s="1105"/>
      <c r="BE92" s="1105"/>
      <c r="BF92" s="1105"/>
      <c r="BG92" s="1105"/>
      <c r="BH92" s="1105"/>
      <c r="BI92" s="1105"/>
      <c r="BJ92" s="1105"/>
      <c r="BK92" s="1105"/>
      <c r="BL92" s="1105"/>
      <c r="BM92" s="1105"/>
      <c r="BN92" s="1105"/>
      <c r="BO92" s="1105"/>
      <c r="BP92" s="1106"/>
      <c r="BQ92" s="1065"/>
    </row>
    <row r="93" ht="16.95" customHeight="1" spans="2:69">
      <c r="B93" s="696"/>
      <c r="C93" s="1111"/>
      <c r="D93" s="944"/>
      <c r="E93" s="944"/>
      <c r="F93" s="944"/>
      <c r="G93" s="1112"/>
      <c r="H93" s="967"/>
      <c r="I93" s="968"/>
      <c r="J93" s="968"/>
      <c r="K93" s="968"/>
      <c r="L93" s="968"/>
      <c r="M93" s="968"/>
      <c r="N93" s="968"/>
      <c r="O93" s="968"/>
      <c r="P93" s="968"/>
      <c r="Q93" s="968"/>
      <c r="R93" s="968"/>
      <c r="S93" s="968"/>
      <c r="T93" s="968"/>
      <c r="U93" s="968"/>
      <c r="V93" s="968"/>
      <c r="W93" s="969"/>
      <c r="Y93" s="696"/>
      <c r="Z93" s="1111"/>
      <c r="AA93" s="944"/>
      <c r="AB93" s="944"/>
      <c r="AC93" s="944"/>
      <c r="AD93" s="1112"/>
      <c r="AE93" s="967"/>
      <c r="AF93" s="968"/>
      <c r="AG93" s="968"/>
      <c r="AH93" s="968"/>
      <c r="AI93" s="968"/>
      <c r="AJ93" s="968"/>
      <c r="AK93" s="968"/>
      <c r="AL93" s="968"/>
      <c r="AM93" s="968"/>
      <c r="AN93" s="968"/>
      <c r="AO93" s="968"/>
      <c r="AP93" s="968"/>
      <c r="AQ93" s="968"/>
      <c r="AR93" s="968"/>
      <c r="AS93" s="969"/>
      <c r="AV93" s="1065"/>
      <c r="AW93" s="1104"/>
      <c r="AX93" s="1105"/>
      <c r="AY93" s="1105"/>
      <c r="AZ93" s="1105"/>
      <c r="BA93" s="1105"/>
      <c r="BB93" s="1105"/>
      <c r="BC93" s="1105"/>
      <c r="BD93" s="1105"/>
      <c r="BE93" s="1105"/>
      <c r="BF93" s="1105"/>
      <c r="BG93" s="1105"/>
      <c r="BH93" s="1105"/>
      <c r="BI93" s="1105"/>
      <c r="BJ93" s="1105"/>
      <c r="BK93" s="1105"/>
      <c r="BL93" s="1105"/>
      <c r="BM93" s="1105"/>
      <c r="BN93" s="1105"/>
      <c r="BO93" s="1105"/>
      <c r="BP93" s="1106"/>
      <c r="BQ93" s="1065"/>
    </row>
    <row r="94" ht="16.95" customHeight="1" spans="2:69">
      <c r="B94" s="687"/>
      <c r="C94" s="1110"/>
      <c r="D94" s="930"/>
      <c r="E94" s="930"/>
      <c r="F94" s="930"/>
      <c r="G94" s="907"/>
      <c r="H94" s="961"/>
      <c r="I94" s="962"/>
      <c r="J94" s="962"/>
      <c r="K94" s="962"/>
      <c r="L94" s="962"/>
      <c r="M94" s="962"/>
      <c r="N94" s="962"/>
      <c r="O94" s="962"/>
      <c r="P94" s="962"/>
      <c r="Q94" s="962"/>
      <c r="R94" s="962"/>
      <c r="S94" s="962"/>
      <c r="T94" s="962"/>
      <c r="U94" s="962"/>
      <c r="V94" s="962"/>
      <c r="W94" s="963"/>
      <c r="Y94" s="687"/>
      <c r="Z94" s="1110"/>
      <c r="AA94" s="930"/>
      <c r="AB94" s="930"/>
      <c r="AC94" s="930"/>
      <c r="AD94" s="907"/>
      <c r="AE94" s="961"/>
      <c r="AF94" s="962"/>
      <c r="AG94" s="962"/>
      <c r="AH94" s="962"/>
      <c r="AI94" s="962"/>
      <c r="AJ94" s="962"/>
      <c r="AK94" s="962"/>
      <c r="AL94" s="962"/>
      <c r="AM94" s="962"/>
      <c r="AN94" s="962"/>
      <c r="AO94" s="962"/>
      <c r="AP94" s="962"/>
      <c r="AQ94" s="962"/>
      <c r="AR94" s="962"/>
      <c r="AS94" s="963"/>
      <c r="AV94" s="1065"/>
      <c r="AW94" s="1104"/>
      <c r="AX94" s="1105"/>
      <c r="AY94" s="1105"/>
      <c r="AZ94" s="1105"/>
      <c r="BA94" s="1105"/>
      <c r="BB94" s="1105"/>
      <c r="BC94" s="1105"/>
      <c r="BD94" s="1105"/>
      <c r="BE94" s="1105"/>
      <c r="BF94" s="1105"/>
      <c r="BG94" s="1105"/>
      <c r="BH94" s="1105"/>
      <c r="BI94" s="1105"/>
      <c r="BJ94" s="1105"/>
      <c r="BK94" s="1105"/>
      <c r="BL94" s="1105"/>
      <c r="BM94" s="1105"/>
      <c r="BN94" s="1105"/>
      <c r="BO94" s="1105"/>
      <c r="BP94" s="1106"/>
      <c r="BQ94" s="1065"/>
    </row>
    <row r="95" ht="16.95" customHeight="1" spans="2:69">
      <c r="B95" s="696"/>
      <c r="C95" s="1111"/>
      <c r="D95" s="944"/>
      <c r="E95" s="944"/>
      <c r="F95" s="944"/>
      <c r="G95" s="1112"/>
      <c r="H95" s="967"/>
      <c r="I95" s="968"/>
      <c r="J95" s="968"/>
      <c r="K95" s="968"/>
      <c r="L95" s="968"/>
      <c r="M95" s="968"/>
      <c r="N95" s="968"/>
      <c r="O95" s="968"/>
      <c r="P95" s="968"/>
      <c r="Q95" s="968"/>
      <c r="R95" s="968"/>
      <c r="S95" s="968"/>
      <c r="T95" s="968"/>
      <c r="U95" s="968"/>
      <c r="V95" s="968"/>
      <c r="W95" s="969"/>
      <c r="Y95" s="696"/>
      <c r="Z95" s="1111"/>
      <c r="AA95" s="944"/>
      <c r="AB95" s="944"/>
      <c r="AC95" s="944"/>
      <c r="AD95" s="1112"/>
      <c r="AE95" s="967"/>
      <c r="AF95" s="968"/>
      <c r="AG95" s="968"/>
      <c r="AH95" s="968"/>
      <c r="AI95" s="968"/>
      <c r="AJ95" s="968"/>
      <c r="AK95" s="968"/>
      <c r="AL95" s="968"/>
      <c r="AM95" s="968"/>
      <c r="AN95" s="968"/>
      <c r="AO95" s="968"/>
      <c r="AP95" s="968"/>
      <c r="AQ95" s="968"/>
      <c r="AR95" s="968"/>
      <c r="AS95" s="969"/>
      <c r="AV95" s="1065"/>
      <c r="AW95" s="1113"/>
      <c r="AX95" s="1114"/>
      <c r="AY95" s="1114"/>
      <c r="AZ95" s="1114"/>
      <c r="BA95" s="1114"/>
      <c r="BB95" s="1114"/>
      <c r="BC95" s="1114"/>
      <c r="BD95" s="1114"/>
      <c r="BE95" s="1114"/>
      <c r="BF95" s="1114"/>
      <c r="BG95" s="1114"/>
      <c r="BH95" s="1114"/>
      <c r="BI95" s="1114"/>
      <c r="BJ95" s="1114"/>
      <c r="BK95" s="1114"/>
      <c r="BL95" s="1114"/>
      <c r="BM95" s="1114"/>
      <c r="BN95" s="1114"/>
      <c r="BO95" s="1114"/>
      <c r="BP95" s="1115"/>
      <c r="BQ95" s="1065"/>
    </row>
    <row r="96" ht="16.95" customHeight="1" spans="2:69">
      <c r="B96" s="687"/>
      <c r="C96" s="1110"/>
      <c r="D96" s="930"/>
      <c r="E96" s="930"/>
      <c r="F96" s="930"/>
      <c r="G96" s="907"/>
      <c r="H96" s="961"/>
      <c r="I96" s="962"/>
      <c r="J96" s="962"/>
      <c r="K96" s="962"/>
      <c r="L96" s="962"/>
      <c r="M96" s="962"/>
      <c r="N96" s="962"/>
      <c r="O96" s="962"/>
      <c r="P96" s="962"/>
      <c r="Q96" s="962"/>
      <c r="R96" s="962"/>
      <c r="S96" s="962"/>
      <c r="T96" s="962"/>
      <c r="U96" s="962"/>
      <c r="V96" s="962"/>
      <c r="W96" s="963"/>
      <c r="Y96" s="687"/>
      <c r="Z96" s="1110"/>
      <c r="AA96" s="930"/>
      <c r="AB96" s="930"/>
      <c r="AC96" s="930"/>
      <c r="AD96" s="907"/>
      <c r="AE96" s="961"/>
      <c r="AF96" s="962"/>
      <c r="AG96" s="962"/>
      <c r="AH96" s="962"/>
      <c r="AI96" s="962"/>
      <c r="AJ96" s="962"/>
      <c r="AK96" s="962"/>
      <c r="AL96" s="962"/>
      <c r="AM96" s="962"/>
      <c r="AN96" s="962"/>
      <c r="AO96" s="962"/>
      <c r="AP96" s="962"/>
      <c r="AQ96" s="962"/>
      <c r="AR96" s="962"/>
      <c r="AS96" s="963"/>
      <c r="AV96" s="1065"/>
      <c r="AW96" s="836" t="s">
        <v>115</v>
      </c>
      <c r="AX96" s="836"/>
      <c r="AY96" s="1065"/>
      <c r="AZ96" s="1065"/>
      <c r="BA96" s="1065"/>
      <c r="BB96" s="1065"/>
      <c r="BC96" s="1065"/>
      <c r="BD96" s="1065"/>
      <c r="BE96" s="1065"/>
      <c r="BF96" s="1065"/>
      <c r="BG96" s="1065"/>
      <c r="BH96" s="1065"/>
      <c r="BI96" s="1065"/>
      <c r="BJ96" s="1065"/>
      <c r="BK96" s="1065"/>
      <c r="BL96" s="1065"/>
      <c r="BM96" s="1065"/>
      <c r="BN96" s="1065"/>
      <c r="BO96" s="1065"/>
      <c r="BP96" s="1065"/>
      <c r="BQ96" s="1065"/>
    </row>
    <row r="97" ht="16.95" customHeight="1" spans="2:69">
      <c r="B97" s="696"/>
      <c r="C97" s="1111"/>
      <c r="D97" s="944"/>
      <c r="E97" s="944"/>
      <c r="F97" s="944"/>
      <c r="G97" s="1112"/>
      <c r="H97" s="967"/>
      <c r="I97" s="968"/>
      <c r="J97" s="968"/>
      <c r="K97" s="968"/>
      <c r="L97" s="968"/>
      <c r="M97" s="968"/>
      <c r="N97" s="968"/>
      <c r="O97" s="968"/>
      <c r="P97" s="968"/>
      <c r="Q97" s="968"/>
      <c r="R97" s="968"/>
      <c r="S97" s="968"/>
      <c r="T97" s="968"/>
      <c r="U97" s="968"/>
      <c r="V97" s="968"/>
      <c r="W97" s="969"/>
      <c r="Y97" s="696"/>
      <c r="Z97" s="1111"/>
      <c r="AA97" s="944"/>
      <c r="AB97" s="944"/>
      <c r="AC97" s="944"/>
      <c r="AD97" s="1112"/>
      <c r="AE97" s="967"/>
      <c r="AF97" s="968"/>
      <c r="AG97" s="968"/>
      <c r="AH97" s="968"/>
      <c r="AI97" s="968"/>
      <c r="AJ97" s="968"/>
      <c r="AK97" s="968"/>
      <c r="AL97" s="968"/>
      <c r="AM97" s="968"/>
      <c r="AN97" s="968"/>
      <c r="AO97" s="968"/>
      <c r="AP97" s="968"/>
      <c r="AQ97" s="968"/>
      <c r="AR97" s="968"/>
      <c r="AS97" s="969"/>
      <c r="AV97" s="1065"/>
      <c r="AW97" s="1097"/>
      <c r="AX97" s="1098"/>
      <c r="AY97" s="1098"/>
      <c r="AZ97" s="1098"/>
      <c r="BA97" s="1098"/>
      <c r="BB97" s="1098"/>
      <c r="BC97" s="1098"/>
      <c r="BD97" s="1098"/>
      <c r="BE97" s="1098"/>
      <c r="BF97" s="1098"/>
      <c r="BG97" s="1098"/>
      <c r="BH97" s="1098"/>
      <c r="BI97" s="1098"/>
      <c r="BJ97" s="1098"/>
      <c r="BK97" s="1098"/>
      <c r="BL97" s="1098"/>
      <c r="BM97" s="1098"/>
      <c r="BN97" s="1098"/>
      <c r="BO97" s="1098"/>
      <c r="BP97" s="1099"/>
      <c r="BQ97" s="1065"/>
    </row>
    <row r="98" ht="16.95" customHeight="1" spans="2:69">
      <c r="B98" s="687"/>
      <c r="C98" s="1110"/>
      <c r="D98" s="930"/>
      <c r="E98" s="930"/>
      <c r="F98" s="930"/>
      <c r="G98" s="907"/>
      <c r="H98" s="961"/>
      <c r="I98" s="962"/>
      <c r="J98" s="962"/>
      <c r="K98" s="962"/>
      <c r="L98" s="962"/>
      <c r="M98" s="962"/>
      <c r="N98" s="962"/>
      <c r="O98" s="962"/>
      <c r="P98" s="962"/>
      <c r="Q98" s="962"/>
      <c r="R98" s="962"/>
      <c r="S98" s="962"/>
      <c r="T98" s="962"/>
      <c r="U98" s="962"/>
      <c r="V98" s="962"/>
      <c r="W98" s="963"/>
      <c r="Y98" s="25"/>
      <c r="Z98" s="25"/>
      <c r="AA98" s="25"/>
      <c r="AB98" s="25"/>
      <c r="AC98" s="25"/>
      <c r="AD98" s="25"/>
      <c r="AE98" s="25"/>
      <c r="AF98" s="25"/>
      <c r="AG98" s="25"/>
      <c r="AH98" s="25"/>
      <c r="AI98" s="25"/>
      <c r="AJ98" s="25"/>
      <c r="AK98" s="25"/>
      <c r="AL98" s="25"/>
      <c r="AM98" s="25"/>
      <c r="AN98" s="25"/>
      <c r="AO98" s="25"/>
      <c r="AP98" s="25"/>
      <c r="AQ98" s="25"/>
      <c r="AR98" s="25"/>
      <c r="AS98" s="25"/>
      <c r="AV98" s="1065"/>
      <c r="AW98" s="1104"/>
      <c r="AX98" s="1105"/>
      <c r="AY98" s="1105"/>
      <c r="AZ98" s="1105"/>
      <c r="BA98" s="1105"/>
      <c r="BB98" s="1105"/>
      <c r="BC98" s="1105"/>
      <c r="BD98" s="1105"/>
      <c r="BE98" s="1105"/>
      <c r="BF98" s="1105"/>
      <c r="BG98" s="1105"/>
      <c r="BH98" s="1105"/>
      <c r="BI98" s="1105"/>
      <c r="BJ98" s="1105"/>
      <c r="BK98" s="1105"/>
      <c r="BL98" s="1105"/>
      <c r="BM98" s="1105"/>
      <c r="BN98" s="1105"/>
      <c r="BO98" s="1105"/>
      <c r="BP98" s="1106"/>
      <c r="BQ98" s="1065"/>
    </row>
    <row r="99" ht="16.95" customHeight="1" spans="2:69">
      <c r="B99" s="696"/>
      <c r="C99" s="1111"/>
      <c r="D99" s="944"/>
      <c r="E99" s="944"/>
      <c r="F99" s="944"/>
      <c r="G99" s="1112"/>
      <c r="H99" s="967"/>
      <c r="I99" s="968"/>
      <c r="J99" s="968"/>
      <c r="K99" s="968"/>
      <c r="L99" s="968"/>
      <c r="M99" s="968"/>
      <c r="N99" s="968"/>
      <c r="O99" s="968"/>
      <c r="P99" s="968"/>
      <c r="Q99" s="968"/>
      <c r="R99" s="968"/>
      <c r="S99" s="968"/>
      <c r="T99" s="968"/>
      <c r="U99" s="968"/>
      <c r="V99" s="968"/>
      <c r="W99" s="969"/>
      <c r="Y99" s="767"/>
      <c r="Z99" s="768" t="str">
        <f>_xlfn.IFS(背景!E5="","请选择背景",背景数据!B32&gt;1,"有重复特性",1,"")</f>
        <v>请选择背景</v>
      </c>
      <c r="AA99" s="768"/>
      <c r="AB99" s="768"/>
      <c r="AC99" s="768"/>
      <c r="AD99" s="768"/>
      <c r="AE99" s="767"/>
      <c r="AF99" s="767"/>
      <c r="AG99" s="2" t="s">
        <v>246</v>
      </c>
      <c r="AH99" s="2"/>
      <c r="AI99" s="2"/>
      <c r="AJ99" s="2"/>
      <c r="AK99" s="2"/>
      <c r="AL99" s="767"/>
      <c r="AM99" s="767"/>
      <c r="AN99" s="767"/>
      <c r="AO99" s="2"/>
      <c r="AP99" s="2"/>
      <c r="AQ99" s="2"/>
      <c r="AR99" s="2"/>
      <c r="AS99" s="2"/>
      <c r="AV99" s="1065"/>
      <c r="AW99" s="1104"/>
      <c r="AX99" s="1105"/>
      <c r="AY99" s="1105"/>
      <c r="AZ99" s="1105"/>
      <c r="BA99" s="1105"/>
      <c r="BB99" s="1105"/>
      <c r="BC99" s="1105"/>
      <c r="BD99" s="1105"/>
      <c r="BE99" s="1105"/>
      <c r="BF99" s="1105"/>
      <c r="BG99" s="1105"/>
      <c r="BH99" s="1105"/>
      <c r="BI99" s="1105"/>
      <c r="BJ99" s="1105"/>
      <c r="BK99" s="1105"/>
      <c r="BL99" s="1105"/>
      <c r="BM99" s="1105"/>
      <c r="BN99" s="1105"/>
      <c r="BO99" s="1105"/>
      <c r="BP99" s="1106"/>
      <c r="BQ99" s="1065"/>
    </row>
    <row r="100" ht="16.95" customHeight="1" spans="2:69">
      <c r="B100" s="687"/>
      <c r="C100" s="1110"/>
      <c r="D100" s="930"/>
      <c r="E100" s="930"/>
      <c r="F100" s="930"/>
      <c r="G100" s="907"/>
      <c r="H100" s="961"/>
      <c r="I100" s="962"/>
      <c r="J100" s="962"/>
      <c r="K100" s="962"/>
      <c r="L100" s="962"/>
      <c r="M100" s="962"/>
      <c r="N100" s="962"/>
      <c r="O100" s="962"/>
      <c r="P100" s="962"/>
      <c r="Q100" s="962"/>
      <c r="R100" s="962"/>
      <c r="S100" s="962"/>
      <c r="T100" s="962"/>
      <c r="U100" s="962"/>
      <c r="V100" s="962"/>
      <c r="W100" s="963"/>
      <c r="Y100" s="683" t="s">
        <v>237</v>
      </c>
      <c r="Z100" s="683"/>
      <c r="AA100" s="683" t="s">
        <v>114</v>
      </c>
      <c r="AB100" s="683"/>
      <c r="AC100" s="683"/>
      <c r="AD100" s="895"/>
      <c r="AE100" s="683" t="s">
        <v>176</v>
      </c>
      <c r="AF100" s="683"/>
      <c r="AG100" s="683"/>
      <c r="AH100" s="683"/>
      <c r="AI100" s="683"/>
      <c r="AJ100" s="683"/>
      <c r="AK100" s="683"/>
      <c r="AL100" s="683"/>
      <c r="AM100" s="683"/>
      <c r="AN100" s="683"/>
      <c r="AO100" s="683"/>
      <c r="AP100" s="683"/>
      <c r="AQ100" s="683"/>
      <c r="AR100" s="683"/>
      <c r="AS100" s="683"/>
      <c r="AV100" s="1065"/>
      <c r="AW100" s="1104"/>
      <c r="AX100" s="1105"/>
      <c r="AY100" s="1105"/>
      <c r="AZ100" s="1105"/>
      <c r="BA100" s="1105"/>
      <c r="BB100" s="1105"/>
      <c r="BC100" s="1105"/>
      <c r="BD100" s="1105"/>
      <c r="BE100" s="1105"/>
      <c r="BF100" s="1105"/>
      <c r="BG100" s="1105"/>
      <c r="BH100" s="1105"/>
      <c r="BI100" s="1105"/>
      <c r="BJ100" s="1105"/>
      <c r="BK100" s="1105"/>
      <c r="BL100" s="1105"/>
      <c r="BM100" s="1105"/>
      <c r="BN100" s="1105"/>
      <c r="BO100" s="1105"/>
      <c r="BP100" s="1106"/>
      <c r="BQ100" s="1065"/>
    </row>
    <row r="101" ht="16.95" customHeight="1" spans="2:69">
      <c r="B101" s="696"/>
      <c r="C101" s="1111"/>
      <c r="D101" s="944"/>
      <c r="E101" s="944"/>
      <c r="F101" s="944"/>
      <c r="G101" s="1112"/>
      <c r="H101" s="967"/>
      <c r="I101" s="968"/>
      <c r="J101" s="968"/>
      <c r="K101" s="968"/>
      <c r="L101" s="968"/>
      <c r="M101" s="968"/>
      <c r="N101" s="968"/>
      <c r="O101" s="968"/>
      <c r="P101" s="968"/>
      <c r="Q101" s="968"/>
      <c r="R101" s="968"/>
      <c r="S101" s="968"/>
      <c r="T101" s="968"/>
      <c r="U101" s="968"/>
      <c r="V101" s="968"/>
      <c r="W101" s="969"/>
      <c r="Y101" s="687"/>
      <c r="Z101" s="1116"/>
      <c r="AA101" s="1117"/>
      <c r="AB101" s="1117"/>
      <c r="AC101" s="1117"/>
      <c r="AD101" s="1118"/>
      <c r="AE101" s="961"/>
      <c r="AF101" s="962"/>
      <c r="AG101" s="962"/>
      <c r="AH101" s="962"/>
      <c r="AI101" s="962"/>
      <c r="AJ101" s="962"/>
      <c r="AK101" s="962"/>
      <c r="AL101" s="962"/>
      <c r="AM101" s="962"/>
      <c r="AN101" s="962"/>
      <c r="AO101" s="962"/>
      <c r="AP101" s="962"/>
      <c r="AQ101" s="962"/>
      <c r="AR101" s="962"/>
      <c r="AS101" s="963"/>
      <c r="AV101" s="1065"/>
      <c r="AW101" s="1104"/>
      <c r="AX101" s="1105"/>
      <c r="AY101" s="1105"/>
      <c r="AZ101" s="1105"/>
      <c r="BA101" s="1105"/>
      <c r="BB101" s="1105"/>
      <c r="BC101" s="1105"/>
      <c r="BD101" s="1105"/>
      <c r="BE101" s="1105"/>
      <c r="BF101" s="1105"/>
      <c r="BG101" s="1105"/>
      <c r="BH101" s="1105"/>
      <c r="BI101" s="1105"/>
      <c r="BJ101" s="1105"/>
      <c r="BK101" s="1105"/>
      <c r="BL101" s="1105"/>
      <c r="BM101" s="1105"/>
      <c r="BN101" s="1105"/>
      <c r="BO101" s="1105"/>
      <c r="BP101" s="1106"/>
      <c r="BQ101" s="1065"/>
    </row>
    <row r="102" ht="16.95" customHeight="1" spans="2:69">
      <c r="B102" s="687"/>
      <c r="C102" s="1110"/>
      <c r="D102" s="930"/>
      <c r="E102" s="930"/>
      <c r="F102" s="930"/>
      <c r="G102" s="907"/>
      <c r="H102" s="961"/>
      <c r="I102" s="962"/>
      <c r="J102" s="962"/>
      <c r="K102" s="962"/>
      <c r="L102" s="962"/>
      <c r="M102" s="962"/>
      <c r="N102" s="962"/>
      <c r="O102" s="962"/>
      <c r="P102" s="962"/>
      <c r="Q102" s="962"/>
      <c r="R102" s="962"/>
      <c r="S102" s="962"/>
      <c r="T102" s="962"/>
      <c r="U102" s="962"/>
      <c r="V102" s="962"/>
      <c r="W102" s="963"/>
      <c r="Y102" s="696"/>
      <c r="Z102" s="1119"/>
      <c r="AA102" s="1120"/>
      <c r="AB102" s="1120"/>
      <c r="AC102" s="1120"/>
      <c r="AD102" s="1121"/>
      <c r="AE102" s="967"/>
      <c r="AF102" s="968"/>
      <c r="AG102" s="968"/>
      <c r="AH102" s="968"/>
      <c r="AI102" s="968"/>
      <c r="AJ102" s="968"/>
      <c r="AK102" s="968"/>
      <c r="AL102" s="968"/>
      <c r="AM102" s="968"/>
      <c r="AN102" s="968"/>
      <c r="AO102" s="968"/>
      <c r="AP102" s="968"/>
      <c r="AQ102" s="968"/>
      <c r="AR102" s="968"/>
      <c r="AS102" s="969"/>
      <c r="AV102" s="1065"/>
      <c r="AW102" s="1104"/>
      <c r="AX102" s="1105"/>
      <c r="AY102" s="1105"/>
      <c r="AZ102" s="1105"/>
      <c r="BA102" s="1105"/>
      <c r="BB102" s="1105"/>
      <c r="BC102" s="1105"/>
      <c r="BD102" s="1105"/>
      <c r="BE102" s="1105"/>
      <c r="BF102" s="1105"/>
      <c r="BG102" s="1105"/>
      <c r="BH102" s="1105"/>
      <c r="BI102" s="1105"/>
      <c r="BJ102" s="1105"/>
      <c r="BK102" s="1105"/>
      <c r="BL102" s="1105"/>
      <c r="BM102" s="1105"/>
      <c r="BN102" s="1105"/>
      <c r="BO102" s="1105"/>
      <c r="BP102" s="1106"/>
      <c r="BQ102" s="1065"/>
    </row>
    <row r="103" ht="16.95" customHeight="1" spans="2:69">
      <c r="B103" s="696"/>
      <c r="C103" s="1111"/>
      <c r="D103" s="944"/>
      <c r="E103" s="944"/>
      <c r="F103" s="944"/>
      <c r="G103" s="1112"/>
      <c r="H103" s="967"/>
      <c r="I103" s="968"/>
      <c r="J103" s="968"/>
      <c r="K103" s="968"/>
      <c r="L103" s="968"/>
      <c r="M103" s="968"/>
      <c r="N103" s="968"/>
      <c r="O103" s="968"/>
      <c r="P103" s="968"/>
      <c r="Q103" s="968"/>
      <c r="R103" s="968"/>
      <c r="S103" s="968"/>
      <c r="T103" s="968"/>
      <c r="U103" s="968"/>
      <c r="V103" s="968"/>
      <c r="W103" s="969"/>
      <c r="Y103" s="687"/>
      <c r="Z103" s="1116"/>
      <c r="AA103" s="1117"/>
      <c r="AB103" s="1117"/>
      <c r="AC103" s="1117"/>
      <c r="AD103" s="1118"/>
      <c r="AE103" s="961"/>
      <c r="AF103" s="962"/>
      <c r="AG103" s="962"/>
      <c r="AH103" s="962"/>
      <c r="AI103" s="962"/>
      <c r="AJ103" s="962"/>
      <c r="AK103" s="962"/>
      <c r="AL103" s="962"/>
      <c r="AM103" s="962"/>
      <c r="AN103" s="962"/>
      <c r="AO103" s="962"/>
      <c r="AP103" s="962"/>
      <c r="AQ103" s="962"/>
      <c r="AR103" s="962"/>
      <c r="AS103" s="963"/>
      <c r="AV103" s="1065"/>
      <c r="AW103" s="1104"/>
      <c r="AX103" s="1105"/>
      <c r="AY103" s="1105"/>
      <c r="AZ103" s="1105"/>
      <c r="BA103" s="1105"/>
      <c r="BB103" s="1105"/>
      <c r="BC103" s="1105"/>
      <c r="BD103" s="1105"/>
      <c r="BE103" s="1105"/>
      <c r="BF103" s="1105"/>
      <c r="BG103" s="1105"/>
      <c r="BH103" s="1105"/>
      <c r="BI103" s="1105"/>
      <c r="BJ103" s="1105"/>
      <c r="BK103" s="1105"/>
      <c r="BL103" s="1105"/>
      <c r="BM103" s="1105"/>
      <c r="BN103" s="1105"/>
      <c r="BO103" s="1105"/>
      <c r="BP103" s="1106"/>
      <c r="BQ103" s="1065"/>
    </row>
    <row r="104" ht="16.95" customHeight="1" spans="2:69">
      <c r="B104" s="687"/>
      <c r="C104" s="1110"/>
      <c r="D104" s="930"/>
      <c r="E104" s="930"/>
      <c r="F104" s="930"/>
      <c r="G104" s="907"/>
      <c r="H104" s="961"/>
      <c r="I104" s="962"/>
      <c r="J104" s="962"/>
      <c r="K104" s="962"/>
      <c r="L104" s="962"/>
      <c r="M104" s="962"/>
      <c r="N104" s="962"/>
      <c r="O104" s="962"/>
      <c r="P104" s="962"/>
      <c r="Q104" s="962"/>
      <c r="R104" s="962"/>
      <c r="S104" s="962"/>
      <c r="T104" s="962"/>
      <c r="U104" s="962"/>
      <c r="V104" s="962"/>
      <c r="W104" s="963"/>
      <c r="Y104" s="696"/>
      <c r="Z104" s="1119"/>
      <c r="AA104" s="1120"/>
      <c r="AB104" s="1120"/>
      <c r="AC104" s="1120"/>
      <c r="AD104" s="1121"/>
      <c r="AE104" s="967" t="s">
        <v>123</v>
      </c>
      <c r="AF104" s="968"/>
      <c r="AG104" s="968"/>
      <c r="AH104" s="968"/>
      <c r="AI104" s="968"/>
      <c r="AJ104" s="968"/>
      <c r="AK104" s="968"/>
      <c r="AL104" s="968"/>
      <c r="AM104" s="968"/>
      <c r="AN104" s="968"/>
      <c r="AO104" s="968"/>
      <c r="AP104" s="968"/>
      <c r="AQ104" s="968"/>
      <c r="AR104" s="968"/>
      <c r="AS104" s="969"/>
      <c r="AV104" s="1065"/>
      <c r="AW104" s="1104"/>
      <c r="AX104" s="1105"/>
      <c r="AY104" s="1105"/>
      <c r="AZ104" s="1105"/>
      <c r="BA104" s="1105"/>
      <c r="BB104" s="1105"/>
      <c r="BC104" s="1105"/>
      <c r="BD104" s="1105"/>
      <c r="BE104" s="1105"/>
      <c r="BF104" s="1105"/>
      <c r="BG104" s="1105"/>
      <c r="BH104" s="1105"/>
      <c r="BI104" s="1105"/>
      <c r="BJ104" s="1105"/>
      <c r="BK104" s="1105"/>
      <c r="BL104" s="1105"/>
      <c r="BM104" s="1105"/>
      <c r="BN104" s="1105"/>
      <c r="BO104" s="1105"/>
      <c r="BP104" s="1106"/>
      <c r="BQ104" s="1065"/>
    </row>
    <row r="105" ht="16.95" customHeight="1" spans="2:69">
      <c r="B105" s="696"/>
      <c r="C105" s="1111"/>
      <c r="D105" s="944"/>
      <c r="E105" s="944"/>
      <c r="F105" s="944"/>
      <c r="G105" s="1112"/>
      <c r="H105" s="967"/>
      <c r="I105" s="968"/>
      <c r="J105" s="968"/>
      <c r="K105" s="968"/>
      <c r="L105" s="968"/>
      <c r="M105" s="968"/>
      <c r="N105" s="968"/>
      <c r="O105" s="968"/>
      <c r="P105" s="968"/>
      <c r="Q105" s="968"/>
      <c r="R105" s="968"/>
      <c r="S105" s="968"/>
      <c r="T105" s="968"/>
      <c r="U105" s="968"/>
      <c r="V105" s="968"/>
      <c r="W105" s="969"/>
      <c r="Y105" s="687"/>
      <c r="Z105" s="1116"/>
      <c r="AA105" s="1117"/>
      <c r="AB105" s="1117"/>
      <c r="AC105" s="1117"/>
      <c r="AD105" s="1118"/>
      <c r="AE105" s="961"/>
      <c r="AF105" s="962"/>
      <c r="AG105" s="962"/>
      <c r="AH105" s="962"/>
      <c r="AI105" s="962"/>
      <c r="AJ105" s="962"/>
      <c r="AK105" s="962"/>
      <c r="AL105" s="962"/>
      <c r="AM105" s="962"/>
      <c r="AN105" s="962"/>
      <c r="AO105" s="962"/>
      <c r="AP105" s="962"/>
      <c r="AQ105" s="962"/>
      <c r="AR105" s="962"/>
      <c r="AS105" s="963"/>
      <c r="AV105" s="1065"/>
      <c r="AW105" s="1104"/>
      <c r="AX105" s="1105"/>
      <c r="AY105" s="1105"/>
      <c r="AZ105" s="1105"/>
      <c r="BA105" s="1105"/>
      <c r="BB105" s="1105"/>
      <c r="BC105" s="1105"/>
      <c r="BD105" s="1105"/>
      <c r="BE105" s="1105"/>
      <c r="BF105" s="1105"/>
      <c r="BG105" s="1105"/>
      <c r="BH105" s="1105"/>
      <c r="BI105" s="1105"/>
      <c r="BJ105" s="1105"/>
      <c r="BK105" s="1105"/>
      <c r="BL105" s="1105"/>
      <c r="BM105" s="1105"/>
      <c r="BN105" s="1105"/>
      <c r="BO105" s="1105"/>
      <c r="BP105" s="1106"/>
      <c r="BQ105" s="1065"/>
    </row>
    <row r="106" ht="16.95" customHeight="1" spans="2:69">
      <c r="B106" s="687"/>
      <c r="C106" s="1110"/>
      <c r="D106" s="930"/>
      <c r="E106" s="930"/>
      <c r="F106" s="930"/>
      <c r="G106" s="907"/>
      <c r="H106" s="961"/>
      <c r="I106" s="962"/>
      <c r="J106" s="962"/>
      <c r="K106" s="962"/>
      <c r="L106" s="962"/>
      <c r="M106" s="962"/>
      <c r="N106" s="962"/>
      <c r="O106" s="962"/>
      <c r="P106" s="962"/>
      <c r="Q106" s="962"/>
      <c r="R106" s="962"/>
      <c r="S106" s="962"/>
      <c r="T106" s="962"/>
      <c r="U106" s="962"/>
      <c r="V106" s="962"/>
      <c r="W106" s="963"/>
      <c r="AV106" s="1065"/>
      <c r="AW106" s="1104"/>
      <c r="AX106" s="1105"/>
      <c r="AY106" s="1105"/>
      <c r="AZ106" s="1105"/>
      <c r="BA106" s="1105"/>
      <c r="BB106" s="1105"/>
      <c r="BC106" s="1105"/>
      <c r="BD106" s="1105"/>
      <c r="BE106" s="1105"/>
      <c r="BF106" s="1105"/>
      <c r="BG106" s="1105"/>
      <c r="BH106" s="1105"/>
      <c r="BI106" s="1105"/>
      <c r="BJ106" s="1105"/>
      <c r="BK106" s="1105"/>
      <c r="BL106" s="1105"/>
      <c r="BM106" s="1105"/>
      <c r="BN106" s="1105"/>
      <c r="BO106" s="1105"/>
      <c r="BP106" s="1106"/>
      <c r="BQ106" s="1065"/>
    </row>
    <row r="107" ht="16.95" customHeight="1" spans="2:69">
      <c r="B107" s="696"/>
      <c r="C107" s="1111"/>
      <c r="D107" s="944"/>
      <c r="E107" s="944"/>
      <c r="F107" s="944"/>
      <c r="G107" s="1112"/>
      <c r="H107" s="967"/>
      <c r="I107" s="968"/>
      <c r="J107" s="968"/>
      <c r="K107" s="968"/>
      <c r="L107" s="968"/>
      <c r="M107" s="968"/>
      <c r="N107" s="968"/>
      <c r="O107" s="968"/>
      <c r="P107" s="968"/>
      <c r="Q107" s="968"/>
      <c r="R107" s="968"/>
      <c r="S107" s="968"/>
      <c r="T107" s="968"/>
      <c r="U107" s="968"/>
      <c r="V107" s="968"/>
      <c r="W107" s="969"/>
      <c r="Y107" s="767"/>
      <c r="Z107" s="768" t="str">
        <f>_xlfn.IFS(专长数据!G21+SUM(专长数据!F11:F18)+IF(专长数据!F19&gt;=1,1,0)-SUM(专长数据!G11:G19)&gt;=1,"未选专长",专长数据!F11+专长数据!G21&lt;=-1,"专长过多",专长数据!F20&gt;=1,"重复专长",1,"")</f>
        <v>未选专长</v>
      </c>
      <c r="AA107" s="768"/>
      <c r="AB107" s="768"/>
      <c r="AC107" s="768"/>
      <c r="AD107" s="768"/>
      <c r="AE107" s="767"/>
      <c r="AF107" s="767"/>
      <c r="AG107" s="2" t="s">
        <v>247</v>
      </c>
      <c r="AH107" s="2"/>
      <c r="AI107" s="2"/>
      <c r="AJ107" s="2"/>
      <c r="AK107" s="2"/>
      <c r="AL107" s="767"/>
      <c r="AM107" s="767"/>
      <c r="AN107" s="26" t="str">
        <f>IF(COUNTIF(专长数据!E2:E9,"&lt;&gt;0")=0,"","已选专长："&amp;COUNTIF(专长数据!E2:E9,"&lt;&gt;0")&amp;"/"&amp;专长数据!F21+SUM(专长数据!F11:F18)+IF(专长数据!F19&gt;=1,1,0))</f>
        <v/>
      </c>
      <c r="AO107" s="26"/>
      <c r="AP107" s="26"/>
      <c r="AQ107" s="26"/>
      <c r="AR107" s="26"/>
      <c r="AS107" s="26"/>
      <c r="AV107" s="1065"/>
      <c r="AW107" s="1104"/>
      <c r="AX107" s="1105"/>
      <c r="AY107" s="1105"/>
      <c r="AZ107" s="1105"/>
      <c r="BA107" s="1105"/>
      <c r="BB107" s="1105"/>
      <c r="BC107" s="1105"/>
      <c r="BD107" s="1105"/>
      <c r="BE107" s="1105"/>
      <c r="BF107" s="1105"/>
      <c r="BG107" s="1105"/>
      <c r="BH107" s="1105"/>
      <c r="BI107" s="1105"/>
      <c r="BJ107" s="1105"/>
      <c r="BK107" s="1105"/>
      <c r="BL107" s="1105"/>
      <c r="BM107" s="1105"/>
      <c r="BN107" s="1105"/>
      <c r="BO107" s="1105"/>
      <c r="BP107" s="1106"/>
      <c r="BQ107" s="1065"/>
    </row>
    <row r="108" ht="16.95" customHeight="1" spans="2:69">
      <c r="B108" s="687"/>
      <c r="C108" s="1110"/>
      <c r="D108" s="930"/>
      <c r="E108" s="930"/>
      <c r="F108" s="930"/>
      <c r="G108" s="907"/>
      <c r="H108" s="961"/>
      <c r="I108" s="962"/>
      <c r="J108" s="962"/>
      <c r="K108" s="962"/>
      <c r="L108" s="962"/>
      <c r="M108" s="962"/>
      <c r="N108" s="962"/>
      <c r="O108" s="962"/>
      <c r="P108" s="962"/>
      <c r="Q108" s="962"/>
      <c r="R108" s="962"/>
      <c r="S108" s="962"/>
      <c r="T108" s="962"/>
      <c r="U108" s="962"/>
      <c r="V108" s="962"/>
      <c r="W108" s="963"/>
      <c r="Y108" s="683" t="s">
        <v>237</v>
      </c>
      <c r="Z108" s="683"/>
      <c r="AA108" s="683" t="s">
        <v>114</v>
      </c>
      <c r="AB108" s="683"/>
      <c r="AC108" s="683"/>
      <c r="AD108" s="895"/>
      <c r="AE108" s="683" t="s">
        <v>176</v>
      </c>
      <c r="AF108" s="683"/>
      <c r="AG108" s="683"/>
      <c r="AH108" s="683"/>
      <c r="AI108" s="683"/>
      <c r="AJ108" s="683"/>
      <c r="AK108" s="683"/>
      <c r="AL108" s="683"/>
      <c r="AM108" s="683"/>
      <c r="AN108" s="683"/>
      <c r="AO108" s="683"/>
      <c r="AP108" s="683"/>
      <c r="AQ108" s="683"/>
      <c r="AR108" s="683"/>
      <c r="AS108" s="683"/>
      <c r="AV108" s="1065"/>
      <c r="AW108" s="1104"/>
      <c r="AX108" s="1105"/>
      <c r="AY108" s="1105"/>
      <c r="AZ108" s="1105"/>
      <c r="BA108" s="1105"/>
      <c r="BB108" s="1105"/>
      <c r="BC108" s="1105"/>
      <c r="BD108" s="1105"/>
      <c r="BE108" s="1105"/>
      <c r="BF108" s="1105"/>
      <c r="BG108" s="1105"/>
      <c r="BH108" s="1105"/>
      <c r="BI108" s="1105"/>
      <c r="BJ108" s="1105"/>
      <c r="BK108" s="1105"/>
      <c r="BL108" s="1105"/>
      <c r="BM108" s="1105"/>
      <c r="BN108" s="1105"/>
      <c r="BO108" s="1105"/>
      <c r="BP108" s="1106"/>
      <c r="BQ108" s="1065"/>
    </row>
    <row r="109" ht="16.95" customHeight="1" spans="2:69">
      <c r="B109" s="696"/>
      <c r="C109" s="1111"/>
      <c r="D109" s="944"/>
      <c r="E109" s="944"/>
      <c r="F109" s="944"/>
      <c r="G109" s="1112"/>
      <c r="H109" s="967"/>
      <c r="I109" s="968"/>
      <c r="J109" s="968"/>
      <c r="K109" s="968"/>
      <c r="L109" s="968"/>
      <c r="M109" s="968"/>
      <c r="N109" s="968"/>
      <c r="O109" s="968"/>
      <c r="P109" s="968"/>
      <c r="Q109" s="968"/>
      <c r="R109" s="968"/>
      <c r="S109" s="968"/>
      <c r="T109" s="968"/>
      <c r="U109" s="968"/>
      <c r="V109" s="968"/>
      <c r="W109" s="969"/>
      <c r="Y109" s="687"/>
      <c r="Z109" s="1110"/>
      <c r="AA109" s="930"/>
      <c r="AB109" s="930"/>
      <c r="AC109" s="930"/>
      <c r="AD109" s="907"/>
      <c r="AE109" s="1122"/>
      <c r="AF109" s="1122"/>
      <c r="AG109" s="1122"/>
      <c r="AH109" s="1122"/>
      <c r="AI109" s="1122"/>
      <c r="AJ109" s="1122"/>
      <c r="AK109" s="1122"/>
      <c r="AL109" s="1122"/>
      <c r="AM109" s="1122"/>
      <c r="AN109" s="1122"/>
      <c r="AO109" s="1122"/>
      <c r="AP109" s="1122"/>
      <c r="AQ109" s="1122"/>
      <c r="AR109" s="1122"/>
      <c r="AS109" s="1122"/>
      <c r="AV109" s="1065"/>
      <c r="AW109" s="1104"/>
      <c r="AX109" s="1105"/>
      <c r="AY109" s="1105"/>
      <c r="AZ109" s="1105"/>
      <c r="BA109" s="1105"/>
      <c r="BB109" s="1105"/>
      <c r="BC109" s="1105"/>
      <c r="BD109" s="1105"/>
      <c r="BE109" s="1105"/>
      <c r="BF109" s="1105"/>
      <c r="BG109" s="1105"/>
      <c r="BH109" s="1105"/>
      <c r="BI109" s="1105"/>
      <c r="BJ109" s="1105"/>
      <c r="BK109" s="1105"/>
      <c r="BL109" s="1105"/>
      <c r="BM109" s="1105"/>
      <c r="BN109" s="1105"/>
      <c r="BO109" s="1105"/>
      <c r="BP109" s="1106"/>
      <c r="BQ109" s="1065"/>
    </row>
    <row r="110" ht="16.95" customHeight="1" spans="2:69">
      <c r="B110" s="687"/>
      <c r="C110" s="1110"/>
      <c r="D110" s="930"/>
      <c r="E110" s="930"/>
      <c r="F110" s="930"/>
      <c r="G110" s="907"/>
      <c r="H110" s="961"/>
      <c r="I110" s="962"/>
      <c r="J110" s="962"/>
      <c r="K110" s="962"/>
      <c r="L110" s="962"/>
      <c r="M110" s="962"/>
      <c r="N110" s="962"/>
      <c r="O110" s="962"/>
      <c r="P110" s="962"/>
      <c r="Q110" s="962"/>
      <c r="R110" s="962"/>
      <c r="S110" s="962"/>
      <c r="T110" s="962"/>
      <c r="U110" s="962"/>
      <c r="V110" s="962"/>
      <c r="W110" s="963"/>
      <c r="Y110" s="696"/>
      <c r="Z110" s="1111"/>
      <c r="AA110" s="944"/>
      <c r="AB110" s="944"/>
      <c r="AC110" s="944"/>
      <c r="AD110" s="1112"/>
      <c r="AE110" s="1123"/>
      <c r="AF110" s="1123"/>
      <c r="AG110" s="1123"/>
      <c r="AH110" s="1123"/>
      <c r="AI110" s="1123"/>
      <c r="AJ110" s="1123"/>
      <c r="AK110" s="1123"/>
      <c r="AL110" s="1123"/>
      <c r="AM110" s="1123"/>
      <c r="AN110" s="1123"/>
      <c r="AO110" s="1123"/>
      <c r="AP110" s="1123"/>
      <c r="AQ110" s="1123"/>
      <c r="AR110" s="1123"/>
      <c r="AS110" s="1123"/>
      <c r="AV110" s="1065"/>
      <c r="AW110" s="1104"/>
      <c r="AX110" s="1105"/>
      <c r="AY110" s="1105"/>
      <c r="AZ110" s="1105"/>
      <c r="BA110" s="1105"/>
      <c r="BB110" s="1105"/>
      <c r="BC110" s="1105"/>
      <c r="BD110" s="1105"/>
      <c r="BE110" s="1105"/>
      <c r="BF110" s="1105"/>
      <c r="BG110" s="1105"/>
      <c r="BH110" s="1105"/>
      <c r="BI110" s="1105"/>
      <c r="BJ110" s="1105"/>
      <c r="BK110" s="1105"/>
      <c r="BL110" s="1105"/>
      <c r="BM110" s="1105"/>
      <c r="BN110" s="1105"/>
      <c r="BO110" s="1105"/>
      <c r="BP110" s="1106"/>
      <c r="BQ110" s="1065"/>
    </row>
    <row r="111" ht="16.95" customHeight="1" spans="2:69">
      <c r="B111" s="696"/>
      <c r="C111" s="1111"/>
      <c r="D111" s="944"/>
      <c r="E111" s="944"/>
      <c r="F111" s="944"/>
      <c r="G111" s="1112"/>
      <c r="H111" s="967"/>
      <c r="I111" s="968"/>
      <c r="J111" s="968"/>
      <c r="K111" s="968"/>
      <c r="L111" s="968"/>
      <c r="M111" s="968"/>
      <c r="N111" s="968"/>
      <c r="O111" s="968"/>
      <c r="P111" s="968"/>
      <c r="Q111" s="968"/>
      <c r="R111" s="968"/>
      <c r="S111" s="968"/>
      <c r="T111" s="968"/>
      <c r="U111" s="968"/>
      <c r="V111" s="968"/>
      <c r="W111" s="969"/>
      <c r="Y111" s="687"/>
      <c r="Z111" s="1110"/>
      <c r="AA111" s="930"/>
      <c r="AB111" s="930"/>
      <c r="AC111" s="930"/>
      <c r="AD111" s="907"/>
      <c r="AE111" s="1124"/>
      <c r="AF111" s="1124"/>
      <c r="AG111" s="1124"/>
      <c r="AH111" s="1124"/>
      <c r="AI111" s="1124"/>
      <c r="AJ111" s="1124"/>
      <c r="AK111" s="1124"/>
      <c r="AL111" s="1124"/>
      <c r="AM111" s="1124"/>
      <c r="AN111" s="1124"/>
      <c r="AO111" s="1124"/>
      <c r="AP111" s="1124"/>
      <c r="AQ111" s="1124"/>
      <c r="AR111" s="1124"/>
      <c r="AS111" s="1124"/>
      <c r="AV111" s="1065"/>
      <c r="AW111" s="1113"/>
      <c r="AX111" s="1114"/>
      <c r="AY111" s="1114"/>
      <c r="AZ111" s="1114"/>
      <c r="BA111" s="1114"/>
      <c r="BB111" s="1114"/>
      <c r="BC111" s="1114"/>
      <c r="BD111" s="1114"/>
      <c r="BE111" s="1114"/>
      <c r="BF111" s="1114"/>
      <c r="BG111" s="1114"/>
      <c r="BH111" s="1114"/>
      <c r="BI111" s="1114"/>
      <c r="BJ111" s="1114"/>
      <c r="BK111" s="1114"/>
      <c r="BL111" s="1114"/>
      <c r="BM111" s="1114"/>
      <c r="BN111" s="1114"/>
      <c r="BO111" s="1114"/>
      <c r="BP111" s="1115"/>
      <c r="BQ111" s="1065"/>
    </row>
    <row r="112" ht="16.95" customHeight="1" spans="2:69">
      <c r="B112" s="687"/>
      <c r="C112" s="1110"/>
      <c r="D112" s="930"/>
      <c r="E112" s="930"/>
      <c r="F112" s="930"/>
      <c r="G112" s="907"/>
      <c r="H112" s="961"/>
      <c r="I112" s="962"/>
      <c r="J112" s="962"/>
      <c r="K112" s="962"/>
      <c r="L112" s="962"/>
      <c r="M112" s="962"/>
      <c r="N112" s="962"/>
      <c r="O112" s="962"/>
      <c r="P112" s="962"/>
      <c r="Q112" s="962"/>
      <c r="R112" s="962"/>
      <c r="S112" s="962"/>
      <c r="T112" s="962"/>
      <c r="U112" s="962"/>
      <c r="V112" s="962"/>
      <c r="W112" s="963"/>
      <c r="Y112" s="696"/>
      <c r="Z112" s="1111"/>
      <c r="AA112" s="944"/>
      <c r="AB112" s="944"/>
      <c r="AC112" s="944"/>
      <c r="AD112" s="1112"/>
      <c r="AE112" s="1123"/>
      <c r="AF112" s="1123"/>
      <c r="AG112" s="1123"/>
      <c r="AH112" s="1123"/>
      <c r="AI112" s="1123"/>
      <c r="AJ112" s="1123"/>
      <c r="AK112" s="1123"/>
      <c r="AL112" s="1123"/>
      <c r="AM112" s="1123"/>
      <c r="AN112" s="1123"/>
      <c r="AO112" s="1123"/>
      <c r="AP112" s="1123"/>
      <c r="AQ112" s="1123"/>
      <c r="AR112" s="1123"/>
      <c r="AS112" s="1123"/>
    </row>
    <row r="113" ht="16.95" customHeight="1" spans="2:69">
      <c r="B113" s="696"/>
      <c r="C113" s="1111"/>
      <c r="D113" s="944"/>
      <c r="E113" s="944"/>
      <c r="F113" s="944"/>
      <c r="G113" s="1112"/>
      <c r="H113" s="967"/>
      <c r="I113" s="968"/>
      <c r="J113" s="968"/>
      <c r="K113" s="968"/>
      <c r="L113" s="968"/>
      <c r="M113" s="968"/>
      <c r="N113" s="968"/>
      <c r="O113" s="968"/>
      <c r="P113" s="968"/>
      <c r="Q113" s="968"/>
      <c r="R113" s="968"/>
      <c r="S113" s="968"/>
      <c r="T113" s="968"/>
      <c r="U113" s="968"/>
      <c r="V113" s="968"/>
      <c r="W113" s="969"/>
      <c r="Y113" s="687"/>
      <c r="Z113" s="1110"/>
      <c r="AA113" s="930"/>
      <c r="AB113" s="930"/>
      <c r="AC113" s="930"/>
      <c r="AD113" s="907"/>
      <c r="AE113" s="1124"/>
      <c r="AF113" s="1124"/>
      <c r="AG113" s="1124"/>
      <c r="AH113" s="1124"/>
      <c r="AI113" s="1124"/>
      <c r="AJ113" s="1124"/>
      <c r="AK113" s="1124"/>
      <c r="AL113" s="1124"/>
      <c r="AM113" s="1124"/>
      <c r="AN113" s="1124"/>
      <c r="AO113" s="1124"/>
      <c r="AP113" s="1124"/>
      <c r="AQ113" s="1124"/>
      <c r="AR113" s="1124"/>
      <c r="AS113" s="1124"/>
      <c r="AV113" s="2" t="s">
        <v>248</v>
      </c>
      <c r="AW113" s="2"/>
      <c r="AX113" s="2"/>
      <c r="AY113" s="2"/>
      <c r="AZ113" s="2"/>
      <c r="BA113" s="2"/>
      <c r="BB113" s="2"/>
      <c r="BC113" s="2"/>
      <c r="BD113" s="2"/>
      <c r="BE113" s="2"/>
      <c r="BF113" s="2"/>
      <c r="BG113" s="2"/>
      <c r="BH113" s="2"/>
      <c r="BI113" s="2"/>
      <c r="BJ113" s="2"/>
      <c r="BK113" s="2"/>
      <c r="BL113" s="2"/>
      <c r="BM113" s="2"/>
      <c r="BN113" s="2"/>
      <c r="BO113" s="2"/>
      <c r="BP113" s="2"/>
      <c r="BQ113" s="2"/>
    </row>
    <row r="114" ht="16.95" customHeight="1" spans="2:69">
      <c r="B114" s="687"/>
      <c r="C114" s="1110"/>
      <c r="D114" s="930"/>
      <c r="E114" s="930"/>
      <c r="F114" s="930"/>
      <c r="G114" s="907"/>
      <c r="H114" s="961"/>
      <c r="I114" s="962"/>
      <c r="J114" s="962"/>
      <c r="K114" s="962"/>
      <c r="L114" s="962"/>
      <c r="M114" s="962"/>
      <c r="N114" s="962"/>
      <c r="O114" s="962"/>
      <c r="P114" s="962"/>
      <c r="Q114" s="962"/>
      <c r="R114" s="962"/>
      <c r="S114" s="962"/>
      <c r="T114" s="962"/>
      <c r="U114" s="962"/>
      <c r="V114" s="962"/>
      <c r="W114" s="963"/>
      <c r="Y114" s="696"/>
      <c r="Z114" s="1111"/>
      <c r="AA114" s="944"/>
      <c r="AB114" s="944"/>
      <c r="AC114" s="944"/>
      <c r="AD114" s="1112"/>
      <c r="AE114" s="1123"/>
      <c r="AF114" s="1123"/>
      <c r="AG114" s="1123"/>
      <c r="AH114" s="1123"/>
      <c r="AI114" s="1123"/>
      <c r="AJ114" s="1123"/>
      <c r="AK114" s="1123"/>
      <c r="AL114" s="1123"/>
      <c r="AM114" s="1123"/>
      <c r="AN114" s="1123"/>
      <c r="AO114" s="1123"/>
      <c r="AP114" s="1123"/>
      <c r="AQ114" s="1123"/>
      <c r="AR114" s="1123"/>
      <c r="AS114" s="1123"/>
      <c r="AW114" s="740" t="s">
        <v>249</v>
      </c>
      <c r="AX114" s="740"/>
      <c r="AZ114" s="740" t="s">
        <v>250</v>
      </c>
      <c r="BA114" s="740"/>
      <c r="BC114" s="740" t="s">
        <v>251</v>
      </c>
      <c r="BD114" s="740"/>
      <c r="BF114" s="740" t="s">
        <v>252</v>
      </c>
      <c r="BG114" s="740"/>
      <c r="BI114" s="740" t="s">
        <v>253</v>
      </c>
      <c r="BJ114" s="740"/>
      <c r="BL114" s="740" t="s">
        <v>254</v>
      </c>
      <c r="BM114" s="740"/>
      <c r="BO114" s="740" t="s">
        <v>255</v>
      </c>
      <c r="BP114" s="740"/>
    </row>
    <row r="115" ht="16.95" customHeight="1" spans="2:69">
      <c r="B115" s="696"/>
      <c r="C115" s="1111"/>
      <c r="D115" s="944"/>
      <c r="E115" s="944"/>
      <c r="F115" s="944"/>
      <c r="G115" s="1112"/>
      <c r="H115" s="967"/>
      <c r="I115" s="968"/>
      <c r="J115" s="968"/>
      <c r="K115" s="968"/>
      <c r="L115" s="968"/>
      <c r="M115" s="968"/>
      <c r="N115" s="968"/>
      <c r="O115" s="968"/>
      <c r="P115" s="968"/>
      <c r="Q115" s="968"/>
      <c r="R115" s="968"/>
      <c r="S115" s="968"/>
      <c r="T115" s="968"/>
      <c r="U115" s="968"/>
      <c r="V115" s="968"/>
      <c r="W115" s="969"/>
      <c r="Y115" s="687"/>
      <c r="Z115" s="1110"/>
      <c r="AA115" s="930"/>
      <c r="AB115" s="930"/>
      <c r="AC115" s="930"/>
      <c r="AD115" s="907"/>
      <c r="AE115" s="1124"/>
      <c r="AF115" s="1124"/>
      <c r="AG115" s="1124"/>
      <c r="AH115" s="1124"/>
      <c r="AI115" s="1124"/>
      <c r="AJ115" s="1124"/>
      <c r="AK115" s="1124"/>
      <c r="AL115" s="1124"/>
      <c r="AM115" s="1124"/>
      <c r="AN115" s="1124"/>
      <c r="AO115" s="1124"/>
      <c r="AP115" s="1124"/>
      <c r="AQ115" s="1124"/>
      <c r="AR115" s="1124"/>
      <c r="AS115" s="1124"/>
      <c r="AW115" s="740" t="s">
        <v>256</v>
      </c>
      <c r="AX115" s="740"/>
      <c r="AZ115" s="740" t="s">
        <v>257</v>
      </c>
      <c r="BA115" s="740"/>
      <c r="BC115" s="740" t="s">
        <v>258</v>
      </c>
      <c r="BD115" s="740"/>
      <c r="BF115" s="740" t="s">
        <v>259</v>
      </c>
      <c r="BG115" s="740"/>
      <c r="BI115" s="740" t="s">
        <v>260</v>
      </c>
      <c r="BJ115" s="740"/>
      <c r="BL115" s="740" t="s">
        <v>261</v>
      </c>
      <c r="BM115" s="740"/>
      <c r="BO115" s="740" t="s">
        <v>262</v>
      </c>
      <c r="BP115" s="740"/>
    </row>
    <row r="116" ht="16.95" customHeight="1" spans="2:69">
      <c r="B116" s="687"/>
      <c r="C116" s="1110"/>
      <c r="D116" s="930"/>
      <c r="E116" s="930"/>
      <c r="F116" s="930"/>
      <c r="G116" s="907"/>
      <c r="H116" s="961"/>
      <c r="I116" s="962"/>
      <c r="J116" s="962"/>
      <c r="K116" s="962"/>
      <c r="L116" s="962"/>
      <c r="M116" s="962"/>
      <c r="N116" s="962"/>
      <c r="O116" s="962"/>
      <c r="P116" s="962"/>
      <c r="Q116" s="962"/>
      <c r="R116" s="962"/>
      <c r="S116" s="962"/>
      <c r="T116" s="962"/>
      <c r="U116" s="962"/>
      <c r="V116" s="962"/>
      <c r="W116" s="963"/>
      <c r="Y116" s="696"/>
      <c r="Z116" s="1111"/>
      <c r="AA116" s="944"/>
      <c r="AB116" s="944"/>
      <c r="AC116" s="944"/>
      <c r="AD116" s="1112"/>
      <c r="AE116" s="1123" t="s">
        <v>123</v>
      </c>
      <c r="AF116" s="1123"/>
      <c r="AG116" s="1123"/>
      <c r="AH116" s="1123"/>
      <c r="AI116" s="1123"/>
      <c r="AJ116" s="1123"/>
      <c r="AK116" s="1123"/>
      <c r="AL116" s="1123"/>
      <c r="AM116" s="1123"/>
      <c r="AN116" s="1123"/>
      <c r="AO116" s="1123"/>
      <c r="AP116" s="1123"/>
      <c r="AQ116" s="1123"/>
      <c r="AR116" s="1123"/>
      <c r="AS116" s="1123"/>
      <c r="AW116" s="740" t="s">
        <v>263</v>
      </c>
      <c r="AX116" s="740"/>
      <c r="AZ116" s="740" t="s">
        <v>264</v>
      </c>
      <c r="BA116" s="740"/>
      <c r="BC116" s="755" t="s">
        <v>265</v>
      </c>
      <c r="BD116" s="755"/>
      <c r="BF116" s="755" t="s">
        <v>266</v>
      </c>
      <c r="BG116" s="755"/>
      <c r="BI116" s="755" t="s">
        <v>267</v>
      </c>
      <c r="BJ116" s="755"/>
      <c r="BL116" s="755" t="s">
        <v>268</v>
      </c>
      <c r="BM116" s="755"/>
      <c r="BO116" s="755" t="s">
        <v>269</v>
      </c>
      <c r="BP116" s="755"/>
    </row>
    <row r="117" ht="16.95" customHeight="1" spans="2:69">
      <c r="B117" s="696"/>
      <c r="C117" s="1111"/>
      <c r="D117" s="944"/>
      <c r="E117" s="944"/>
      <c r="F117" s="944"/>
      <c r="G117" s="1112"/>
      <c r="H117" s="967"/>
      <c r="I117" s="968"/>
      <c r="J117" s="968"/>
      <c r="K117" s="968"/>
      <c r="L117" s="968"/>
      <c r="M117" s="968"/>
      <c r="N117" s="968"/>
      <c r="O117" s="968"/>
      <c r="P117" s="968"/>
      <c r="Q117" s="968"/>
      <c r="R117" s="968"/>
      <c r="S117" s="968"/>
      <c r="T117" s="968"/>
      <c r="U117" s="968"/>
      <c r="V117" s="968"/>
      <c r="W117" s="969"/>
      <c r="Y117" s="687"/>
      <c r="Z117" s="1110"/>
      <c r="AA117" s="930"/>
      <c r="AB117" s="930"/>
      <c r="AC117" s="930"/>
      <c r="AD117" s="907"/>
      <c r="AE117" s="961"/>
      <c r="AF117" s="962"/>
      <c r="AG117" s="962"/>
      <c r="AH117" s="962"/>
      <c r="AI117" s="962"/>
      <c r="AJ117" s="962"/>
      <c r="AK117" s="962"/>
      <c r="AL117" s="962"/>
      <c r="AM117" s="962"/>
      <c r="AN117" s="962"/>
      <c r="AO117" s="962"/>
      <c r="AP117" s="962"/>
      <c r="AQ117" s="962"/>
      <c r="AR117" s="962"/>
      <c r="AS117" s="963"/>
    </row>
    <row r="118" ht="16.95" customHeight="1" spans="2:69">
      <c r="B118" s="687"/>
      <c r="C118" s="1110"/>
      <c r="D118" s="930"/>
      <c r="E118" s="930"/>
      <c r="F118" s="930"/>
      <c r="G118" s="907"/>
      <c r="H118" s="961"/>
      <c r="I118" s="962"/>
      <c r="J118" s="962"/>
      <c r="K118" s="962"/>
      <c r="L118" s="962"/>
      <c r="M118" s="962"/>
      <c r="N118" s="962"/>
      <c r="O118" s="962"/>
      <c r="P118" s="962"/>
      <c r="Q118" s="962"/>
      <c r="R118" s="962"/>
      <c r="S118" s="962"/>
      <c r="T118" s="962"/>
      <c r="U118" s="962"/>
      <c r="V118" s="962"/>
      <c r="W118" s="963"/>
      <c r="AV118" s="767"/>
      <c r="AW118" s="767"/>
      <c r="AX118" s="767"/>
      <c r="AY118" s="767"/>
      <c r="AZ118" s="767"/>
      <c r="BA118" s="767"/>
      <c r="BB118" s="767"/>
      <c r="BC118" s="767"/>
      <c r="BD118" s="2" t="s">
        <v>270</v>
      </c>
      <c r="BE118" s="2"/>
      <c r="BF118" s="2"/>
      <c r="BG118" s="2"/>
      <c r="BH118" s="2"/>
      <c r="BI118" s="2"/>
      <c r="BJ118" s="767"/>
      <c r="BK118" s="767"/>
      <c r="BL118" s="767"/>
      <c r="BM118" s="767"/>
      <c r="BN118" s="767"/>
      <c r="BO118" s="767"/>
      <c r="BP118" s="1125" t="s">
        <v>271</v>
      </c>
      <c r="BQ118" s="1125"/>
    </row>
    <row r="119" ht="16.95" customHeight="1" spans="2:69">
      <c r="B119" s="696"/>
      <c r="C119" s="1111"/>
      <c r="D119" s="944"/>
      <c r="E119" s="944"/>
      <c r="F119" s="944"/>
      <c r="G119" s="1112"/>
      <c r="H119" s="967"/>
      <c r="I119" s="968"/>
      <c r="J119" s="968"/>
      <c r="K119" s="968"/>
      <c r="L119" s="968"/>
      <c r="M119" s="968"/>
      <c r="N119" s="968"/>
      <c r="O119" s="968"/>
      <c r="P119" s="968"/>
      <c r="Q119" s="968"/>
      <c r="R119" s="968"/>
      <c r="S119" s="968"/>
      <c r="T119" s="968"/>
      <c r="U119" s="968"/>
      <c r="V119" s="968"/>
      <c r="W119" s="969"/>
      <c r="Y119" s="767"/>
      <c r="Z119" s="768" t="str">
        <f>IF(装备数据!AM21&gt;=1,"重复熟练项","")</f>
        <v/>
      </c>
      <c r="AA119" s="768"/>
      <c r="AB119" s="768"/>
      <c r="AC119" s="768"/>
      <c r="AD119" s="768"/>
      <c r="AE119" s="767"/>
      <c r="AF119" s="767"/>
      <c r="AG119" s="2" t="s">
        <v>242</v>
      </c>
      <c r="AH119" s="2"/>
      <c r="AI119" s="2"/>
      <c r="AJ119" s="2"/>
      <c r="AK119" s="2"/>
      <c r="AL119" s="767"/>
      <c r="AM119" s="767"/>
      <c r="AN119" s="767"/>
      <c r="AO119" s="2"/>
      <c r="AP119" s="2"/>
      <c r="AQ119" s="2"/>
      <c r="AR119" s="2"/>
      <c r="AS119" s="2"/>
      <c r="BD119" s="1126"/>
      <c r="BE119" s="1126"/>
      <c r="BF119" s="1126"/>
      <c r="BG119" s="1126"/>
      <c r="BH119" s="1126"/>
      <c r="BI119" s="1126"/>
    </row>
    <row r="120" ht="16.95" customHeight="1" spans="2:69">
      <c r="B120" s="687"/>
      <c r="C120" s="1110"/>
      <c r="D120" s="930"/>
      <c r="E120" s="930"/>
      <c r="F120" s="930"/>
      <c r="G120" s="907"/>
      <c r="H120" s="961"/>
      <c r="I120" s="962"/>
      <c r="J120" s="962"/>
      <c r="K120" s="962"/>
      <c r="L120" s="962"/>
      <c r="M120" s="962"/>
      <c r="N120" s="962"/>
      <c r="O120" s="962"/>
      <c r="P120" s="962"/>
      <c r="Q120" s="962"/>
      <c r="R120" s="962"/>
      <c r="S120" s="962"/>
      <c r="T120" s="962"/>
      <c r="U120" s="962"/>
      <c r="V120" s="962"/>
      <c r="W120" s="963"/>
      <c r="Y120" s="683" t="s">
        <v>237</v>
      </c>
      <c r="Z120" s="683"/>
      <c r="AA120" s="683" t="s">
        <v>114</v>
      </c>
      <c r="AB120" s="683"/>
      <c r="AC120" s="683"/>
      <c r="AD120" s="895"/>
      <c r="AE120" s="31" t="s">
        <v>176</v>
      </c>
      <c r="AF120" s="31"/>
      <c r="AG120" s="31"/>
      <c r="AH120" s="31"/>
      <c r="AI120" s="31"/>
      <c r="AJ120" s="31"/>
      <c r="AK120" s="31"/>
      <c r="AL120" s="31"/>
      <c r="AM120" s="31"/>
      <c r="AN120" s="31"/>
      <c r="AO120" s="31"/>
      <c r="AP120" s="31"/>
      <c r="AQ120" s="31"/>
      <c r="AR120" s="31"/>
      <c r="AS120" s="31"/>
      <c r="AV120" s="1127" t="s">
        <v>76</v>
      </c>
      <c r="AW120" s="1127"/>
      <c r="AX120" s="1127"/>
      <c r="AY120" s="1127"/>
      <c r="AZ120" s="1127" t="str">
        <f>IFERROR(LOOKUP($F$14,综合数据!H:H,综合数据!I:I),"")</f>
        <v>你揍人就像在给对方按摩</v>
      </c>
      <c r="BA120" s="1127"/>
      <c r="BB120" s="1127"/>
      <c r="BC120" s="1127"/>
      <c r="BD120" s="1127"/>
      <c r="BE120" s="1127"/>
      <c r="BF120" s="1127"/>
      <c r="BG120" s="1127"/>
      <c r="BH120" s="1127"/>
      <c r="BI120" s="1127"/>
      <c r="BJ120" s="1127"/>
      <c r="BK120" s="1127"/>
      <c r="BL120" s="1127"/>
      <c r="BM120" s="1127"/>
      <c r="BN120" s="1127"/>
      <c r="BO120" s="1127"/>
      <c r="BP120" s="1127"/>
      <c r="BQ120" s="1127"/>
    </row>
    <row r="121" ht="16.95" customHeight="1" spans="2:69">
      <c r="B121" s="696"/>
      <c r="C121" s="1111"/>
      <c r="D121" s="944"/>
      <c r="E121" s="944"/>
      <c r="F121" s="944"/>
      <c r="G121" s="1112"/>
      <c r="H121" s="967"/>
      <c r="I121" s="968"/>
      <c r="J121" s="968"/>
      <c r="K121" s="968"/>
      <c r="L121" s="968"/>
      <c r="M121" s="968"/>
      <c r="N121" s="968"/>
      <c r="O121" s="968"/>
      <c r="P121" s="968"/>
      <c r="Q121" s="968"/>
      <c r="R121" s="968"/>
      <c r="S121" s="968"/>
      <c r="T121" s="968"/>
      <c r="U121" s="968"/>
      <c r="V121" s="968"/>
      <c r="W121" s="969"/>
      <c r="Y121" s="687"/>
      <c r="Z121" s="1116"/>
      <c r="AA121" s="1117"/>
      <c r="AB121" s="1117"/>
      <c r="AC121" s="1117"/>
      <c r="AD121" s="1118"/>
      <c r="AE121" s="961" t="s">
        <v>123</v>
      </c>
      <c r="AF121" s="962"/>
      <c r="AG121" s="962"/>
      <c r="AH121" s="962"/>
      <c r="AI121" s="962"/>
      <c r="AJ121" s="962"/>
      <c r="AK121" s="962"/>
      <c r="AL121" s="962"/>
      <c r="AM121" s="962"/>
      <c r="AN121" s="962"/>
      <c r="AO121" s="962"/>
      <c r="AP121" s="962"/>
      <c r="AQ121" s="962"/>
      <c r="AR121" s="962"/>
      <c r="AS121" s="963"/>
      <c r="AV121" s="1128" t="s">
        <v>78</v>
      </c>
      <c r="AW121" s="1128"/>
      <c r="AX121" s="1128"/>
      <c r="AY121" s="1128"/>
      <c r="AZ121" s="1128" t="str">
        <f>IFERROR(LOOKUP($F$15,综合数据!H:H,综合数据!J:J),"")</f>
        <v>不上不下真尴尬</v>
      </c>
      <c r="BA121" s="1128"/>
      <c r="BB121" s="1128"/>
      <c r="BC121" s="1128"/>
      <c r="BD121" s="1128"/>
      <c r="BE121" s="1128"/>
      <c r="BF121" s="1128"/>
      <c r="BG121" s="1128"/>
      <c r="BH121" s="1128"/>
      <c r="BI121" s="1128"/>
      <c r="BJ121" s="1128"/>
      <c r="BK121" s="1128"/>
      <c r="BL121" s="1128"/>
      <c r="BM121" s="1128"/>
      <c r="BN121" s="1128"/>
      <c r="BO121" s="1128"/>
      <c r="BP121" s="1128"/>
      <c r="BQ121" s="1128"/>
    </row>
    <row r="122" ht="16.95" customHeight="1" spans="2:69">
      <c r="B122" s="687"/>
      <c r="C122" s="1110"/>
      <c r="D122" s="930"/>
      <c r="E122" s="930"/>
      <c r="F122" s="930"/>
      <c r="G122" s="907"/>
      <c r="H122" s="961"/>
      <c r="I122" s="962"/>
      <c r="J122" s="962"/>
      <c r="K122" s="962"/>
      <c r="L122" s="962"/>
      <c r="M122" s="962"/>
      <c r="N122" s="962"/>
      <c r="O122" s="962"/>
      <c r="P122" s="962"/>
      <c r="Q122" s="962"/>
      <c r="R122" s="962"/>
      <c r="S122" s="962"/>
      <c r="T122" s="962"/>
      <c r="U122" s="962"/>
      <c r="V122" s="962"/>
      <c r="W122" s="963"/>
      <c r="Y122" s="696"/>
      <c r="Z122" s="1119"/>
      <c r="AA122" s="1120"/>
      <c r="AB122" s="1120"/>
      <c r="AC122" s="1120"/>
      <c r="AD122" s="1121"/>
      <c r="AE122" s="967"/>
      <c r="AF122" s="968"/>
      <c r="AG122" s="968"/>
      <c r="AH122" s="968"/>
      <c r="AI122" s="968"/>
      <c r="AJ122" s="968"/>
      <c r="AK122" s="968"/>
      <c r="AL122" s="968"/>
      <c r="AM122" s="968"/>
      <c r="AN122" s="968"/>
      <c r="AO122" s="968"/>
      <c r="AP122" s="968"/>
      <c r="AQ122" s="968"/>
      <c r="AR122" s="968"/>
      <c r="AS122" s="969"/>
      <c r="AV122" s="1127" t="s">
        <v>79</v>
      </c>
      <c r="AW122" s="1127"/>
      <c r="AX122" s="1127"/>
      <c r="AY122" s="1127"/>
      <c r="AZ122" s="1127" t="str">
        <f>IFERROR(LOOKUP($F$16,综合数据!H:H,综合数据!K:K),"")</f>
        <v>健康状况堪忧</v>
      </c>
      <c r="BA122" s="1127"/>
      <c r="BB122" s="1127"/>
      <c r="BC122" s="1127"/>
      <c r="BD122" s="1127"/>
      <c r="BE122" s="1127"/>
      <c r="BF122" s="1127"/>
      <c r="BG122" s="1127"/>
      <c r="BH122" s="1127"/>
      <c r="BI122" s="1127"/>
      <c r="BJ122" s="1127"/>
      <c r="BK122" s="1127"/>
      <c r="BL122" s="1127"/>
      <c r="BM122" s="1127"/>
      <c r="BN122" s="1127"/>
      <c r="BO122" s="1127"/>
      <c r="BP122" s="1127"/>
      <c r="BQ122" s="1127"/>
    </row>
    <row r="123" ht="16.95" customHeight="1" spans="2:69">
      <c r="B123" s="696"/>
      <c r="C123" s="1111"/>
      <c r="D123" s="944"/>
      <c r="E123" s="944"/>
      <c r="F123" s="944"/>
      <c r="G123" s="1112"/>
      <c r="H123" s="967"/>
      <c r="I123" s="968"/>
      <c r="J123" s="968"/>
      <c r="K123" s="968"/>
      <c r="L123" s="968"/>
      <c r="M123" s="968"/>
      <c r="N123" s="968"/>
      <c r="O123" s="968"/>
      <c r="P123" s="968"/>
      <c r="Q123" s="968"/>
      <c r="R123" s="968"/>
      <c r="S123" s="968"/>
      <c r="T123" s="968"/>
      <c r="U123" s="968"/>
      <c r="V123" s="968"/>
      <c r="W123" s="969"/>
      <c r="Y123" s="687"/>
      <c r="Z123" s="1116"/>
      <c r="AA123" s="1117"/>
      <c r="AB123" s="1117"/>
      <c r="AC123" s="1117"/>
      <c r="AD123" s="1118"/>
      <c r="AE123" s="961"/>
      <c r="AF123" s="962"/>
      <c r="AG123" s="962"/>
      <c r="AH123" s="962"/>
      <c r="AI123" s="962"/>
      <c r="AJ123" s="962"/>
      <c r="AK123" s="962"/>
      <c r="AL123" s="962"/>
      <c r="AM123" s="962"/>
      <c r="AN123" s="962"/>
      <c r="AO123" s="962"/>
      <c r="AP123" s="962"/>
      <c r="AQ123" s="962"/>
      <c r="AR123" s="962"/>
      <c r="AS123" s="963"/>
      <c r="AV123" s="1128" t="s">
        <v>80</v>
      </c>
      <c r="AW123" s="1128"/>
      <c r="AX123" s="1128"/>
      <c r="AY123" s="1128"/>
      <c r="AZ123" s="1128" t="str">
        <f>IFERROR(LOOKUP($F$17,综合数据!H:H,综合数据!L:L),"")</f>
        <v>你可能会怀疑你是不是健忘</v>
      </c>
      <c r="BA123" s="1128"/>
      <c r="BB123" s="1128"/>
      <c r="BC123" s="1128"/>
      <c r="BD123" s="1128"/>
      <c r="BE123" s="1128"/>
      <c r="BF123" s="1128"/>
      <c r="BG123" s="1128"/>
      <c r="BH123" s="1128"/>
      <c r="BI123" s="1128"/>
      <c r="BJ123" s="1128"/>
      <c r="BK123" s="1128"/>
      <c r="BL123" s="1128"/>
      <c r="BM123" s="1128"/>
      <c r="BN123" s="1128"/>
      <c r="BO123" s="1128"/>
      <c r="BP123" s="1128"/>
      <c r="BQ123" s="1128"/>
    </row>
    <row r="124" ht="16.95" customHeight="1" spans="2:69">
      <c r="B124" s="687"/>
      <c r="C124" s="1110"/>
      <c r="D124" s="930"/>
      <c r="E124" s="930"/>
      <c r="F124" s="930"/>
      <c r="G124" s="907"/>
      <c r="H124" s="961"/>
      <c r="I124" s="962"/>
      <c r="J124" s="962"/>
      <c r="K124" s="962"/>
      <c r="L124" s="962"/>
      <c r="M124" s="962"/>
      <c r="N124" s="962"/>
      <c r="O124" s="962"/>
      <c r="P124" s="962"/>
      <c r="Q124" s="962"/>
      <c r="R124" s="962"/>
      <c r="S124" s="962"/>
      <c r="T124" s="962"/>
      <c r="U124" s="962"/>
      <c r="V124" s="962"/>
      <c r="W124" s="963"/>
      <c r="Y124" s="696"/>
      <c r="Z124" s="1119"/>
      <c r="AA124" s="1120"/>
      <c r="AB124" s="1120"/>
      <c r="AC124" s="1120"/>
      <c r="AD124" s="1121"/>
      <c r="AE124" s="967"/>
      <c r="AF124" s="968"/>
      <c r="AG124" s="968"/>
      <c r="AH124" s="968"/>
      <c r="AI124" s="968"/>
      <c r="AJ124" s="968"/>
      <c r="AK124" s="968"/>
      <c r="AL124" s="968"/>
      <c r="AM124" s="968"/>
      <c r="AN124" s="968"/>
      <c r="AO124" s="968"/>
      <c r="AP124" s="968"/>
      <c r="AQ124" s="968"/>
      <c r="AR124" s="968"/>
      <c r="AS124" s="969"/>
      <c r="AV124" s="1127" t="s">
        <v>81</v>
      </c>
      <c r="AW124" s="1127"/>
      <c r="AX124" s="1127"/>
      <c r="AY124" s="1127"/>
      <c r="AZ124" s="1127" t="str">
        <f>IFERROR(LOOKUP($F$18,综合数据!H:H,综合数据!M:M),"")</f>
        <v>关键时刻掉链子</v>
      </c>
      <c r="BA124" s="1127"/>
      <c r="BB124" s="1127"/>
      <c r="BC124" s="1127"/>
      <c r="BD124" s="1127"/>
      <c r="BE124" s="1127"/>
      <c r="BF124" s="1127"/>
      <c r="BG124" s="1127"/>
      <c r="BH124" s="1127"/>
      <c r="BI124" s="1127"/>
      <c r="BJ124" s="1127"/>
      <c r="BK124" s="1127"/>
      <c r="BL124" s="1127"/>
      <c r="BM124" s="1127"/>
      <c r="BN124" s="1127"/>
      <c r="BO124" s="1127"/>
      <c r="BP124" s="1127"/>
      <c r="BQ124" s="1127"/>
    </row>
    <row r="125" ht="16.95" customHeight="1" spans="2:69">
      <c r="B125" s="696"/>
      <c r="C125" s="1111"/>
      <c r="D125" s="944"/>
      <c r="E125" s="944"/>
      <c r="F125" s="944"/>
      <c r="G125" s="1112"/>
      <c r="H125" s="967"/>
      <c r="I125" s="968"/>
      <c r="J125" s="968"/>
      <c r="K125" s="968"/>
      <c r="L125" s="968"/>
      <c r="M125" s="968"/>
      <c r="N125" s="968"/>
      <c r="O125" s="968"/>
      <c r="P125" s="968"/>
      <c r="Q125" s="968"/>
      <c r="R125" s="968"/>
      <c r="S125" s="968"/>
      <c r="T125" s="968"/>
      <c r="U125" s="968"/>
      <c r="V125" s="968"/>
      <c r="W125" s="969"/>
      <c r="Y125" s="687"/>
      <c r="Z125" s="1116"/>
      <c r="AA125" s="1117"/>
      <c r="AB125" s="1117"/>
      <c r="AC125" s="1117"/>
      <c r="AD125" s="1118"/>
      <c r="AE125" s="961"/>
      <c r="AF125" s="962"/>
      <c r="AG125" s="962"/>
      <c r="AH125" s="962"/>
      <c r="AI125" s="962"/>
      <c r="AJ125" s="962"/>
      <c r="AK125" s="962"/>
      <c r="AL125" s="962"/>
      <c r="AM125" s="962"/>
      <c r="AN125" s="962"/>
      <c r="AO125" s="962"/>
      <c r="AP125" s="962"/>
      <c r="AQ125" s="962"/>
      <c r="AR125" s="962"/>
      <c r="AS125" s="963"/>
      <c r="AV125" s="1128" t="s">
        <v>82</v>
      </c>
      <c r="AW125" s="1128"/>
      <c r="AX125" s="1128"/>
      <c r="AY125" s="1128"/>
      <c r="AZ125" s="1128" t="str">
        <f>IFERROR(LOOKUP($F$19,综合数据!H:H,综合数据!N:N),"")</f>
        <v>你的说服力还是可以的</v>
      </c>
      <c r="BA125" s="1128"/>
      <c r="BB125" s="1128"/>
      <c r="BC125" s="1128"/>
      <c r="BD125" s="1128"/>
      <c r="BE125" s="1128"/>
      <c r="BF125" s="1128"/>
      <c r="BG125" s="1128"/>
      <c r="BH125" s="1128"/>
      <c r="BI125" s="1128"/>
      <c r="BJ125" s="1128"/>
      <c r="BK125" s="1128"/>
      <c r="BL125" s="1128"/>
      <c r="BM125" s="1128"/>
      <c r="BN125" s="1128"/>
      <c r="BO125" s="1128"/>
      <c r="BP125" s="1128"/>
      <c r="BQ125" s="1128"/>
    </row>
    <row r="126" ht="16.95" customHeight="1" spans="2:69">
      <c r="B126" s="687"/>
      <c r="C126" s="1110"/>
      <c r="D126" s="930"/>
      <c r="E126" s="930"/>
      <c r="F126" s="930"/>
      <c r="G126" s="907"/>
      <c r="H126" s="961"/>
      <c r="I126" s="962"/>
      <c r="J126" s="962"/>
      <c r="K126" s="962"/>
      <c r="L126" s="962"/>
      <c r="M126" s="962"/>
      <c r="N126" s="962"/>
      <c r="O126" s="962"/>
      <c r="P126" s="962"/>
      <c r="Q126" s="962"/>
      <c r="R126" s="962"/>
      <c r="S126" s="962"/>
      <c r="T126" s="962"/>
      <c r="U126" s="962"/>
      <c r="V126" s="962"/>
      <c r="W126" s="963"/>
      <c r="Y126" s="696"/>
      <c r="Z126" s="1119"/>
      <c r="AA126" s="1120"/>
      <c r="AB126" s="1120"/>
      <c r="AC126" s="1120"/>
      <c r="AD126" s="1121"/>
      <c r="AE126" s="967"/>
      <c r="AF126" s="968"/>
      <c r="AG126" s="968"/>
      <c r="AH126" s="968"/>
      <c r="AI126" s="968"/>
      <c r="AJ126" s="968"/>
      <c r="AK126" s="968"/>
      <c r="AL126" s="968"/>
      <c r="AM126" s="968"/>
      <c r="AN126" s="968"/>
      <c r="AO126" s="968"/>
      <c r="AP126" s="968"/>
      <c r="AQ126" s="968"/>
      <c r="AR126" s="968"/>
      <c r="AS126" s="969"/>
    </row>
    <row r="127" ht="16.95" customHeight="1" spans="2:69">
      <c r="B127" s="696"/>
      <c r="C127" s="1111"/>
      <c r="D127" s="944"/>
      <c r="E127" s="944"/>
      <c r="F127" s="944"/>
      <c r="G127" s="1112"/>
      <c r="H127" s="967"/>
      <c r="I127" s="968"/>
      <c r="J127" s="968"/>
      <c r="K127" s="968"/>
      <c r="L127" s="968"/>
      <c r="M127" s="968"/>
      <c r="N127" s="968"/>
      <c r="O127" s="968"/>
      <c r="P127" s="968"/>
      <c r="Q127" s="968"/>
      <c r="R127" s="968"/>
      <c r="S127" s="968"/>
      <c r="T127" s="968"/>
      <c r="U127" s="968"/>
      <c r="V127" s="968"/>
      <c r="W127" s="969"/>
      <c r="Y127" s="687"/>
      <c r="Z127" s="1116"/>
      <c r="AA127" s="1117"/>
      <c r="AB127" s="1117"/>
      <c r="AC127" s="1117"/>
      <c r="AD127" s="1118"/>
      <c r="AE127" s="961"/>
      <c r="AF127" s="962"/>
      <c r="AG127" s="962"/>
      <c r="AH127" s="962"/>
      <c r="AI127" s="962"/>
      <c r="AJ127" s="962"/>
      <c r="AK127" s="962"/>
      <c r="AL127" s="962"/>
      <c r="AM127" s="962"/>
      <c r="AN127" s="962"/>
      <c r="AO127" s="962"/>
      <c r="AP127" s="962"/>
      <c r="AQ127" s="962"/>
      <c r="AR127" s="962"/>
      <c r="AS127" s="963"/>
    </row>
    <row r="128" ht="16.95" customHeight="1" spans="2:69">
      <c r="B128" s="687"/>
      <c r="C128" s="1110"/>
      <c r="D128" s="930"/>
      <c r="E128" s="930"/>
      <c r="F128" s="930"/>
      <c r="G128" s="907"/>
      <c r="H128" s="961"/>
      <c r="I128" s="962"/>
      <c r="J128" s="962"/>
      <c r="K128" s="962"/>
      <c r="L128" s="962"/>
      <c r="M128" s="962"/>
      <c r="N128" s="962"/>
      <c r="O128" s="962"/>
      <c r="P128" s="962"/>
      <c r="Q128" s="962"/>
      <c r="R128" s="962"/>
      <c r="S128" s="962"/>
      <c r="T128" s="962"/>
      <c r="U128" s="962"/>
      <c r="V128" s="962"/>
      <c r="W128" s="963"/>
      <c r="Y128" s="696"/>
      <c r="Z128" s="1119"/>
      <c r="AA128" s="1120"/>
      <c r="AB128" s="1120"/>
      <c r="AC128" s="1120"/>
      <c r="AD128" s="1121"/>
      <c r="AE128" s="967"/>
      <c r="AF128" s="968"/>
      <c r="AG128" s="968"/>
      <c r="AH128" s="968"/>
      <c r="AI128" s="968"/>
      <c r="AJ128" s="968"/>
      <c r="AK128" s="968"/>
      <c r="AL128" s="968"/>
      <c r="AM128" s="968"/>
      <c r="AN128" s="968"/>
      <c r="AO128" s="968"/>
      <c r="AP128" s="968"/>
      <c r="AQ128" s="968"/>
      <c r="AR128" s="968"/>
      <c r="AS128" s="969"/>
    </row>
    <row r="129" ht="16.95" customHeight="1"/>
    <row r="130" ht="16.95" customHeight="1" spans="2:45">
      <c r="B130" s="1129" t="s">
        <v>272</v>
      </c>
      <c r="C130" s="1129"/>
      <c r="D130" s="1129"/>
      <c r="E130" s="1129"/>
      <c r="F130" s="1129"/>
      <c r="G130" s="1129"/>
      <c r="H130" s="1129"/>
      <c r="I130" s="1129"/>
      <c r="J130" s="1129"/>
      <c r="K130" s="1129"/>
      <c r="L130" s="1129"/>
      <c r="M130" s="1129"/>
      <c r="N130" s="1129"/>
      <c r="O130" s="1129"/>
      <c r="P130" s="1129"/>
      <c r="Q130" s="1129"/>
      <c r="R130" s="1129"/>
      <c r="S130" s="1129"/>
      <c r="T130" s="1129"/>
      <c r="U130" s="1129"/>
      <c r="V130" s="1129"/>
      <c r="W130" s="1129"/>
      <c r="Y130" s="1129" t="s">
        <v>273</v>
      </c>
      <c r="Z130" s="1129"/>
      <c r="AA130" s="1129"/>
      <c r="AB130" s="1129"/>
      <c r="AC130" s="1129"/>
      <c r="AD130" s="1129"/>
      <c r="AE130" s="1129"/>
      <c r="AF130" s="1129"/>
      <c r="AG130" s="1129"/>
      <c r="AH130" s="1129"/>
      <c r="AI130" s="1129"/>
      <c r="AJ130" s="1129"/>
      <c r="AK130" s="1129"/>
      <c r="AL130" s="1129"/>
      <c r="AM130" s="1129"/>
      <c r="AN130" s="1129"/>
      <c r="AO130" s="1129"/>
      <c r="AP130" s="1129"/>
      <c r="AQ130" s="1129"/>
      <c r="AR130" s="1129"/>
      <c r="AS130" s="1129"/>
    </row>
    <row r="131" ht="16.95" customHeight="1" spans="2:45">
      <c r="B131" s="961"/>
      <c r="C131" s="962"/>
      <c r="D131" s="962"/>
      <c r="E131" s="962"/>
      <c r="F131" s="962"/>
      <c r="G131" s="962"/>
      <c r="H131" s="962"/>
      <c r="I131" s="962"/>
      <c r="J131" s="962"/>
      <c r="K131" s="962"/>
      <c r="L131" s="962"/>
      <c r="M131" s="962"/>
      <c r="N131" s="962"/>
      <c r="O131" s="962"/>
      <c r="P131" s="962"/>
      <c r="Q131" s="962"/>
      <c r="R131" s="962"/>
      <c r="S131" s="962"/>
      <c r="T131" s="962"/>
      <c r="U131" s="962"/>
      <c r="V131" s="962"/>
      <c r="W131" s="963"/>
      <c r="Y131" s="1130"/>
      <c r="Z131" s="1131"/>
      <c r="AA131" s="1131"/>
      <c r="AB131" s="1131"/>
      <c r="AC131" s="1131"/>
      <c r="AD131" s="1131"/>
      <c r="AE131" s="1131"/>
      <c r="AF131" s="1131"/>
      <c r="AG131" s="1131"/>
      <c r="AH131" s="1131"/>
      <c r="AI131" s="1131"/>
      <c r="AJ131" s="1131"/>
      <c r="AK131" s="1131"/>
      <c r="AL131" s="1131"/>
      <c r="AM131" s="1131"/>
      <c r="AN131" s="1131"/>
      <c r="AO131" s="1131"/>
      <c r="AP131" s="1131"/>
      <c r="AQ131" s="1131"/>
      <c r="AR131" s="1131"/>
      <c r="AS131" s="1132"/>
    </row>
    <row r="132" ht="16.95" customHeight="1" spans="2:45">
      <c r="B132" s="967"/>
      <c r="C132" s="968"/>
      <c r="D132" s="968"/>
      <c r="E132" s="968"/>
      <c r="F132" s="968"/>
      <c r="G132" s="968"/>
      <c r="H132" s="968"/>
      <c r="I132" s="968"/>
      <c r="J132" s="968"/>
      <c r="K132" s="968"/>
      <c r="L132" s="968"/>
      <c r="M132" s="968"/>
      <c r="N132" s="968"/>
      <c r="O132" s="968"/>
      <c r="P132" s="968"/>
      <c r="Q132" s="968"/>
      <c r="R132" s="968"/>
      <c r="S132" s="968"/>
      <c r="T132" s="968"/>
      <c r="U132" s="968"/>
      <c r="V132" s="968"/>
      <c r="W132" s="969"/>
      <c r="Y132" s="1133"/>
      <c r="Z132" s="1134"/>
      <c r="AA132" s="1134"/>
      <c r="AB132" s="1134"/>
      <c r="AC132" s="1134"/>
      <c r="AD132" s="1134"/>
      <c r="AE132" s="1134"/>
      <c r="AF132" s="1134"/>
      <c r="AG132" s="1134"/>
      <c r="AH132" s="1134"/>
      <c r="AI132" s="1134"/>
      <c r="AJ132" s="1134"/>
      <c r="AK132" s="1134"/>
      <c r="AL132" s="1134"/>
      <c r="AM132" s="1134"/>
      <c r="AN132" s="1134"/>
      <c r="AO132" s="1134"/>
      <c r="AP132" s="1134"/>
      <c r="AQ132" s="1134"/>
      <c r="AR132" s="1134"/>
      <c r="AS132" s="1135"/>
    </row>
    <row r="133" ht="16.95" customHeight="1" spans="2:45">
      <c r="B133" s="961"/>
      <c r="C133" s="962"/>
      <c r="D133" s="962"/>
      <c r="E133" s="962"/>
      <c r="F133" s="962"/>
      <c r="G133" s="962"/>
      <c r="H133" s="962"/>
      <c r="I133" s="962"/>
      <c r="J133" s="962"/>
      <c r="K133" s="962"/>
      <c r="L133" s="962"/>
      <c r="M133" s="962"/>
      <c r="N133" s="962"/>
      <c r="O133" s="962"/>
      <c r="P133" s="962"/>
      <c r="Q133" s="962"/>
      <c r="R133" s="962"/>
      <c r="S133" s="962"/>
      <c r="T133" s="962"/>
      <c r="U133" s="962"/>
      <c r="V133" s="962"/>
      <c r="W133" s="963"/>
      <c r="Y133" s="1133"/>
      <c r="Z133" s="1134"/>
      <c r="AA133" s="1134"/>
      <c r="AB133" s="1134"/>
      <c r="AC133" s="1134"/>
      <c r="AD133" s="1134"/>
      <c r="AE133" s="1134"/>
      <c r="AF133" s="1134"/>
      <c r="AG133" s="1134"/>
      <c r="AH133" s="1134"/>
      <c r="AI133" s="1134"/>
      <c r="AJ133" s="1134"/>
      <c r="AK133" s="1134"/>
      <c r="AL133" s="1134"/>
      <c r="AM133" s="1134"/>
      <c r="AN133" s="1134"/>
      <c r="AO133" s="1134"/>
      <c r="AP133" s="1134"/>
      <c r="AQ133" s="1134"/>
      <c r="AR133" s="1134"/>
      <c r="AS133" s="1135"/>
    </row>
    <row r="134" ht="16.95" customHeight="1" spans="2:45">
      <c r="B134" s="967"/>
      <c r="C134" s="968"/>
      <c r="D134" s="968"/>
      <c r="E134" s="968"/>
      <c r="F134" s="968"/>
      <c r="G134" s="968"/>
      <c r="H134" s="968"/>
      <c r="I134" s="968"/>
      <c r="J134" s="968"/>
      <c r="K134" s="968"/>
      <c r="L134" s="968"/>
      <c r="M134" s="968"/>
      <c r="N134" s="968"/>
      <c r="O134" s="968"/>
      <c r="P134" s="968"/>
      <c r="Q134" s="968"/>
      <c r="R134" s="968"/>
      <c r="S134" s="968"/>
      <c r="T134" s="968"/>
      <c r="U134" s="968"/>
      <c r="V134" s="968"/>
      <c r="W134" s="969"/>
      <c r="Y134" s="1133"/>
      <c r="Z134" s="1134"/>
      <c r="AA134" s="1134"/>
      <c r="AB134" s="1134"/>
      <c r="AC134" s="1134"/>
      <c r="AD134" s="1134"/>
      <c r="AE134" s="1134"/>
      <c r="AF134" s="1134"/>
      <c r="AG134" s="1134"/>
      <c r="AH134" s="1134"/>
      <c r="AI134" s="1134"/>
      <c r="AJ134" s="1134"/>
      <c r="AK134" s="1134"/>
      <c r="AL134" s="1134"/>
      <c r="AM134" s="1134"/>
      <c r="AN134" s="1134"/>
      <c r="AO134" s="1134"/>
      <c r="AP134" s="1134"/>
      <c r="AQ134" s="1134"/>
      <c r="AR134" s="1134"/>
      <c r="AS134" s="1135"/>
    </row>
    <row r="135" ht="16.95" customHeight="1" spans="2:45">
      <c r="B135" s="961"/>
      <c r="C135" s="962"/>
      <c r="D135" s="962"/>
      <c r="E135" s="962"/>
      <c r="F135" s="962"/>
      <c r="G135" s="962"/>
      <c r="H135" s="962"/>
      <c r="I135" s="962"/>
      <c r="J135" s="962"/>
      <c r="K135" s="962"/>
      <c r="L135" s="962"/>
      <c r="M135" s="962"/>
      <c r="N135" s="962"/>
      <c r="O135" s="962"/>
      <c r="P135" s="962"/>
      <c r="Q135" s="962"/>
      <c r="R135" s="962"/>
      <c r="S135" s="962"/>
      <c r="T135" s="962"/>
      <c r="U135" s="962"/>
      <c r="V135" s="962"/>
      <c r="W135" s="963"/>
      <c r="Y135" s="1133"/>
      <c r="Z135" s="1134"/>
      <c r="AA135" s="1134"/>
      <c r="AB135" s="1134"/>
      <c r="AC135" s="1134"/>
      <c r="AD135" s="1134"/>
      <c r="AE135" s="1134"/>
      <c r="AF135" s="1134"/>
      <c r="AG135" s="1134"/>
      <c r="AH135" s="1134"/>
      <c r="AI135" s="1134"/>
      <c r="AJ135" s="1134"/>
      <c r="AK135" s="1134"/>
      <c r="AL135" s="1134"/>
      <c r="AM135" s="1134"/>
      <c r="AN135" s="1134"/>
      <c r="AO135" s="1134"/>
      <c r="AP135" s="1134"/>
      <c r="AQ135" s="1134"/>
      <c r="AR135" s="1134"/>
      <c r="AS135" s="1135"/>
    </row>
    <row r="136" ht="16.95" customHeight="1" spans="2:45">
      <c r="B136" s="967"/>
      <c r="C136" s="968"/>
      <c r="D136" s="968"/>
      <c r="E136" s="968"/>
      <c r="F136" s="968"/>
      <c r="G136" s="968"/>
      <c r="H136" s="968"/>
      <c r="I136" s="968"/>
      <c r="J136" s="968"/>
      <c r="K136" s="968"/>
      <c r="L136" s="968"/>
      <c r="M136" s="968"/>
      <c r="N136" s="968"/>
      <c r="O136" s="968"/>
      <c r="P136" s="968"/>
      <c r="Q136" s="968"/>
      <c r="R136" s="968"/>
      <c r="S136" s="968"/>
      <c r="T136" s="968"/>
      <c r="U136" s="968"/>
      <c r="V136" s="968"/>
      <c r="W136" s="969"/>
      <c r="Y136" s="1133"/>
      <c r="Z136" s="1134"/>
      <c r="AA136" s="1134"/>
      <c r="AB136" s="1134"/>
      <c r="AC136" s="1134"/>
      <c r="AD136" s="1134"/>
      <c r="AE136" s="1134"/>
      <c r="AF136" s="1134"/>
      <c r="AG136" s="1134"/>
      <c r="AH136" s="1134"/>
      <c r="AI136" s="1134"/>
      <c r="AJ136" s="1134"/>
      <c r="AK136" s="1134"/>
      <c r="AL136" s="1134"/>
      <c r="AM136" s="1134"/>
      <c r="AN136" s="1134"/>
      <c r="AO136" s="1134"/>
      <c r="AP136" s="1134"/>
      <c r="AQ136" s="1134"/>
      <c r="AR136" s="1134"/>
      <c r="AS136" s="1135"/>
    </row>
    <row r="137" spans="2:45">
      <c r="B137" s="961"/>
      <c r="C137" s="962"/>
      <c r="D137" s="962"/>
      <c r="E137" s="962"/>
      <c r="F137" s="962"/>
      <c r="G137" s="962"/>
      <c r="H137" s="962"/>
      <c r="I137" s="962"/>
      <c r="J137" s="962"/>
      <c r="K137" s="962"/>
      <c r="L137" s="962"/>
      <c r="M137" s="962"/>
      <c r="N137" s="962"/>
      <c r="O137" s="962"/>
      <c r="P137" s="962"/>
      <c r="Q137" s="962"/>
      <c r="R137" s="962"/>
      <c r="S137" s="962"/>
      <c r="T137" s="962"/>
      <c r="U137" s="962"/>
      <c r="V137" s="962"/>
      <c r="W137" s="963"/>
      <c r="Y137" s="1133"/>
      <c r="Z137" s="1134"/>
      <c r="AA137" s="1134"/>
      <c r="AB137" s="1134"/>
      <c r="AC137" s="1134"/>
      <c r="AD137" s="1134"/>
      <c r="AE137" s="1134"/>
      <c r="AF137" s="1134"/>
      <c r="AG137" s="1134"/>
      <c r="AH137" s="1134"/>
      <c r="AI137" s="1134"/>
      <c r="AJ137" s="1134"/>
      <c r="AK137" s="1134"/>
      <c r="AL137" s="1134"/>
      <c r="AM137" s="1134"/>
      <c r="AN137" s="1134"/>
      <c r="AO137" s="1134"/>
      <c r="AP137" s="1134"/>
      <c r="AQ137" s="1134"/>
      <c r="AR137" s="1134"/>
      <c r="AS137" s="1135"/>
    </row>
    <row r="138" spans="2:45">
      <c r="B138" s="967"/>
      <c r="C138" s="968"/>
      <c r="D138" s="968"/>
      <c r="E138" s="968"/>
      <c r="F138" s="968"/>
      <c r="G138" s="968"/>
      <c r="H138" s="968"/>
      <c r="I138" s="968"/>
      <c r="J138" s="968"/>
      <c r="K138" s="968"/>
      <c r="L138" s="968"/>
      <c r="M138" s="968"/>
      <c r="N138" s="968"/>
      <c r="O138" s="968"/>
      <c r="P138" s="968"/>
      <c r="Q138" s="968"/>
      <c r="R138" s="968"/>
      <c r="S138" s="968"/>
      <c r="T138" s="968"/>
      <c r="U138" s="968"/>
      <c r="V138" s="968"/>
      <c r="W138" s="969"/>
      <c r="Y138" s="1133"/>
      <c r="Z138" s="1134"/>
      <c r="AA138" s="1134"/>
      <c r="AB138" s="1134"/>
      <c r="AC138" s="1134"/>
      <c r="AD138" s="1134"/>
      <c r="AE138" s="1134"/>
      <c r="AF138" s="1134"/>
      <c r="AG138" s="1134"/>
      <c r="AH138" s="1134"/>
      <c r="AI138" s="1134"/>
      <c r="AJ138" s="1134"/>
      <c r="AK138" s="1134"/>
      <c r="AL138" s="1134"/>
      <c r="AM138" s="1134"/>
      <c r="AN138" s="1134"/>
      <c r="AO138" s="1134"/>
      <c r="AP138" s="1134"/>
      <c r="AQ138" s="1134"/>
      <c r="AR138" s="1134"/>
      <c r="AS138" s="1135"/>
    </row>
    <row r="139" spans="2:45">
      <c r="B139" s="961"/>
      <c r="C139" s="962"/>
      <c r="D139" s="962"/>
      <c r="E139" s="962"/>
      <c r="F139" s="962"/>
      <c r="G139" s="962"/>
      <c r="H139" s="962"/>
      <c r="I139" s="962"/>
      <c r="J139" s="962"/>
      <c r="K139" s="962"/>
      <c r="L139" s="962"/>
      <c r="M139" s="962"/>
      <c r="N139" s="962"/>
      <c r="O139" s="962"/>
      <c r="P139" s="962"/>
      <c r="Q139" s="962"/>
      <c r="R139" s="962"/>
      <c r="S139" s="962"/>
      <c r="T139" s="962"/>
      <c r="U139" s="962"/>
      <c r="V139" s="962"/>
      <c r="W139" s="963"/>
      <c r="Y139" s="1133"/>
      <c r="Z139" s="1134"/>
      <c r="AA139" s="1134"/>
      <c r="AB139" s="1134"/>
      <c r="AC139" s="1134"/>
      <c r="AD139" s="1134"/>
      <c r="AE139" s="1134"/>
      <c r="AF139" s="1134"/>
      <c r="AG139" s="1134"/>
      <c r="AH139" s="1134"/>
      <c r="AI139" s="1134"/>
      <c r="AJ139" s="1134"/>
      <c r="AK139" s="1134"/>
      <c r="AL139" s="1134"/>
      <c r="AM139" s="1134"/>
      <c r="AN139" s="1134"/>
      <c r="AO139" s="1134"/>
      <c r="AP139" s="1134"/>
      <c r="AQ139" s="1134"/>
      <c r="AR139" s="1134"/>
      <c r="AS139" s="1135"/>
    </row>
    <row r="140" spans="2:45">
      <c r="B140" s="967"/>
      <c r="C140" s="968"/>
      <c r="D140" s="968"/>
      <c r="E140" s="968"/>
      <c r="F140" s="968"/>
      <c r="G140" s="968"/>
      <c r="H140" s="968"/>
      <c r="I140" s="968"/>
      <c r="J140" s="968"/>
      <c r="K140" s="968"/>
      <c r="L140" s="968"/>
      <c r="M140" s="968"/>
      <c r="N140" s="968"/>
      <c r="O140" s="968"/>
      <c r="P140" s="968"/>
      <c r="Q140" s="968"/>
      <c r="R140" s="968"/>
      <c r="S140" s="968"/>
      <c r="T140" s="968"/>
      <c r="U140" s="968"/>
      <c r="V140" s="968"/>
      <c r="W140" s="969"/>
      <c r="Y140" s="1133"/>
      <c r="Z140" s="1134"/>
      <c r="AA140" s="1134"/>
      <c r="AB140" s="1134"/>
      <c r="AC140" s="1134"/>
      <c r="AD140" s="1134"/>
      <c r="AE140" s="1134"/>
      <c r="AF140" s="1134"/>
      <c r="AG140" s="1134"/>
      <c r="AH140" s="1134"/>
      <c r="AI140" s="1134"/>
      <c r="AJ140" s="1134"/>
      <c r="AK140" s="1134"/>
      <c r="AL140" s="1134"/>
      <c r="AM140" s="1134"/>
      <c r="AN140" s="1134"/>
      <c r="AO140" s="1134"/>
      <c r="AP140" s="1134"/>
      <c r="AQ140" s="1134"/>
      <c r="AR140" s="1134"/>
      <c r="AS140" s="1135"/>
    </row>
    <row r="141" spans="2:45">
      <c r="B141" s="961"/>
      <c r="C141" s="962"/>
      <c r="D141" s="962"/>
      <c r="E141" s="962"/>
      <c r="F141" s="962"/>
      <c r="G141" s="962"/>
      <c r="H141" s="962"/>
      <c r="I141" s="962"/>
      <c r="J141" s="962"/>
      <c r="K141" s="962"/>
      <c r="L141" s="962"/>
      <c r="M141" s="962"/>
      <c r="N141" s="962"/>
      <c r="O141" s="962"/>
      <c r="P141" s="962"/>
      <c r="Q141" s="962"/>
      <c r="R141" s="962"/>
      <c r="S141" s="962"/>
      <c r="T141" s="962"/>
      <c r="U141" s="962"/>
      <c r="V141" s="962"/>
      <c r="W141" s="963"/>
      <c r="Y141" s="1133"/>
      <c r="Z141" s="1134"/>
      <c r="AA141" s="1134"/>
      <c r="AB141" s="1134"/>
      <c r="AC141" s="1134"/>
      <c r="AD141" s="1134"/>
      <c r="AE141" s="1134"/>
      <c r="AF141" s="1134"/>
      <c r="AG141" s="1134"/>
      <c r="AH141" s="1134"/>
      <c r="AI141" s="1134"/>
      <c r="AJ141" s="1134"/>
      <c r="AK141" s="1134"/>
      <c r="AL141" s="1134"/>
      <c r="AM141" s="1134"/>
      <c r="AN141" s="1134"/>
      <c r="AO141" s="1134"/>
      <c r="AP141" s="1134"/>
      <c r="AQ141" s="1134"/>
      <c r="AR141" s="1134"/>
      <c r="AS141" s="1135"/>
    </row>
    <row r="142" spans="2:45">
      <c r="B142" s="967"/>
      <c r="C142" s="968"/>
      <c r="D142" s="968"/>
      <c r="E142" s="968"/>
      <c r="F142" s="968"/>
      <c r="G142" s="968"/>
      <c r="H142" s="968"/>
      <c r="I142" s="968"/>
      <c r="J142" s="968"/>
      <c r="K142" s="968"/>
      <c r="L142" s="968"/>
      <c r="M142" s="968"/>
      <c r="N142" s="968"/>
      <c r="O142" s="968"/>
      <c r="P142" s="968"/>
      <c r="Q142" s="968"/>
      <c r="R142" s="968"/>
      <c r="S142" s="968"/>
      <c r="T142" s="968"/>
      <c r="U142" s="968"/>
      <c r="V142" s="968"/>
      <c r="W142" s="969"/>
      <c r="Y142" s="1136"/>
      <c r="Z142" s="1137"/>
      <c r="AA142" s="1137"/>
      <c r="AB142" s="1137"/>
      <c r="AC142" s="1137"/>
      <c r="AD142" s="1137"/>
      <c r="AE142" s="1137"/>
      <c r="AF142" s="1137"/>
      <c r="AG142" s="1137"/>
      <c r="AH142" s="1137"/>
      <c r="AI142" s="1137"/>
      <c r="AJ142" s="1137"/>
      <c r="AK142" s="1137"/>
      <c r="AL142" s="1137"/>
      <c r="AM142" s="1137"/>
      <c r="AN142" s="1137"/>
      <c r="AO142" s="1137"/>
      <c r="AP142" s="1137"/>
      <c r="AQ142" s="1137"/>
      <c r="AR142" s="1137"/>
      <c r="AS142" s="1138"/>
    </row>
  </sheetData>
  <sheetProtection sheet="1" objects="1" scenarios="1"/>
  <mergeCells count="946">
    <mergeCell ref="A1:N1"/>
    <mergeCell ref="O1:AF1"/>
    <mergeCell ref="AG1:AT1"/>
    <mergeCell ref="Y2:Z2"/>
    <mergeCell ref="AV2:BQ2"/>
    <mergeCell ref="B3:C3"/>
    <mergeCell ref="D3:N3"/>
    <mergeCell ref="P3:Q3"/>
    <mergeCell ref="R3:X3"/>
    <mergeCell ref="Y3:Z3"/>
    <mergeCell ref="AW3:AX3"/>
    <mergeCell ref="AY3:AZ3"/>
    <mergeCell ref="BA3:BB3"/>
    <mergeCell ref="BC3:BD3"/>
    <mergeCell ref="BE3:BF3"/>
    <mergeCell ref="BG3:BH3"/>
    <mergeCell ref="BI3:BJ3"/>
    <mergeCell ref="BK3:BL3"/>
    <mergeCell ref="BM3:BN3"/>
    <mergeCell ref="BO3:BP3"/>
    <mergeCell ref="B4:C4"/>
    <mergeCell ref="D4:N4"/>
    <mergeCell ref="P4:Q4"/>
    <mergeCell ref="R4:U4"/>
    <mergeCell ref="V4:X4"/>
    <mergeCell ref="Y4:Z4"/>
    <mergeCell ref="AW4:AX4"/>
    <mergeCell ref="AY4:AZ4"/>
    <mergeCell ref="BA4:BB4"/>
    <mergeCell ref="BC4:BD4"/>
    <mergeCell ref="BE4:BF4"/>
    <mergeCell ref="BG4:BH4"/>
    <mergeCell ref="BI4:BJ4"/>
    <mergeCell ref="BK4:BL4"/>
    <mergeCell ref="BM4:BN4"/>
    <mergeCell ref="BO4:BP4"/>
    <mergeCell ref="P5:Z5"/>
    <mergeCell ref="B6:C6"/>
    <mergeCell ref="D6:H6"/>
    <mergeCell ref="J6:K6"/>
    <mergeCell ref="L6:N6"/>
    <mergeCell ref="R6:U6"/>
    <mergeCell ref="V6:X6"/>
    <mergeCell ref="Y6:Z6"/>
    <mergeCell ref="AW6:AX6"/>
    <mergeCell ref="AY6:AZ6"/>
    <mergeCell ref="BA6:BB6"/>
    <mergeCell ref="BC6:BD6"/>
    <mergeCell ref="BE6:BF6"/>
    <mergeCell ref="BG6:BH6"/>
    <mergeCell ref="BI6:BJ6"/>
    <mergeCell ref="BK6:BL6"/>
    <mergeCell ref="BM6:BN6"/>
    <mergeCell ref="BO6:BP6"/>
    <mergeCell ref="B7:C7"/>
    <mergeCell ref="D7:H7"/>
    <mergeCell ref="J7:K7"/>
    <mergeCell ref="L7:N7"/>
    <mergeCell ref="R7:U7"/>
    <mergeCell ref="V7:X7"/>
    <mergeCell ref="Y7:Z7"/>
    <mergeCell ref="AW7:AX7"/>
    <mergeCell ref="AY7:AZ7"/>
    <mergeCell ref="BA7:BB7"/>
    <mergeCell ref="BC7:BD7"/>
    <mergeCell ref="BE7:BF7"/>
    <mergeCell ref="BG7:BH7"/>
    <mergeCell ref="BI7:BJ7"/>
    <mergeCell ref="BK7:BL7"/>
    <mergeCell ref="BM7:BN7"/>
    <mergeCell ref="BO7:BP7"/>
    <mergeCell ref="B9:C9"/>
    <mergeCell ref="D9:H9"/>
    <mergeCell ref="J9:K9"/>
    <mergeCell ref="L9:Q9"/>
    <mergeCell ref="Y9:Z9"/>
    <mergeCell ref="AW9:AY9"/>
    <mergeCell ref="BA9:BC9"/>
    <mergeCell ref="BE9:BG9"/>
    <mergeCell ref="B10:C10"/>
    <mergeCell ref="D10:H10"/>
    <mergeCell ref="J10:K10"/>
    <mergeCell ref="L10:Q10"/>
    <mergeCell ref="Y10:Z10"/>
    <mergeCell ref="AW10:AY10"/>
    <mergeCell ref="BA10:BC10"/>
    <mergeCell ref="BE10:BG10"/>
    <mergeCell ref="B12:J12"/>
    <mergeCell ref="M12:O12"/>
    <mergeCell ref="U12:Y12"/>
    <mergeCell ref="BD12:BI12"/>
    <mergeCell ref="F13:G13"/>
    <mergeCell ref="I13:J13"/>
    <mergeCell ref="K13:L13"/>
    <mergeCell ref="M13:N13"/>
    <mergeCell ref="O13:P13"/>
    <mergeCell ref="R13:S13"/>
    <mergeCell ref="T13:U13"/>
    <mergeCell ref="W13:X13"/>
    <mergeCell ref="Y13:Z13"/>
    <mergeCell ref="C14:E14"/>
    <mergeCell ref="F14:G14"/>
    <mergeCell ref="I14:J14"/>
    <mergeCell ref="K14:L14"/>
    <mergeCell ref="M14:N14"/>
    <mergeCell ref="O14:P14"/>
    <mergeCell ref="R14:S14"/>
    <mergeCell ref="T14:U14"/>
    <mergeCell ref="W14:X14"/>
    <mergeCell ref="Y14:Z14"/>
    <mergeCell ref="C15:E15"/>
    <mergeCell ref="F15:G15"/>
    <mergeCell ref="I15:J15"/>
    <mergeCell ref="K15:L15"/>
    <mergeCell ref="M15:N15"/>
    <mergeCell ref="O15:P15"/>
    <mergeCell ref="R15:S15"/>
    <mergeCell ref="T15:U15"/>
    <mergeCell ref="W15:X15"/>
    <mergeCell ref="Y15:Z15"/>
    <mergeCell ref="C16:E16"/>
    <mergeCell ref="F16:G16"/>
    <mergeCell ref="I16:J16"/>
    <mergeCell ref="K16:L16"/>
    <mergeCell ref="M16:N16"/>
    <mergeCell ref="O16:P16"/>
    <mergeCell ref="R16:S16"/>
    <mergeCell ref="T16:U16"/>
    <mergeCell ref="W16:X16"/>
    <mergeCell ref="Y16:Z16"/>
    <mergeCell ref="C17:E17"/>
    <mergeCell ref="F17:G17"/>
    <mergeCell ref="I17:J17"/>
    <mergeCell ref="K17:L17"/>
    <mergeCell ref="M17:N17"/>
    <mergeCell ref="O17:P17"/>
    <mergeCell ref="R17:S17"/>
    <mergeCell ref="T17:U17"/>
    <mergeCell ref="W17:X17"/>
    <mergeCell ref="Y17:Z17"/>
    <mergeCell ref="C18:E18"/>
    <mergeCell ref="F18:G18"/>
    <mergeCell ref="I18:J18"/>
    <mergeCell ref="K18:L18"/>
    <mergeCell ref="M18:N18"/>
    <mergeCell ref="O18:P18"/>
    <mergeCell ref="R18:S18"/>
    <mergeCell ref="T18:U18"/>
    <mergeCell ref="W18:X18"/>
    <mergeCell ref="Y18:Z18"/>
    <mergeCell ref="C19:E19"/>
    <mergeCell ref="F19:G19"/>
    <mergeCell ref="I19:J19"/>
    <mergeCell ref="K19:L19"/>
    <mergeCell ref="M19:N19"/>
    <mergeCell ref="O19:P19"/>
    <mergeCell ref="R19:S19"/>
    <mergeCell ref="T19:U19"/>
    <mergeCell ref="W19:X19"/>
    <mergeCell ref="Y19:Z19"/>
    <mergeCell ref="B21:Z21"/>
    <mergeCell ref="G22:H22"/>
    <mergeCell ref="N22:O22"/>
    <mergeCell ref="Q22:R22"/>
    <mergeCell ref="J25:T25"/>
    <mergeCell ref="D28:E28"/>
    <mergeCell ref="G28:H28"/>
    <mergeCell ref="J28:M28"/>
    <mergeCell ref="Q28:R28"/>
    <mergeCell ref="AB28:AS28"/>
    <mergeCell ref="AV30:BQ30"/>
    <mergeCell ref="J32:K32"/>
    <mergeCell ref="L32:N32"/>
    <mergeCell ref="P32:Q32"/>
    <mergeCell ref="R32:Z32"/>
    <mergeCell ref="B37:J37"/>
    <mergeCell ref="L37:R37"/>
    <mergeCell ref="S37:U37"/>
    <mergeCell ref="W37:AB37"/>
    <mergeCell ref="AD37:AS37"/>
    <mergeCell ref="A38:B38"/>
    <mergeCell ref="C38:E38"/>
    <mergeCell ref="F38:G38"/>
    <mergeCell ref="I38:J38"/>
    <mergeCell ref="L38:M38"/>
    <mergeCell ref="P38:R38"/>
    <mergeCell ref="U38:V38"/>
    <mergeCell ref="Y38:AA38"/>
    <mergeCell ref="AB38:AC38"/>
    <mergeCell ref="AD38:AF38"/>
    <mergeCell ref="AJ38:AK38"/>
    <mergeCell ref="AP38:AQ38"/>
    <mergeCell ref="AR38:AS38"/>
    <mergeCell ref="C39:E39"/>
    <mergeCell ref="F39:G39"/>
    <mergeCell ref="I39:J39"/>
    <mergeCell ref="L39:N39"/>
    <mergeCell ref="P39:R39"/>
    <mergeCell ref="S39:X39"/>
    <mergeCell ref="Y39:AA39"/>
    <mergeCell ref="AC39:AD39"/>
    <mergeCell ref="AJ39:AK39"/>
    <mergeCell ref="AL39:AO39"/>
    <mergeCell ref="AP39:AQ39"/>
    <mergeCell ref="AR39:AS39"/>
    <mergeCell ref="C40:E40"/>
    <mergeCell ref="L40:M40"/>
    <mergeCell ref="P40:R40"/>
    <mergeCell ref="T40:W40"/>
    <mergeCell ref="Y40:AA40"/>
    <mergeCell ref="AD40:AF40"/>
    <mergeCell ref="AG40:AH40"/>
    <mergeCell ref="AI40:AK40"/>
    <mergeCell ref="AL40:AM40"/>
    <mergeCell ref="AN40:AO40"/>
    <mergeCell ref="C41:E41"/>
    <mergeCell ref="F41:G41"/>
    <mergeCell ref="I41:J41"/>
    <mergeCell ref="L41:N41"/>
    <mergeCell ref="P41:R41"/>
    <mergeCell ref="S41:X41"/>
    <mergeCell ref="Y41:AA41"/>
    <mergeCell ref="AD41:AF41"/>
    <mergeCell ref="AG41:AH41"/>
    <mergeCell ref="AI41:AK41"/>
    <mergeCell ref="AL41:AM41"/>
    <mergeCell ref="AN41:AO41"/>
    <mergeCell ref="AR41:AS41"/>
    <mergeCell ref="C42:E42"/>
    <mergeCell ref="F42:G42"/>
    <mergeCell ref="I42:J42"/>
    <mergeCell ref="L42:N42"/>
    <mergeCell ref="P42:R42"/>
    <mergeCell ref="S42:X42"/>
    <mergeCell ref="Y42:AA42"/>
    <mergeCell ref="AD42:AF42"/>
    <mergeCell ref="AG42:AH42"/>
    <mergeCell ref="AI42:AK42"/>
    <mergeCell ref="AL42:AM42"/>
    <mergeCell ref="AN42:AO42"/>
    <mergeCell ref="AR42:AS42"/>
    <mergeCell ref="C43:E43"/>
    <mergeCell ref="F43:G43"/>
    <mergeCell ref="I43:J43"/>
    <mergeCell ref="L43:N43"/>
    <mergeCell ref="P43:R43"/>
    <mergeCell ref="S43:X43"/>
    <mergeCell ref="Y43:AA43"/>
    <mergeCell ref="AD43:AF43"/>
    <mergeCell ref="AG43:AH43"/>
    <mergeCell ref="AI43:AK43"/>
    <mergeCell ref="AL43:AM43"/>
    <mergeCell ref="AN43:AO43"/>
    <mergeCell ref="AR43:AS43"/>
    <mergeCell ref="C44:E44"/>
    <mergeCell ref="L44:N44"/>
    <mergeCell ref="P44:R44"/>
    <mergeCell ref="S44:X44"/>
    <mergeCell ref="Y44:AA44"/>
    <mergeCell ref="AD44:AF44"/>
    <mergeCell ref="AG44:AH44"/>
    <mergeCell ref="AI44:AK44"/>
    <mergeCell ref="AL44:AM44"/>
    <mergeCell ref="AN44:AO44"/>
    <mergeCell ref="AR44:AS44"/>
    <mergeCell ref="C45:E45"/>
    <mergeCell ref="F45:G45"/>
    <mergeCell ref="I45:J45"/>
    <mergeCell ref="L45:N45"/>
    <mergeCell ref="P45:R45"/>
    <mergeCell ref="S45:X45"/>
    <mergeCell ref="Y45:AA45"/>
    <mergeCell ref="AD45:AF45"/>
    <mergeCell ref="AG45:AH45"/>
    <mergeCell ref="AI45:AK45"/>
    <mergeCell ref="AL45:AM45"/>
    <mergeCell ref="AN45:AO45"/>
    <mergeCell ref="AR45:AS45"/>
    <mergeCell ref="C46:E46"/>
    <mergeCell ref="F46:G46"/>
    <mergeCell ref="I46:J46"/>
    <mergeCell ref="L46:M46"/>
    <mergeCell ref="Q46:R46"/>
    <mergeCell ref="T46:Y46"/>
    <mergeCell ref="AA46:AB46"/>
    <mergeCell ref="AV46:BQ46"/>
    <mergeCell ref="C47:E47"/>
    <mergeCell ref="F47:G47"/>
    <mergeCell ref="I47:J47"/>
    <mergeCell ref="L47:M47"/>
    <mergeCell ref="P47:S47"/>
    <mergeCell ref="T47:Y47"/>
    <mergeCell ref="Z47:AB47"/>
    <mergeCell ref="AK47:AL47"/>
    <mergeCell ref="AM47:AR47"/>
    <mergeCell ref="AW47:BP47"/>
    <mergeCell ref="C48:E48"/>
    <mergeCell ref="F48:G48"/>
    <mergeCell ref="I48:J48"/>
    <mergeCell ref="L48:M48"/>
    <mergeCell ref="P48:S48"/>
    <mergeCell ref="T48:Y48"/>
    <mergeCell ref="Z48:AB48"/>
    <mergeCell ref="AD48:AG48"/>
    <mergeCell ref="AH48:AJ48"/>
    <mergeCell ref="AK48:AM48"/>
    <mergeCell ref="AO48:AP48"/>
    <mergeCell ref="AQ48:AS48"/>
    <mergeCell ref="AX48:AY48"/>
    <mergeCell ref="BB48:BC48"/>
    <mergeCell ref="BF48:BG48"/>
    <mergeCell ref="BJ48:BK48"/>
    <mergeCell ref="BN48:BO48"/>
    <mergeCell ref="C49:E49"/>
    <mergeCell ref="F49:G49"/>
    <mergeCell ref="I49:J49"/>
    <mergeCell ref="L49:M49"/>
    <mergeCell ref="P49:S49"/>
    <mergeCell ref="T49:Y49"/>
    <mergeCell ref="Z49:AB49"/>
    <mergeCell ref="AD49:AF49"/>
    <mergeCell ref="AH49:AJ49"/>
    <mergeCell ref="AK49:AM49"/>
    <mergeCell ref="AO49:AP49"/>
    <mergeCell ref="AQ49:AS49"/>
    <mergeCell ref="AX49:AY49"/>
    <mergeCell ref="BB49:BC49"/>
    <mergeCell ref="BF49:BG49"/>
    <mergeCell ref="BJ49:BK49"/>
    <mergeCell ref="BN49:BO49"/>
    <mergeCell ref="C50:E50"/>
    <mergeCell ref="L50:M50"/>
    <mergeCell ref="P50:S50"/>
    <mergeCell ref="T50:Y50"/>
    <mergeCell ref="Z50:AB50"/>
    <mergeCell ref="AD50:AF50"/>
    <mergeCell ref="AH50:AJ50"/>
    <mergeCell ref="AK50:AM50"/>
    <mergeCell ref="AO50:AP50"/>
    <mergeCell ref="AQ50:AS50"/>
    <mergeCell ref="AX50:AY50"/>
    <mergeCell ref="BB50:BC50"/>
    <mergeCell ref="BF50:BG50"/>
    <mergeCell ref="BJ50:BK50"/>
    <mergeCell ref="C51:E51"/>
    <mergeCell ref="F51:G51"/>
    <mergeCell ref="I51:J51"/>
    <mergeCell ref="L51:M51"/>
    <mergeCell ref="P51:S51"/>
    <mergeCell ref="T51:Y51"/>
    <mergeCell ref="Z51:AB51"/>
    <mergeCell ref="AE51:AG51"/>
    <mergeCell ref="AI51:AK51"/>
    <mergeCell ref="AM51:AT51"/>
    <mergeCell ref="AW51:AX51"/>
    <mergeCell ref="AY51:BP51"/>
    <mergeCell ref="C52:E52"/>
    <mergeCell ref="F52:G52"/>
    <mergeCell ref="I52:J52"/>
    <mergeCell ref="L52:M52"/>
    <mergeCell ref="P52:S52"/>
    <mergeCell ref="T52:Y52"/>
    <mergeCell ref="Z52:AB52"/>
    <mergeCell ref="AE52:AG52"/>
    <mergeCell ref="AI52:AK52"/>
    <mergeCell ref="AM52:AN52"/>
    <mergeCell ref="AO52:AP52"/>
    <mergeCell ref="AR52:AS52"/>
    <mergeCell ref="AW52:AX52"/>
    <mergeCell ref="AZ52:BA52"/>
    <mergeCell ref="BC52:BD52"/>
    <mergeCell ref="BF52:BG52"/>
    <mergeCell ref="BI52:BJ52"/>
    <mergeCell ref="BL52:BM52"/>
    <mergeCell ref="BO52:BP52"/>
    <mergeCell ref="C53:E53"/>
    <mergeCell ref="F53:G53"/>
    <mergeCell ref="I53:J53"/>
    <mergeCell ref="L53:M53"/>
    <mergeCell ref="P53:S53"/>
    <mergeCell ref="T53:Y53"/>
    <mergeCell ref="Z53:AB53"/>
    <mergeCell ref="AE53:AG53"/>
    <mergeCell ref="AI53:AK53"/>
    <mergeCell ref="AM53:AN53"/>
    <mergeCell ref="AO53:AP53"/>
    <mergeCell ref="AR53:AS53"/>
    <mergeCell ref="AW53:AX53"/>
    <mergeCell ref="AY53:BP53"/>
    <mergeCell ref="C54:E54"/>
    <mergeCell ref="F54:G54"/>
    <mergeCell ref="I54:J54"/>
    <mergeCell ref="L54:M54"/>
    <mergeCell ref="P54:S54"/>
    <mergeCell ref="T54:Y54"/>
    <mergeCell ref="Z54:AB54"/>
    <mergeCell ref="AE54:AG54"/>
    <mergeCell ref="AI54:AK54"/>
    <mergeCell ref="AM54:AN54"/>
    <mergeCell ref="AO54:AP54"/>
    <mergeCell ref="AR54:AS54"/>
    <mergeCell ref="AW54:AX54"/>
    <mergeCell ref="AY54:BP54"/>
    <mergeCell ref="C55:E55"/>
    <mergeCell ref="F55:G55"/>
    <mergeCell ref="I55:J55"/>
    <mergeCell ref="L55:M55"/>
    <mergeCell ref="P55:S55"/>
    <mergeCell ref="T55:Y55"/>
    <mergeCell ref="Z55:AB55"/>
    <mergeCell ref="AE55:AJ55"/>
    <mergeCell ref="AM55:AN55"/>
    <mergeCell ref="AO55:AP55"/>
    <mergeCell ref="AR55:AS55"/>
    <mergeCell ref="AW55:AX55"/>
    <mergeCell ref="AY55:BP55"/>
    <mergeCell ref="C56:E56"/>
    <mergeCell ref="L56:N56"/>
    <mergeCell ref="O56:P56"/>
    <mergeCell ref="R56:W56"/>
    <mergeCell ref="AE56:AF56"/>
    <mergeCell ref="AG56:AK56"/>
    <mergeCell ref="AM56:AN56"/>
    <mergeCell ref="AO56:AP56"/>
    <mergeCell ref="AR56:AS56"/>
    <mergeCell ref="AY56:AZ56"/>
    <mergeCell ref="BB56:BC56"/>
    <mergeCell ref="BD56:BE56"/>
    <mergeCell ref="BG56:BH56"/>
    <mergeCell ref="BJ56:BP56"/>
    <mergeCell ref="C57:E57"/>
    <mergeCell ref="F57:G57"/>
    <mergeCell ref="I57:J57"/>
    <mergeCell ref="L57:N57"/>
    <mergeCell ref="O57:Q57"/>
    <mergeCell ref="R57:T57"/>
    <mergeCell ref="V57:Y57"/>
    <mergeCell ref="AA57:AC57"/>
    <mergeCell ref="AE57:AF57"/>
    <mergeCell ref="AG57:AK57"/>
    <mergeCell ref="AM57:AN57"/>
    <mergeCell ref="AO57:AP57"/>
    <mergeCell ref="AR57:AS57"/>
    <mergeCell ref="AW57:AX57"/>
    <mergeCell ref="AY57:AZ57"/>
    <mergeCell ref="BB57:BC57"/>
    <mergeCell ref="BD57:BE57"/>
    <mergeCell ref="BG57:BH57"/>
    <mergeCell ref="BK57:BL57"/>
    <mergeCell ref="BO57:BP57"/>
    <mergeCell ref="C58:E58"/>
    <mergeCell ref="F58:G58"/>
    <mergeCell ref="I58:J58"/>
    <mergeCell ref="L58:N58"/>
    <mergeCell ref="O58:Q58"/>
    <mergeCell ref="R58:T58"/>
    <mergeCell ref="V58:Y58"/>
    <mergeCell ref="AA58:AC58"/>
    <mergeCell ref="AE58:AF58"/>
    <mergeCell ref="AG58:AK58"/>
    <mergeCell ref="AM58:AN58"/>
    <mergeCell ref="AO58:AP58"/>
    <mergeCell ref="AR58:AS58"/>
    <mergeCell ref="AW58:AX58"/>
    <mergeCell ref="AY58:AZ58"/>
    <mergeCell ref="BB58:BC58"/>
    <mergeCell ref="BD58:BE58"/>
    <mergeCell ref="BG58:BH58"/>
    <mergeCell ref="BK58:BL58"/>
    <mergeCell ref="C59:E59"/>
    <mergeCell ref="F59:G59"/>
    <mergeCell ref="I59:J59"/>
    <mergeCell ref="L59:O59"/>
    <mergeCell ref="Q59:T59"/>
    <mergeCell ref="V59:Y59"/>
    <mergeCell ref="AA59:AC59"/>
    <mergeCell ref="AE59:AF59"/>
    <mergeCell ref="AG59:AK59"/>
    <mergeCell ref="AM59:AN59"/>
    <mergeCell ref="AO59:AP59"/>
    <mergeCell ref="AR59:AS59"/>
    <mergeCell ref="C60:E60"/>
    <mergeCell ref="F60:G60"/>
    <mergeCell ref="I60:J60"/>
    <mergeCell ref="L60:O60"/>
    <mergeCell ref="Q60:T60"/>
    <mergeCell ref="V60:Y60"/>
    <mergeCell ref="AA60:AC60"/>
    <mergeCell ref="AE60:AF60"/>
    <mergeCell ref="AG60:AK60"/>
    <mergeCell ref="AM60:AN60"/>
    <mergeCell ref="AO60:AP60"/>
    <mergeCell ref="AR60:AS60"/>
    <mergeCell ref="AV60:BQ60"/>
    <mergeCell ref="B61:L61"/>
    <mergeCell ref="N61:P61"/>
    <mergeCell ref="Q61:V61"/>
    <mergeCell ref="W61:AB61"/>
    <mergeCell ref="AC61:AH61"/>
    <mergeCell ref="AI61:AN61"/>
    <mergeCell ref="AO61:AT61"/>
    <mergeCell ref="B62:G62"/>
    <mergeCell ref="H62:L62"/>
    <mergeCell ref="N62:P62"/>
    <mergeCell ref="Q62:V62"/>
    <mergeCell ref="W62:AB62"/>
    <mergeCell ref="AC62:AH62"/>
    <mergeCell ref="AI62:AN62"/>
    <mergeCell ref="AO62:AT62"/>
    <mergeCell ref="AW62:AX62"/>
    <mergeCell ref="AY62:BF62"/>
    <mergeCell ref="BG62:BH62"/>
    <mergeCell ref="BI62:BP62"/>
    <mergeCell ref="AE63:AK63"/>
    <mergeCell ref="AW63:AX63"/>
    <mergeCell ref="AY63:BB63"/>
    <mergeCell ref="BC63:BD63"/>
    <mergeCell ref="BE63:BI63"/>
    <mergeCell ref="BJ63:BK63"/>
    <mergeCell ref="BL63:BP63"/>
    <mergeCell ref="C64:G64"/>
    <mergeCell ref="I64:N64"/>
    <mergeCell ref="P64:U64"/>
    <mergeCell ref="X64:Y64"/>
    <mergeCell ref="AE64:AK64"/>
    <mergeCell ref="BM64:BN64"/>
    <mergeCell ref="BO64:BP64"/>
    <mergeCell ref="C65:G65"/>
    <mergeCell ref="J65:N65"/>
    <mergeCell ref="Q65:U65"/>
    <mergeCell ref="W65:AC65"/>
    <mergeCell ref="AE65:AF65"/>
    <mergeCell ref="AH65:AI65"/>
    <mergeCell ref="AK65:AS65"/>
    <mergeCell ref="AW65:AX65"/>
    <mergeCell ref="AY65:AZ65"/>
    <mergeCell ref="BB65:BC65"/>
    <mergeCell ref="BD65:BI65"/>
    <mergeCell ref="BK65:BL65"/>
    <mergeCell ref="BM65:BN65"/>
    <mergeCell ref="BO65:BP65"/>
    <mergeCell ref="C66:G66"/>
    <mergeCell ref="J66:N66"/>
    <mergeCell ref="Q66:U66"/>
    <mergeCell ref="W66:AC66"/>
    <mergeCell ref="AE66:AF66"/>
    <mergeCell ref="AH66:AI66"/>
    <mergeCell ref="AK66:AS66"/>
    <mergeCell ref="C67:G67"/>
    <mergeCell ref="J67:N67"/>
    <mergeCell ref="Q67:U67"/>
    <mergeCell ref="W67:AS67"/>
    <mergeCell ref="AW67:AX67"/>
    <mergeCell ref="AY67:BA67"/>
    <mergeCell ref="BC67:BE67"/>
    <mergeCell ref="BG67:BH67"/>
    <mergeCell ref="BI67:BJ67"/>
    <mergeCell ref="BL67:BM67"/>
    <mergeCell ref="BN67:BP67"/>
    <mergeCell ref="C68:G68"/>
    <mergeCell ref="J68:N68"/>
    <mergeCell ref="Q68:U68"/>
    <mergeCell ref="W68:AS68"/>
    <mergeCell ref="AZ68:BA68"/>
    <mergeCell ref="BC68:BD68"/>
    <mergeCell ref="BE68:BF68"/>
    <mergeCell ref="C69:G69"/>
    <mergeCell ref="J69:N69"/>
    <mergeCell ref="Q69:U69"/>
    <mergeCell ref="W69:AB69"/>
    <mergeCell ref="AD69:AJ69"/>
    <mergeCell ref="AK69:AS69"/>
    <mergeCell ref="AX69:AY69"/>
    <mergeCell ref="AZ69:BA69"/>
    <mergeCell ref="BC69:BD69"/>
    <mergeCell ref="BE69:BF69"/>
    <mergeCell ref="C70:G70"/>
    <mergeCell ref="J70:N70"/>
    <mergeCell ref="Q70:U70"/>
    <mergeCell ref="W70:AB70"/>
    <mergeCell ref="AD70:AS70"/>
    <mergeCell ref="AX70:AY70"/>
    <mergeCell ref="AZ70:BA70"/>
    <mergeCell ref="BC70:BD70"/>
    <mergeCell ref="BE70:BF70"/>
    <mergeCell ref="C71:G71"/>
    <mergeCell ref="J71:N71"/>
    <mergeCell ref="Q71:U71"/>
    <mergeCell ref="W71:AS71"/>
    <mergeCell ref="AX71:AY71"/>
    <mergeCell ref="AZ71:BA71"/>
    <mergeCell ref="BC71:BD71"/>
    <mergeCell ref="BE71:BF71"/>
    <mergeCell ref="C72:G72"/>
    <mergeCell ref="J72:N72"/>
    <mergeCell ref="Q72:U72"/>
    <mergeCell ref="AX72:AY72"/>
    <mergeCell ref="AZ72:BA72"/>
    <mergeCell ref="BC72:BD72"/>
    <mergeCell ref="BE72:BF72"/>
    <mergeCell ref="C73:G73"/>
    <mergeCell ref="J73:N73"/>
    <mergeCell ref="Q73:U73"/>
    <mergeCell ref="AX73:AY73"/>
    <mergeCell ref="AZ73:BA73"/>
    <mergeCell ref="BC73:BD73"/>
    <mergeCell ref="BE73:BF73"/>
    <mergeCell ref="C74:G74"/>
    <mergeCell ref="J74:N74"/>
    <mergeCell ref="Q74:U74"/>
    <mergeCell ref="AX74:AY74"/>
    <mergeCell ref="AZ74:BA74"/>
    <mergeCell ref="BC74:BD74"/>
    <mergeCell ref="BE74:BF74"/>
    <mergeCell ref="C75:G75"/>
    <mergeCell ref="J75:N75"/>
    <mergeCell ref="Q75:U75"/>
    <mergeCell ref="C76:G76"/>
    <mergeCell ref="J76:N76"/>
    <mergeCell ref="Q76:U76"/>
    <mergeCell ref="AW76:AX76"/>
    <mergeCell ref="AY76:BP76"/>
    <mergeCell ref="C77:G77"/>
    <mergeCell ref="J77:N77"/>
    <mergeCell ref="Q77:U77"/>
    <mergeCell ref="AW77:AX77"/>
    <mergeCell ref="AY77:BP77"/>
    <mergeCell ref="C78:G78"/>
    <mergeCell ref="J78:N78"/>
    <mergeCell ref="Q78:U78"/>
    <mergeCell ref="AW78:AX78"/>
    <mergeCell ref="AY78:BP78"/>
    <mergeCell ref="C79:G79"/>
    <mergeCell ref="J79:N79"/>
    <mergeCell ref="Q79:U79"/>
    <mergeCell ref="AW79:AX79"/>
    <mergeCell ref="AY79:BF79"/>
    <mergeCell ref="BG79:BH79"/>
    <mergeCell ref="BI79:BP79"/>
    <mergeCell ref="C80:G80"/>
    <mergeCell ref="J80:N80"/>
    <mergeCell ref="Q80:U80"/>
    <mergeCell ref="AW80:AX80"/>
    <mergeCell ref="B82:G82"/>
    <mergeCell ref="K82:O82"/>
    <mergeCell ref="R82:V82"/>
    <mergeCell ref="Z82:AD82"/>
    <mergeCell ref="AG82:AK82"/>
    <mergeCell ref="AO82:AS82"/>
    <mergeCell ref="B83:C83"/>
    <mergeCell ref="D83:F83"/>
    <mergeCell ref="H83:W83"/>
    <mergeCell ref="Y83:Z83"/>
    <mergeCell ref="AA83:AC83"/>
    <mergeCell ref="AE83:AS83"/>
    <mergeCell ref="C84:G84"/>
    <mergeCell ref="H84:W84"/>
    <mergeCell ref="Z84:AD84"/>
    <mergeCell ref="AE84:AS84"/>
    <mergeCell ref="C85:G85"/>
    <mergeCell ref="H85:W85"/>
    <mergeCell ref="Z85:AD85"/>
    <mergeCell ref="AE85:AS85"/>
    <mergeCell ref="C86:G86"/>
    <mergeCell ref="H86:W86"/>
    <mergeCell ref="Z86:AD86"/>
    <mergeCell ref="AE86:AS86"/>
    <mergeCell ref="C87:G87"/>
    <mergeCell ref="H87:W87"/>
    <mergeCell ref="Z87:AD87"/>
    <mergeCell ref="AE87:AS87"/>
    <mergeCell ref="C88:G88"/>
    <mergeCell ref="H88:W88"/>
    <mergeCell ref="Z88:AD88"/>
    <mergeCell ref="AE88:AS88"/>
    <mergeCell ref="C89:G89"/>
    <mergeCell ref="H89:W89"/>
    <mergeCell ref="Z89:AD89"/>
    <mergeCell ref="AE89:AS89"/>
    <mergeCell ref="C90:G90"/>
    <mergeCell ref="H90:W90"/>
    <mergeCell ref="Z90:AD90"/>
    <mergeCell ref="AE90:AS90"/>
    <mergeCell ref="C91:G91"/>
    <mergeCell ref="H91:W91"/>
    <mergeCell ref="Z91:AD91"/>
    <mergeCell ref="AE91:AS91"/>
    <mergeCell ref="C92:G92"/>
    <mergeCell ref="H92:W92"/>
    <mergeCell ref="Z92:AD92"/>
    <mergeCell ref="AE92:AS92"/>
    <mergeCell ref="C93:G93"/>
    <mergeCell ref="H93:W93"/>
    <mergeCell ref="Z93:AD93"/>
    <mergeCell ref="AE93:AS93"/>
    <mergeCell ref="C94:G94"/>
    <mergeCell ref="H94:W94"/>
    <mergeCell ref="Z94:AD94"/>
    <mergeCell ref="AE94:AS94"/>
    <mergeCell ref="C95:G95"/>
    <mergeCell ref="H95:W95"/>
    <mergeCell ref="Z95:AD95"/>
    <mergeCell ref="AE95:AS95"/>
    <mergeCell ref="C96:G96"/>
    <mergeCell ref="H96:W96"/>
    <mergeCell ref="Z96:AD96"/>
    <mergeCell ref="AE96:AS96"/>
    <mergeCell ref="AW96:AX96"/>
    <mergeCell ref="C97:G97"/>
    <mergeCell ref="H97:W97"/>
    <mergeCell ref="Z97:AD97"/>
    <mergeCell ref="AE97:AS97"/>
    <mergeCell ref="C98:G98"/>
    <mergeCell ref="H98:W98"/>
    <mergeCell ref="C99:G99"/>
    <mergeCell ref="H99:W99"/>
    <mergeCell ref="Z99:AD99"/>
    <mergeCell ref="AG99:AK99"/>
    <mergeCell ref="AO99:AS99"/>
    <mergeCell ref="C100:G100"/>
    <mergeCell ref="H100:W100"/>
    <mergeCell ref="Y100:Z100"/>
    <mergeCell ref="AA100:AC100"/>
    <mergeCell ref="AE100:AS100"/>
    <mergeCell ref="C101:G101"/>
    <mergeCell ref="H101:W101"/>
    <mergeCell ref="Z101:AD101"/>
    <mergeCell ref="AE101:AS101"/>
    <mergeCell ref="C102:G102"/>
    <mergeCell ref="H102:W102"/>
    <mergeCell ref="Z102:AD102"/>
    <mergeCell ref="AE102:AS102"/>
    <mergeCell ref="C103:G103"/>
    <mergeCell ref="H103:W103"/>
    <mergeCell ref="Z103:AD103"/>
    <mergeCell ref="AE103:AS103"/>
    <mergeCell ref="C104:G104"/>
    <mergeCell ref="H104:W104"/>
    <mergeCell ref="Z104:AD104"/>
    <mergeCell ref="AE104:AS104"/>
    <mergeCell ref="C105:G105"/>
    <mergeCell ref="H105:W105"/>
    <mergeCell ref="Z105:AD105"/>
    <mergeCell ref="AE105:AS105"/>
    <mergeCell ref="C106:G106"/>
    <mergeCell ref="H106:W106"/>
    <mergeCell ref="C107:G107"/>
    <mergeCell ref="H107:W107"/>
    <mergeCell ref="Z107:AD107"/>
    <mergeCell ref="AG107:AK107"/>
    <mergeCell ref="AN107:AS107"/>
    <mergeCell ref="C108:G108"/>
    <mergeCell ref="H108:W108"/>
    <mergeCell ref="Y108:Z108"/>
    <mergeCell ref="AA108:AC108"/>
    <mergeCell ref="AE108:AS108"/>
    <mergeCell ref="C109:G109"/>
    <mergeCell ref="H109:W109"/>
    <mergeCell ref="Z109:AD109"/>
    <mergeCell ref="AE109:AS109"/>
    <mergeCell ref="C110:G110"/>
    <mergeCell ref="H110:W110"/>
    <mergeCell ref="Z110:AD110"/>
    <mergeCell ref="AE110:AS110"/>
    <mergeCell ref="C111:G111"/>
    <mergeCell ref="H111:W111"/>
    <mergeCell ref="Z111:AD111"/>
    <mergeCell ref="AE111:AS111"/>
    <mergeCell ref="C112:G112"/>
    <mergeCell ref="H112:W112"/>
    <mergeCell ref="Z112:AD112"/>
    <mergeCell ref="AE112:AS112"/>
    <mergeCell ref="C113:G113"/>
    <mergeCell ref="H113:W113"/>
    <mergeCell ref="Z113:AD113"/>
    <mergeCell ref="AE113:AS113"/>
    <mergeCell ref="AV113:BQ113"/>
    <mergeCell ref="C114:G114"/>
    <mergeCell ref="H114:W114"/>
    <mergeCell ref="Z114:AD114"/>
    <mergeCell ref="AE114:AS114"/>
    <mergeCell ref="AW114:AX114"/>
    <mergeCell ref="AZ114:BA114"/>
    <mergeCell ref="BC114:BD114"/>
    <mergeCell ref="BF114:BG114"/>
    <mergeCell ref="BI114:BJ114"/>
    <mergeCell ref="BL114:BM114"/>
    <mergeCell ref="BO114:BP114"/>
    <mergeCell ref="C115:G115"/>
    <mergeCell ref="H115:W115"/>
    <mergeCell ref="Z115:AD115"/>
    <mergeCell ref="AE115:AS115"/>
    <mergeCell ref="AW115:AX115"/>
    <mergeCell ref="AZ115:BA115"/>
    <mergeCell ref="BC115:BD115"/>
    <mergeCell ref="BF115:BG115"/>
    <mergeCell ref="BI115:BJ115"/>
    <mergeCell ref="BL115:BM115"/>
    <mergeCell ref="BO115:BP115"/>
    <mergeCell ref="C116:G116"/>
    <mergeCell ref="H116:W116"/>
    <mergeCell ref="Z116:AD116"/>
    <mergeCell ref="AE116:AS116"/>
    <mergeCell ref="AW116:AX116"/>
    <mergeCell ref="AZ116:BA116"/>
    <mergeCell ref="BC116:BD116"/>
    <mergeCell ref="BF116:BG116"/>
    <mergeCell ref="BI116:BJ116"/>
    <mergeCell ref="BL116:BM116"/>
    <mergeCell ref="BO116:BP116"/>
    <mergeCell ref="C117:G117"/>
    <mergeCell ref="H117:W117"/>
    <mergeCell ref="Z117:AD117"/>
    <mergeCell ref="AE117:AS117"/>
    <mergeCell ref="C118:G118"/>
    <mergeCell ref="H118:W118"/>
    <mergeCell ref="BD118:BI118"/>
    <mergeCell ref="BP118:BQ118"/>
    <mergeCell ref="C119:G119"/>
    <mergeCell ref="H119:W119"/>
    <mergeCell ref="Z119:AD119"/>
    <mergeCell ref="AG119:AK119"/>
    <mergeCell ref="AO119:AS119"/>
    <mergeCell ref="C120:G120"/>
    <mergeCell ref="H120:W120"/>
    <mergeCell ref="Y120:Z120"/>
    <mergeCell ref="AA120:AC120"/>
    <mergeCell ref="AE120:AS120"/>
    <mergeCell ref="AV120:AY120"/>
    <mergeCell ref="AZ120:BQ120"/>
    <mergeCell ref="C121:G121"/>
    <mergeCell ref="H121:W121"/>
    <mergeCell ref="Z121:AD121"/>
    <mergeCell ref="AE121:AS121"/>
    <mergeCell ref="AV121:AY121"/>
    <mergeCell ref="AZ121:BQ121"/>
    <mergeCell ref="C122:G122"/>
    <mergeCell ref="H122:W122"/>
    <mergeCell ref="Z122:AD122"/>
    <mergeCell ref="AE122:AS122"/>
    <mergeCell ref="AV122:AY122"/>
    <mergeCell ref="AZ122:BQ122"/>
    <mergeCell ref="C123:G123"/>
    <mergeCell ref="H123:W123"/>
    <mergeCell ref="Z123:AD123"/>
    <mergeCell ref="AE123:AS123"/>
    <mergeCell ref="AV123:AY123"/>
    <mergeCell ref="AZ123:BQ123"/>
    <mergeCell ref="C124:G124"/>
    <mergeCell ref="H124:W124"/>
    <mergeCell ref="Z124:AD124"/>
    <mergeCell ref="AE124:AS124"/>
    <mergeCell ref="AV124:AY124"/>
    <mergeCell ref="AZ124:BQ124"/>
    <mergeCell ref="C125:G125"/>
    <mergeCell ref="H125:W125"/>
    <mergeCell ref="Z125:AD125"/>
    <mergeCell ref="AE125:AS125"/>
    <mergeCell ref="AV125:AY125"/>
    <mergeCell ref="AZ125:BQ125"/>
    <mergeCell ref="C126:G126"/>
    <mergeCell ref="H126:W126"/>
    <mergeCell ref="Z126:AD126"/>
    <mergeCell ref="AE126:AS126"/>
    <mergeCell ref="C127:G127"/>
    <mergeCell ref="H127:W127"/>
    <mergeCell ref="Z127:AD127"/>
    <mergeCell ref="AE127:AS127"/>
    <mergeCell ref="C128:G128"/>
    <mergeCell ref="H128:W128"/>
    <mergeCell ref="Z128:AD128"/>
    <mergeCell ref="AE128:AS128"/>
    <mergeCell ref="B130:W130"/>
    <mergeCell ref="Y130:AS130"/>
    <mergeCell ref="B131:W131"/>
    <mergeCell ref="B132:W132"/>
    <mergeCell ref="B133:W133"/>
    <mergeCell ref="B134:W134"/>
    <mergeCell ref="B135:W135"/>
    <mergeCell ref="B136:W136"/>
    <mergeCell ref="B137:W137"/>
    <mergeCell ref="B138:W138"/>
    <mergeCell ref="B139:W139"/>
    <mergeCell ref="B140:W140"/>
    <mergeCell ref="B141:W141"/>
    <mergeCell ref="B142:W142"/>
    <mergeCell ref="F23:F24"/>
    <mergeCell ref="F26:F27"/>
    <mergeCell ref="F29:F30"/>
    <mergeCell ref="I29:I30"/>
    <mergeCell ref="N26:N27"/>
    <mergeCell ref="P23:P24"/>
    <mergeCell ref="S26:S27"/>
    <mergeCell ref="U57:U58"/>
    <mergeCell ref="V26:V27"/>
    <mergeCell ref="Z57:Z58"/>
    <mergeCell ref="AD51:AD54"/>
    <mergeCell ref="AD57:AD58"/>
    <mergeCell ref="AV4:AV10"/>
    <mergeCell ref="B34:E35"/>
    <mergeCell ref="J34:M35"/>
    <mergeCell ref="N34:P35"/>
    <mergeCell ref="W34:Y35"/>
    <mergeCell ref="F31:H32"/>
    <mergeCell ref="B31:E32"/>
    <mergeCell ref="S34:V35"/>
    <mergeCell ref="F34:H35"/>
    <mergeCell ref="G26:H27"/>
    <mergeCell ref="O26:P27"/>
    <mergeCell ref="Q26:R27"/>
    <mergeCell ref="W26:X27"/>
    <mergeCell ref="Y26:Z27"/>
    <mergeCell ref="J23:L24"/>
    <mergeCell ref="M23:O24"/>
    <mergeCell ref="Q23:S24"/>
    <mergeCell ref="B23:C24"/>
    <mergeCell ref="D23:E24"/>
    <mergeCell ref="V23:W24"/>
    <mergeCell ref="X23:Y24"/>
    <mergeCell ref="AB3:AS27"/>
    <mergeCell ref="P6:Q7"/>
    <mergeCell ref="U9:W10"/>
    <mergeCell ref="S9:T10"/>
    <mergeCell ref="B26:C27"/>
    <mergeCell ref="D26:E27"/>
    <mergeCell ref="J26:K27"/>
    <mergeCell ref="L26:M27"/>
    <mergeCell ref="T26:U27"/>
    <mergeCell ref="B29:C30"/>
    <mergeCell ref="D29:E30"/>
    <mergeCell ref="J29:K30"/>
    <mergeCell ref="AB29:AC30"/>
    <mergeCell ref="G23:H24"/>
    <mergeCell ref="G29:H30"/>
    <mergeCell ref="L29:Z30"/>
    <mergeCell ref="W72:AS80"/>
    <mergeCell ref="Y131:AS142"/>
    <mergeCell ref="BH9:BP10"/>
    <mergeCell ref="AD32:AS33"/>
    <mergeCell ref="AB32:AC33"/>
    <mergeCell ref="AB34:AC35"/>
    <mergeCell ref="AD29:AS30"/>
    <mergeCell ref="AD34:AS35"/>
    <mergeCell ref="AW97:BP111"/>
    <mergeCell ref="BH69:BP74"/>
    <mergeCell ref="AW81:BP95"/>
  </mergeCells>
  <conditionalFormatting sqref="P5">
    <cfRule type="dataBar" priority="184">
      <dataBar showValue="0">
        <cfvo type="num" val="0"/>
        <cfvo type="num" val="1"/>
        <color rgb="FF00D800"/>
      </dataBar>
      <extLst>
        <ext xmlns:x14="http://schemas.microsoft.com/office/spreadsheetml/2009/9/main" uri="{B025F937-C7B1-47D3-B67F-A62EFF666E3E}">
          <x14:id>{825644fb-862b-4193-b719-1a582322ef4e}</x14:id>
        </ext>
      </extLst>
    </cfRule>
  </conditionalFormatting>
  <conditionalFormatting sqref="C14">
    <cfRule type="expression" dxfId="1" priority="31">
      <formula>综合数据!I1=TRUE</formula>
    </cfRule>
  </conditionalFormatting>
  <conditionalFormatting sqref="C15">
    <cfRule type="expression" dxfId="1" priority="32">
      <formula>综合数据!J1=TRUE</formula>
    </cfRule>
  </conditionalFormatting>
  <conditionalFormatting sqref="C16">
    <cfRule type="expression" dxfId="1" priority="33">
      <formula>综合数据!K1=TRUE</formula>
    </cfRule>
  </conditionalFormatting>
  <conditionalFormatting sqref="C17">
    <cfRule type="expression" dxfId="1" priority="34">
      <formula>综合数据!L1=TRUE</formula>
    </cfRule>
  </conditionalFormatting>
  <conditionalFormatting sqref="C18">
    <cfRule type="expression" dxfId="1" priority="35">
      <formula>综合数据!M1=TRUE</formula>
    </cfRule>
  </conditionalFormatting>
  <conditionalFormatting sqref="C19">
    <cfRule type="expression" dxfId="1" priority="192">
      <formula>综合数据!N1=TRUE</formula>
    </cfRule>
  </conditionalFormatting>
  <conditionalFormatting sqref="J25">
    <cfRule type="dataBar" priority="186">
      <dataBar showValue="0">
        <cfvo type="num" val="0"/>
        <cfvo type="num" val="$Q$23"/>
        <color rgb="FF00E900"/>
      </dataBar>
      <extLst>
        <ext xmlns:x14="http://schemas.microsoft.com/office/spreadsheetml/2009/9/main" uri="{B025F937-C7B1-47D3-B67F-A62EFF666E3E}">
          <x14:id>{946e4c8a-a604-4952-a1c8-eab39bc15bdf}</x14:id>
        </ext>
      </extLst>
    </cfRule>
  </conditionalFormatting>
  <conditionalFormatting sqref="R32">
    <cfRule type="expression" dxfId="2" priority="395">
      <formula>AND($O$56=5,$V$58&gt;$Q$60)</formula>
    </cfRule>
    <cfRule type="expression" dxfId="3" priority="396">
      <formula>AND($O$56=5,$V$58&gt;$L$60)</formula>
    </cfRule>
    <cfRule type="expression" dxfId="3" priority="550">
      <formula>装备数据!$AN$2=1</formula>
    </cfRule>
  </conditionalFormatting>
  <conditionalFormatting sqref="C39">
    <cfRule type="expression" dxfId="1" priority="36">
      <formula>综合数据!Q2=TRUE</formula>
    </cfRule>
  </conditionalFormatting>
  <conditionalFormatting sqref="V60">
    <cfRule type="expression" dxfId="4" priority="398">
      <formula>$V$58&lt;=$L$60</formula>
    </cfRule>
    <cfRule type="expression" dxfId="5" priority="399">
      <formula>$V$58&lt;=$Q$60</formula>
    </cfRule>
    <cfRule type="expression" dxfId="6" priority="400">
      <formula>$V$58&gt;$Q$60</formula>
    </cfRule>
  </conditionalFormatting>
  <conditionalFormatting sqref="N62:AT62">
    <cfRule type="cellIs" dxfId="7" priority="13" operator="equal">
      <formula>0</formula>
    </cfRule>
  </conditionalFormatting>
  <conditionalFormatting sqref="W68:AS68">
    <cfRule type="containsText" dxfId="8" priority="23" operator="between" text="仪式">
      <formula>NOT(ISERROR(SEARCH("仪式",W68)))</formula>
    </cfRule>
  </conditionalFormatting>
  <conditionalFormatting sqref="W70:AB70">
    <cfRule type="containsText" dxfId="9" priority="22" operator="between" text="专注">
      <formula>NOT(ISERROR(SEARCH("专注",W70)))</formula>
    </cfRule>
  </conditionalFormatting>
  <conditionalFormatting sqref="C41:C43">
    <cfRule type="expression" dxfId="1" priority="38">
      <formula>综合数据!Q3=TRUE</formula>
    </cfRule>
  </conditionalFormatting>
  <conditionalFormatting sqref="C45:C49">
    <cfRule type="expression" dxfId="1" priority="44">
      <formula>综合数据!Q6=TRUE</formula>
    </cfRule>
  </conditionalFormatting>
  <conditionalFormatting sqref="C51:C55">
    <cfRule type="expression" dxfId="1" priority="49">
      <formula>综合数据!Q11=TRUE</formula>
    </cfRule>
  </conditionalFormatting>
  <conditionalFormatting sqref="C57:C60">
    <cfRule type="expression" dxfId="1" priority="203">
      <formula>综合数据!Q16=TRUE</formula>
    </cfRule>
  </conditionalFormatting>
  <conditionalFormatting sqref="C66:C80">
    <cfRule type="expression" dxfId="10" priority="148">
      <formula>法术数据!AQ2=1</formula>
    </cfRule>
    <cfRule type="expression" dxfId="11" priority="155">
      <formula>法术数据!AR2=1</formula>
    </cfRule>
  </conditionalFormatting>
  <conditionalFormatting sqref="J66:J80">
    <cfRule type="expression" dxfId="10" priority="113">
      <formula>法术数据!AQ17=1</formula>
    </cfRule>
    <cfRule type="expression" dxfId="11" priority="114">
      <formula>法术数据!AR17=1</formula>
    </cfRule>
  </conditionalFormatting>
  <conditionalFormatting sqref="Q66:Q80">
    <cfRule type="expression" dxfId="10" priority="81">
      <formula>法术数据!AQ32=1</formula>
    </cfRule>
    <cfRule type="expression" dxfId="11" priority="82">
      <formula>法术数据!AR32=1</formula>
    </cfRule>
  </conditionalFormatting>
  <conditionalFormatting sqref="Y4 Y6:Z7">
    <cfRule type="expression" dxfId="12" priority="17">
      <formula>AND($R4&lt;&gt;"",$Y$3-$Y$4-$Y$6-$Y$7&gt;=1)</formula>
    </cfRule>
  </conditionalFormatting>
  <conditionalFormatting sqref="R14:U16">
    <cfRule type="expression" dxfId="13" priority="402">
      <formula>AND($O$56=5,$V$58&gt;$Q$60)</formula>
    </cfRule>
  </conditionalFormatting>
  <conditionalFormatting sqref="AG41:AH45 AL41:AM45 AK49:AK50 AQ49:AQ50">
    <cfRule type="beginsWith" dxfId="14" priority="1" operator="equal" text="-">
      <formula>LEFT(AG41,LEN("-"))="-"</formula>
    </cfRule>
  </conditionalFormatting>
  <conditionalFormatting sqref="AO52:AP60 AR52:AS60">
    <cfRule type="expression" dxfId="15" priority="15">
      <formula>$AR52=0</formula>
    </cfRule>
  </conditionalFormatting>
  <conditionalFormatting sqref="AO52:AP60">
    <cfRule type="cellIs" dxfId="16" priority="14" operator="greaterThan">
      <formula>$AR52</formula>
    </cfRule>
  </conditionalFormatting>
  <conditionalFormatting sqref="C66:G80 J66:N80 Q66:U80">
    <cfRule type="duplicateValues" dxfId="17" priority="169"/>
  </conditionalFormatting>
  <conditionalFormatting sqref="C66:G80">
    <cfRule type="expression" dxfId="18" priority="21">
      <formula>法术数据!$AQ2+法术数据!$AR2=2</formula>
    </cfRule>
  </conditionalFormatting>
  <conditionalFormatting sqref="J66:N80">
    <cfRule type="expression" dxfId="19" priority="20">
      <formula>法术数据!$AQ17+法术数据!$AR17=2</formula>
    </cfRule>
  </conditionalFormatting>
  <conditionalFormatting sqref="Q66:U80">
    <cfRule type="expression" dxfId="18" priority="19">
      <formula>法术数据!$AQ32+法术数据!$AR32=2</formula>
    </cfRule>
  </conditionalFormatting>
  <conditionalFormatting sqref="AV118:BQ125">
    <cfRule type="expression" dxfId="20" priority="16">
      <formula>$BP$118="隐藏"</formula>
    </cfRule>
  </conditionalFormatting>
  <dataValidations count="62">
    <dataValidation type="list" allowBlank="1" showInputMessage="1" sqref="R3:X3">
      <formula1>综合数据!$D$3:$D$22</formula1>
    </dataValidation>
    <dataValidation type="list" allowBlank="1" showInputMessage="1" showErrorMessage="1" sqref="R4:U4">
      <formula1>OFFSET(职业数据!$A$2,,,SUMPRODUCT(N(LEN(职业数据!$A$2:$A$14)&gt;0)),)</formula1>
    </dataValidation>
    <dataValidation type="list" allowBlank="1" showInputMessage="1" showErrorMessage="1" sqref="V4:X4">
      <formula1>OFFSET(职业数据!$AL$3,,,SUMPRODUCT(N(LEN(职业数据!$AL$3:$AL$20)&gt;1)),)</formula1>
    </dataValidation>
    <dataValidation type="list" allowBlank="1" showInputMessage="1" showErrorMessage="1" sqref="Y4:Z4">
      <formula1>OFFSET(职业数据!$AB$24,,,SUMPRODUCT(N(LEN(职业数据!$AB$24:$AB$43)&gt;0)),)</formula1>
    </dataValidation>
    <dataValidation type="list" allowBlank="1" showInputMessage="1" showErrorMessage="1" sqref="D6:H6">
      <formula1>OFFSET(种族数据!$S$2,,,SUMPRODUCT(N(LEN(种族数据!$S$2:$S$51)&gt;0)),)</formula1>
    </dataValidation>
    <dataValidation type="list" allowBlank="1" sqref="L6:N6">
      <formula1>背景数据!$B$2:$B$4</formula1>
    </dataValidation>
    <dataValidation type="list" allowBlank="1" showInputMessage="1" showErrorMessage="1" sqref="R6:U6">
      <formula1>OFFSET(职业数据!$AG$17,,,SUMPRODUCT(N(LEN(职业数据!$AG$17:$AG$28)&gt;0)),)</formula1>
    </dataValidation>
    <dataValidation type="list" allowBlank="1" showInputMessage="1" showErrorMessage="1" sqref="V6:X6">
      <formula1>OFFSET(职业数据!$AL$22,,,SUMPRODUCT(N(LEN(职业数据!$AL$22:$AL$39)&gt;1)),)</formula1>
    </dataValidation>
    <dataValidation type="list" allowBlank="1" showInputMessage="1" showErrorMessage="1" sqref="Y6:Z6">
      <formula1>OFFSET(职业数据!$AC$24,,,SUMPRODUCT(N(LEN(职业数据!$AC$24:$AC$43)&gt;0)),)</formula1>
    </dataValidation>
    <dataValidation type="list" allowBlank="1" showInputMessage="1" showErrorMessage="1" sqref="AO6:AR6">
      <formula1>"守序善良,中立善良,混乱善良,守序中立,绝对中立,混乱中立,守序邪恶,中立邪恶,混乱邪恶"</formula1>
    </dataValidation>
    <dataValidation type="list" allowBlank="1" showInputMessage="1" showErrorMessage="1" sqref="D7:H7">
      <formula1>OFFSET(种族数据!$U$2,,,SUMPRODUCT(N(LEN(种族数据!$U$2:$U$14)&gt;1)),)</formula1>
    </dataValidation>
    <dataValidation type="list" allowBlank="1" showInputMessage="1" showErrorMessage="1" sqref="R7:U7">
      <formula1>OFFSET(职业数据!$AH$17,,,SUMPRODUCT(N(LEN(职业数据!$AH$17:$AH$27)&gt;0)),)</formula1>
    </dataValidation>
    <dataValidation type="list" allowBlank="1" showInputMessage="1" showErrorMessage="1" sqref="V7:X7">
      <formula1>OFFSET(职业数据!$AL$41,,,SUMPRODUCT(N(LEN(职业数据!$AL$41:$AL$56)&gt;1)),)</formula1>
    </dataValidation>
    <dataValidation type="list" allowBlank="1" showInputMessage="1" showErrorMessage="1" sqref="Y7:Z7">
      <formula1>OFFSET(职业数据!$AD$24,,,SUMPRODUCT(N(LEN(职业数据!$AD$24:$AD$43)&gt;0)),)</formula1>
    </dataValidation>
    <dataValidation type="list" allowBlank="1" showErrorMessage="1" sqref="L9:Q9">
      <formula1>背景数据!$C$2:$C$10</formula1>
    </dataValidation>
    <dataValidation type="list" allowBlank="1" showInputMessage="1" showErrorMessage="1" sqref="L10:Q10">
      <formula1>OFFSET(赠礼数据!$C$2,,,SUMPRODUCT(N(LEN(赠礼数据!$C$2:$C$19)&gt;0)),)</formula1>
    </dataValidation>
    <dataValidation type="list" allowBlank="1" showInputMessage="1" showErrorMessage="1" sqref="F31 AD49:AD50">
      <formula1>$C$14:$C$19</formula1>
    </dataValidation>
    <dataValidation type="list" allowBlank="1" showInputMessage="1" sqref="L32:N32 AY63:BB63">
      <formula1>种族数据!$R$2:$R$7</formula1>
    </dataValidation>
    <dataValidation type="list" allowBlank="1" showInputMessage="1" showErrorMessage="1" sqref="L39:N39">
      <formula1>OFFSET(装备数据!$AJ$2,,,SUMPRODUCT(N(LEN(装备数据!$AJ$2:$AJ$30)&gt;0)),)</formula1>
    </dataValidation>
    <dataValidation type="list" allowBlank="1" showInputMessage="1" sqref="O39">
      <formula1>INDIRECT($L$39)</formula1>
    </dataValidation>
    <dataValidation allowBlank="1" showInputMessage="1" sqref="P39 AC39:AD39 AE52:AE54 AL41:AL45 AT109:AT118"/>
    <dataValidation type="list" allowBlank="1" showInputMessage="1" sqref="S39:X39">
      <formula1>装备数据!$AR$2</formula1>
    </dataValidation>
    <dataValidation type="list" allowBlank="1" showInputMessage="1" sqref="Y39">
      <formula1>装备数据!$AQ$2</formula1>
    </dataValidation>
    <dataValidation type="list" allowBlank="1" showInputMessage="1" showErrorMessage="1" sqref="AE39">
      <formula1>装备数据!$AO$2</formula1>
    </dataValidation>
    <dataValidation type="list" allowBlank="1" showInputMessage="1" showErrorMessage="1" sqref="AJ39:AK39">
      <formula1>装备数据!$AL$3</formula1>
    </dataValidation>
    <dataValidation type="list" allowBlank="1" showInputMessage="1" sqref="AP39:AQ39">
      <formula1>装备数据!$AM$3</formula1>
    </dataValidation>
    <dataValidation type="list" allowBlank="1" showInputMessage="1" sqref="AR39:AS39">
      <formula1>装备数据!$AQ$3</formula1>
    </dataValidation>
    <dataValidation type="list" allowBlank="1" showInputMessage="1" sqref="O56:P56">
      <formula1>装备数据!$R$2:$R$3</formula1>
    </dataValidation>
    <dataValidation type="whole" operator="between" allowBlank="1" showInputMessage="1" showErrorMessage="1" sqref="B62:G62">
      <formula1>0</formula1>
      <formula2>499974</formula2>
    </dataValidation>
    <dataValidation type="list" allowBlank="1" showInputMessage="1" showErrorMessage="1" sqref="H62">
      <formula1>综合数据!$O$22:$O$26</formula1>
    </dataValidation>
    <dataValidation type="list" allowBlank="1" showInputMessage="1" showErrorMessage="1" sqref="BE63:BI63">
      <formula1>综合数据!$R$2:$R$15</formula1>
    </dataValidation>
    <dataValidation type="list" allowBlank="1" showInputMessage="1" showErrorMessage="1" sqref="BL63:BP63">
      <formula1>背景数据!$C$2:$C$11</formula1>
    </dataValidation>
    <dataValidation type="list" allowBlank="1" showInputMessage="1" showErrorMessage="1" sqref="W66">
      <formula1>OFFSET(法术数据!$AT$2,,,SUMPRODUCT(N(LEN(法术数据!$AT$2:$AT$46)&gt;0)),)</formula1>
    </dataValidation>
    <dataValidation type="list" allowBlank="1" showInputMessage="1" showErrorMessage="1" sqref="B82:G82">
      <formula1>OFFSET(职业数据!$AC$16,,,SUMPRODUCT(N(LEN(职业数据!$AC$16:$AC$18)&gt;1)),)</formula1>
    </dataValidation>
    <dataValidation type="list" allowBlank="1" showInputMessage="1" showErrorMessage="1" sqref="BP118:BQ118">
      <formula1>"显示,隐藏"</formula1>
    </dataValidation>
    <dataValidation type="list" allowBlank="1" showInputMessage="1" sqref="O47:O55">
      <formula1>#REF!</formula1>
    </dataValidation>
    <dataValidation type="list" allowBlank="1" showInputMessage="1" sqref="P47:P48 P49:S55">
      <formula1>装备数据!$S$3:$S$142</formula1>
    </dataValidation>
    <dataValidation type="list" allowBlank="1" showInputMessage="1" sqref="Y41:Y45">
      <formula1>装备数据!$AO6</formula1>
    </dataValidation>
    <dataValidation allowBlank="1" showErrorMessage="1" prompt="&#10;" sqref="AH43:AH45"/>
    <dataValidation type="list" allowBlank="1" showInputMessage="1" sqref="AI41:AI42 AI43:AK45">
      <formula1>装备数据!$AM6</formula1>
    </dataValidation>
    <dataValidation type="whole" operator="between" allowBlank="1" showInputMessage="1" showErrorMessage="1" sqref="I14:J19">
      <formula1>1</formula1>
      <formula2>18</formula2>
    </dataValidation>
    <dataValidation type="whole" operator="between" allowBlank="1" showInputMessage="1" showErrorMessage="1" sqref="K14:L19">
      <formula1>0</formula1>
      <formula2>2</formula2>
    </dataValidation>
    <dataValidation type="list" allowBlank="1" showInputMessage="1" sqref="J34:M35 S34:V35">
      <formula1>"特殊能力"</formula1>
    </dataValidation>
    <dataValidation type="whole" operator="between" allowBlank="1" showInputMessage="1" showErrorMessage="1" sqref="AO52:AP60">
      <formula1>0</formula1>
      <formula2>AR52</formula2>
    </dataValidation>
    <dataValidation type="list" allowBlank="1" showInputMessage="1" showErrorMessage="1" errorTitle="O_O？" error="你似乎还没有录入这个法术呢" sqref="C66:G80 J66:N80 Q66:U80" errorStyle="information">
      <formula1>OFFSET(法术数据!$AM$2,,,SUMPRODUCT(N(LEN(法术数据!$AM$2:$AM$301)&gt;0)),)</formula1>
    </dataValidation>
    <dataValidation type="list" allowBlank="1" showInputMessage="1" showErrorMessage="1" sqref="Z84:AD97">
      <formula1>OFFSET(种族数据!$AA$2,,,SUMPRODUCT(N(LEN(种族数据!$AA$2:$AA$16)&gt;0)),)</formula1>
    </dataValidation>
    <dataValidation type="list" allowBlank="1" showInputMessage="1" showErrorMessage="1" sqref="C84:G128">
      <formula1>OFFSET(职业数据!$BF$2,,,SUMPRODUCT(N(LEN(职业数据!$BF$2:$BF$143)&gt;0)),)</formula1>
    </dataValidation>
    <dataValidation type="list" allowBlank="1" showInputMessage="1" showErrorMessage="1" sqref="Y26:Z27">
      <formula1>职业数据!$AF$24:$AF$27</formula1>
    </dataValidation>
    <dataValidation type="list" allowBlank="1" showInputMessage="1" showErrorMessage="1" sqref="L41:N45">
      <formula1>OFFSET(装备数据!$AK$2,,,SUMPRODUCT(N(LEN(装备数据!$AK$2:$AK$176)&gt;0)),)</formula1>
    </dataValidation>
    <dataValidation type="list" allowBlank="1" showInputMessage="1" sqref="L47:M55">
      <formula1>装备数据!$R$5:$R$28</formula1>
    </dataValidation>
    <dataValidation type="list" allowBlank="1" showInputMessage="1" showErrorMessage="1" sqref="Z121:AD128">
      <formula1>OFFSET(装备数据!$AI$2,,,SUMPRODUCT(N(LEN(装备数据!$AI$2:$AI$40)&gt;0)),)</formula1>
    </dataValidation>
    <dataValidation type="list" allowBlank="1" showInputMessage="1" showErrorMessage="1" sqref="Z101:AD105">
      <formula1>OFFSET(背景数据!$B$14,,,SUMPRODUCT(N(LEN(背景数据!$B$14:$B$23)&gt;0)),)</formula1>
    </dataValidation>
    <dataValidation type="list" allowBlank="1" showInputMessage="1" showErrorMessage="1" sqref="Z109:AD117">
      <formula1>OFFSET(专长数据!$D$2,,,SUMPRODUCT(N(LEN(专长数据!$D$2:$D$145)&gt;0)),)</formula1>
    </dataValidation>
    <dataValidation type="list" allowBlank="1" showInputMessage="1" sqref="T47:Y55">
      <formula1>装备数据!$Y2</formula1>
    </dataValidation>
    <dataValidation type="list" allowBlank="1" showInputMessage="1" sqref="S41:X45">
      <formula1>装备数据!$AP6</formula1>
    </dataValidation>
    <dataValidation type="list" allowBlank="1" showInputMessage="1" showErrorMessage="1" sqref="AN41:AO45">
      <formula1>装备数据!$AN6</formula1>
    </dataValidation>
    <dataValidation type="list" allowBlank="1" showInputMessage="1" sqref="AE121:AS128">
      <formula1>装备数据!$AM12</formula1>
    </dataValidation>
    <dataValidation type="list" allowBlank="1" showInputMessage="1" sqref="AE109:AS117">
      <formula1>专长数据!$F2</formula1>
    </dataValidation>
    <dataValidation type="list" allowBlank="1" showInputMessage="1" sqref="Z47:AB55">
      <formula1>装备数据!$Z2</formula1>
    </dataValidation>
    <dataValidation type="list" allowBlank="1" showInputMessage="1" sqref="H84:W128">
      <formula1>职业数据!$BH2</formula1>
    </dataValidation>
    <dataValidation type="list" allowBlank="1" showInputMessage="1" sqref="AE84:AS97">
      <formula1>种族数据!$AC2</formula1>
    </dataValidation>
    <dataValidation type="list" allowBlank="1" showInputMessage="1" sqref="AE101:AS105">
      <formula1>背景数据!$B26</formula1>
    </dataValidation>
  </dataValidations>
  <printOptions horizontalCentered="1"/>
  <pageMargins left="0" right="0" top="0" bottom="0" header="0" footer="0"/>
  <pageSetup paperSize="9" scale="65" fitToHeight="0" orientation="portrait"/>
  <headerFooter/>
  <rowBreaks count="2" manualBreakCount="2">
    <brk id="62" max="45" man="1"/>
    <brk id="109" max="45" man="1"/>
  </rowBreaks>
  <drawing r:id="rId2"/>
  <legacyDrawing r:id="rId3"/>
  <mc:AlternateContent xmlns:mc="http://schemas.openxmlformats.org/markup-compatibility/2006">
    <mc:Choice Requires="x14">
      <controls>
        <mc:AlternateContent xmlns:mc="http://schemas.openxmlformats.org/markup-compatibility/2006">
          <mc:Choice Requires="x14">
            <control shapeId="2061" name="Spinner 13" r:id="rId4">
              <controlPr defaultSize="0">
                <anchor moveWithCells="1">
                  <from>
                    <xdr:col>18</xdr:col>
                    <xdr:colOff>0</xdr:colOff>
                    <xdr:row>25</xdr:row>
                    <xdr:rowOff>0</xdr:rowOff>
                  </from>
                  <to>
                    <xdr:col>18</xdr:col>
                    <xdr:colOff>144780</xdr:colOff>
                    <xdr:row>26</xdr:row>
                    <xdr:rowOff>91440</xdr:rowOff>
                  </to>
                </anchor>
              </controlPr>
            </control>
          </mc:Choice>
        </mc:AlternateContent>
        <mc:AlternateContent xmlns:mc="http://schemas.openxmlformats.org/markup-compatibility/2006">
          <mc:Choice Requires="x14">
            <control shapeId="2062" name="Spinner 14" r:id="rId5">
              <controlPr defaultSize="0">
                <anchor moveWithCells="1">
                  <from>
                    <xdr:col>19</xdr:col>
                    <xdr:colOff>0</xdr:colOff>
                    <xdr:row>22</xdr:row>
                    <xdr:rowOff>0</xdr:rowOff>
                  </from>
                  <to>
                    <xdr:col>20</xdr:col>
                    <xdr:colOff>38100</xdr:colOff>
                    <xdr:row>23</xdr:row>
                    <xdr:rowOff>205740</xdr:rowOff>
                  </to>
                </anchor>
              </controlPr>
            </control>
          </mc:Choice>
        </mc:AlternateContent>
        <mc:AlternateContent xmlns:mc="http://schemas.openxmlformats.org/markup-compatibility/2006">
          <mc:Choice Requires="x14">
            <control shapeId="2064" name="Spinner 16" r:id="rId6">
              <controlPr defaultSize="0">
                <anchor moveWithCells="1">
                  <from>
                    <xdr:col>25</xdr:col>
                    <xdr:colOff>0</xdr:colOff>
                    <xdr:row>21</xdr:row>
                    <xdr:rowOff>205740</xdr:rowOff>
                  </from>
                  <to>
                    <xdr:col>26</xdr:col>
                    <xdr:colOff>38100</xdr:colOff>
                    <xdr:row>24</xdr:row>
                    <xdr:rowOff>0</xdr:rowOff>
                  </to>
                </anchor>
              </controlPr>
            </control>
          </mc:Choice>
        </mc:AlternateContent>
        <mc:AlternateContent xmlns:mc="http://schemas.openxmlformats.org/markup-compatibility/2006">
          <mc:Choice Requires="x14">
            <control shapeId="2071" name="Spinner 23" r:id="rId7">
              <controlPr defaultSize="0">
                <anchor moveWithCells="1">
                  <from>
                    <xdr:col>45</xdr:col>
                    <xdr:colOff>0</xdr:colOff>
                    <xdr:row>40</xdr:row>
                    <xdr:rowOff>0</xdr:rowOff>
                  </from>
                  <to>
                    <xdr:col>46</xdr:col>
                    <xdr:colOff>0</xdr:colOff>
                    <xdr:row>40</xdr:row>
                    <xdr:rowOff>205740</xdr:rowOff>
                  </to>
                </anchor>
              </controlPr>
            </control>
          </mc:Choice>
        </mc:AlternateContent>
        <mc:AlternateContent xmlns:mc="http://schemas.openxmlformats.org/markup-compatibility/2006">
          <mc:Choice Requires="x14">
            <control shapeId="2076" name="Spinner 28" r:id="rId8">
              <controlPr defaultSize="0">
                <anchor moveWithCells="1">
                  <from>
                    <xdr:col>45</xdr:col>
                    <xdr:colOff>0</xdr:colOff>
                    <xdr:row>41</xdr:row>
                    <xdr:rowOff>0</xdr:rowOff>
                  </from>
                  <to>
                    <xdr:col>46</xdr:col>
                    <xdr:colOff>0</xdr:colOff>
                    <xdr:row>41</xdr:row>
                    <xdr:rowOff>205740</xdr:rowOff>
                  </to>
                </anchor>
              </controlPr>
            </control>
          </mc:Choice>
        </mc:AlternateContent>
        <mc:AlternateContent xmlns:mc="http://schemas.openxmlformats.org/markup-compatibility/2006">
          <mc:Choice Requires="x14">
            <control shapeId="2077" name="Spinner 29" r:id="rId9">
              <controlPr defaultSize="0">
                <anchor moveWithCells="1">
                  <from>
                    <xdr:col>45</xdr:col>
                    <xdr:colOff>0</xdr:colOff>
                    <xdr:row>42</xdr:row>
                    <xdr:rowOff>0</xdr:rowOff>
                  </from>
                  <to>
                    <xdr:col>46</xdr:col>
                    <xdr:colOff>0</xdr:colOff>
                    <xdr:row>42</xdr:row>
                    <xdr:rowOff>205740</xdr:rowOff>
                  </to>
                </anchor>
              </controlPr>
            </control>
          </mc:Choice>
        </mc:AlternateContent>
        <mc:AlternateContent xmlns:mc="http://schemas.openxmlformats.org/markup-compatibility/2006">
          <mc:Choice Requires="x14">
            <control shapeId="2078" name="Spinner 30" r:id="rId10">
              <controlPr defaultSize="0">
                <anchor moveWithCells="1">
                  <from>
                    <xdr:col>45</xdr:col>
                    <xdr:colOff>0</xdr:colOff>
                    <xdr:row>43</xdr:row>
                    <xdr:rowOff>0</xdr:rowOff>
                  </from>
                  <to>
                    <xdr:col>46</xdr:col>
                    <xdr:colOff>0</xdr:colOff>
                    <xdr:row>43</xdr:row>
                    <xdr:rowOff>205740</xdr:rowOff>
                  </to>
                </anchor>
              </controlPr>
            </control>
          </mc:Choice>
        </mc:AlternateContent>
        <mc:AlternateContent xmlns:mc="http://schemas.openxmlformats.org/markup-compatibility/2006">
          <mc:Choice Requires="x14">
            <control shapeId="2079" name="Spinner 31" r:id="rId11">
              <controlPr defaultSize="0">
                <anchor moveWithCells="1">
                  <from>
                    <xdr:col>45</xdr:col>
                    <xdr:colOff>0</xdr:colOff>
                    <xdr:row>44</xdr:row>
                    <xdr:rowOff>0</xdr:rowOff>
                  </from>
                  <to>
                    <xdr:col>46</xdr:col>
                    <xdr:colOff>0</xdr:colOff>
                    <xdr:row>44</xdr:row>
                    <xdr:rowOff>205740</xdr:rowOff>
                  </to>
                </anchor>
              </controlPr>
            </control>
          </mc:Choice>
        </mc:AlternateContent>
        <mc:AlternateContent xmlns:mc="http://schemas.openxmlformats.org/markup-compatibility/2006">
          <mc:Choice Requires="x14">
            <control shapeId="2117" name="Check Box 69" r:id="rId12">
              <controlPr defaultSize="0">
                <anchor moveWithCells="1">
                  <from>
                    <xdr:col>1</xdr:col>
                    <xdr:colOff>22860</xdr:colOff>
                    <xdr:row>40</xdr:row>
                    <xdr:rowOff>0</xdr:rowOff>
                  </from>
                  <to>
                    <xdr:col>2</xdr:col>
                    <xdr:colOff>91440</xdr:colOff>
                    <xdr:row>41</xdr:row>
                    <xdr:rowOff>0</xdr:rowOff>
                  </to>
                </anchor>
              </controlPr>
            </control>
          </mc:Choice>
        </mc:AlternateContent>
        <mc:AlternateContent xmlns:mc="http://schemas.openxmlformats.org/markup-compatibility/2006">
          <mc:Choice Requires="x14">
            <control shapeId="2126" name="Check Box 78" r:id="rId13">
              <controlPr defaultSize="0">
                <anchor moveWithCells="1">
                  <from>
                    <xdr:col>1</xdr:col>
                    <xdr:colOff>22860</xdr:colOff>
                    <xdr:row>41</xdr:row>
                    <xdr:rowOff>0</xdr:rowOff>
                  </from>
                  <to>
                    <xdr:col>2</xdr:col>
                    <xdr:colOff>91440</xdr:colOff>
                    <xdr:row>42</xdr:row>
                    <xdr:rowOff>0</xdr:rowOff>
                  </to>
                </anchor>
              </controlPr>
            </control>
          </mc:Choice>
        </mc:AlternateContent>
        <mc:AlternateContent xmlns:mc="http://schemas.openxmlformats.org/markup-compatibility/2006">
          <mc:Choice Requires="x14">
            <control shapeId="2128" name="Check Box 80" r:id="rId14">
              <controlPr defaultSize="0">
                <anchor moveWithCells="1">
                  <from>
                    <xdr:col>1</xdr:col>
                    <xdr:colOff>22860</xdr:colOff>
                    <xdr:row>42</xdr:row>
                    <xdr:rowOff>0</xdr:rowOff>
                  </from>
                  <to>
                    <xdr:col>2</xdr:col>
                    <xdr:colOff>91440</xdr:colOff>
                    <xdr:row>43</xdr:row>
                    <xdr:rowOff>0</xdr:rowOff>
                  </to>
                </anchor>
              </controlPr>
            </control>
          </mc:Choice>
        </mc:AlternateContent>
        <mc:AlternateContent xmlns:mc="http://schemas.openxmlformats.org/markup-compatibility/2006">
          <mc:Choice Requires="x14">
            <control shapeId="2130" name="Check Box 82" r:id="rId15">
              <controlPr defaultSize="0">
                <anchor moveWithCells="1">
                  <from>
                    <xdr:col>1</xdr:col>
                    <xdr:colOff>22860</xdr:colOff>
                    <xdr:row>44</xdr:row>
                    <xdr:rowOff>0</xdr:rowOff>
                  </from>
                  <to>
                    <xdr:col>2</xdr:col>
                    <xdr:colOff>91440</xdr:colOff>
                    <xdr:row>45</xdr:row>
                    <xdr:rowOff>0</xdr:rowOff>
                  </to>
                </anchor>
              </controlPr>
            </control>
          </mc:Choice>
        </mc:AlternateContent>
        <mc:AlternateContent xmlns:mc="http://schemas.openxmlformats.org/markup-compatibility/2006">
          <mc:Choice Requires="x14">
            <control shapeId="2132" name="Check Box 84" r:id="rId16">
              <controlPr defaultSize="0">
                <anchor moveWithCells="1">
                  <from>
                    <xdr:col>1</xdr:col>
                    <xdr:colOff>22860</xdr:colOff>
                    <xdr:row>45</xdr:row>
                    <xdr:rowOff>0</xdr:rowOff>
                  </from>
                  <to>
                    <xdr:col>2</xdr:col>
                    <xdr:colOff>91440</xdr:colOff>
                    <xdr:row>46</xdr:row>
                    <xdr:rowOff>0</xdr:rowOff>
                  </to>
                </anchor>
              </controlPr>
            </control>
          </mc:Choice>
        </mc:AlternateContent>
        <mc:AlternateContent xmlns:mc="http://schemas.openxmlformats.org/markup-compatibility/2006">
          <mc:Choice Requires="x14">
            <control shapeId="2134" name="Check Box 86" r:id="rId17">
              <controlPr defaultSize="0">
                <anchor moveWithCells="1">
                  <from>
                    <xdr:col>1</xdr:col>
                    <xdr:colOff>22860</xdr:colOff>
                    <xdr:row>46</xdr:row>
                    <xdr:rowOff>0</xdr:rowOff>
                  </from>
                  <to>
                    <xdr:col>2</xdr:col>
                    <xdr:colOff>91440</xdr:colOff>
                    <xdr:row>47</xdr:row>
                    <xdr:rowOff>0</xdr:rowOff>
                  </to>
                </anchor>
              </controlPr>
            </control>
          </mc:Choice>
        </mc:AlternateContent>
        <mc:AlternateContent xmlns:mc="http://schemas.openxmlformats.org/markup-compatibility/2006">
          <mc:Choice Requires="x14">
            <control shapeId="2136" name="Check Box 88" r:id="rId18">
              <controlPr defaultSize="0">
                <anchor moveWithCells="1">
                  <from>
                    <xdr:col>1</xdr:col>
                    <xdr:colOff>22860</xdr:colOff>
                    <xdr:row>47</xdr:row>
                    <xdr:rowOff>0</xdr:rowOff>
                  </from>
                  <to>
                    <xdr:col>2</xdr:col>
                    <xdr:colOff>91440</xdr:colOff>
                    <xdr:row>48</xdr:row>
                    <xdr:rowOff>0</xdr:rowOff>
                  </to>
                </anchor>
              </controlPr>
            </control>
          </mc:Choice>
        </mc:AlternateContent>
        <mc:AlternateContent xmlns:mc="http://schemas.openxmlformats.org/markup-compatibility/2006">
          <mc:Choice Requires="x14">
            <control shapeId="2138" name="Check Box 90" r:id="rId19">
              <controlPr defaultSize="0">
                <anchor moveWithCells="1">
                  <from>
                    <xdr:col>1</xdr:col>
                    <xdr:colOff>22860</xdr:colOff>
                    <xdr:row>48</xdr:row>
                    <xdr:rowOff>0</xdr:rowOff>
                  </from>
                  <to>
                    <xdr:col>2</xdr:col>
                    <xdr:colOff>91440</xdr:colOff>
                    <xdr:row>49</xdr:row>
                    <xdr:rowOff>0</xdr:rowOff>
                  </to>
                </anchor>
              </controlPr>
            </control>
          </mc:Choice>
        </mc:AlternateContent>
        <mc:AlternateContent xmlns:mc="http://schemas.openxmlformats.org/markup-compatibility/2006">
          <mc:Choice Requires="x14">
            <control shapeId="2140" name="Check Box 92" r:id="rId20">
              <controlPr defaultSize="0">
                <anchor moveWithCells="1">
                  <from>
                    <xdr:col>1</xdr:col>
                    <xdr:colOff>22860</xdr:colOff>
                    <xdr:row>50</xdr:row>
                    <xdr:rowOff>0</xdr:rowOff>
                  </from>
                  <to>
                    <xdr:col>2</xdr:col>
                    <xdr:colOff>91440</xdr:colOff>
                    <xdr:row>51</xdr:row>
                    <xdr:rowOff>0</xdr:rowOff>
                  </to>
                </anchor>
              </controlPr>
            </control>
          </mc:Choice>
        </mc:AlternateContent>
        <mc:AlternateContent xmlns:mc="http://schemas.openxmlformats.org/markup-compatibility/2006">
          <mc:Choice Requires="x14">
            <control shapeId="2142" name="Check Box 94" r:id="rId21">
              <controlPr defaultSize="0">
                <anchor moveWithCells="1">
                  <from>
                    <xdr:col>1</xdr:col>
                    <xdr:colOff>22860</xdr:colOff>
                    <xdr:row>51</xdr:row>
                    <xdr:rowOff>0</xdr:rowOff>
                  </from>
                  <to>
                    <xdr:col>2</xdr:col>
                    <xdr:colOff>91440</xdr:colOff>
                    <xdr:row>52</xdr:row>
                    <xdr:rowOff>0</xdr:rowOff>
                  </to>
                </anchor>
              </controlPr>
            </control>
          </mc:Choice>
        </mc:AlternateContent>
        <mc:AlternateContent xmlns:mc="http://schemas.openxmlformats.org/markup-compatibility/2006">
          <mc:Choice Requires="x14">
            <control shapeId="2144" name="Check Box 96" r:id="rId22">
              <controlPr defaultSize="0">
                <anchor moveWithCells="1">
                  <from>
                    <xdr:col>1</xdr:col>
                    <xdr:colOff>22860</xdr:colOff>
                    <xdr:row>52</xdr:row>
                    <xdr:rowOff>0</xdr:rowOff>
                  </from>
                  <to>
                    <xdr:col>2</xdr:col>
                    <xdr:colOff>91440</xdr:colOff>
                    <xdr:row>53</xdr:row>
                    <xdr:rowOff>0</xdr:rowOff>
                  </to>
                </anchor>
              </controlPr>
            </control>
          </mc:Choice>
        </mc:AlternateContent>
        <mc:AlternateContent xmlns:mc="http://schemas.openxmlformats.org/markup-compatibility/2006">
          <mc:Choice Requires="x14">
            <control shapeId="2146" name="Check Box 98" r:id="rId23">
              <controlPr defaultSize="0">
                <anchor moveWithCells="1">
                  <from>
                    <xdr:col>1</xdr:col>
                    <xdr:colOff>22860</xdr:colOff>
                    <xdr:row>53</xdr:row>
                    <xdr:rowOff>0</xdr:rowOff>
                  </from>
                  <to>
                    <xdr:col>2</xdr:col>
                    <xdr:colOff>91440</xdr:colOff>
                    <xdr:row>54</xdr:row>
                    <xdr:rowOff>0</xdr:rowOff>
                  </to>
                </anchor>
              </controlPr>
            </control>
          </mc:Choice>
        </mc:AlternateContent>
        <mc:AlternateContent xmlns:mc="http://schemas.openxmlformats.org/markup-compatibility/2006">
          <mc:Choice Requires="x14">
            <control shapeId="2148" name="Check Box 100" r:id="rId24">
              <controlPr defaultSize="0">
                <anchor moveWithCells="1">
                  <from>
                    <xdr:col>1</xdr:col>
                    <xdr:colOff>22860</xdr:colOff>
                    <xdr:row>54</xdr:row>
                    <xdr:rowOff>0</xdr:rowOff>
                  </from>
                  <to>
                    <xdr:col>2</xdr:col>
                    <xdr:colOff>99060</xdr:colOff>
                    <xdr:row>55</xdr:row>
                    <xdr:rowOff>0</xdr:rowOff>
                  </to>
                </anchor>
              </controlPr>
            </control>
          </mc:Choice>
        </mc:AlternateContent>
        <mc:AlternateContent xmlns:mc="http://schemas.openxmlformats.org/markup-compatibility/2006">
          <mc:Choice Requires="x14">
            <control shapeId="2150" name="Check Box 102" r:id="rId25">
              <controlPr defaultSize="0">
                <anchor moveWithCells="1">
                  <from>
                    <xdr:col>1</xdr:col>
                    <xdr:colOff>22860</xdr:colOff>
                    <xdr:row>56</xdr:row>
                    <xdr:rowOff>0</xdr:rowOff>
                  </from>
                  <to>
                    <xdr:col>2</xdr:col>
                    <xdr:colOff>91440</xdr:colOff>
                    <xdr:row>57</xdr:row>
                    <xdr:rowOff>0</xdr:rowOff>
                  </to>
                </anchor>
              </controlPr>
            </control>
          </mc:Choice>
        </mc:AlternateContent>
        <mc:AlternateContent xmlns:mc="http://schemas.openxmlformats.org/markup-compatibility/2006">
          <mc:Choice Requires="x14">
            <control shapeId="2152" name="Check Box 104" r:id="rId26">
              <controlPr defaultSize="0">
                <anchor moveWithCells="1">
                  <from>
                    <xdr:col>1</xdr:col>
                    <xdr:colOff>22860</xdr:colOff>
                    <xdr:row>57</xdr:row>
                    <xdr:rowOff>0</xdr:rowOff>
                  </from>
                  <to>
                    <xdr:col>2</xdr:col>
                    <xdr:colOff>91440</xdr:colOff>
                    <xdr:row>58</xdr:row>
                    <xdr:rowOff>0</xdr:rowOff>
                  </to>
                </anchor>
              </controlPr>
            </control>
          </mc:Choice>
        </mc:AlternateContent>
        <mc:AlternateContent xmlns:mc="http://schemas.openxmlformats.org/markup-compatibility/2006">
          <mc:Choice Requires="x14">
            <control shapeId="2154" name="Check Box 106" r:id="rId27">
              <controlPr defaultSize="0">
                <anchor moveWithCells="1">
                  <from>
                    <xdr:col>1</xdr:col>
                    <xdr:colOff>22860</xdr:colOff>
                    <xdr:row>58</xdr:row>
                    <xdr:rowOff>0</xdr:rowOff>
                  </from>
                  <to>
                    <xdr:col>2</xdr:col>
                    <xdr:colOff>91440</xdr:colOff>
                    <xdr:row>59</xdr:row>
                    <xdr:rowOff>0</xdr:rowOff>
                  </to>
                </anchor>
              </controlPr>
            </control>
          </mc:Choice>
        </mc:AlternateContent>
        <mc:AlternateContent xmlns:mc="http://schemas.openxmlformats.org/markup-compatibility/2006">
          <mc:Choice Requires="x14">
            <control shapeId="2156" name="Check Box 108" r:id="rId28">
              <controlPr defaultSize="0">
                <anchor moveWithCells="1">
                  <from>
                    <xdr:col>1</xdr:col>
                    <xdr:colOff>22860</xdr:colOff>
                    <xdr:row>59</xdr:row>
                    <xdr:rowOff>0</xdr:rowOff>
                  </from>
                  <to>
                    <xdr:col>2</xdr:col>
                    <xdr:colOff>91440</xdr:colOff>
                    <xdr:row>60</xdr:row>
                    <xdr:rowOff>0</xdr:rowOff>
                  </to>
                </anchor>
              </controlPr>
            </control>
          </mc:Choice>
        </mc:AlternateContent>
        <mc:AlternateContent xmlns:mc="http://schemas.openxmlformats.org/markup-compatibility/2006">
          <mc:Choice Requires="x14">
            <control shapeId="2158" name="Check Box 110" r:id="rId29">
              <controlPr defaultSize="0">
                <anchor moveWithCells="1">
                  <from>
                    <xdr:col>1</xdr:col>
                    <xdr:colOff>22860</xdr:colOff>
                    <xdr:row>38</xdr:row>
                    <xdr:rowOff>0</xdr:rowOff>
                  </from>
                  <to>
                    <xdr:col>2</xdr:col>
                    <xdr:colOff>91440</xdr:colOff>
                    <xdr:row>39</xdr:row>
                    <xdr:rowOff>0</xdr:rowOff>
                  </to>
                </anchor>
              </controlPr>
            </control>
          </mc:Choice>
        </mc:AlternateContent>
        <mc:AlternateContent xmlns:mc="http://schemas.openxmlformats.org/markup-compatibility/2006">
          <mc:Choice Requires="x14">
            <control shapeId="2178" name="Check Box 130" r:id="rId30">
              <controlPr defaultSize="0">
                <anchor moveWithCells="1">
                  <from>
                    <xdr:col>1</xdr:col>
                    <xdr:colOff>22860</xdr:colOff>
                    <xdr:row>13</xdr:row>
                    <xdr:rowOff>53340</xdr:rowOff>
                  </from>
                  <to>
                    <xdr:col>2</xdr:col>
                    <xdr:colOff>91440</xdr:colOff>
                    <xdr:row>13</xdr:row>
                    <xdr:rowOff>266700</xdr:rowOff>
                  </to>
                </anchor>
              </controlPr>
            </control>
          </mc:Choice>
        </mc:AlternateContent>
        <mc:AlternateContent xmlns:mc="http://schemas.openxmlformats.org/markup-compatibility/2006">
          <mc:Choice Requires="x14">
            <control shapeId="2179" name="Check Box 131" r:id="rId31">
              <controlPr defaultSize="0">
                <anchor moveWithCells="1">
                  <from>
                    <xdr:col>1</xdr:col>
                    <xdr:colOff>22860</xdr:colOff>
                    <xdr:row>14</xdr:row>
                    <xdr:rowOff>53340</xdr:rowOff>
                  </from>
                  <to>
                    <xdr:col>2</xdr:col>
                    <xdr:colOff>91440</xdr:colOff>
                    <xdr:row>14</xdr:row>
                    <xdr:rowOff>266700</xdr:rowOff>
                  </to>
                </anchor>
              </controlPr>
            </control>
          </mc:Choice>
        </mc:AlternateContent>
        <mc:AlternateContent xmlns:mc="http://schemas.openxmlformats.org/markup-compatibility/2006">
          <mc:Choice Requires="x14">
            <control shapeId="2181" name="Check Box 133" r:id="rId32">
              <controlPr defaultSize="0">
                <anchor moveWithCells="1">
                  <from>
                    <xdr:col>1</xdr:col>
                    <xdr:colOff>22860</xdr:colOff>
                    <xdr:row>15</xdr:row>
                    <xdr:rowOff>53340</xdr:rowOff>
                  </from>
                  <to>
                    <xdr:col>2</xdr:col>
                    <xdr:colOff>91440</xdr:colOff>
                    <xdr:row>15</xdr:row>
                    <xdr:rowOff>266700</xdr:rowOff>
                  </to>
                </anchor>
              </controlPr>
            </control>
          </mc:Choice>
        </mc:AlternateContent>
        <mc:AlternateContent xmlns:mc="http://schemas.openxmlformats.org/markup-compatibility/2006">
          <mc:Choice Requires="x14">
            <control shapeId="2183" name="Check Box 135" r:id="rId33">
              <controlPr defaultSize="0">
                <anchor moveWithCells="1">
                  <from>
                    <xdr:col>1</xdr:col>
                    <xdr:colOff>22860</xdr:colOff>
                    <xdr:row>16</xdr:row>
                    <xdr:rowOff>53340</xdr:rowOff>
                  </from>
                  <to>
                    <xdr:col>2</xdr:col>
                    <xdr:colOff>91440</xdr:colOff>
                    <xdr:row>16</xdr:row>
                    <xdr:rowOff>266700</xdr:rowOff>
                  </to>
                </anchor>
              </controlPr>
            </control>
          </mc:Choice>
        </mc:AlternateContent>
        <mc:AlternateContent xmlns:mc="http://schemas.openxmlformats.org/markup-compatibility/2006">
          <mc:Choice Requires="x14">
            <control shapeId="2185" name="Check Box 137" r:id="rId34">
              <controlPr defaultSize="0">
                <anchor moveWithCells="1">
                  <from>
                    <xdr:col>1</xdr:col>
                    <xdr:colOff>22860</xdr:colOff>
                    <xdr:row>17</xdr:row>
                    <xdr:rowOff>53340</xdr:rowOff>
                  </from>
                  <to>
                    <xdr:col>2</xdr:col>
                    <xdr:colOff>91440</xdr:colOff>
                    <xdr:row>17</xdr:row>
                    <xdr:rowOff>266700</xdr:rowOff>
                  </to>
                </anchor>
              </controlPr>
            </control>
          </mc:Choice>
        </mc:AlternateContent>
        <mc:AlternateContent xmlns:mc="http://schemas.openxmlformats.org/markup-compatibility/2006">
          <mc:Choice Requires="x14">
            <control shapeId="2187" name="Check Box 139" r:id="rId35">
              <controlPr defaultSize="0">
                <anchor moveWithCells="1">
                  <from>
                    <xdr:col>1</xdr:col>
                    <xdr:colOff>22860</xdr:colOff>
                    <xdr:row>18</xdr:row>
                    <xdr:rowOff>53340</xdr:rowOff>
                  </from>
                  <to>
                    <xdr:col>2</xdr:col>
                    <xdr:colOff>91440</xdr:colOff>
                    <xdr:row>18</xdr:row>
                    <xdr:rowOff>266700</xdr:rowOff>
                  </to>
                </anchor>
              </controlPr>
            </control>
          </mc:Choice>
        </mc:AlternateContent>
        <mc:AlternateContent xmlns:mc="http://schemas.openxmlformats.org/markup-compatibility/2006">
          <mc:Choice Requires="x14">
            <control shapeId="2216" name="Check Box 168" r:id="rId36">
              <controlPr defaultSize="0">
                <anchor moveWithCells="1">
                  <from>
                    <xdr:col>13</xdr:col>
                    <xdr:colOff>0</xdr:colOff>
                    <xdr:row>26</xdr:row>
                    <xdr:rowOff>60960</xdr:rowOff>
                  </from>
                  <to>
                    <xdr:col>14</xdr:col>
                    <xdr:colOff>68580</xdr:colOff>
                    <xdr:row>27</xdr:row>
                    <xdr:rowOff>175260</xdr:rowOff>
                  </to>
                </anchor>
              </controlPr>
            </control>
          </mc:Choice>
        </mc:AlternateContent>
        <mc:AlternateContent xmlns:mc="http://schemas.openxmlformats.org/markup-compatibility/2006">
          <mc:Choice Requires="x14">
            <control shapeId="2217" name="Check Box 169" r:id="rId37">
              <controlPr defaultSize="0">
                <anchor moveWithCells="1">
                  <from>
                    <xdr:col>14</xdr:col>
                    <xdr:colOff>0</xdr:colOff>
                    <xdr:row>26</xdr:row>
                    <xdr:rowOff>60960</xdr:rowOff>
                  </from>
                  <to>
                    <xdr:col>15</xdr:col>
                    <xdr:colOff>68580</xdr:colOff>
                    <xdr:row>27</xdr:row>
                    <xdr:rowOff>175260</xdr:rowOff>
                  </to>
                </anchor>
              </controlPr>
            </control>
          </mc:Choice>
        </mc:AlternateContent>
        <mc:AlternateContent xmlns:mc="http://schemas.openxmlformats.org/markup-compatibility/2006">
          <mc:Choice Requires="x14">
            <control shapeId="2218" name="Check Box 170" r:id="rId38">
              <controlPr defaultSize="0">
                <anchor moveWithCells="1">
                  <from>
                    <xdr:col>15</xdr:col>
                    <xdr:colOff>0</xdr:colOff>
                    <xdr:row>26</xdr:row>
                    <xdr:rowOff>60960</xdr:rowOff>
                  </from>
                  <to>
                    <xdr:col>16</xdr:col>
                    <xdr:colOff>68580</xdr:colOff>
                    <xdr:row>27</xdr:row>
                    <xdr:rowOff>175260</xdr:rowOff>
                  </to>
                </anchor>
              </controlPr>
            </control>
          </mc:Choice>
        </mc:AlternateContent>
        <mc:AlternateContent xmlns:mc="http://schemas.openxmlformats.org/markup-compatibility/2006">
          <mc:Choice Requires="x14">
            <control shapeId="2222" name="Check Box 174" r:id="rId39">
              <controlPr defaultSize="0">
                <anchor moveWithCells="1">
                  <from>
                    <xdr:col>18</xdr:col>
                    <xdr:colOff>0</xdr:colOff>
                    <xdr:row>26</xdr:row>
                    <xdr:rowOff>60960</xdr:rowOff>
                  </from>
                  <to>
                    <xdr:col>19</xdr:col>
                    <xdr:colOff>68580</xdr:colOff>
                    <xdr:row>27</xdr:row>
                    <xdr:rowOff>175260</xdr:rowOff>
                  </to>
                </anchor>
              </controlPr>
            </control>
          </mc:Choice>
        </mc:AlternateContent>
        <mc:AlternateContent xmlns:mc="http://schemas.openxmlformats.org/markup-compatibility/2006">
          <mc:Choice Requires="x14">
            <control shapeId="2223" name="Check Box 175" r:id="rId40">
              <controlPr defaultSize="0">
                <anchor moveWithCells="1">
                  <from>
                    <xdr:col>19</xdr:col>
                    <xdr:colOff>0</xdr:colOff>
                    <xdr:row>26</xdr:row>
                    <xdr:rowOff>60960</xdr:rowOff>
                  </from>
                  <to>
                    <xdr:col>20</xdr:col>
                    <xdr:colOff>68580</xdr:colOff>
                    <xdr:row>27</xdr:row>
                    <xdr:rowOff>175260</xdr:rowOff>
                  </to>
                </anchor>
              </controlPr>
            </control>
          </mc:Choice>
        </mc:AlternateContent>
        <mc:AlternateContent xmlns:mc="http://schemas.openxmlformats.org/markup-compatibility/2006">
          <mc:Choice Requires="x14">
            <control shapeId="2224" name="Check Box 176" r:id="rId41">
              <controlPr defaultSize="0">
                <anchor moveWithCells="1">
                  <from>
                    <xdr:col>20</xdr:col>
                    <xdr:colOff>0</xdr:colOff>
                    <xdr:row>26</xdr:row>
                    <xdr:rowOff>60960</xdr:rowOff>
                  </from>
                  <to>
                    <xdr:col>21</xdr:col>
                    <xdr:colOff>68580</xdr:colOff>
                    <xdr:row>27</xdr:row>
                    <xdr:rowOff>175260</xdr:rowOff>
                  </to>
                </anchor>
              </controlPr>
            </control>
          </mc:Choice>
        </mc:AlternateContent>
        <mc:AlternateContent xmlns:mc="http://schemas.openxmlformats.org/markup-compatibility/2006">
          <mc:Choice Requires="x14">
            <control shapeId="2269" name="Check Box 221" r:id="rId42">
              <controlPr defaultSize="0">
                <anchor moveWithCells="1">
                  <from>
                    <xdr:col>36</xdr:col>
                    <xdr:colOff>114300</xdr:colOff>
                    <xdr:row>37</xdr:row>
                    <xdr:rowOff>175260</xdr:rowOff>
                  </from>
                  <to>
                    <xdr:col>38</xdr:col>
                    <xdr:colOff>38100</xdr:colOff>
                    <xdr:row>39</xdr:row>
                    <xdr:rowOff>15240</xdr:rowOff>
                  </to>
                </anchor>
              </controlPr>
            </control>
          </mc:Choice>
        </mc:AlternateContent>
        <mc:AlternateContent xmlns:mc="http://schemas.openxmlformats.org/markup-compatibility/2006">
          <mc:Choice Requires="x14">
            <control shapeId="2272" name="Check Box 224" r:id="rId43">
              <controlPr defaultSize="0">
                <anchor moveWithCells="1">
                  <from>
                    <xdr:col>13</xdr:col>
                    <xdr:colOff>175260</xdr:colOff>
                    <xdr:row>40</xdr:row>
                    <xdr:rowOff>167640</xdr:rowOff>
                  </from>
                  <to>
                    <xdr:col>15</xdr:col>
                    <xdr:colOff>22860</xdr:colOff>
                    <xdr:row>41</xdr:row>
                    <xdr:rowOff>167640</xdr:rowOff>
                  </to>
                </anchor>
              </controlPr>
            </control>
          </mc:Choice>
        </mc:AlternateContent>
        <mc:AlternateContent xmlns:mc="http://schemas.openxmlformats.org/markup-compatibility/2006">
          <mc:Choice Requires="x14">
            <control shapeId="2273" name="Check Box 225" r:id="rId44">
              <controlPr defaultSize="0">
                <anchor moveWithCells="1">
                  <from>
                    <xdr:col>13</xdr:col>
                    <xdr:colOff>175260</xdr:colOff>
                    <xdr:row>41</xdr:row>
                    <xdr:rowOff>167640</xdr:rowOff>
                  </from>
                  <to>
                    <xdr:col>15</xdr:col>
                    <xdr:colOff>22860</xdr:colOff>
                    <xdr:row>42</xdr:row>
                    <xdr:rowOff>167640</xdr:rowOff>
                  </to>
                </anchor>
              </controlPr>
            </control>
          </mc:Choice>
        </mc:AlternateContent>
        <mc:AlternateContent xmlns:mc="http://schemas.openxmlformats.org/markup-compatibility/2006">
          <mc:Choice Requires="x14">
            <control shapeId="2274" name="Check Box 226" r:id="rId45">
              <controlPr defaultSize="0">
                <anchor moveWithCells="1">
                  <from>
                    <xdr:col>13</xdr:col>
                    <xdr:colOff>175260</xdr:colOff>
                    <xdr:row>42</xdr:row>
                    <xdr:rowOff>167640</xdr:rowOff>
                  </from>
                  <to>
                    <xdr:col>15</xdr:col>
                    <xdr:colOff>22860</xdr:colOff>
                    <xdr:row>43</xdr:row>
                    <xdr:rowOff>167640</xdr:rowOff>
                  </to>
                </anchor>
              </controlPr>
            </control>
          </mc:Choice>
        </mc:AlternateContent>
        <mc:AlternateContent xmlns:mc="http://schemas.openxmlformats.org/markup-compatibility/2006">
          <mc:Choice Requires="x14">
            <control shapeId="2275" name="Check Box 227" r:id="rId46">
              <controlPr defaultSize="0">
                <anchor moveWithCells="1">
                  <from>
                    <xdr:col>13</xdr:col>
                    <xdr:colOff>175260</xdr:colOff>
                    <xdr:row>43</xdr:row>
                    <xdr:rowOff>167640</xdr:rowOff>
                  </from>
                  <to>
                    <xdr:col>15</xdr:col>
                    <xdr:colOff>22860</xdr:colOff>
                    <xdr:row>44</xdr:row>
                    <xdr:rowOff>167640</xdr:rowOff>
                  </to>
                </anchor>
              </controlPr>
            </control>
          </mc:Choice>
        </mc:AlternateContent>
        <mc:AlternateContent xmlns:mc="http://schemas.openxmlformats.org/markup-compatibility/2006">
          <mc:Choice Requires="x14">
            <control shapeId="2276" name="Check Box 228" r:id="rId47">
              <controlPr defaultSize="0">
                <anchor moveWithCells="1">
                  <from>
                    <xdr:col>13</xdr:col>
                    <xdr:colOff>175260</xdr:colOff>
                    <xdr:row>46</xdr:row>
                    <xdr:rowOff>167640</xdr:rowOff>
                  </from>
                  <to>
                    <xdr:col>15</xdr:col>
                    <xdr:colOff>22860</xdr:colOff>
                    <xdr:row>47</xdr:row>
                    <xdr:rowOff>167640</xdr:rowOff>
                  </to>
                </anchor>
              </controlPr>
            </control>
          </mc:Choice>
        </mc:AlternateContent>
        <mc:AlternateContent xmlns:mc="http://schemas.openxmlformats.org/markup-compatibility/2006">
          <mc:Choice Requires="x14">
            <control shapeId="2277" name="Check Box 229" r:id="rId48">
              <controlPr defaultSize="0">
                <anchor moveWithCells="1">
                  <from>
                    <xdr:col>13</xdr:col>
                    <xdr:colOff>175260</xdr:colOff>
                    <xdr:row>47</xdr:row>
                    <xdr:rowOff>167640</xdr:rowOff>
                  </from>
                  <to>
                    <xdr:col>15</xdr:col>
                    <xdr:colOff>22860</xdr:colOff>
                    <xdr:row>48</xdr:row>
                    <xdr:rowOff>167640</xdr:rowOff>
                  </to>
                </anchor>
              </controlPr>
            </control>
          </mc:Choice>
        </mc:AlternateContent>
        <mc:AlternateContent xmlns:mc="http://schemas.openxmlformats.org/markup-compatibility/2006">
          <mc:Choice Requires="x14">
            <control shapeId="2278" name="Check Box 230" r:id="rId49">
              <controlPr defaultSize="0">
                <anchor moveWithCells="1">
                  <from>
                    <xdr:col>13</xdr:col>
                    <xdr:colOff>175260</xdr:colOff>
                    <xdr:row>48</xdr:row>
                    <xdr:rowOff>167640</xdr:rowOff>
                  </from>
                  <to>
                    <xdr:col>15</xdr:col>
                    <xdr:colOff>22860</xdr:colOff>
                    <xdr:row>49</xdr:row>
                    <xdr:rowOff>167640</xdr:rowOff>
                  </to>
                </anchor>
              </controlPr>
            </control>
          </mc:Choice>
        </mc:AlternateContent>
        <mc:AlternateContent xmlns:mc="http://schemas.openxmlformats.org/markup-compatibility/2006">
          <mc:Choice Requires="x14">
            <control shapeId="2279" name="Check Box 231" r:id="rId50">
              <controlPr defaultSize="0">
                <anchor moveWithCells="1">
                  <from>
                    <xdr:col>13</xdr:col>
                    <xdr:colOff>175260</xdr:colOff>
                    <xdr:row>49</xdr:row>
                    <xdr:rowOff>167640</xdr:rowOff>
                  </from>
                  <to>
                    <xdr:col>15</xdr:col>
                    <xdr:colOff>22860</xdr:colOff>
                    <xdr:row>50</xdr:row>
                    <xdr:rowOff>167640</xdr:rowOff>
                  </to>
                </anchor>
              </controlPr>
            </control>
          </mc:Choice>
        </mc:AlternateContent>
        <mc:AlternateContent xmlns:mc="http://schemas.openxmlformats.org/markup-compatibility/2006">
          <mc:Choice Requires="x14">
            <control shapeId="2280" name="Check Box 232" r:id="rId51">
              <controlPr defaultSize="0">
                <anchor moveWithCells="1">
                  <from>
                    <xdr:col>13</xdr:col>
                    <xdr:colOff>175260</xdr:colOff>
                    <xdr:row>50</xdr:row>
                    <xdr:rowOff>167640</xdr:rowOff>
                  </from>
                  <to>
                    <xdr:col>15</xdr:col>
                    <xdr:colOff>22860</xdr:colOff>
                    <xdr:row>51</xdr:row>
                    <xdr:rowOff>167640</xdr:rowOff>
                  </to>
                </anchor>
              </controlPr>
            </control>
          </mc:Choice>
        </mc:AlternateContent>
        <mc:AlternateContent xmlns:mc="http://schemas.openxmlformats.org/markup-compatibility/2006">
          <mc:Choice Requires="x14">
            <control shapeId="2281" name="Check Box 233" r:id="rId52">
              <controlPr defaultSize="0">
                <anchor moveWithCells="1">
                  <from>
                    <xdr:col>13</xdr:col>
                    <xdr:colOff>175260</xdr:colOff>
                    <xdr:row>51</xdr:row>
                    <xdr:rowOff>167640</xdr:rowOff>
                  </from>
                  <to>
                    <xdr:col>15</xdr:col>
                    <xdr:colOff>22860</xdr:colOff>
                    <xdr:row>52</xdr:row>
                    <xdr:rowOff>167640</xdr:rowOff>
                  </to>
                </anchor>
              </controlPr>
            </control>
          </mc:Choice>
        </mc:AlternateContent>
        <mc:AlternateContent xmlns:mc="http://schemas.openxmlformats.org/markup-compatibility/2006">
          <mc:Choice Requires="x14">
            <control shapeId="2282" name="Check Box 234" r:id="rId53">
              <controlPr defaultSize="0">
                <anchor moveWithCells="1">
                  <from>
                    <xdr:col>13</xdr:col>
                    <xdr:colOff>175260</xdr:colOff>
                    <xdr:row>52</xdr:row>
                    <xdr:rowOff>152400</xdr:rowOff>
                  </from>
                  <to>
                    <xdr:col>15</xdr:col>
                    <xdr:colOff>22860</xdr:colOff>
                    <xdr:row>53</xdr:row>
                    <xdr:rowOff>152400</xdr:rowOff>
                  </to>
                </anchor>
              </controlPr>
            </control>
          </mc:Choice>
        </mc:AlternateContent>
        <mc:AlternateContent xmlns:mc="http://schemas.openxmlformats.org/markup-compatibility/2006">
          <mc:Choice Requires="x14">
            <control shapeId="2283" name="Check Box 235" r:id="rId54">
              <controlPr defaultSize="0">
                <anchor moveWithCells="1">
                  <from>
                    <xdr:col>13</xdr:col>
                    <xdr:colOff>175260</xdr:colOff>
                    <xdr:row>53</xdr:row>
                    <xdr:rowOff>167640</xdr:rowOff>
                  </from>
                  <to>
                    <xdr:col>15</xdr:col>
                    <xdr:colOff>22860</xdr:colOff>
                    <xdr:row>54</xdr:row>
                    <xdr:rowOff>167640</xdr:rowOff>
                  </to>
                </anchor>
              </controlPr>
            </control>
          </mc:Choice>
        </mc:AlternateContent>
        <mc:AlternateContent xmlns:mc="http://schemas.openxmlformats.org/markup-compatibility/2006">
          <mc:Choice Requires="x14">
            <control shapeId="2289" name="Spinner 241" r:id="rId55">
              <controlPr defaultSize="0">
                <anchor moveWithCells="1">
                  <from>
                    <xdr:col>16</xdr:col>
                    <xdr:colOff>0</xdr:colOff>
                    <xdr:row>33</xdr:row>
                    <xdr:rowOff>0</xdr:rowOff>
                  </from>
                  <to>
                    <xdr:col>17</xdr:col>
                    <xdr:colOff>38100</xdr:colOff>
                    <xdr:row>34</xdr:row>
                    <xdr:rowOff>91440</xdr:rowOff>
                  </to>
                </anchor>
              </controlPr>
            </control>
          </mc:Choice>
        </mc:AlternateContent>
        <mc:AlternateContent xmlns:mc="http://schemas.openxmlformats.org/markup-compatibility/2006">
          <mc:Choice Requires="x14">
            <control shapeId="2290" name="Spinner 242" r:id="rId56">
              <controlPr defaultSize="0">
                <anchor moveWithCells="1">
                  <from>
                    <xdr:col>25</xdr:col>
                    <xdr:colOff>0</xdr:colOff>
                    <xdr:row>33</xdr:row>
                    <xdr:rowOff>0</xdr:rowOff>
                  </from>
                  <to>
                    <xdr:col>26</xdr:col>
                    <xdr:colOff>38100</xdr:colOff>
                    <xdr:row>34</xdr:row>
                    <xdr:rowOff>91440</xdr:rowOff>
                  </to>
                </anchor>
              </controlPr>
            </control>
          </mc:Choice>
        </mc:AlternateContent>
        <mc:AlternateContent xmlns:mc="http://schemas.openxmlformats.org/markup-compatibility/2006">
          <mc:Choice Requires="x14">
            <control shapeId="2295" name="Check Box 247" r:id="rId57">
              <controlPr defaultSize="0">
                <anchor moveWithCells="1">
                  <from>
                    <xdr:col>48</xdr:col>
                    <xdr:colOff>22860</xdr:colOff>
                    <xdr:row>67</xdr:row>
                    <xdr:rowOff>213360</xdr:rowOff>
                  </from>
                  <to>
                    <xdr:col>49</xdr:col>
                    <xdr:colOff>91440</xdr:colOff>
                    <xdr:row>69</xdr:row>
                    <xdr:rowOff>0</xdr:rowOff>
                  </to>
                </anchor>
              </controlPr>
            </control>
          </mc:Choice>
        </mc:AlternateContent>
        <mc:AlternateContent xmlns:mc="http://schemas.openxmlformats.org/markup-compatibility/2006">
          <mc:Choice Requires="x14">
            <control shapeId="2299" name="Check Box 251" r:id="rId58">
              <controlPr defaultSize="0">
                <anchor moveWithCells="1">
                  <from>
                    <xdr:col>48</xdr:col>
                    <xdr:colOff>22860</xdr:colOff>
                    <xdr:row>68</xdr:row>
                    <xdr:rowOff>213360</xdr:rowOff>
                  </from>
                  <to>
                    <xdr:col>49</xdr:col>
                    <xdr:colOff>91440</xdr:colOff>
                    <xdr:row>70</xdr:row>
                    <xdr:rowOff>0</xdr:rowOff>
                  </to>
                </anchor>
              </controlPr>
            </control>
          </mc:Choice>
        </mc:AlternateContent>
        <mc:AlternateContent xmlns:mc="http://schemas.openxmlformats.org/markup-compatibility/2006">
          <mc:Choice Requires="x14">
            <control shapeId="2302" name="Check Box 254" r:id="rId59">
              <controlPr defaultSize="0">
                <anchor moveWithCells="1">
                  <from>
                    <xdr:col>48</xdr:col>
                    <xdr:colOff>22860</xdr:colOff>
                    <xdr:row>69</xdr:row>
                    <xdr:rowOff>213360</xdr:rowOff>
                  </from>
                  <to>
                    <xdr:col>49</xdr:col>
                    <xdr:colOff>91440</xdr:colOff>
                    <xdr:row>71</xdr:row>
                    <xdr:rowOff>0</xdr:rowOff>
                  </to>
                </anchor>
              </controlPr>
            </control>
          </mc:Choice>
        </mc:AlternateContent>
        <mc:AlternateContent xmlns:mc="http://schemas.openxmlformats.org/markup-compatibility/2006">
          <mc:Choice Requires="x14">
            <control shapeId="2303" name="Check Box 255" r:id="rId60">
              <controlPr defaultSize="0">
                <anchor moveWithCells="1">
                  <from>
                    <xdr:col>48</xdr:col>
                    <xdr:colOff>22860</xdr:colOff>
                    <xdr:row>70</xdr:row>
                    <xdr:rowOff>213360</xdr:rowOff>
                  </from>
                  <to>
                    <xdr:col>49</xdr:col>
                    <xdr:colOff>91440</xdr:colOff>
                    <xdr:row>72</xdr:row>
                    <xdr:rowOff>0</xdr:rowOff>
                  </to>
                </anchor>
              </controlPr>
            </control>
          </mc:Choice>
        </mc:AlternateContent>
        <mc:AlternateContent xmlns:mc="http://schemas.openxmlformats.org/markup-compatibility/2006">
          <mc:Choice Requires="x14">
            <control shapeId="2304" name="Check Box 256" r:id="rId61">
              <controlPr defaultSize="0">
                <anchor moveWithCells="1">
                  <from>
                    <xdr:col>48</xdr:col>
                    <xdr:colOff>22860</xdr:colOff>
                    <xdr:row>71</xdr:row>
                    <xdr:rowOff>213360</xdr:rowOff>
                  </from>
                  <to>
                    <xdr:col>49</xdr:col>
                    <xdr:colOff>91440</xdr:colOff>
                    <xdr:row>73</xdr:row>
                    <xdr:rowOff>0</xdr:rowOff>
                  </to>
                </anchor>
              </controlPr>
            </control>
          </mc:Choice>
        </mc:AlternateContent>
        <mc:AlternateContent xmlns:mc="http://schemas.openxmlformats.org/markup-compatibility/2006">
          <mc:Choice Requires="x14">
            <control shapeId="2305" name="Check Box 257" r:id="rId62">
              <controlPr defaultSize="0">
                <anchor moveWithCells="1">
                  <from>
                    <xdr:col>48</xdr:col>
                    <xdr:colOff>22860</xdr:colOff>
                    <xdr:row>72</xdr:row>
                    <xdr:rowOff>213360</xdr:rowOff>
                  </from>
                  <to>
                    <xdr:col>49</xdr:col>
                    <xdr:colOff>91440</xdr:colOff>
                    <xdr:row>74</xdr:row>
                    <xdr:rowOff>0</xdr:rowOff>
                  </to>
                </anchor>
              </controlPr>
            </control>
          </mc:Choice>
        </mc:AlternateContent>
        <mc:AlternateContent xmlns:mc="http://schemas.openxmlformats.org/markup-compatibility/2006">
          <mc:Choice Requires="x14">
            <control shapeId="2306" name="Check Box 258" r:id="rId63">
              <controlPr defaultSize="0">
                <anchor moveWithCells="1">
                  <from>
                    <xdr:col>14</xdr:col>
                    <xdr:colOff>0</xdr:colOff>
                    <xdr:row>39</xdr:row>
                    <xdr:rowOff>167640</xdr:rowOff>
                  </from>
                  <to>
                    <xdr:col>15</xdr:col>
                    <xdr:colOff>30480</xdr:colOff>
                    <xdr:row>40</xdr:row>
                    <xdr:rowOff>167640</xdr:rowOff>
                  </to>
                </anchor>
              </controlPr>
            </control>
          </mc:Choice>
        </mc:AlternateContent>
        <mc:AlternateContent xmlns:mc="http://schemas.openxmlformats.org/markup-compatibility/2006">
          <mc:Choice Requires="x14">
            <control shapeId="2307" name="Check Box 259" r:id="rId64">
              <controlPr defaultSize="0">
                <anchor moveWithCells="1">
                  <from>
                    <xdr:col>14</xdr:col>
                    <xdr:colOff>0</xdr:colOff>
                    <xdr:row>37</xdr:row>
                    <xdr:rowOff>167640</xdr:rowOff>
                  </from>
                  <to>
                    <xdr:col>15</xdr:col>
                    <xdr:colOff>30480</xdr:colOff>
                    <xdr:row>38</xdr:row>
                    <xdr:rowOff>167640</xdr:rowOff>
                  </to>
                </anchor>
              </controlPr>
            </control>
          </mc:Choice>
        </mc:AlternateContent>
        <mc:AlternateContent xmlns:mc="http://schemas.openxmlformats.org/markup-compatibility/2006">
          <mc:Choice Requires="x14">
            <control shapeId="2308" name="Check Box 260" r:id="rId65">
              <controlPr defaultSize="0">
                <anchor moveWithCells="1">
                  <from>
                    <xdr:col>14</xdr:col>
                    <xdr:colOff>0</xdr:colOff>
                    <xdr:row>45</xdr:row>
                    <xdr:rowOff>167640</xdr:rowOff>
                  </from>
                  <to>
                    <xdr:col>15</xdr:col>
                    <xdr:colOff>30480</xdr:colOff>
                    <xdr:row>46</xdr:row>
                    <xdr:rowOff>167640</xdr:rowOff>
                  </to>
                </anchor>
              </controlPr>
            </control>
          </mc:Choice>
        </mc:AlternateContent>
        <mc:AlternateContent xmlns:mc="http://schemas.openxmlformats.org/markup-compatibility/2006">
          <mc:Choice Requires="x14">
            <control shapeId="2309" name="Check Box 261" r:id="rId66">
              <controlPr defaultSize="0">
                <anchor moveWithCells="1">
                  <from>
                    <xdr:col>43</xdr:col>
                    <xdr:colOff>129540</xdr:colOff>
                    <xdr:row>39</xdr:row>
                    <xdr:rowOff>15240</xdr:rowOff>
                  </from>
                  <to>
                    <xdr:col>46</xdr:col>
                    <xdr:colOff>38100</xdr:colOff>
                    <xdr:row>40</xdr:row>
                    <xdr:rowOff>22860</xdr:rowOff>
                  </to>
                </anchor>
              </controlPr>
            </control>
          </mc:Choice>
        </mc:AlternateContent>
        <mc:AlternateContent xmlns:mc="http://schemas.openxmlformats.org/markup-compatibility/2006">
          <mc:Choice Requires="x14">
            <control shapeId="2521" name="Check Box 473" r:id="rId67">
              <controlPr defaultSize="0">
                <anchor moveWithCells="1">
                  <from>
                    <xdr:col>27</xdr:col>
                    <xdr:colOff>121920</xdr:colOff>
                    <xdr:row>41</xdr:row>
                    <xdr:rowOff>0</xdr:rowOff>
                  </from>
                  <to>
                    <xdr:col>29</xdr:col>
                    <xdr:colOff>30480</xdr:colOff>
                    <xdr:row>42</xdr:row>
                    <xdr:rowOff>0</xdr:rowOff>
                  </to>
                </anchor>
              </controlPr>
            </control>
          </mc:Choice>
        </mc:AlternateContent>
        <mc:AlternateContent xmlns:mc="http://schemas.openxmlformats.org/markup-compatibility/2006">
          <mc:Choice Requires="x14">
            <control shapeId="2522" name="Check Box 474" r:id="rId68">
              <controlPr defaultSize="0">
                <anchor moveWithCells="1">
                  <from>
                    <xdr:col>27</xdr:col>
                    <xdr:colOff>121920</xdr:colOff>
                    <xdr:row>42</xdr:row>
                    <xdr:rowOff>0</xdr:rowOff>
                  </from>
                  <to>
                    <xdr:col>29</xdr:col>
                    <xdr:colOff>30480</xdr:colOff>
                    <xdr:row>43</xdr:row>
                    <xdr:rowOff>0</xdr:rowOff>
                  </to>
                </anchor>
              </controlPr>
            </control>
          </mc:Choice>
        </mc:AlternateContent>
        <mc:AlternateContent xmlns:mc="http://schemas.openxmlformats.org/markup-compatibility/2006">
          <mc:Choice Requires="x14">
            <control shapeId="2523" name="Check Box 475" r:id="rId69">
              <controlPr defaultSize="0">
                <anchor moveWithCells="1">
                  <from>
                    <xdr:col>27</xdr:col>
                    <xdr:colOff>121920</xdr:colOff>
                    <xdr:row>43</xdr:row>
                    <xdr:rowOff>0</xdr:rowOff>
                  </from>
                  <to>
                    <xdr:col>29</xdr:col>
                    <xdr:colOff>30480</xdr:colOff>
                    <xdr:row>44</xdr:row>
                    <xdr:rowOff>0</xdr:rowOff>
                  </to>
                </anchor>
              </controlPr>
            </control>
          </mc:Choice>
        </mc:AlternateContent>
        <mc:AlternateContent xmlns:mc="http://schemas.openxmlformats.org/markup-compatibility/2006">
          <mc:Choice Requires="x14">
            <control shapeId="2524" name="Check Box 476" r:id="rId70">
              <controlPr defaultSize="0">
                <anchor moveWithCells="1">
                  <from>
                    <xdr:col>27</xdr:col>
                    <xdr:colOff>121920</xdr:colOff>
                    <xdr:row>44</xdr:row>
                    <xdr:rowOff>0</xdr:rowOff>
                  </from>
                  <to>
                    <xdr:col>29</xdr:col>
                    <xdr:colOff>30480</xdr:colOff>
                    <xdr:row>45</xdr:row>
                    <xdr:rowOff>0</xdr:rowOff>
                  </to>
                </anchor>
              </controlPr>
            </control>
          </mc:Choice>
        </mc:AlternateContent>
        <mc:AlternateContent xmlns:mc="http://schemas.openxmlformats.org/markup-compatibility/2006">
          <mc:Choice Requires="x14">
            <control shapeId="2569" name="Spinner 521" r:id="rId71">
              <controlPr defaultSize="0">
                <anchor moveWithCells="1">
                  <from>
                    <xdr:col>45</xdr:col>
                    <xdr:colOff>0</xdr:colOff>
                    <xdr:row>58</xdr:row>
                    <xdr:rowOff>0</xdr:rowOff>
                  </from>
                  <to>
                    <xdr:col>46</xdr:col>
                    <xdr:colOff>0</xdr:colOff>
                    <xdr:row>58</xdr:row>
                    <xdr:rowOff>205740</xdr:rowOff>
                  </to>
                </anchor>
              </controlPr>
            </control>
          </mc:Choice>
        </mc:AlternateContent>
        <mc:AlternateContent xmlns:mc="http://schemas.openxmlformats.org/markup-compatibility/2006">
          <mc:Choice Requires="x14">
            <control shapeId="2570" name="Spinner 522" r:id="rId72">
              <controlPr defaultSize="0">
                <anchor moveWithCells="1">
                  <from>
                    <xdr:col>45</xdr:col>
                    <xdr:colOff>0</xdr:colOff>
                    <xdr:row>59</xdr:row>
                    <xdr:rowOff>0</xdr:rowOff>
                  </from>
                  <to>
                    <xdr:col>46</xdr:col>
                    <xdr:colOff>0</xdr:colOff>
                    <xdr:row>59</xdr:row>
                    <xdr:rowOff>205740</xdr:rowOff>
                  </to>
                </anchor>
              </controlPr>
            </control>
          </mc:Choice>
        </mc:AlternateContent>
        <mc:AlternateContent xmlns:mc="http://schemas.openxmlformats.org/markup-compatibility/2006">
          <mc:Choice Requires="x14">
            <control shapeId="2571" name="Spinner 523" r:id="rId73">
              <controlPr defaultSize="0">
                <anchor moveWithCells="1">
                  <from>
                    <xdr:col>45</xdr:col>
                    <xdr:colOff>0</xdr:colOff>
                    <xdr:row>57</xdr:row>
                    <xdr:rowOff>0</xdr:rowOff>
                  </from>
                  <to>
                    <xdr:col>46</xdr:col>
                    <xdr:colOff>0</xdr:colOff>
                    <xdr:row>57</xdr:row>
                    <xdr:rowOff>205740</xdr:rowOff>
                  </to>
                </anchor>
              </controlPr>
            </control>
          </mc:Choice>
        </mc:AlternateContent>
        <mc:AlternateContent xmlns:mc="http://schemas.openxmlformats.org/markup-compatibility/2006">
          <mc:Choice Requires="x14">
            <control shapeId="2572" name="Spinner 524" r:id="rId74">
              <controlPr defaultSize="0">
                <anchor moveWithCells="1">
                  <from>
                    <xdr:col>45</xdr:col>
                    <xdr:colOff>0</xdr:colOff>
                    <xdr:row>56</xdr:row>
                    <xdr:rowOff>0</xdr:rowOff>
                  </from>
                  <to>
                    <xdr:col>46</xdr:col>
                    <xdr:colOff>0</xdr:colOff>
                    <xdr:row>56</xdr:row>
                    <xdr:rowOff>205740</xdr:rowOff>
                  </to>
                </anchor>
              </controlPr>
            </control>
          </mc:Choice>
        </mc:AlternateContent>
        <mc:AlternateContent xmlns:mc="http://schemas.openxmlformats.org/markup-compatibility/2006">
          <mc:Choice Requires="x14">
            <control shapeId="2573" name="Spinner 525" r:id="rId75">
              <controlPr defaultSize="0">
                <anchor moveWithCells="1">
                  <from>
                    <xdr:col>45</xdr:col>
                    <xdr:colOff>0</xdr:colOff>
                    <xdr:row>55</xdr:row>
                    <xdr:rowOff>0</xdr:rowOff>
                  </from>
                  <to>
                    <xdr:col>46</xdr:col>
                    <xdr:colOff>0</xdr:colOff>
                    <xdr:row>55</xdr:row>
                    <xdr:rowOff>205740</xdr:rowOff>
                  </to>
                </anchor>
              </controlPr>
            </control>
          </mc:Choice>
        </mc:AlternateContent>
        <mc:AlternateContent xmlns:mc="http://schemas.openxmlformats.org/markup-compatibility/2006">
          <mc:Choice Requires="x14">
            <control shapeId="2574" name="Spinner 526" r:id="rId76">
              <controlPr defaultSize="0">
                <anchor moveWithCells="1">
                  <from>
                    <xdr:col>45</xdr:col>
                    <xdr:colOff>0</xdr:colOff>
                    <xdr:row>54</xdr:row>
                    <xdr:rowOff>0</xdr:rowOff>
                  </from>
                  <to>
                    <xdr:col>46</xdr:col>
                    <xdr:colOff>0</xdr:colOff>
                    <xdr:row>54</xdr:row>
                    <xdr:rowOff>205740</xdr:rowOff>
                  </to>
                </anchor>
              </controlPr>
            </control>
          </mc:Choice>
        </mc:AlternateContent>
        <mc:AlternateContent xmlns:mc="http://schemas.openxmlformats.org/markup-compatibility/2006">
          <mc:Choice Requires="x14">
            <control shapeId="2575" name="Spinner 527" r:id="rId77">
              <controlPr defaultSize="0">
                <anchor moveWithCells="1">
                  <from>
                    <xdr:col>45</xdr:col>
                    <xdr:colOff>0</xdr:colOff>
                    <xdr:row>53</xdr:row>
                    <xdr:rowOff>0</xdr:rowOff>
                  </from>
                  <to>
                    <xdr:col>46</xdr:col>
                    <xdr:colOff>0</xdr:colOff>
                    <xdr:row>53</xdr:row>
                    <xdr:rowOff>205740</xdr:rowOff>
                  </to>
                </anchor>
              </controlPr>
            </control>
          </mc:Choice>
        </mc:AlternateContent>
        <mc:AlternateContent xmlns:mc="http://schemas.openxmlformats.org/markup-compatibility/2006">
          <mc:Choice Requires="x14">
            <control shapeId="2576" name="Spinner 528" r:id="rId78">
              <controlPr defaultSize="0">
                <anchor moveWithCells="1">
                  <from>
                    <xdr:col>45</xdr:col>
                    <xdr:colOff>0</xdr:colOff>
                    <xdr:row>52</xdr:row>
                    <xdr:rowOff>0</xdr:rowOff>
                  </from>
                  <to>
                    <xdr:col>46</xdr:col>
                    <xdr:colOff>0</xdr:colOff>
                    <xdr:row>52</xdr:row>
                    <xdr:rowOff>205740</xdr:rowOff>
                  </to>
                </anchor>
              </controlPr>
            </control>
          </mc:Choice>
        </mc:AlternateContent>
        <mc:AlternateContent xmlns:mc="http://schemas.openxmlformats.org/markup-compatibility/2006">
          <mc:Choice Requires="x14">
            <control shapeId="2577" name="Spinner 529" r:id="rId79">
              <controlPr defaultSize="0">
                <anchor moveWithCells="1">
                  <from>
                    <xdr:col>45</xdr:col>
                    <xdr:colOff>0</xdr:colOff>
                    <xdr:row>51</xdr:row>
                    <xdr:rowOff>0</xdr:rowOff>
                  </from>
                  <to>
                    <xdr:col>46</xdr:col>
                    <xdr:colOff>0</xdr:colOff>
                    <xdr:row>51</xdr:row>
                    <xdr:rowOff>205740</xdr:rowOff>
                  </to>
                </anchor>
              </controlPr>
            </control>
          </mc:Choice>
        </mc:AlternateContent>
        <mc:AlternateContent xmlns:mc="http://schemas.openxmlformats.org/markup-compatibility/2006">
          <mc:Choice Requires="x14">
            <control shapeId="2578" name="Spinner 530" r:id="rId80">
              <controlPr defaultSize="0">
                <anchor moveWithCells="1">
                  <from>
                    <xdr:col>45</xdr:col>
                    <xdr:colOff>0</xdr:colOff>
                    <xdr:row>52</xdr:row>
                    <xdr:rowOff>0</xdr:rowOff>
                  </from>
                  <to>
                    <xdr:col>46</xdr:col>
                    <xdr:colOff>0</xdr:colOff>
                    <xdr:row>52</xdr:row>
                    <xdr:rowOff>205740</xdr:rowOff>
                  </to>
                </anchor>
              </controlPr>
            </control>
          </mc:Choice>
        </mc:AlternateContent>
        <mc:AlternateContent xmlns:mc="http://schemas.openxmlformats.org/markup-compatibility/2006">
          <mc:Choice Requires="x14">
            <control shapeId="2589" name="Check Box 541" r:id="rId81">
              <controlPr defaultSize="0">
                <anchor moveWithCells="1">
                  <from>
                    <xdr:col>27</xdr:col>
                    <xdr:colOff>121920</xdr:colOff>
                    <xdr:row>40</xdr:row>
                    <xdr:rowOff>0</xdr:rowOff>
                  </from>
                  <to>
                    <xdr:col>29</xdr:col>
                    <xdr:colOff>30480</xdr:colOff>
                    <xdr:row>41</xdr:row>
                    <xdr:rowOff>0</xdr:rowOff>
                  </to>
                </anchor>
              </controlPr>
            </control>
          </mc:Choice>
        </mc:AlternateContent>
        <mc:AlternateContent xmlns:mc="http://schemas.openxmlformats.org/markup-compatibility/2006">
          <mc:Choice Requires="x14">
            <control shapeId="2677" name="Check Box 629" r:id="rId82">
              <controlPr defaultSize="0">
                <anchor moveWithCells="1">
                  <from>
                    <xdr:col>14</xdr:col>
                    <xdr:colOff>0</xdr:colOff>
                    <xdr:row>37</xdr:row>
                    <xdr:rowOff>167640</xdr:rowOff>
                  </from>
                  <to>
                    <xdr:col>15</xdr:col>
                    <xdr:colOff>30480</xdr:colOff>
                    <xdr:row>38</xdr:row>
                    <xdr:rowOff>167640</xdr:rowOff>
                  </to>
                </anchor>
              </controlPr>
            </control>
          </mc:Choice>
        </mc:AlternateContent>
        <mc:AlternateContent xmlns:mc="http://schemas.openxmlformats.org/markup-compatibility/2006">
          <mc:Choice Requires="x14">
            <control shapeId="2686" name="Check Box 638" r:id="rId83">
              <controlPr defaultSize="0">
                <anchor moveWithCells="1">
                  <from>
                    <xdr:col>31</xdr:col>
                    <xdr:colOff>137160</xdr:colOff>
                    <xdr:row>38</xdr:row>
                    <xdr:rowOff>22860</xdr:rowOff>
                  </from>
                  <to>
                    <xdr:col>34</xdr:col>
                    <xdr:colOff>38100</xdr:colOff>
                    <xdr:row>39</xdr:row>
                    <xdr:rowOff>30480</xdr:rowOff>
                  </to>
                </anchor>
              </controlPr>
            </control>
          </mc:Choice>
        </mc:AlternateContent>
        <mc:AlternateContent xmlns:mc="http://schemas.openxmlformats.org/markup-compatibility/2006">
          <mc:Choice Requires="x14">
            <control shapeId="2687" name="Check Box 639" r:id="rId84">
              <controlPr defaultSize="0">
                <anchor moveWithCells="1">
                  <from>
                    <xdr:col>31</xdr:col>
                    <xdr:colOff>137160</xdr:colOff>
                    <xdr:row>37</xdr:row>
                    <xdr:rowOff>22860</xdr:rowOff>
                  </from>
                  <to>
                    <xdr:col>34</xdr:col>
                    <xdr:colOff>38100</xdr:colOff>
                    <xdr:row>38</xdr:row>
                    <xdr:rowOff>30480</xdr:rowOff>
                  </to>
                </anchor>
              </controlPr>
            </control>
          </mc:Choice>
        </mc:AlternateContent>
        <mc:AlternateContent xmlns:mc="http://schemas.openxmlformats.org/markup-compatibility/2006">
          <mc:Choice Requires="x14">
            <control shapeId="2692" name="Check Box 644" r:id="rId85">
              <controlPr defaultSize="0">
                <anchor moveWithCells="1">
                  <from>
                    <xdr:col>2</xdr:col>
                    <xdr:colOff>106680</xdr:colOff>
                    <xdr:row>26</xdr:row>
                    <xdr:rowOff>68580</xdr:rowOff>
                  </from>
                  <to>
                    <xdr:col>4</xdr:col>
                    <xdr:colOff>15240</xdr:colOff>
                    <xdr:row>27</xdr:row>
                    <xdr:rowOff>182880</xdr:rowOff>
                  </to>
                </anchor>
              </controlPr>
            </control>
          </mc:Choice>
        </mc:AlternateContent>
        <mc:AlternateContent xmlns:mc="http://schemas.openxmlformats.org/markup-compatibility/2006">
          <mc:Choice Requires="x14">
            <control shapeId="2728" name="Check Box 680" r:id="rId86">
              <controlPr defaultSize="0">
                <anchor moveWithCells="1">
                  <from>
                    <xdr:col>56</xdr:col>
                    <xdr:colOff>0</xdr:colOff>
                    <xdr:row>112</xdr:row>
                    <xdr:rowOff>205740</xdr:rowOff>
                  </from>
                  <to>
                    <xdr:col>57</xdr:col>
                    <xdr:colOff>68580</xdr:colOff>
                    <xdr:row>113</xdr:row>
                    <xdr:rowOff>205740</xdr:rowOff>
                  </to>
                </anchor>
              </controlPr>
            </control>
          </mc:Choice>
        </mc:AlternateContent>
        <mc:AlternateContent xmlns:mc="http://schemas.openxmlformats.org/markup-compatibility/2006">
          <mc:Choice Requires="x14">
            <control shapeId="2729" name="Check Box 681" r:id="rId87">
              <controlPr defaultSize="0">
                <anchor moveWithCells="1">
                  <from>
                    <xdr:col>59</xdr:col>
                    <xdr:colOff>0</xdr:colOff>
                    <xdr:row>112</xdr:row>
                    <xdr:rowOff>205740</xdr:rowOff>
                  </from>
                  <to>
                    <xdr:col>60</xdr:col>
                    <xdr:colOff>68580</xdr:colOff>
                    <xdr:row>113</xdr:row>
                    <xdr:rowOff>205740</xdr:rowOff>
                  </to>
                </anchor>
              </controlPr>
            </control>
          </mc:Choice>
        </mc:AlternateContent>
        <mc:AlternateContent xmlns:mc="http://schemas.openxmlformats.org/markup-compatibility/2006">
          <mc:Choice Requires="x14">
            <control shapeId="2730" name="Check Box 682" r:id="rId88">
              <controlPr defaultSize="0">
                <anchor moveWithCells="1">
                  <from>
                    <xdr:col>62</xdr:col>
                    <xdr:colOff>0</xdr:colOff>
                    <xdr:row>112</xdr:row>
                    <xdr:rowOff>205740</xdr:rowOff>
                  </from>
                  <to>
                    <xdr:col>63</xdr:col>
                    <xdr:colOff>68580</xdr:colOff>
                    <xdr:row>113</xdr:row>
                    <xdr:rowOff>205740</xdr:rowOff>
                  </to>
                </anchor>
              </controlPr>
            </control>
          </mc:Choice>
        </mc:AlternateContent>
        <mc:AlternateContent xmlns:mc="http://schemas.openxmlformats.org/markup-compatibility/2006">
          <mc:Choice Requires="x14">
            <control shapeId="2731" name="Check Box 683" r:id="rId89">
              <controlPr defaultSize="0">
                <anchor moveWithCells="1">
                  <from>
                    <xdr:col>65</xdr:col>
                    <xdr:colOff>0</xdr:colOff>
                    <xdr:row>112</xdr:row>
                    <xdr:rowOff>205740</xdr:rowOff>
                  </from>
                  <to>
                    <xdr:col>66</xdr:col>
                    <xdr:colOff>68580</xdr:colOff>
                    <xdr:row>113</xdr:row>
                    <xdr:rowOff>205740</xdr:rowOff>
                  </to>
                </anchor>
              </controlPr>
            </control>
          </mc:Choice>
        </mc:AlternateContent>
        <mc:AlternateContent xmlns:mc="http://schemas.openxmlformats.org/markup-compatibility/2006">
          <mc:Choice Requires="x14">
            <control shapeId="2732" name="Check Box 684" r:id="rId90">
              <controlPr defaultSize="0">
                <anchor moveWithCells="1">
                  <from>
                    <xdr:col>53</xdr:col>
                    <xdr:colOff>0</xdr:colOff>
                    <xdr:row>112</xdr:row>
                    <xdr:rowOff>205740</xdr:rowOff>
                  </from>
                  <to>
                    <xdr:col>54</xdr:col>
                    <xdr:colOff>68580</xdr:colOff>
                    <xdr:row>113</xdr:row>
                    <xdr:rowOff>205740</xdr:rowOff>
                  </to>
                </anchor>
              </controlPr>
            </control>
          </mc:Choice>
        </mc:AlternateContent>
        <mc:AlternateContent xmlns:mc="http://schemas.openxmlformats.org/markup-compatibility/2006">
          <mc:Choice Requires="x14">
            <control shapeId="2733" name="Check Box 685" r:id="rId91">
              <controlPr defaultSize="0">
                <anchor moveWithCells="1">
                  <from>
                    <xdr:col>50</xdr:col>
                    <xdr:colOff>0</xdr:colOff>
                    <xdr:row>112</xdr:row>
                    <xdr:rowOff>205740</xdr:rowOff>
                  </from>
                  <to>
                    <xdr:col>51</xdr:col>
                    <xdr:colOff>68580</xdr:colOff>
                    <xdr:row>113</xdr:row>
                    <xdr:rowOff>205740</xdr:rowOff>
                  </to>
                </anchor>
              </controlPr>
            </control>
          </mc:Choice>
        </mc:AlternateContent>
        <mc:AlternateContent xmlns:mc="http://schemas.openxmlformats.org/markup-compatibility/2006">
          <mc:Choice Requires="x14">
            <control shapeId="2734" name="Check Box 686" r:id="rId92">
              <controlPr defaultSize="0">
                <anchor moveWithCells="1">
                  <from>
                    <xdr:col>47</xdr:col>
                    <xdr:colOff>0</xdr:colOff>
                    <xdr:row>112</xdr:row>
                    <xdr:rowOff>205740</xdr:rowOff>
                  </from>
                  <to>
                    <xdr:col>48</xdr:col>
                    <xdr:colOff>68580</xdr:colOff>
                    <xdr:row>113</xdr:row>
                    <xdr:rowOff>205740</xdr:rowOff>
                  </to>
                </anchor>
              </controlPr>
            </control>
          </mc:Choice>
        </mc:AlternateContent>
        <mc:AlternateContent xmlns:mc="http://schemas.openxmlformats.org/markup-compatibility/2006">
          <mc:Choice Requires="x14">
            <control shapeId="2735" name="Check Box 687" r:id="rId93">
              <controlPr defaultSize="0">
                <anchor moveWithCells="1">
                  <from>
                    <xdr:col>47</xdr:col>
                    <xdr:colOff>0</xdr:colOff>
                    <xdr:row>113</xdr:row>
                    <xdr:rowOff>205740</xdr:rowOff>
                  </from>
                  <to>
                    <xdr:col>48</xdr:col>
                    <xdr:colOff>68580</xdr:colOff>
                    <xdr:row>114</xdr:row>
                    <xdr:rowOff>205740</xdr:rowOff>
                  </to>
                </anchor>
              </controlPr>
            </control>
          </mc:Choice>
        </mc:AlternateContent>
        <mc:AlternateContent xmlns:mc="http://schemas.openxmlformats.org/markup-compatibility/2006">
          <mc:Choice Requires="x14">
            <control shapeId="2736" name="Check Box 688" r:id="rId94">
              <controlPr defaultSize="0">
                <anchor moveWithCells="1">
                  <from>
                    <xdr:col>50</xdr:col>
                    <xdr:colOff>0</xdr:colOff>
                    <xdr:row>113</xdr:row>
                    <xdr:rowOff>205740</xdr:rowOff>
                  </from>
                  <to>
                    <xdr:col>51</xdr:col>
                    <xdr:colOff>68580</xdr:colOff>
                    <xdr:row>114</xdr:row>
                    <xdr:rowOff>205740</xdr:rowOff>
                  </to>
                </anchor>
              </controlPr>
            </control>
          </mc:Choice>
        </mc:AlternateContent>
        <mc:AlternateContent xmlns:mc="http://schemas.openxmlformats.org/markup-compatibility/2006">
          <mc:Choice Requires="x14">
            <control shapeId="2737" name="Check Box 689" r:id="rId95">
              <controlPr defaultSize="0">
                <anchor moveWithCells="1">
                  <from>
                    <xdr:col>53</xdr:col>
                    <xdr:colOff>0</xdr:colOff>
                    <xdr:row>113</xdr:row>
                    <xdr:rowOff>205740</xdr:rowOff>
                  </from>
                  <to>
                    <xdr:col>54</xdr:col>
                    <xdr:colOff>68580</xdr:colOff>
                    <xdr:row>114</xdr:row>
                    <xdr:rowOff>205740</xdr:rowOff>
                  </to>
                </anchor>
              </controlPr>
            </control>
          </mc:Choice>
        </mc:AlternateContent>
        <mc:AlternateContent xmlns:mc="http://schemas.openxmlformats.org/markup-compatibility/2006">
          <mc:Choice Requires="x14">
            <control shapeId="2738" name="Check Box 690" r:id="rId96">
              <controlPr defaultSize="0">
                <anchor moveWithCells="1">
                  <from>
                    <xdr:col>56</xdr:col>
                    <xdr:colOff>0</xdr:colOff>
                    <xdr:row>113</xdr:row>
                    <xdr:rowOff>205740</xdr:rowOff>
                  </from>
                  <to>
                    <xdr:col>57</xdr:col>
                    <xdr:colOff>68580</xdr:colOff>
                    <xdr:row>114</xdr:row>
                    <xdr:rowOff>205740</xdr:rowOff>
                  </to>
                </anchor>
              </controlPr>
            </control>
          </mc:Choice>
        </mc:AlternateContent>
        <mc:AlternateContent xmlns:mc="http://schemas.openxmlformats.org/markup-compatibility/2006">
          <mc:Choice Requires="x14">
            <control shapeId="2739" name="Check Box 691" r:id="rId97">
              <controlPr defaultSize="0">
                <anchor moveWithCells="1">
                  <from>
                    <xdr:col>59</xdr:col>
                    <xdr:colOff>0</xdr:colOff>
                    <xdr:row>113</xdr:row>
                    <xdr:rowOff>205740</xdr:rowOff>
                  </from>
                  <to>
                    <xdr:col>60</xdr:col>
                    <xdr:colOff>68580</xdr:colOff>
                    <xdr:row>114</xdr:row>
                    <xdr:rowOff>205740</xdr:rowOff>
                  </to>
                </anchor>
              </controlPr>
            </control>
          </mc:Choice>
        </mc:AlternateContent>
        <mc:AlternateContent xmlns:mc="http://schemas.openxmlformats.org/markup-compatibility/2006">
          <mc:Choice Requires="x14">
            <control shapeId="2740" name="Check Box 692" r:id="rId98">
              <controlPr defaultSize="0">
                <anchor moveWithCells="1">
                  <from>
                    <xdr:col>62</xdr:col>
                    <xdr:colOff>0</xdr:colOff>
                    <xdr:row>113</xdr:row>
                    <xdr:rowOff>205740</xdr:rowOff>
                  </from>
                  <to>
                    <xdr:col>63</xdr:col>
                    <xdr:colOff>68580</xdr:colOff>
                    <xdr:row>114</xdr:row>
                    <xdr:rowOff>205740</xdr:rowOff>
                  </to>
                </anchor>
              </controlPr>
            </control>
          </mc:Choice>
        </mc:AlternateContent>
        <mc:AlternateContent xmlns:mc="http://schemas.openxmlformats.org/markup-compatibility/2006">
          <mc:Choice Requires="x14">
            <control shapeId="2757" name="Check Box 709" r:id="rId99">
              <controlPr defaultSize="0">
                <anchor moveWithCells="1">
                  <from>
                    <xdr:col>22</xdr:col>
                    <xdr:colOff>15240</xdr:colOff>
                    <xdr:row>62</xdr:row>
                    <xdr:rowOff>205740</xdr:rowOff>
                  </from>
                  <to>
                    <xdr:col>23</xdr:col>
                    <xdr:colOff>83820</xdr:colOff>
                    <xdr:row>63</xdr:row>
                    <xdr:rowOff>205740</xdr:rowOff>
                  </to>
                </anchor>
              </controlPr>
            </control>
          </mc:Choice>
        </mc:AlternateContent>
        <mc:AlternateContent xmlns:mc="http://schemas.openxmlformats.org/markup-compatibility/2006">
          <mc:Choice Requires="x14">
            <control shapeId="2769" name="Check Box 721" r:id="rId100">
              <controlPr defaultSize="0">
                <anchor moveWithCells="1">
                  <from>
                    <xdr:col>61</xdr:col>
                    <xdr:colOff>22860</xdr:colOff>
                    <xdr:row>56</xdr:row>
                    <xdr:rowOff>0</xdr:rowOff>
                  </from>
                  <to>
                    <xdr:col>62</xdr:col>
                    <xdr:colOff>91440</xdr:colOff>
                    <xdr:row>57</xdr:row>
                    <xdr:rowOff>0</xdr:rowOff>
                  </to>
                </anchor>
              </controlPr>
            </control>
          </mc:Choice>
        </mc:AlternateContent>
        <mc:AlternateContent xmlns:mc="http://schemas.openxmlformats.org/markup-compatibility/2006">
          <mc:Choice Requires="x14">
            <control shapeId="2770" name="Check Box 722" r:id="rId101">
              <controlPr defaultSize="0">
                <anchor moveWithCells="1">
                  <from>
                    <xdr:col>65</xdr:col>
                    <xdr:colOff>22860</xdr:colOff>
                    <xdr:row>56</xdr:row>
                    <xdr:rowOff>0</xdr:rowOff>
                  </from>
                  <to>
                    <xdr:col>66</xdr:col>
                    <xdr:colOff>91440</xdr:colOff>
                    <xdr:row>57</xdr:row>
                    <xdr:rowOff>0</xdr:rowOff>
                  </to>
                </anchor>
              </controlPr>
            </control>
          </mc:Choice>
        </mc:AlternateContent>
        <mc:AlternateContent xmlns:mc="http://schemas.openxmlformats.org/markup-compatibility/2006">
          <mc:Choice Requires="x14">
            <control shapeId="2771" name="Check Box 723" r:id="rId102">
              <controlPr defaultSize="0">
                <anchor moveWithCells="1">
                  <from>
                    <xdr:col>61</xdr:col>
                    <xdr:colOff>22860</xdr:colOff>
                    <xdr:row>57</xdr:row>
                    <xdr:rowOff>0</xdr:rowOff>
                  </from>
                  <to>
                    <xdr:col>62</xdr:col>
                    <xdr:colOff>91440</xdr:colOff>
                    <xdr:row>58</xdr:row>
                    <xdr:rowOff>0</xdr:rowOff>
                  </to>
                </anchor>
              </controlPr>
            </control>
          </mc:Choice>
        </mc:AlternateContent>
        <mc:AlternateContent xmlns:mc="http://schemas.openxmlformats.org/markup-compatibility/2006">
          <mc:Choice Requires="x14">
            <control shapeId="2772" name="Check Box 724" r:id="rId103">
              <controlPr defaultSize="0">
                <anchor moveWithCells="1">
                  <from>
                    <xdr:col>48</xdr:col>
                    <xdr:colOff>22860</xdr:colOff>
                    <xdr:row>47</xdr:row>
                    <xdr:rowOff>0</xdr:rowOff>
                  </from>
                  <to>
                    <xdr:col>49</xdr:col>
                    <xdr:colOff>91440</xdr:colOff>
                    <xdr:row>48</xdr:row>
                    <xdr:rowOff>0</xdr:rowOff>
                  </to>
                </anchor>
              </controlPr>
            </control>
          </mc:Choice>
        </mc:AlternateContent>
        <mc:AlternateContent xmlns:mc="http://schemas.openxmlformats.org/markup-compatibility/2006">
          <mc:Choice Requires="x14">
            <control shapeId="2774" name="Check Box 726" r:id="rId104">
              <controlPr defaultSize="0">
                <anchor moveWithCells="1">
                  <from>
                    <xdr:col>52</xdr:col>
                    <xdr:colOff>22860</xdr:colOff>
                    <xdr:row>47</xdr:row>
                    <xdr:rowOff>0</xdr:rowOff>
                  </from>
                  <to>
                    <xdr:col>53</xdr:col>
                    <xdr:colOff>91440</xdr:colOff>
                    <xdr:row>48</xdr:row>
                    <xdr:rowOff>0</xdr:rowOff>
                  </to>
                </anchor>
              </controlPr>
            </control>
          </mc:Choice>
        </mc:AlternateContent>
        <mc:AlternateContent xmlns:mc="http://schemas.openxmlformats.org/markup-compatibility/2006">
          <mc:Choice Requires="x14">
            <control shapeId="2776" name="Check Box 728" r:id="rId105">
              <controlPr defaultSize="0">
                <anchor moveWithCells="1">
                  <from>
                    <xdr:col>56</xdr:col>
                    <xdr:colOff>22860</xdr:colOff>
                    <xdr:row>47</xdr:row>
                    <xdr:rowOff>0</xdr:rowOff>
                  </from>
                  <to>
                    <xdr:col>57</xdr:col>
                    <xdr:colOff>91440</xdr:colOff>
                    <xdr:row>48</xdr:row>
                    <xdr:rowOff>0</xdr:rowOff>
                  </to>
                </anchor>
              </controlPr>
            </control>
          </mc:Choice>
        </mc:AlternateContent>
        <mc:AlternateContent xmlns:mc="http://schemas.openxmlformats.org/markup-compatibility/2006">
          <mc:Choice Requires="x14">
            <control shapeId="2778" name="Check Box 730" r:id="rId106">
              <controlPr defaultSize="0">
                <anchor moveWithCells="1">
                  <from>
                    <xdr:col>60</xdr:col>
                    <xdr:colOff>22860</xdr:colOff>
                    <xdr:row>47</xdr:row>
                    <xdr:rowOff>0</xdr:rowOff>
                  </from>
                  <to>
                    <xdr:col>61</xdr:col>
                    <xdr:colOff>91440</xdr:colOff>
                    <xdr:row>48</xdr:row>
                    <xdr:rowOff>0</xdr:rowOff>
                  </to>
                </anchor>
              </controlPr>
            </control>
          </mc:Choice>
        </mc:AlternateContent>
        <mc:AlternateContent xmlns:mc="http://schemas.openxmlformats.org/markup-compatibility/2006">
          <mc:Choice Requires="x14">
            <control shapeId="2780" name="Check Box 732" r:id="rId107">
              <controlPr defaultSize="0">
                <anchor moveWithCells="1">
                  <from>
                    <xdr:col>64</xdr:col>
                    <xdr:colOff>22860</xdr:colOff>
                    <xdr:row>47</xdr:row>
                    <xdr:rowOff>0</xdr:rowOff>
                  </from>
                  <to>
                    <xdr:col>65</xdr:col>
                    <xdr:colOff>91440</xdr:colOff>
                    <xdr:row>48</xdr:row>
                    <xdr:rowOff>0</xdr:rowOff>
                  </to>
                </anchor>
              </controlPr>
            </control>
          </mc:Choice>
        </mc:AlternateContent>
        <mc:AlternateContent xmlns:mc="http://schemas.openxmlformats.org/markup-compatibility/2006">
          <mc:Choice Requires="x14">
            <control shapeId="2782" name="Check Box 734" r:id="rId108">
              <controlPr defaultSize="0">
                <anchor moveWithCells="1">
                  <from>
                    <xdr:col>48</xdr:col>
                    <xdr:colOff>22860</xdr:colOff>
                    <xdr:row>48</xdr:row>
                    <xdr:rowOff>0</xdr:rowOff>
                  </from>
                  <to>
                    <xdr:col>49</xdr:col>
                    <xdr:colOff>91440</xdr:colOff>
                    <xdr:row>49</xdr:row>
                    <xdr:rowOff>0</xdr:rowOff>
                  </to>
                </anchor>
              </controlPr>
            </control>
          </mc:Choice>
        </mc:AlternateContent>
        <mc:AlternateContent xmlns:mc="http://schemas.openxmlformats.org/markup-compatibility/2006">
          <mc:Choice Requires="x14">
            <control shapeId="2784" name="Check Box 736" r:id="rId109">
              <controlPr defaultSize="0">
                <anchor moveWithCells="1">
                  <from>
                    <xdr:col>52</xdr:col>
                    <xdr:colOff>22860</xdr:colOff>
                    <xdr:row>48</xdr:row>
                    <xdr:rowOff>0</xdr:rowOff>
                  </from>
                  <to>
                    <xdr:col>53</xdr:col>
                    <xdr:colOff>91440</xdr:colOff>
                    <xdr:row>49</xdr:row>
                    <xdr:rowOff>0</xdr:rowOff>
                  </to>
                </anchor>
              </controlPr>
            </control>
          </mc:Choice>
        </mc:AlternateContent>
        <mc:AlternateContent xmlns:mc="http://schemas.openxmlformats.org/markup-compatibility/2006">
          <mc:Choice Requires="x14">
            <control shapeId="2786" name="Check Box 738" r:id="rId110">
              <controlPr defaultSize="0">
                <anchor moveWithCells="1">
                  <from>
                    <xdr:col>56</xdr:col>
                    <xdr:colOff>22860</xdr:colOff>
                    <xdr:row>48</xdr:row>
                    <xdr:rowOff>0</xdr:rowOff>
                  </from>
                  <to>
                    <xdr:col>57</xdr:col>
                    <xdr:colOff>91440</xdr:colOff>
                    <xdr:row>49</xdr:row>
                    <xdr:rowOff>0</xdr:rowOff>
                  </to>
                </anchor>
              </controlPr>
            </control>
          </mc:Choice>
        </mc:AlternateContent>
        <mc:AlternateContent xmlns:mc="http://schemas.openxmlformats.org/markup-compatibility/2006">
          <mc:Choice Requires="x14">
            <control shapeId="2788" name="Check Box 740" r:id="rId111">
              <controlPr defaultSize="0">
                <anchor moveWithCells="1">
                  <from>
                    <xdr:col>60</xdr:col>
                    <xdr:colOff>22860</xdr:colOff>
                    <xdr:row>48</xdr:row>
                    <xdr:rowOff>0</xdr:rowOff>
                  </from>
                  <to>
                    <xdr:col>61</xdr:col>
                    <xdr:colOff>91440</xdr:colOff>
                    <xdr:row>49</xdr:row>
                    <xdr:rowOff>0</xdr:rowOff>
                  </to>
                </anchor>
              </controlPr>
            </control>
          </mc:Choice>
        </mc:AlternateContent>
        <mc:AlternateContent xmlns:mc="http://schemas.openxmlformats.org/markup-compatibility/2006">
          <mc:Choice Requires="x14">
            <control shapeId="2790" name="Check Box 742" r:id="rId112">
              <controlPr defaultSize="0">
                <anchor moveWithCells="1">
                  <from>
                    <xdr:col>64</xdr:col>
                    <xdr:colOff>22860</xdr:colOff>
                    <xdr:row>48</xdr:row>
                    <xdr:rowOff>0</xdr:rowOff>
                  </from>
                  <to>
                    <xdr:col>65</xdr:col>
                    <xdr:colOff>91440</xdr:colOff>
                    <xdr:row>49</xdr:row>
                    <xdr:rowOff>0</xdr:rowOff>
                  </to>
                </anchor>
              </controlPr>
            </control>
          </mc:Choice>
        </mc:AlternateContent>
        <mc:AlternateContent xmlns:mc="http://schemas.openxmlformats.org/markup-compatibility/2006">
          <mc:Choice Requires="x14">
            <control shapeId="2792" name="Check Box 744" r:id="rId113">
              <controlPr defaultSize="0">
                <anchor moveWithCells="1">
                  <from>
                    <xdr:col>48</xdr:col>
                    <xdr:colOff>22860</xdr:colOff>
                    <xdr:row>49</xdr:row>
                    <xdr:rowOff>0</xdr:rowOff>
                  </from>
                  <to>
                    <xdr:col>49</xdr:col>
                    <xdr:colOff>91440</xdr:colOff>
                    <xdr:row>50</xdr:row>
                    <xdr:rowOff>0</xdr:rowOff>
                  </to>
                </anchor>
              </controlPr>
            </control>
          </mc:Choice>
        </mc:AlternateContent>
        <mc:AlternateContent xmlns:mc="http://schemas.openxmlformats.org/markup-compatibility/2006">
          <mc:Choice Requires="x14">
            <control shapeId="2794" name="Check Box 746" r:id="rId114">
              <controlPr defaultSize="0">
                <anchor moveWithCells="1">
                  <from>
                    <xdr:col>52</xdr:col>
                    <xdr:colOff>22860</xdr:colOff>
                    <xdr:row>49</xdr:row>
                    <xdr:rowOff>0</xdr:rowOff>
                  </from>
                  <to>
                    <xdr:col>53</xdr:col>
                    <xdr:colOff>91440</xdr:colOff>
                    <xdr:row>50</xdr:row>
                    <xdr:rowOff>0</xdr:rowOff>
                  </to>
                </anchor>
              </controlPr>
            </control>
          </mc:Choice>
        </mc:AlternateContent>
        <mc:AlternateContent xmlns:mc="http://schemas.openxmlformats.org/markup-compatibility/2006">
          <mc:Choice Requires="x14">
            <control shapeId="2796" name="Check Box 748" r:id="rId115">
              <controlPr defaultSize="0">
                <anchor moveWithCells="1">
                  <from>
                    <xdr:col>56</xdr:col>
                    <xdr:colOff>22860</xdr:colOff>
                    <xdr:row>49</xdr:row>
                    <xdr:rowOff>0</xdr:rowOff>
                  </from>
                  <to>
                    <xdr:col>57</xdr:col>
                    <xdr:colOff>91440</xdr:colOff>
                    <xdr:row>50</xdr:row>
                    <xdr:rowOff>0</xdr:rowOff>
                  </to>
                </anchor>
              </controlPr>
            </control>
          </mc:Choice>
        </mc:AlternateContent>
        <mc:AlternateContent xmlns:mc="http://schemas.openxmlformats.org/markup-compatibility/2006">
          <mc:Choice Requires="x14">
            <control shapeId="2798" name="Check Box 750" r:id="rId116">
              <controlPr defaultSize="0">
                <anchor moveWithCells="1">
                  <from>
                    <xdr:col>60</xdr:col>
                    <xdr:colOff>22860</xdr:colOff>
                    <xdr:row>49</xdr:row>
                    <xdr:rowOff>0</xdr:rowOff>
                  </from>
                  <to>
                    <xdr:col>61</xdr:col>
                    <xdr:colOff>91440</xdr:colOff>
                    <xdr:row>50</xdr:row>
                    <xdr:rowOff>0</xdr:rowOff>
                  </to>
                </anchor>
              </controlPr>
            </control>
          </mc:Choice>
        </mc:AlternateContent>
        <mc:AlternateContent xmlns:mc="http://schemas.openxmlformats.org/markup-compatibility/2006">
          <mc:Choice Requires="x14">
            <control shapeId="2803" name="Check Box 755" r:id="rId117">
              <controlPr defaultSize="0">
                <anchor moveWithCells="1">
                  <from>
                    <xdr:col>34</xdr:col>
                    <xdr:colOff>152400</xdr:colOff>
                    <xdr:row>54</xdr:row>
                    <xdr:rowOff>15240</xdr:rowOff>
                  </from>
                  <to>
                    <xdr:col>37</xdr:col>
                    <xdr:colOff>60960</xdr:colOff>
                    <xdr:row>55</xdr:row>
                    <xdr:rowOff>22860</xdr:rowOff>
                  </to>
                </anchor>
              </controlPr>
            </control>
          </mc:Choice>
        </mc:AlternateContent>
        <mc:AlternateContent xmlns:mc="http://schemas.openxmlformats.org/markup-compatibility/2006">
          <mc:Choice Requires="x14">
            <control shapeId="2805" name="Check Box 757" r:id="rId118">
              <controlPr defaultSize="0">
                <anchor moveWithCells="1">
                  <from>
                    <xdr:col>21</xdr:col>
                    <xdr:colOff>76200</xdr:colOff>
                    <xdr:row>37</xdr:row>
                    <xdr:rowOff>15240</xdr:rowOff>
                  </from>
                  <to>
                    <xdr:col>22</xdr:col>
                    <xdr:colOff>144780</xdr:colOff>
                    <xdr:row>38</xdr:row>
                    <xdr:rowOff>7620</xdr:rowOff>
                  </to>
                </anchor>
              </controlPr>
            </control>
          </mc:Choice>
        </mc:AlternateContent>
        <mc:AlternateContent xmlns:mc="http://schemas.openxmlformats.org/markup-compatibility/2006">
          <mc:Choice Requires="x14">
            <control shapeId="2807" name="Check Box 759" r:id="rId119">
              <controlPr defaultSize="0">
                <anchor moveWithCells="1">
                  <from>
                    <xdr:col>44</xdr:col>
                    <xdr:colOff>83820</xdr:colOff>
                    <xdr:row>37</xdr:row>
                    <xdr:rowOff>38100</xdr:rowOff>
                  </from>
                  <to>
                    <xdr:col>47</xdr:col>
                    <xdr:colOff>7620</xdr:colOff>
                    <xdr:row>38</xdr:row>
                    <xdr:rowOff>7620</xdr:rowOff>
                  </to>
                </anchor>
              </controlPr>
            </control>
          </mc:Choice>
        </mc:AlternateContent>
        <mc:AlternateContent xmlns:mc="http://schemas.openxmlformats.org/markup-compatibility/2006">
          <mc:Choice Requires="x14">
            <control shapeId="2813" name="Check Box 765" r:id="rId120">
              <controlPr defaultSize="0">
                <anchor moveWithCells="1">
                  <from>
                    <xdr:col>50</xdr:col>
                    <xdr:colOff>22860</xdr:colOff>
                    <xdr:row>51</xdr:row>
                    <xdr:rowOff>0</xdr:rowOff>
                  </from>
                  <to>
                    <xdr:col>51</xdr:col>
                    <xdr:colOff>91440</xdr:colOff>
                    <xdr:row>52</xdr:row>
                    <xdr:rowOff>0</xdr:rowOff>
                  </to>
                </anchor>
              </controlPr>
            </control>
          </mc:Choice>
        </mc:AlternateContent>
        <mc:AlternateContent xmlns:mc="http://schemas.openxmlformats.org/markup-compatibility/2006">
          <mc:Choice Requires="x14">
            <control shapeId="2815" name="Check Box 767" r:id="rId121">
              <controlPr defaultSize="0">
                <anchor moveWithCells="1">
                  <from>
                    <xdr:col>53</xdr:col>
                    <xdr:colOff>22860</xdr:colOff>
                    <xdr:row>51</xdr:row>
                    <xdr:rowOff>0</xdr:rowOff>
                  </from>
                  <to>
                    <xdr:col>54</xdr:col>
                    <xdr:colOff>91440</xdr:colOff>
                    <xdr:row>52</xdr:row>
                    <xdr:rowOff>0</xdr:rowOff>
                  </to>
                </anchor>
              </controlPr>
            </control>
          </mc:Choice>
        </mc:AlternateContent>
        <mc:AlternateContent xmlns:mc="http://schemas.openxmlformats.org/markup-compatibility/2006">
          <mc:Choice Requires="x14">
            <control shapeId="2817" name="Check Box 769" r:id="rId122">
              <controlPr defaultSize="0">
                <anchor moveWithCells="1">
                  <from>
                    <xdr:col>56</xdr:col>
                    <xdr:colOff>22860</xdr:colOff>
                    <xdr:row>51</xdr:row>
                    <xdr:rowOff>0</xdr:rowOff>
                  </from>
                  <to>
                    <xdr:col>57</xdr:col>
                    <xdr:colOff>91440</xdr:colOff>
                    <xdr:row>52</xdr:row>
                    <xdr:rowOff>0</xdr:rowOff>
                  </to>
                </anchor>
              </controlPr>
            </control>
          </mc:Choice>
        </mc:AlternateContent>
        <mc:AlternateContent xmlns:mc="http://schemas.openxmlformats.org/markup-compatibility/2006">
          <mc:Choice Requires="x14">
            <control shapeId="2819" name="Check Box 771" r:id="rId123">
              <controlPr defaultSize="0">
                <anchor moveWithCells="1">
                  <from>
                    <xdr:col>59</xdr:col>
                    <xdr:colOff>22860</xdr:colOff>
                    <xdr:row>51</xdr:row>
                    <xdr:rowOff>0</xdr:rowOff>
                  </from>
                  <to>
                    <xdr:col>60</xdr:col>
                    <xdr:colOff>91440</xdr:colOff>
                    <xdr:row>52</xdr:row>
                    <xdr:rowOff>0</xdr:rowOff>
                  </to>
                </anchor>
              </controlPr>
            </control>
          </mc:Choice>
        </mc:AlternateContent>
        <mc:AlternateContent xmlns:mc="http://schemas.openxmlformats.org/markup-compatibility/2006">
          <mc:Choice Requires="x14">
            <control shapeId="2821" name="Check Box 773" r:id="rId124">
              <controlPr defaultSize="0">
                <anchor moveWithCells="1">
                  <from>
                    <xdr:col>62</xdr:col>
                    <xdr:colOff>22860</xdr:colOff>
                    <xdr:row>51</xdr:row>
                    <xdr:rowOff>0</xdr:rowOff>
                  </from>
                  <to>
                    <xdr:col>63</xdr:col>
                    <xdr:colOff>91440</xdr:colOff>
                    <xdr:row>52</xdr:row>
                    <xdr:rowOff>0</xdr:rowOff>
                  </to>
                </anchor>
              </controlPr>
            </control>
          </mc:Choice>
        </mc:AlternateContent>
        <mc:AlternateContent xmlns:mc="http://schemas.openxmlformats.org/markup-compatibility/2006">
          <mc:Choice Requires="x14">
            <control shapeId="2823" name="Check Box 775" r:id="rId125">
              <controlPr defaultSize="0">
                <anchor moveWithCells="1">
                  <from>
                    <xdr:col>65</xdr:col>
                    <xdr:colOff>22860</xdr:colOff>
                    <xdr:row>51</xdr:row>
                    <xdr:rowOff>0</xdr:rowOff>
                  </from>
                  <to>
                    <xdr:col>66</xdr:col>
                    <xdr:colOff>91440</xdr:colOff>
                    <xdr:row>52</xdr:row>
                    <xdr:rowOff>0</xdr:rowOff>
                  </to>
                </anchor>
              </controlPr>
            </control>
          </mc:Choice>
        </mc:AlternateContent>
        <mc:AlternateContent xmlns:mc="http://schemas.openxmlformats.org/markup-compatibility/2006">
          <mc:Choice Requires="x14">
            <control shapeId="2825" name="Check Box 777" r:id="rId126">
              <controlPr defaultSize="0">
                <anchor moveWithCells="1">
                  <from>
                    <xdr:col>65</xdr:col>
                    <xdr:colOff>0</xdr:colOff>
                    <xdr:row>113</xdr:row>
                    <xdr:rowOff>205740</xdr:rowOff>
                  </from>
                  <to>
                    <xdr:col>66</xdr:col>
                    <xdr:colOff>68580</xdr:colOff>
                    <xdr:row>114</xdr:row>
                    <xdr:rowOff>205740</xdr:rowOff>
                  </to>
                </anchor>
              </controlPr>
            </control>
          </mc:Choice>
        </mc:AlternateContent>
        <mc:AlternateContent xmlns:mc="http://schemas.openxmlformats.org/markup-compatibility/2006">
          <mc:Choice Requires="x14">
            <control shapeId="2828" name="Check Box 780" r:id="rId127">
              <controlPr defaultSize="0">
                <anchor moveWithCells="1">
                  <from>
                    <xdr:col>47</xdr:col>
                    <xdr:colOff>0</xdr:colOff>
                    <xdr:row>114</xdr:row>
                    <xdr:rowOff>205740</xdr:rowOff>
                  </from>
                  <to>
                    <xdr:col>48</xdr:col>
                    <xdr:colOff>68580</xdr:colOff>
                    <xdr:row>115</xdr:row>
                    <xdr:rowOff>205740</xdr:rowOff>
                  </to>
                </anchor>
              </controlPr>
            </control>
          </mc:Choice>
        </mc:AlternateContent>
        <mc:AlternateContent xmlns:mc="http://schemas.openxmlformats.org/markup-compatibility/2006">
          <mc:Choice Requires="x14">
            <control shapeId="2829" name="Check Box 781" r:id="rId128">
              <controlPr defaultSize="0">
                <anchor moveWithCells="1">
                  <from>
                    <xdr:col>50</xdr:col>
                    <xdr:colOff>0</xdr:colOff>
                    <xdr:row>114</xdr:row>
                    <xdr:rowOff>205740</xdr:rowOff>
                  </from>
                  <to>
                    <xdr:col>51</xdr:col>
                    <xdr:colOff>68580</xdr:colOff>
                    <xdr:row>115</xdr:row>
                    <xdr:rowOff>205740</xdr:rowOff>
                  </to>
                </anchor>
              </controlPr>
            </control>
          </mc:Choice>
        </mc:AlternateContent>
        <mc:AlternateContent xmlns:mc="http://schemas.openxmlformats.org/markup-compatibility/2006">
          <mc:Choice Requires="x14">
            <control shapeId="2832" name="Check Box 784" r:id="rId129">
              <controlPr defaultSize="0">
                <anchor moveWithCells="1">
                  <from>
                    <xdr:col>53</xdr:col>
                    <xdr:colOff>0</xdr:colOff>
                    <xdr:row>114</xdr:row>
                    <xdr:rowOff>205740</xdr:rowOff>
                  </from>
                  <to>
                    <xdr:col>54</xdr:col>
                    <xdr:colOff>68580</xdr:colOff>
                    <xdr:row>115</xdr:row>
                    <xdr:rowOff>205740</xdr:rowOff>
                  </to>
                </anchor>
              </controlPr>
            </control>
          </mc:Choice>
        </mc:AlternateContent>
        <mc:AlternateContent xmlns:mc="http://schemas.openxmlformats.org/markup-compatibility/2006">
          <mc:Choice Requires="x14">
            <control shapeId="2834" name="Check Box 786" r:id="rId130">
              <controlPr defaultSize="0">
                <anchor moveWithCells="1">
                  <from>
                    <xdr:col>56</xdr:col>
                    <xdr:colOff>0</xdr:colOff>
                    <xdr:row>114</xdr:row>
                    <xdr:rowOff>205740</xdr:rowOff>
                  </from>
                  <to>
                    <xdr:col>57</xdr:col>
                    <xdr:colOff>68580</xdr:colOff>
                    <xdr:row>115</xdr:row>
                    <xdr:rowOff>205740</xdr:rowOff>
                  </to>
                </anchor>
              </controlPr>
            </control>
          </mc:Choice>
        </mc:AlternateContent>
        <mc:AlternateContent xmlns:mc="http://schemas.openxmlformats.org/markup-compatibility/2006">
          <mc:Choice Requires="x14">
            <control shapeId="2836" name="Check Box 788" r:id="rId131">
              <controlPr defaultSize="0">
                <anchor moveWithCells="1">
                  <from>
                    <xdr:col>59</xdr:col>
                    <xdr:colOff>0</xdr:colOff>
                    <xdr:row>114</xdr:row>
                    <xdr:rowOff>205740</xdr:rowOff>
                  </from>
                  <to>
                    <xdr:col>60</xdr:col>
                    <xdr:colOff>68580</xdr:colOff>
                    <xdr:row>115</xdr:row>
                    <xdr:rowOff>205740</xdr:rowOff>
                  </to>
                </anchor>
              </controlPr>
            </control>
          </mc:Choice>
        </mc:AlternateContent>
        <mc:AlternateContent xmlns:mc="http://schemas.openxmlformats.org/markup-compatibility/2006">
          <mc:Choice Requires="x14">
            <control shapeId="2840" name="Check Box 792" r:id="rId132">
              <controlPr defaultSize="0">
                <anchor moveWithCells="1">
                  <from>
                    <xdr:col>62</xdr:col>
                    <xdr:colOff>0</xdr:colOff>
                    <xdr:row>114</xdr:row>
                    <xdr:rowOff>205740</xdr:rowOff>
                  </from>
                  <to>
                    <xdr:col>63</xdr:col>
                    <xdr:colOff>68580</xdr:colOff>
                    <xdr:row>115</xdr:row>
                    <xdr:rowOff>205740</xdr:rowOff>
                  </to>
                </anchor>
              </controlPr>
            </control>
          </mc:Choice>
        </mc:AlternateContent>
        <mc:AlternateContent xmlns:mc="http://schemas.openxmlformats.org/markup-compatibility/2006">
          <mc:Choice Requires="x14">
            <control shapeId="2842" name="Check Box 794" r:id="rId133">
              <controlPr defaultSize="0">
                <anchor moveWithCells="1">
                  <from>
                    <xdr:col>65</xdr:col>
                    <xdr:colOff>0</xdr:colOff>
                    <xdr:row>114</xdr:row>
                    <xdr:rowOff>205740</xdr:rowOff>
                  </from>
                  <to>
                    <xdr:col>66</xdr:col>
                    <xdr:colOff>68580</xdr:colOff>
                    <xdr:row>115</xdr:row>
                    <xdr:rowOff>205740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825644fb-862b-4193-b719-1a582322ef4e}">
            <x14:dataBar minLength="0" maxLength="100">
              <x14:cfvo type="num">
                <xm:f>0</xm:f>
              </x14:cfvo>
              <x14:cfvo type="num">
                <xm:f>1</xm:f>
              </x14:cfvo>
              <x14:negativeFillColor rgb="FFFF0000"/>
              <x14:axisColor rgb="FF000000"/>
            </x14:dataBar>
          </x14:cfRule>
          <xm:sqref>P5</xm:sqref>
        </x14:conditionalFormatting>
        <x14:conditionalFormatting xmlns:xm="http://schemas.microsoft.com/office/excel/2006/main">
          <x14:cfRule type="dataBar" id="{946e4c8a-a604-4952-a1c8-eab39bc15bdf}">
            <x14:dataBar minLength="0" maxLength="100" direction="leftToRight">
              <x14:cfvo type="num">
                <xm:f>0</xm:f>
              </x14:cfvo>
              <x14:cfvo type="num">
                <xm:f>$Q$23</xm:f>
              </x14:cfvo>
              <x14:negativeFillColor rgb="FFFF0000"/>
              <x14:axisColor rgb="FF000000"/>
            </x14:dataBar>
          </x14:cfRule>
          <xm:sqref>J25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CO83"/>
  <sheetViews>
    <sheetView workbookViewId="0">
      <selection activeCell="B5" sqref="B5:H5"/>
    </sheetView>
  </sheetViews>
  <sheetFormatPr defaultColWidth="9" defaultRowHeight="16.5"/>
  <cols>
    <col min="1" max="93" width="2.33636363636364" style="1" customWidth="1"/>
    <col min="94" max="16384" width="9" style="1"/>
  </cols>
  <sheetData>
    <row r="1" ht="16.95" customHeight="1" spans="1:93">
      <c r="A1" s="2" t="s">
        <v>274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ht="7.95" customHeight="1" spans="1:93">
      <c r="AH2" s="670"/>
      <c r="AI2" s="670"/>
    </row>
    <row r="3" ht="16.95" customHeight="1" spans="1:93">
      <c r="B3" s="671" t="s">
        <v>275</v>
      </c>
      <c r="C3" s="671"/>
      <c r="D3" s="671"/>
      <c r="E3" s="671"/>
      <c r="F3" s="671"/>
      <c r="G3" s="671"/>
      <c r="H3" s="671"/>
      <c r="I3" s="672"/>
      <c r="J3" s="673"/>
      <c r="K3" s="673"/>
      <c r="L3" s="673"/>
      <c r="M3" s="673"/>
      <c r="N3" s="673"/>
      <c r="O3" s="673"/>
      <c r="P3" s="674" t="str">
        <f>IF(AND(COUNTA(B5:H14)+COUNTA(B16:H25)&gt;0,B3=""),"请选择容器",IF(V3-装备数据!Z11&gt;装备数据!Y11,"容量超上限",""))</f>
        <v/>
      </c>
      <c r="Q3" s="674"/>
      <c r="R3" s="674"/>
      <c r="S3" s="674"/>
      <c r="T3" s="674"/>
      <c r="U3" s="675"/>
      <c r="V3" s="676">
        <f>装备数据!Z11+SUMPRODUCT(S5:T25,V5:W25)</f>
        <v>5</v>
      </c>
      <c r="W3" s="677"/>
      <c r="Y3" s="678" t="s">
        <v>276</v>
      </c>
      <c r="Z3" s="678"/>
      <c r="AA3" s="678"/>
      <c r="AB3" s="678"/>
      <c r="AC3" s="678"/>
      <c r="AD3" s="678"/>
      <c r="AE3" s="678"/>
      <c r="AF3" s="672"/>
      <c r="AG3" s="673"/>
      <c r="AH3" s="673"/>
      <c r="AI3" s="673"/>
      <c r="AJ3" s="673"/>
      <c r="AK3" s="673"/>
      <c r="AL3" s="673"/>
      <c r="AM3" s="674" t="str">
        <f>IF(AND(COUNTA(Y5:AE14)+COUNTA(Y16:AE25)&gt;0,Y3=""),"请选择容器",IF(AS3-装备数据!Z32&gt;装备数据!Y32,"容量超上限",""))</f>
        <v/>
      </c>
      <c r="AN3" s="674"/>
      <c r="AO3" s="674"/>
      <c r="AP3" s="674"/>
      <c r="AQ3" s="674"/>
      <c r="AR3" s="675"/>
      <c r="AS3" s="679">
        <f>装备数据!Z32+SUMPRODUCT(AP5:AQ25,AS5:AT25)</f>
        <v>1</v>
      </c>
      <c r="AT3" s="680"/>
      <c r="AW3" s="681" t="s">
        <v>277</v>
      </c>
      <c r="AX3" s="681"/>
      <c r="AY3" s="681"/>
      <c r="AZ3" s="681"/>
      <c r="BA3" s="681"/>
      <c r="BB3" s="681"/>
      <c r="BC3" s="681"/>
      <c r="BD3" s="681"/>
      <c r="BE3" s="681"/>
      <c r="BF3" s="681"/>
      <c r="BG3" s="681"/>
      <c r="BH3" s="681"/>
      <c r="BI3" s="681"/>
      <c r="BJ3" s="681"/>
      <c r="BK3" s="681"/>
      <c r="BL3" s="681"/>
      <c r="BM3" s="681"/>
      <c r="BN3" s="681"/>
      <c r="BO3" s="681"/>
      <c r="BP3" s="681"/>
      <c r="BQ3" s="681"/>
      <c r="BR3" s="681"/>
      <c r="BT3" s="681" t="s">
        <v>278</v>
      </c>
      <c r="BU3" s="681"/>
      <c r="BV3" s="681"/>
      <c r="BW3" s="681"/>
      <c r="BX3" s="681"/>
      <c r="BY3" s="681"/>
      <c r="BZ3" s="681"/>
      <c r="CA3" s="681"/>
      <c r="CB3" s="681"/>
      <c r="CC3" s="681"/>
      <c r="CD3" s="681"/>
      <c r="CE3" s="681"/>
      <c r="CF3" s="681"/>
      <c r="CG3" s="681"/>
      <c r="CH3" s="681"/>
      <c r="CI3" s="681"/>
      <c r="CJ3" s="681"/>
      <c r="CK3" s="681"/>
      <c r="CL3" s="681"/>
      <c r="CM3" s="681"/>
      <c r="CN3" s="681"/>
      <c r="CO3" s="681"/>
    </row>
    <row r="4" ht="16.95" customHeight="1" spans="1:93">
      <c r="B4" s="31" t="s">
        <v>114</v>
      </c>
      <c r="C4" s="31"/>
      <c r="D4" s="31"/>
      <c r="E4" s="31"/>
      <c r="F4" s="31"/>
      <c r="G4" s="31"/>
      <c r="H4" s="31"/>
      <c r="I4" s="31" t="s">
        <v>176</v>
      </c>
      <c r="J4" s="31"/>
      <c r="K4" s="31"/>
      <c r="L4" s="31"/>
      <c r="M4" s="31"/>
      <c r="N4" s="31"/>
      <c r="O4" s="31"/>
      <c r="P4" s="31"/>
      <c r="Q4" s="31"/>
      <c r="R4" s="31"/>
      <c r="S4" s="31" t="s">
        <v>116</v>
      </c>
      <c r="T4" s="31"/>
      <c r="U4" s="682"/>
      <c r="V4" s="31" t="s">
        <v>173</v>
      </c>
      <c r="W4" s="31"/>
      <c r="X4" s="682"/>
      <c r="Y4" s="31" t="s">
        <v>114</v>
      </c>
      <c r="Z4" s="31"/>
      <c r="AA4" s="31"/>
      <c r="AB4" s="31"/>
      <c r="AC4" s="31"/>
      <c r="AD4" s="31"/>
      <c r="AE4" s="31"/>
      <c r="AF4" s="683" t="s">
        <v>176</v>
      </c>
      <c r="AG4" s="683"/>
      <c r="AH4" s="683"/>
      <c r="AI4" s="683"/>
      <c r="AJ4" s="683"/>
      <c r="AK4" s="683"/>
      <c r="AL4" s="683"/>
      <c r="AM4" s="683"/>
      <c r="AN4" s="683"/>
      <c r="AO4" s="683"/>
      <c r="AP4" s="31" t="s">
        <v>116</v>
      </c>
      <c r="AQ4" s="31"/>
      <c r="AR4" s="682"/>
      <c r="AS4" s="31" t="s">
        <v>173</v>
      </c>
      <c r="AT4" s="31"/>
    </row>
    <row r="5" ht="16.95" customHeight="1" spans="1:93">
      <c r="B5" s="684"/>
      <c r="C5" s="684"/>
      <c r="D5" s="684"/>
      <c r="E5" s="684"/>
      <c r="F5" s="684"/>
      <c r="G5" s="684"/>
      <c r="H5" s="684"/>
      <c r="I5" s="685"/>
      <c r="J5" s="685"/>
      <c r="K5" s="685"/>
      <c r="L5" s="685"/>
      <c r="M5" s="685"/>
      <c r="N5" s="685"/>
      <c r="O5" s="685"/>
      <c r="P5" s="685"/>
      <c r="Q5" s="685"/>
      <c r="R5" s="685"/>
      <c r="S5" s="686"/>
      <c r="T5" s="686"/>
      <c r="U5" s="682" t="s">
        <v>279</v>
      </c>
      <c r="V5" s="687"/>
      <c r="W5" s="687"/>
      <c r="X5" s="688"/>
      <c r="Y5" s="689"/>
      <c r="Z5" s="689"/>
      <c r="AA5" s="689"/>
      <c r="AB5" s="689"/>
      <c r="AC5" s="689"/>
      <c r="AD5" s="689"/>
      <c r="AE5" s="689"/>
      <c r="AF5" s="685"/>
      <c r="AG5" s="685"/>
      <c r="AH5" s="685"/>
      <c r="AI5" s="685"/>
      <c r="AJ5" s="685"/>
      <c r="AK5" s="685"/>
      <c r="AL5" s="685"/>
      <c r="AM5" s="685"/>
      <c r="AN5" s="685"/>
      <c r="AO5" s="685"/>
      <c r="AP5" s="686"/>
      <c r="AQ5" s="686"/>
      <c r="AR5" s="682" t="s">
        <v>279</v>
      </c>
      <c r="AS5" s="687"/>
      <c r="AT5" s="687"/>
      <c r="AU5" s="688"/>
      <c r="AW5" s="690"/>
      <c r="AX5" s="691"/>
      <c r="AY5" s="691"/>
      <c r="AZ5" s="691"/>
      <c r="BA5" s="691"/>
      <c r="BB5" s="691"/>
      <c r="BC5" s="691"/>
      <c r="BD5" s="691"/>
      <c r="BE5" s="691"/>
      <c r="BF5" s="691"/>
      <c r="BG5" s="691"/>
      <c r="BH5" s="691"/>
      <c r="BI5" s="691"/>
      <c r="BJ5" s="691"/>
      <c r="BK5" s="691"/>
      <c r="BL5" s="691"/>
      <c r="BM5" s="691"/>
      <c r="BN5" s="691"/>
      <c r="BO5" s="691"/>
      <c r="BP5" s="691"/>
      <c r="BQ5" s="691"/>
      <c r="BR5" s="692"/>
      <c r="BT5" s="685"/>
      <c r="BU5" s="685"/>
      <c r="BV5" s="685"/>
      <c r="BW5" s="685"/>
      <c r="BX5" s="685"/>
      <c r="BY5" s="685"/>
      <c r="BZ5" s="685"/>
      <c r="CA5" s="685"/>
      <c r="CB5" s="685"/>
      <c r="CC5" s="685"/>
      <c r="CD5" s="685"/>
      <c r="CE5" s="685"/>
      <c r="CF5" s="685"/>
      <c r="CG5" s="685"/>
      <c r="CH5" s="685"/>
      <c r="CI5" s="685"/>
      <c r="CJ5" s="685"/>
      <c r="CK5" s="685"/>
      <c r="CL5" s="685"/>
      <c r="CM5" s="685"/>
      <c r="CN5" s="685"/>
      <c r="CO5" s="685"/>
    </row>
    <row r="6" ht="16.95" customHeight="1" spans="1:93">
      <c r="B6" s="693"/>
      <c r="C6" s="693"/>
      <c r="D6" s="693"/>
      <c r="E6" s="693"/>
      <c r="F6" s="693"/>
      <c r="G6" s="693"/>
      <c r="H6" s="693"/>
      <c r="I6" s="694"/>
      <c r="J6" s="694"/>
      <c r="K6" s="694"/>
      <c r="L6" s="694"/>
      <c r="M6" s="694"/>
      <c r="N6" s="694"/>
      <c r="O6" s="694"/>
      <c r="P6" s="694"/>
      <c r="Q6" s="694"/>
      <c r="R6" s="694"/>
      <c r="S6" s="695"/>
      <c r="T6" s="695"/>
      <c r="U6" s="682" t="s">
        <v>279</v>
      </c>
      <c r="V6" s="696"/>
      <c r="W6" s="696"/>
      <c r="X6" s="688"/>
      <c r="Y6" s="697"/>
      <c r="Z6" s="697"/>
      <c r="AA6" s="697"/>
      <c r="AB6" s="697"/>
      <c r="AC6" s="697"/>
      <c r="AD6" s="697"/>
      <c r="AE6" s="697"/>
      <c r="AF6" s="694"/>
      <c r="AG6" s="694"/>
      <c r="AH6" s="694"/>
      <c r="AI6" s="694"/>
      <c r="AJ6" s="694"/>
      <c r="AK6" s="694"/>
      <c r="AL6" s="694"/>
      <c r="AM6" s="694"/>
      <c r="AN6" s="694"/>
      <c r="AO6" s="694"/>
      <c r="AP6" s="695"/>
      <c r="AQ6" s="695"/>
      <c r="AR6" s="682" t="s">
        <v>279</v>
      </c>
      <c r="AS6" s="696"/>
      <c r="AT6" s="696"/>
      <c r="AU6" s="688"/>
      <c r="AW6" s="698"/>
      <c r="AX6" s="699"/>
      <c r="AY6" s="699"/>
      <c r="AZ6" s="699"/>
      <c r="BA6" s="699"/>
      <c r="BB6" s="699"/>
      <c r="BC6" s="699"/>
      <c r="BD6" s="699"/>
      <c r="BE6" s="699"/>
      <c r="BF6" s="699"/>
      <c r="BG6" s="699"/>
      <c r="BH6" s="699"/>
      <c r="BI6" s="699"/>
      <c r="BJ6" s="699"/>
      <c r="BK6" s="699"/>
      <c r="BL6" s="699"/>
      <c r="BM6" s="699"/>
      <c r="BN6" s="699"/>
      <c r="BO6" s="699"/>
      <c r="BP6" s="699"/>
      <c r="BQ6" s="699"/>
      <c r="BR6" s="700"/>
      <c r="BT6" s="694"/>
      <c r="BU6" s="694"/>
      <c r="BV6" s="694"/>
      <c r="BW6" s="694"/>
      <c r="BX6" s="694"/>
      <c r="BY6" s="694"/>
      <c r="BZ6" s="694"/>
      <c r="CA6" s="694"/>
      <c r="CB6" s="694"/>
      <c r="CC6" s="694"/>
      <c r="CD6" s="694"/>
      <c r="CE6" s="694"/>
      <c r="CF6" s="694"/>
      <c r="CG6" s="694"/>
      <c r="CH6" s="694"/>
      <c r="CI6" s="694"/>
      <c r="CJ6" s="694"/>
      <c r="CK6" s="694"/>
      <c r="CL6" s="694"/>
      <c r="CM6" s="694"/>
      <c r="CN6" s="694"/>
      <c r="CO6" s="694"/>
    </row>
    <row r="7" ht="16.95" customHeight="1" spans="1:93">
      <c r="B7" s="684"/>
      <c r="C7" s="684"/>
      <c r="D7" s="684"/>
      <c r="E7" s="684"/>
      <c r="F7" s="684"/>
      <c r="G7" s="684"/>
      <c r="H7" s="684"/>
      <c r="I7" s="685"/>
      <c r="J7" s="685"/>
      <c r="K7" s="685"/>
      <c r="L7" s="685"/>
      <c r="M7" s="685"/>
      <c r="N7" s="685"/>
      <c r="O7" s="685"/>
      <c r="P7" s="685"/>
      <c r="Q7" s="685"/>
      <c r="R7" s="685"/>
      <c r="S7" s="686"/>
      <c r="T7" s="686"/>
      <c r="U7" s="682" t="s">
        <v>279</v>
      </c>
      <c r="V7" s="687"/>
      <c r="W7" s="687"/>
      <c r="X7" s="688"/>
      <c r="Y7" s="689"/>
      <c r="Z7" s="689"/>
      <c r="AA7" s="689"/>
      <c r="AB7" s="689"/>
      <c r="AC7" s="689"/>
      <c r="AD7" s="689"/>
      <c r="AE7" s="689"/>
      <c r="AF7" s="685"/>
      <c r="AG7" s="685"/>
      <c r="AH7" s="685"/>
      <c r="AI7" s="685"/>
      <c r="AJ7" s="685"/>
      <c r="AK7" s="685"/>
      <c r="AL7" s="685"/>
      <c r="AM7" s="685"/>
      <c r="AN7" s="685"/>
      <c r="AO7" s="685"/>
      <c r="AP7" s="686"/>
      <c r="AQ7" s="686"/>
      <c r="AR7" s="682" t="s">
        <v>279</v>
      </c>
      <c r="AS7" s="687"/>
      <c r="AT7" s="687"/>
      <c r="AU7" s="688"/>
      <c r="AW7" s="690"/>
      <c r="AX7" s="691"/>
      <c r="AY7" s="691"/>
      <c r="AZ7" s="691"/>
      <c r="BA7" s="691"/>
      <c r="BB7" s="691"/>
      <c r="BC7" s="691"/>
      <c r="BD7" s="691"/>
      <c r="BE7" s="691"/>
      <c r="BF7" s="691"/>
      <c r="BG7" s="691"/>
      <c r="BH7" s="691"/>
      <c r="BI7" s="691"/>
      <c r="BJ7" s="691"/>
      <c r="BK7" s="691"/>
      <c r="BL7" s="691"/>
      <c r="BM7" s="691"/>
      <c r="BN7" s="691"/>
      <c r="BO7" s="691"/>
      <c r="BP7" s="691"/>
      <c r="BQ7" s="691"/>
      <c r="BR7" s="692"/>
      <c r="BT7" s="685"/>
      <c r="BU7" s="685"/>
      <c r="BV7" s="685"/>
      <c r="BW7" s="685"/>
      <c r="BX7" s="685"/>
      <c r="BY7" s="685"/>
      <c r="BZ7" s="685"/>
      <c r="CA7" s="685"/>
      <c r="CB7" s="685"/>
      <c r="CC7" s="685"/>
      <c r="CD7" s="685"/>
      <c r="CE7" s="685"/>
      <c r="CF7" s="685"/>
      <c r="CG7" s="685"/>
      <c r="CH7" s="685"/>
      <c r="CI7" s="685"/>
      <c r="CJ7" s="685"/>
      <c r="CK7" s="685"/>
      <c r="CL7" s="685"/>
      <c r="CM7" s="685"/>
      <c r="CN7" s="685"/>
      <c r="CO7" s="685"/>
    </row>
    <row r="8" ht="16.95" customHeight="1" spans="1:93">
      <c r="B8" s="693"/>
      <c r="C8" s="693"/>
      <c r="D8" s="693"/>
      <c r="E8" s="693"/>
      <c r="F8" s="693"/>
      <c r="G8" s="693"/>
      <c r="H8" s="693"/>
      <c r="I8" s="694"/>
      <c r="J8" s="694"/>
      <c r="K8" s="694"/>
      <c r="L8" s="694"/>
      <c r="M8" s="694"/>
      <c r="N8" s="694"/>
      <c r="O8" s="694"/>
      <c r="P8" s="694"/>
      <c r="Q8" s="694"/>
      <c r="R8" s="694"/>
      <c r="S8" s="695"/>
      <c r="T8" s="695"/>
      <c r="U8" s="682" t="s">
        <v>279</v>
      </c>
      <c r="V8" s="696"/>
      <c r="W8" s="696"/>
      <c r="X8" s="688"/>
      <c r="Y8" s="697"/>
      <c r="Z8" s="697"/>
      <c r="AA8" s="697"/>
      <c r="AB8" s="697"/>
      <c r="AC8" s="697"/>
      <c r="AD8" s="697"/>
      <c r="AE8" s="697"/>
      <c r="AF8" s="694"/>
      <c r="AG8" s="694"/>
      <c r="AH8" s="694"/>
      <c r="AI8" s="694"/>
      <c r="AJ8" s="694"/>
      <c r="AK8" s="694"/>
      <c r="AL8" s="694"/>
      <c r="AM8" s="694"/>
      <c r="AN8" s="694"/>
      <c r="AO8" s="694"/>
      <c r="AP8" s="695"/>
      <c r="AQ8" s="695"/>
      <c r="AR8" s="682" t="s">
        <v>279</v>
      </c>
      <c r="AS8" s="696"/>
      <c r="AT8" s="696"/>
      <c r="AU8" s="688"/>
      <c r="AW8" s="698"/>
      <c r="AX8" s="699"/>
      <c r="AY8" s="699"/>
      <c r="AZ8" s="699"/>
      <c r="BA8" s="699"/>
      <c r="BB8" s="699"/>
      <c r="BC8" s="699"/>
      <c r="BD8" s="699"/>
      <c r="BE8" s="699"/>
      <c r="BF8" s="699"/>
      <c r="BG8" s="699"/>
      <c r="BH8" s="699"/>
      <c r="BI8" s="699"/>
      <c r="BJ8" s="699"/>
      <c r="BK8" s="699"/>
      <c r="BL8" s="699"/>
      <c r="BM8" s="699"/>
      <c r="BN8" s="699"/>
      <c r="BO8" s="699"/>
      <c r="BP8" s="699"/>
      <c r="BQ8" s="699"/>
      <c r="BR8" s="700"/>
      <c r="BT8" s="694"/>
      <c r="BU8" s="694"/>
      <c r="BV8" s="694"/>
      <c r="BW8" s="694"/>
      <c r="BX8" s="694"/>
      <c r="BY8" s="694"/>
      <c r="BZ8" s="694"/>
      <c r="CA8" s="694"/>
      <c r="CB8" s="694"/>
      <c r="CC8" s="694"/>
      <c r="CD8" s="694"/>
      <c r="CE8" s="694"/>
      <c r="CF8" s="694"/>
      <c r="CG8" s="694"/>
      <c r="CH8" s="694"/>
      <c r="CI8" s="694"/>
      <c r="CJ8" s="694"/>
      <c r="CK8" s="694"/>
      <c r="CL8" s="694"/>
      <c r="CM8" s="694"/>
      <c r="CN8" s="694"/>
      <c r="CO8" s="694"/>
    </row>
    <row r="9" ht="16.95" customHeight="1" spans="1:93">
      <c r="B9" s="684"/>
      <c r="C9" s="684"/>
      <c r="D9" s="684"/>
      <c r="E9" s="684"/>
      <c r="F9" s="684"/>
      <c r="G9" s="684"/>
      <c r="H9" s="684"/>
      <c r="I9" s="685"/>
      <c r="J9" s="685"/>
      <c r="K9" s="685"/>
      <c r="L9" s="685"/>
      <c r="M9" s="685"/>
      <c r="N9" s="685"/>
      <c r="O9" s="685"/>
      <c r="P9" s="685"/>
      <c r="Q9" s="685"/>
      <c r="R9" s="685"/>
      <c r="S9" s="686"/>
      <c r="T9" s="686"/>
      <c r="U9" s="682" t="s">
        <v>279</v>
      </c>
      <c r="V9" s="687"/>
      <c r="W9" s="687"/>
      <c r="X9" s="688"/>
      <c r="Y9" s="689"/>
      <c r="Z9" s="689"/>
      <c r="AA9" s="689"/>
      <c r="AB9" s="689"/>
      <c r="AC9" s="689"/>
      <c r="AD9" s="689"/>
      <c r="AE9" s="689"/>
      <c r="AF9" s="685"/>
      <c r="AG9" s="685"/>
      <c r="AH9" s="685"/>
      <c r="AI9" s="685"/>
      <c r="AJ9" s="685"/>
      <c r="AK9" s="685"/>
      <c r="AL9" s="685"/>
      <c r="AM9" s="685"/>
      <c r="AN9" s="685"/>
      <c r="AO9" s="685"/>
      <c r="AP9" s="686"/>
      <c r="AQ9" s="686"/>
      <c r="AR9" s="682" t="s">
        <v>279</v>
      </c>
      <c r="AS9" s="687"/>
      <c r="AT9" s="687"/>
      <c r="AU9" s="688"/>
      <c r="AW9" s="690"/>
      <c r="AX9" s="691"/>
      <c r="AY9" s="691"/>
      <c r="AZ9" s="691"/>
      <c r="BA9" s="691"/>
      <c r="BB9" s="691"/>
      <c r="BC9" s="691"/>
      <c r="BD9" s="691"/>
      <c r="BE9" s="691"/>
      <c r="BF9" s="691"/>
      <c r="BG9" s="691"/>
      <c r="BH9" s="691"/>
      <c r="BI9" s="691"/>
      <c r="BJ9" s="691"/>
      <c r="BK9" s="691"/>
      <c r="BL9" s="691"/>
      <c r="BM9" s="691"/>
      <c r="BN9" s="691"/>
      <c r="BO9" s="691"/>
      <c r="BP9" s="691"/>
      <c r="BQ9" s="691"/>
      <c r="BR9" s="692"/>
      <c r="BT9" s="685"/>
      <c r="BU9" s="685"/>
      <c r="BV9" s="685"/>
      <c r="BW9" s="685"/>
      <c r="BX9" s="685"/>
      <c r="BY9" s="685"/>
      <c r="BZ9" s="685"/>
      <c r="CA9" s="685"/>
      <c r="CB9" s="685"/>
      <c r="CC9" s="685"/>
      <c r="CD9" s="685"/>
      <c r="CE9" s="685"/>
      <c r="CF9" s="685"/>
      <c r="CG9" s="685"/>
      <c r="CH9" s="685"/>
      <c r="CI9" s="685"/>
      <c r="CJ9" s="685"/>
      <c r="CK9" s="685"/>
      <c r="CL9" s="685"/>
      <c r="CM9" s="685"/>
      <c r="CN9" s="685"/>
      <c r="CO9" s="685"/>
    </row>
    <row r="10" ht="16.95" customHeight="1" spans="1:93">
      <c r="B10" s="701"/>
      <c r="C10" s="701"/>
      <c r="D10" s="701"/>
      <c r="E10" s="701"/>
      <c r="F10" s="701"/>
      <c r="G10" s="701"/>
      <c r="H10" s="701"/>
      <c r="I10" s="702"/>
      <c r="J10" s="702"/>
      <c r="K10" s="702"/>
      <c r="L10" s="702"/>
      <c r="M10" s="702"/>
      <c r="N10" s="702"/>
      <c r="O10" s="702"/>
      <c r="P10" s="702"/>
      <c r="Q10" s="702"/>
      <c r="R10" s="702"/>
      <c r="S10" s="695"/>
      <c r="T10" s="695"/>
      <c r="U10" s="682" t="s">
        <v>279</v>
      </c>
      <c r="V10" s="703"/>
      <c r="W10" s="703"/>
      <c r="X10" s="688"/>
      <c r="Y10" s="704"/>
      <c r="Z10" s="704"/>
      <c r="AA10" s="704"/>
      <c r="AB10" s="704"/>
      <c r="AC10" s="704"/>
      <c r="AD10" s="704"/>
      <c r="AE10" s="704"/>
      <c r="AF10" s="702"/>
      <c r="AG10" s="702"/>
      <c r="AH10" s="702"/>
      <c r="AI10" s="702"/>
      <c r="AJ10" s="702"/>
      <c r="AK10" s="702"/>
      <c r="AL10" s="702"/>
      <c r="AM10" s="702"/>
      <c r="AN10" s="702"/>
      <c r="AO10" s="702"/>
      <c r="AP10" s="695"/>
      <c r="AQ10" s="695"/>
      <c r="AR10" s="682" t="s">
        <v>279</v>
      </c>
      <c r="AS10" s="703"/>
      <c r="AT10" s="703"/>
      <c r="AU10" s="688"/>
      <c r="AW10" s="698"/>
      <c r="AX10" s="699"/>
      <c r="AY10" s="699"/>
      <c r="AZ10" s="699"/>
      <c r="BA10" s="699"/>
      <c r="BB10" s="699"/>
      <c r="BC10" s="699"/>
      <c r="BD10" s="699"/>
      <c r="BE10" s="699"/>
      <c r="BF10" s="699"/>
      <c r="BG10" s="699"/>
      <c r="BH10" s="699"/>
      <c r="BI10" s="699"/>
      <c r="BJ10" s="699"/>
      <c r="BK10" s="699"/>
      <c r="BL10" s="699"/>
      <c r="BM10" s="699"/>
      <c r="BN10" s="699"/>
      <c r="BO10" s="699"/>
      <c r="BP10" s="699"/>
      <c r="BQ10" s="699"/>
      <c r="BR10" s="700"/>
      <c r="BT10" s="694"/>
      <c r="BU10" s="694"/>
      <c r="BV10" s="694"/>
      <c r="BW10" s="694"/>
      <c r="BX10" s="694"/>
      <c r="BY10" s="694"/>
      <c r="BZ10" s="694"/>
      <c r="CA10" s="694"/>
      <c r="CB10" s="694"/>
      <c r="CC10" s="694"/>
      <c r="CD10" s="694"/>
      <c r="CE10" s="694"/>
      <c r="CF10" s="694"/>
      <c r="CG10" s="694"/>
      <c r="CH10" s="694"/>
      <c r="CI10" s="694"/>
      <c r="CJ10" s="694"/>
      <c r="CK10" s="694"/>
      <c r="CL10" s="694"/>
      <c r="CM10" s="694"/>
      <c r="CN10" s="694"/>
      <c r="CO10" s="694"/>
    </row>
    <row r="11" ht="16.95" customHeight="1" spans="1:93">
      <c r="B11" s="684"/>
      <c r="C11" s="684"/>
      <c r="D11" s="684"/>
      <c r="E11" s="684"/>
      <c r="F11" s="684"/>
      <c r="G11" s="684"/>
      <c r="H11" s="684"/>
      <c r="I11" s="685"/>
      <c r="J11" s="685"/>
      <c r="K11" s="685"/>
      <c r="L11" s="685"/>
      <c r="M11" s="685"/>
      <c r="N11" s="685"/>
      <c r="O11" s="685"/>
      <c r="P11" s="685"/>
      <c r="Q11" s="685"/>
      <c r="R11" s="685"/>
      <c r="S11" s="686"/>
      <c r="T11" s="686"/>
      <c r="U11" s="682" t="s">
        <v>279</v>
      </c>
      <c r="V11" s="687"/>
      <c r="W11" s="687"/>
      <c r="X11" s="688"/>
      <c r="Y11" s="689"/>
      <c r="Z11" s="689"/>
      <c r="AA11" s="689"/>
      <c r="AB11" s="689"/>
      <c r="AC11" s="689"/>
      <c r="AD11" s="689"/>
      <c r="AE11" s="689"/>
      <c r="AF11" s="705"/>
      <c r="AG11" s="705"/>
      <c r="AH11" s="705"/>
      <c r="AI11" s="705"/>
      <c r="AJ11" s="705"/>
      <c r="AK11" s="705"/>
      <c r="AL11" s="705"/>
      <c r="AM11" s="705"/>
      <c r="AN11" s="705"/>
      <c r="AO11" s="705"/>
      <c r="AP11" s="686"/>
      <c r="AQ11" s="686"/>
      <c r="AR11" s="682" t="s">
        <v>279</v>
      </c>
      <c r="AS11" s="687"/>
      <c r="AT11" s="687"/>
      <c r="AU11" s="688"/>
      <c r="AW11" s="690"/>
      <c r="AX11" s="691"/>
      <c r="AY11" s="691"/>
      <c r="AZ11" s="691"/>
      <c r="BA11" s="691"/>
      <c r="BB11" s="691"/>
      <c r="BC11" s="691"/>
      <c r="BD11" s="691"/>
      <c r="BE11" s="691"/>
      <c r="BF11" s="691"/>
      <c r="BG11" s="691"/>
      <c r="BH11" s="691"/>
      <c r="BI11" s="691"/>
      <c r="BJ11" s="691"/>
      <c r="BK11" s="691"/>
      <c r="BL11" s="691"/>
      <c r="BM11" s="691"/>
      <c r="BN11" s="691"/>
      <c r="BO11" s="691"/>
      <c r="BP11" s="691"/>
      <c r="BQ11" s="691"/>
      <c r="BR11" s="692"/>
      <c r="BT11" s="685"/>
      <c r="BU11" s="685"/>
      <c r="BV11" s="685"/>
      <c r="BW11" s="685"/>
      <c r="BX11" s="685"/>
      <c r="BY11" s="685"/>
      <c r="BZ11" s="685"/>
      <c r="CA11" s="685"/>
      <c r="CB11" s="685"/>
      <c r="CC11" s="685"/>
      <c r="CD11" s="685"/>
      <c r="CE11" s="685"/>
      <c r="CF11" s="685"/>
      <c r="CG11" s="685"/>
      <c r="CH11" s="685"/>
      <c r="CI11" s="685"/>
      <c r="CJ11" s="685"/>
      <c r="CK11" s="685"/>
      <c r="CL11" s="685"/>
      <c r="CM11" s="685"/>
      <c r="CN11" s="685"/>
      <c r="CO11" s="685"/>
    </row>
    <row r="12" ht="16.95" customHeight="1" spans="1:93">
      <c r="B12" s="693"/>
      <c r="C12" s="693"/>
      <c r="D12" s="693"/>
      <c r="E12" s="693"/>
      <c r="F12" s="693"/>
      <c r="G12" s="693"/>
      <c r="H12" s="693"/>
      <c r="I12" s="694"/>
      <c r="J12" s="694"/>
      <c r="K12" s="694"/>
      <c r="L12" s="694"/>
      <c r="M12" s="694"/>
      <c r="N12" s="694"/>
      <c r="O12" s="694"/>
      <c r="P12" s="694"/>
      <c r="Q12" s="694"/>
      <c r="R12" s="694"/>
      <c r="S12" s="695"/>
      <c r="T12" s="695"/>
      <c r="U12" s="682" t="s">
        <v>279</v>
      </c>
      <c r="V12" s="696"/>
      <c r="W12" s="696"/>
      <c r="X12" s="688"/>
      <c r="Y12" s="697"/>
      <c r="Z12" s="697"/>
      <c r="AA12" s="697"/>
      <c r="AB12" s="697"/>
      <c r="AC12" s="697"/>
      <c r="AD12" s="697"/>
      <c r="AE12" s="697"/>
      <c r="AF12" s="694"/>
      <c r="AG12" s="694"/>
      <c r="AH12" s="694"/>
      <c r="AI12" s="694"/>
      <c r="AJ12" s="694"/>
      <c r="AK12" s="694"/>
      <c r="AL12" s="694"/>
      <c r="AM12" s="694"/>
      <c r="AN12" s="694"/>
      <c r="AO12" s="694"/>
      <c r="AP12" s="695"/>
      <c r="AQ12" s="695"/>
      <c r="AR12" s="682" t="s">
        <v>279</v>
      </c>
      <c r="AS12" s="696"/>
      <c r="AT12" s="696"/>
      <c r="AU12" s="688"/>
      <c r="AW12" s="698"/>
      <c r="AX12" s="699"/>
      <c r="AY12" s="699"/>
      <c r="AZ12" s="699"/>
      <c r="BA12" s="699"/>
      <c r="BB12" s="699"/>
      <c r="BC12" s="699"/>
      <c r="BD12" s="699"/>
      <c r="BE12" s="699"/>
      <c r="BF12" s="699"/>
      <c r="BG12" s="699"/>
      <c r="BH12" s="699"/>
      <c r="BI12" s="699"/>
      <c r="BJ12" s="699"/>
      <c r="BK12" s="699"/>
      <c r="BL12" s="699"/>
      <c r="BM12" s="699"/>
      <c r="BN12" s="699"/>
      <c r="BO12" s="699"/>
      <c r="BP12" s="699"/>
      <c r="BQ12" s="699"/>
      <c r="BR12" s="700"/>
      <c r="BT12" s="694"/>
      <c r="BU12" s="694"/>
      <c r="BV12" s="694"/>
      <c r="BW12" s="694"/>
      <c r="BX12" s="694"/>
      <c r="BY12" s="694"/>
      <c r="BZ12" s="694"/>
      <c r="CA12" s="694"/>
      <c r="CB12" s="694"/>
      <c r="CC12" s="694"/>
      <c r="CD12" s="694"/>
      <c r="CE12" s="694"/>
      <c r="CF12" s="694"/>
      <c r="CG12" s="694"/>
      <c r="CH12" s="694"/>
      <c r="CI12" s="694"/>
      <c r="CJ12" s="694"/>
      <c r="CK12" s="694"/>
      <c r="CL12" s="694"/>
      <c r="CM12" s="694"/>
      <c r="CN12" s="694"/>
      <c r="CO12" s="694"/>
    </row>
    <row r="13" ht="16.95" customHeight="1" spans="1:93">
      <c r="B13" s="684"/>
      <c r="C13" s="684"/>
      <c r="D13" s="684"/>
      <c r="E13" s="684"/>
      <c r="F13" s="684"/>
      <c r="G13" s="684"/>
      <c r="H13" s="684"/>
      <c r="I13" s="685"/>
      <c r="J13" s="685"/>
      <c r="K13" s="685"/>
      <c r="L13" s="685"/>
      <c r="M13" s="685"/>
      <c r="N13" s="685"/>
      <c r="O13" s="685"/>
      <c r="P13" s="685"/>
      <c r="Q13" s="685"/>
      <c r="R13" s="685"/>
      <c r="S13" s="686"/>
      <c r="T13" s="686"/>
      <c r="U13" s="682" t="s">
        <v>279</v>
      </c>
      <c r="V13" s="687"/>
      <c r="W13" s="687"/>
      <c r="X13" s="688"/>
      <c r="Y13" s="689"/>
      <c r="Z13" s="689"/>
      <c r="AA13" s="689"/>
      <c r="AB13" s="689"/>
      <c r="AC13" s="689"/>
      <c r="AD13" s="689"/>
      <c r="AE13" s="689"/>
      <c r="AF13" s="685"/>
      <c r="AG13" s="685"/>
      <c r="AH13" s="685"/>
      <c r="AI13" s="685"/>
      <c r="AJ13" s="685"/>
      <c r="AK13" s="685"/>
      <c r="AL13" s="685"/>
      <c r="AM13" s="685"/>
      <c r="AN13" s="685"/>
      <c r="AO13" s="685"/>
      <c r="AP13" s="686"/>
      <c r="AQ13" s="686"/>
      <c r="AR13" s="682" t="s">
        <v>279</v>
      </c>
      <c r="AS13" s="687"/>
      <c r="AT13" s="687"/>
      <c r="AU13" s="688"/>
      <c r="AW13" s="690"/>
      <c r="AX13" s="691"/>
      <c r="AY13" s="691"/>
      <c r="AZ13" s="691"/>
      <c r="BA13" s="691"/>
      <c r="BB13" s="691"/>
      <c r="BC13" s="691"/>
      <c r="BD13" s="691"/>
      <c r="BE13" s="691"/>
      <c r="BF13" s="691"/>
      <c r="BG13" s="691"/>
      <c r="BH13" s="691"/>
      <c r="BI13" s="691"/>
      <c r="BJ13" s="691"/>
      <c r="BK13" s="691"/>
      <c r="BL13" s="691"/>
      <c r="BM13" s="691"/>
      <c r="BN13" s="691"/>
      <c r="BO13" s="691"/>
      <c r="BP13" s="691"/>
      <c r="BQ13" s="691"/>
      <c r="BR13" s="692"/>
      <c r="BT13" s="685"/>
      <c r="BU13" s="685"/>
      <c r="BV13" s="685"/>
      <c r="BW13" s="685"/>
      <c r="BX13" s="685"/>
      <c r="BY13" s="685"/>
      <c r="BZ13" s="685"/>
      <c r="CA13" s="685"/>
      <c r="CB13" s="685"/>
      <c r="CC13" s="685"/>
      <c r="CD13" s="685"/>
      <c r="CE13" s="685"/>
      <c r="CF13" s="685"/>
      <c r="CG13" s="685"/>
      <c r="CH13" s="685"/>
      <c r="CI13" s="685"/>
      <c r="CJ13" s="685"/>
      <c r="CK13" s="685"/>
      <c r="CL13" s="685"/>
      <c r="CM13" s="685"/>
      <c r="CN13" s="685"/>
      <c r="CO13" s="685"/>
    </row>
    <row r="14" ht="16.95" customHeight="1" spans="1:93">
      <c r="B14" s="693"/>
      <c r="C14" s="693"/>
      <c r="D14" s="693"/>
      <c r="E14" s="693"/>
      <c r="F14" s="693"/>
      <c r="G14" s="693"/>
      <c r="H14" s="693"/>
      <c r="I14" s="694"/>
      <c r="J14" s="694"/>
      <c r="K14" s="694"/>
      <c r="L14" s="694"/>
      <c r="M14" s="694"/>
      <c r="N14" s="694"/>
      <c r="O14" s="694"/>
      <c r="P14" s="694"/>
      <c r="Q14" s="694"/>
      <c r="R14" s="694"/>
      <c r="S14" s="695"/>
      <c r="T14" s="695"/>
      <c r="U14" s="682" t="s">
        <v>279</v>
      </c>
      <c r="V14" s="696"/>
      <c r="W14" s="696"/>
      <c r="X14" s="688"/>
      <c r="Y14" s="697"/>
      <c r="Z14" s="697"/>
      <c r="AA14" s="697"/>
      <c r="AB14" s="697"/>
      <c r="AC14" s="697"/>
      <c r="AD14" s="697"/>
      <c r="AE14" s="697"/>
      <c r="AF14" s="694"/>
      <c r="AG14" s="694"/>
      <c r="AH14" s="694"/>
      <c r="AI14" s="694"/>
      <c r="AJ14" s="694"/>
      <c r="AK14" s="694"/>
      <c r="AL14" s="694"/>
      <c r="AM14" s="694"/>
      <c r="AN14" s="694"/>
      <c r="AO14" s="694"/>
      <c r="AP14" s="695"/>
      <c r="AQ14" s="695"/>
      <c r="AR14" s="682" t="s">
        <v>279</v>
      </c>
      <c r="AS14" s="696"/>
      <c r="AT14" s="696"/>
      <c r="AU14" s="688"/>
      <c r="AW14" s="698"/>
      <c r="AX14" s="699"/>
      <c r="AY14" s="699"/>
      <c r="AZ14" s="699"/>
      <c r="BA14" s="699"/>
      <c r="BB14" s="699"/>
      <c r="BC14" s="699"/>
      <c r="BD14" s="699"/>
      <c r="BE14" s="699"/>
      <c r="BF14" s="699"/>
      <c r="BG14" s="699"/>
      <c r="BH14" s="699"/>
      <c r="BI14" s="699"/>
      <c r="BJ14" s="699"/>
      <c r="BK14" s="699"/>
      <c r="BL14" s="699"/>
      <c r="BM14" s="699"/>
      <c r="BN14" s="699"/>
      <c r="BO14" s="699"/>
      <c r="BP14" s="699"/>
      <c r="BQ14" s="699"/>
      <c r="BR14" s="700"/>
      <c r="BT14" s="694"/>
      <c r="BU14" s="694"/>
      <c r="BV14" s="694"/>
      <c r="BW14" s="694"/>
      <c r="BX14" s="694"/>
      <c r="BY14" s="694"/>
      <c r="BZ14" s="694"/>
      <c r="CA14" s="694"/>
      <c r="CB14" s="694"/>
      <c r="CC14" s="694"/>
      <c r="CD14" s="694"/>
      <c r="CE14" s="694"/>
      <c r="CF14" s="694"/>
      <c r="CG14" s="694"/>
      <c r="CH14" s="694"/>
      <c r="CI14" s="694"/>
      <c r="CJ14" s="694"/>
      <c r="CK14" s="694"/>
      <c r="CL14" s="694"/>
      <c r="CM14" s="694"/>
      <c r="CN14" s="694"/>
      <c r="CO14" s="694"/>
    </row>
    <row r="15" ht="7.95" customHeight="1" spans="1:93">
      <c r="B15" s="28"/>
      <c r="C15" s="28"/>
      <c r="D15" s="28"/>
      <c r="E15" s="28"/>
      <c r="F15" s="28"/>
      <c r="G15" s="28"/>
      <c r="H15" s="28"/>
      <c r="I15" s="34"/>
      <c r="J15" s="34"/>
      <c r="K15" s="34"/>
      <c r="L15" s="34"/>
      <c r="M15" s="34"/>
      <c r="N15" s="34"/>
      <c r="O15" s="34"/>
      <c r="P15" s="34"/>
      <c r="Q15" s="34"/>
      <c r="R15" s="34"/>
      <c r="S15" s="706"/>
      <c r="T15" s="706"/>
      <c r="V15" s="706"/>
      <c r="W15" s="706"/>
      <c r="Y15" s="34"/>
      <c r="Z15" s="34"/>
      <c r="AA15" s="34"/>
      <c r="AB15" s="34"/>
      <c r="AC15" s="34"/>
      <c r="AD15" s="34"/>
      <c r="AE15" s="34"/>
      <c r="AF15" s="34"/>
      <c r="AG15" s="34"/>
      <c r="AH15" s="34"/>
      <c r="AI15" s="34"/>
      <c r="AJ15" s="34"/>
      <c r="AK15" s="34"/>
      <c r="AL15" s="34"/>
      <c r="AM15" s="34"/>
      <c r="AN15" s="34"/>
      <c r="AO15" s="34"/>
      <c r="AP15" s="706"/>
      <c r="AQ15" s="706"/>
      <c r="AS15" s="706"/>
      <c r="AT15" s="706"/>
    </row>
    <row r="16" ht="16.95" customHeight="1" spans="1:93">
      <c r="B16" s="684"/>
      <c r="C16" s="684"/>
      <c r="D16" s="684"/>
      <c r="E16" s="684"/>
      <c r="F16" s="684"/>
      <c r="G16" s="684"/>
      <c r="H16" s="684"/>
      <c r="I16" s="685"/>
      <c r="J16" s="685"/>
      <c r="K16" s="685"/>
      <c r="L16" s="685"/>
      <c r="M16" s="685"/>
      <c r="N16" s="685"/>
      <c r="O16" s="685"/>
      <c r="P16" s="685"/>
      <c r="Q16" s="685"/>
      <c r="R16" s="685"/>
      <c r="S16" s="686"/>
      <c r="T16" s="686"/>
      <c r="U16" s="682" t="s">
        <v>279</v>
      </c>
      <c r="V16" s="687"/>
      <c r="W16" s="687"/>
      <c r="X16" s="688"/>
      <c r="Y16" s="689"/>
      <c r="Z16" s="689"/>
      <c r="AA16" s="689"/>
      <c r="AB16" s="689"/>
      <c r="AC16" s="689"/>
      <c r="AD16" s="689"/>
      <c r="AE16" s="689"/>
      <c r="AF16" s="685"/>
      <c r="AG16" s="685"/>
      <c r="AH16" s="685"/>
      <c r="AI16" s="685"/>
      <c r="AJ16" s="685"/>
      <c r="AK16" s="685"/>
      <c r="AL16" s="685"/>
      <c r="AM16" s="685"/>
      <c r="AN16" s="685"/>
      <c r="AO16" s="685"/>
      <c r="AP16" s="686"/>
      <c r="AQ16" s="686"/>
      <c r="AR16" s="682" t="s">
        <v>279</v>
      </c>
      <c r="AS16" s="687"/>
      <c r="AT16" s="687"/>
      <c r="AU16" s="688"/>
      <c r="AW16" s="690"/>
      <c r="AX16" s="691"/>
      <c r="AY16" s="691"/>
      <c r="AZ16" s="691"/>
      <c r="BA16" s="691"/>
      <c r="BB16" s="691"/>
      <c r="BC16" s="691"/>
      <c r="BD16" s="691"/>
      <c r="BE16" s="691"/>
      <c r="BF16" s="691"/>
      <c r="BG16" s="691"/>
      <c r="BH16" s="691"/>
      <c r="BI16" s="691"/>
      <c r="BJ16" s="691"/>
      <c r="BK16" s="691"/>
      <c r="BL16" s="691"/>
      <c r="BM16" s="691"/>
      <c r="BN16" s="691"/>
      <c r="BO16" s="691"/>
      <c r="BP16" s="691"/>
      <c r="BQ16" s="691"/>
      <c r="BR16" s="692"/>
      <c r="BT16" s="685"/>
      <c r="BU16" s="685"/>
      <c r="BV16" s="685"/>
      <c r="BW16" s="685"/>
      <c r="BX16" s="685"/>
      <c r="BY16" s="685"/>
      <c r="BZ16" s="685"/>
      <c r="CA16" s="685"/>
      <c r="CB16" s="685"/>
      <c r="CC16" s="685"/>
      <c r="CD16" s="685"/>
      <c r="CE16" s="685"/>
      <c r="CF16" s="685"/>
      <c r="CG16" s="685"/>
      <c r="CH16" s="685"/>
      <c r="CI16" s="685"/>
      <c r="CJ16" s="685"/>
      <c r="CK16" s="685"/>
      <c r="CL16" s="685"/>
      <c r="CM16" s="685"/>
      <c r="CN16" s="685"/>
      <c r="CO16" s="685"/>
    </row>
    <row r="17" ht="16.95" customHeight="1" spans="2:93">
      <c r="B17" s="693"/>
      <c r="C17" s="693"/>
      <c r="D17" s="693"/>
      <c r="E17" s="693"/>
      <c r="F17" s="693"/>
      <c r="G17" s="693"/>
      <c r="H17" s="693"/>
      <c r="I17" s="694"/>
      <c r="J17" s="694"/>
      <c r="K17" s="694"/>
      <c r="L17" s="694"/>
      <c r="M17" s="694"/>
      <c r="N17" s="694"/>
      <c r="O17" s="694"/>
      <c r="P17" s="694"/>
      <c r="Q17" s="694"/>
      <c r="R17" s="694"/>
      <c r="S17" s="695"/>
      <c r="T17" s="695"/>
      <c r="U17" s="682" t="s">
        <v>279</v>
      </c>
      <c r="V17" s="696"/>
      <c r="W17" s="696"/>
      <c r="X17" s="688"/>
      <c r="Y17" s="697"/>
      <c r="Z17" s="697"/>
      <c r="AA17" s="697"/>
      <c r="AB17" s="697"/>
      <c r="AC17" s="697"/>
      <c r="AD17" s="697"/>
      <c r="AE17" s="697"/>
      <c r="AF17" s="694"/>
      <c r="AG17" s="694"/>
      <c r="AH17" s="694"/>
      <c r="AI17" s="694"/>
      <c r="AJ17" s="694"/>
      <c r="AK17" s="694"/>
      <c r="AL17" s="694"/>
      <c r="AM17" s="694"/>
      <c r="AN17" s="694"/>
      <c r="AO17" s="694"/>
      <c r="AP17" s="695"/>
      <c r="AQ17" s="695"/>
      <c r="AR17" s="682" t="s">
        <v>279</v>
      </c>
      <c r="AS17" s="696"/>
      <c r="AT17" s="696"/>
      <c r="AU17" s="688"/>
      <c r="AW17" s="698"/>
      <c r="AX17" s="699"/>
      <c r="AY17" s="699"/>
      <c r="AZ17" s="699"/>
      <c r="BA17" s="699"/>
      <c r="BB17" s="699"/>
      <c r="BC17" s="699"/>
      <c r="BD17" s="699"/>
      <c r="BE17" s="699"/>
      <c r="BF17" s="699"/>
      <c r="BG17" s="699"/>
      <c r="BH17" s="699"/>
      <c r="BI17" s="699"/>
      <c r="BJ17" s="699"/>
      <c r="BK17" s="699"/>
      <c r="BL17" s="699"/>
      <c r="BM17" s="699"/>
      <c r="BN17" s="699"/>
      <c r="BO17" s="699"/>
      <c r="BP17" s="699"/>
      <c r="BQ17" s="699"/>
      <c r="BR17" s="700"/>
      <c r="BT17" s="694"/>
      <c r="BU17" s="694"/>
      <c r="BV17" s="694"/>
      <c r="BW17" s="694"/>
      <c r="BX17" s="694"/>
      <c r="BY17" s="694"/>
      <c r="BZ17" s="694"/>
      <c r="CA17" s="694"/>
      <c r="CB17" s="694"/>
      <c r="CC17" s="694"/>
      <c r="CD17" s="694"/>
      <c r="CE17" s="694"/>
      <c r="CF17" s="694"/>
      <c r="CG17" s="694"/>
      <c r="CH17" s="694"/>
      <c r="CI17" s="694"/>
      <c r="CJ17" s="694"/>
      <c r="CK17" s="694"/>
      <c r="CL17" s="694"/>
      <c r="CM17" s="694"/>
      <c r="CN17" s="694"/>
      <c r="CO17" s="694"/>
    </row>
    <row r="18" ht="16.95" customHeight="1" spans="2:93">
      <c r="B18" s="684"/>
      <c r="C18" s="684"/>
      <c r="D18" s="684"/>
      <c r="E18" s="684"/>
      <c r="F18" s="684"/>
      <c r="G18" s="684"/>
      <c r="H18" s="684"/>
      <c r="I18" s="685"/>
      <c r="J18" s="685"/>
      <c r="K18" s="685"/>
      <c r="L18" s="685"/>
      <c r="M18" s="685"/>
      <c r="N18" s="685"/>
      <c r="O18" s="685"/>
      <c r="P18" s="685"/>
      <c r="Q18" s="685"/>
      <c r="R18" s="685"/>
      <c r="S18" s="686"/>
      <c r="T18" s="686"/>
      <c r="U18" s="682" t="s">
        <v>279</v>
      </c>
      <c r="V18" s="687"/>
      <c r="W18" s="687"/>
      <c r="X18" s="688"/>
      <c r="Y18" s="689"/>
      <c r="Z18" s="689"/>
      <c r="AA18" s="689"/>
      <c r="AB18" s="689"/>
      <c r="AC18" s="689"/>
      <c r="AD18" s="689"/>
      <c r="AE18" s="689"/>
      <c r="AF18" s="685"/>
      <c r="AG18" s="685"/>
      <c r="AH18" s="685"/>
      <c r="AI18" s="685"/>
      <c r="AJ18" s="685"/>
      <c r="AK18" s="685"/>
      <c r="AL18" s="685"/>
      <c r="AM18" s="685"/>
      <c r="AN18" s="685"/>
      <c r="AO18" s="685"/>
      <c r="AP18" s="686"/>
      <c r="AQ18" s="686"/>
      <c r="AR18" s="682" t="s">
        <v>279</v>
      </c>
      <c r="AS18" s="687"/>
      <c r="AT18" s="687"/>
      <c r="AU18" s="688"/>
      <c r="AW18" s="690"/>
      <c r="AX18" s="691"/>
      <c r="AY18" s="691"/>
      <c r="AZ18" s="691"/>
      <c r="BA18" s="691"/>
      <c r="BB18" s="691"/>
      <c r="BC18" s="691"/>
      <c r="BD18" s="691"/>
      <c r="BE18" s="691"/>
      <c r="BF18" s="691"/>
      <c r="BG18" s="691"/>
      <c r="BH18" s="691"/>
      <c r="BI18" s="691"/>
      <c r="BJ18" s="691"/>
      <c r="BK18" s="691"/>
      <c r="BL18" s="691"/>
      <c r="BM18" s="691"/>
      <c r="BN18" s="691"/>
      <c r="BO18" s="691"/>
      <c r="BP18" s="691"/>
      <c r="BQ18" s="691"/>
      <c r="BR18" s="692"/>
      <c r="BT18" s="685"/>
      <c r="BU18" s="685"/>
      <c r="BV18" s="685"/>
      <c r="BW18" s="685"/>
      <c r="BX18" s="685"/>
      <c r="BY18" s="685"/>
      <c r="BZ18" s="685"/>
      <c r="CA18" s="685"/>
      <c r="CB18" s="685"/>
      <c r="CC18" s="685"/>
      <c r="CD18" s="685"/>
      <c r="CE18" s="685"/>
      <c r="CF18" s="685"/>
      <c r="CG18" s="685"/>
      <c r="CH18" s="685"/>
      <c r="CI18" s="685"/>
      <c r="CJ18" s="685"/>
      <c r="CK18" s="685"/>
      <c r="CL18" s="685"/>
      <c r="CM18" s="685"/>
      <c r="CN18" s="685"/>
      <c r="CO18" s="685"/>
    </row>
    <row r="19" ht="16.95" customHeight="1" spans="2:93">
      <c r="B19" s="693"/>
      <c r="C19" s="693"/>
      <c r="D19" s="693"/>
      <c r="E19" s="693"/>
      <c r="F19" s="693"/>
      <c r="G19" s="693"/>
      <c r="H19" s="693"/>
      <c r="I19" s="694"/>
      <c r="J19" s="694"/>
      <c r="K19" s="694"/>
      <c r="L19" s="694"/>
      <c r="M19" s="694"/>
      <c r="N19" s="694"/>
      <c r="O19" s="694"/>
      <c r="P19" s="694"/>
      <c r="Q19" s="694"/>
      <c r="R19" s="694"/>
      <c r="S19" s="695"/>
      <c r="T19" s="695"/>
      <c r="U19" s="682" t="s">
        <v>279</v>
      </c>
      <c r="V19" s="696"/>
      <c r="W19" s="696"/>
      <c r="X19" s="688"/>
      <c r="Y19" s="697"/>
      <c r="Z19" s="697"/>
      <c r="AA19" s="697"/>
      <c r="AB19" s="697"/>
      <c r="AC19" s="697"/>
      <c r="AD19" s="697"/>
      <c r="AE19" s="697"/>
      <c r="AF19" s="694"/>
      <c r="AG19" s="694"/>
      <c r="AH19" s="694"/>
      <c r="AI19" s="694"/>
      <c r="AJ19" s="694"/>
      <c r="AK19" s="694"/>
      <c r="AL19" s="694"/>
      <c r="AM19" s="694"/>
      <c r="AN19" s="694"/>
      <c r="AO19" s="694"/>
      <c r="AP19" s="695"/>
      <c r="AQ19" s="695"/>
      <c r="AR19" s="682" t="s">
        <v>279</v>
      </c>
      <c r="AS19" s="696"/>
      <c r="AT19" s="696"/>
      <c r="AU19" s="688"/>
      <c r="AW19" s="698"/>
      <c r="AX19" s="699"/>
      <c r="AY19" s="699"/>
      <c r="AZ19" s="699"/>
      <c r="BA19" s="699"/>
      <c r="BB19" s="699"/>
      <c r="BC19" s="699"/>
      <c r="BD19" s="699"/>
      <c r="BE19" s="699"/>
      <c r="BF19" s="699"/>
      <c r="BG19" s="699"/>
      <c r="BH19" s="699"/>
      <c r="BI19" s="699"/>
      <c r="BJ19" s="699"/>
      <c r="BK19" s="699"/>
      <c r="BL19" s="699"/>
      <c r="BM19" s="699"/>
      <c r="BN19" s="699"/>
      <c r="BO19" s="699"/>
      <c r="BP19" s="699"/>
      <c r="BQ19" s="699"/>
      <c r="BR19" s="700"/>
      <c r="BT19" s="694"/>
      <c r="BU19" s="694"/>
      <c r="BV19" s="694"/>
      <c r="BW19" s="694"/>
      <c r="BX19" s="694"/>
      <c r="BY19" s="694"/>
      <c r="BZ19" s="694"/>
      <c r="CA19" s="694"/>
      <c r="CB19" s="694"/>
      <c r="CC19" s="694"/>
      <c r="CD19" s="694"/>
      <c r="CE19" s="694"/>
      <c r="CF19" s="694"/>
      <c r="CG19" s="694"/>
      <c r="CH19" s="694"/>
      <c r="CI19" s="694"/>
      <c r="CJ19" s="694"/>
      <c r="CK19" s="694"/>
      <c r="CL19" s="694"/>
      <c r="CM19" s="694"/>
      <c r="CN19" s="694"/>
      <c r="CO19" s="694"/>
    </row>
    <row r="20" ht="16.95" customHeight="1" spans="2:93">
      <c r="B20" s="684"/>
      <c r="C20" s="684"/>
      <c r="D20" s="684"/>
      <c r="E20" s="684"/>
      <c r="F20" s="684"/>
      <c r="G20" s="684"/>
      <c r="H20" s="684"/>
      <c r="I20" s="685"/>
      <c r="J20" s="685"/>
      <c r="K20" s="685"/>
      <c r="L20" s="685"/>
      <c r="M20" s="685"/>
      <c r="N20" s="685"/>
      <c r="O20" s="685"/>
      <c r="P20" s="685"/>
      <c r="Q20" s="685"/>
      <c r="R20" s="685"/>
      <c r="S20" s="686"/>
      <c r="T20" s="686"/>
      <c r="U20" s="682" t="s">
        <v>279</v>
      </c>
      <c r="V20" s="687"/>
      <c r="W20" s="687"/>
      <c r="X20" s="688"/>
      <c r="Y20" s="689"/>
      <c r="Z20" s="689"/>
      <c r="AA20" s="689"/>
      <c r="AB20" s="689"/>
      <c r="AC20" s="689"/>
      <c r="AD20" s="689"/>
      <c r="AE20" s="689"/>
      <c r="AF20" s="685"/>
      <c r="AG20" s="685"/>
      <c r="AH20" s="685"/>
      <c r="AI20" s="685"/>
      <c r="AJ20" s="685"/>
      <c r="AK20" s="685"/>
      <c r="AL20" s="685"/>
      <c r="AM20" s="685"/>
      <c r="AN20" s="685"/>
      <c r="AO20" s="685"/>
      <c r="AP20" s="686"/>
      <c r="AQ20" s="686"/>
      <c r="AR20" s="682" t="s">
        <v>279</v>
      </c>
      <c r="AS20" s="687"/>
      <c r="AT20" s="687"/>
      <c r="AU20" s="688"/>
      <c r="AW20" s="690"/>
      <c r="AX20" s="691"/>
      <c r="AY20" s="691"/>
      <c r="AZ20" s="691"/>
      <c r="BA20" s="691"/>
      <c r="BB20" s="691"/>
      <c r="BC20" s="691"/>
      <c r="BD20" s="691"/>
      <c r="BE20" s="691"/>
      <c r="BF20" s="691"/>
      <c r="BG20" s="691"/>
      <c r="BH20" s="691"/>
      <c r="BI20" s="691"/>
      <c r="BJ20" s="691"/>
      <c r="BK20" s="691"/>
      <c r="BL20" s="691"/>
      <c r="BM20" s="691"/>
      <c r="BN20" s="691"/>
      <c r="BO20" s="691"/>
      <c r="BP20" s="691"/>
      <c r="BQ20" s="691"/>
      <c r="BR20" s="692"/>
      <c r="BT20" s="685"/>
      <c r="BU20" s="685"/>
      <c r="BV20" s="685"/>
      <c r="BW20" s="685"/>
      <c r="BX20" s="685"/>
      <c r="BY20" s="685"/>
      <c r="BZ20" s="685"/>
      <c r="CA20" s="685"/>
      <c r="CB20" s="685"/>
      <c r="CC20" s="685"/>
      <c r="CD20" s="685"/>
      <c r="CE20" s="685"/>
      <c r="CF20" s="685"/>
      <c r="CG20" s="685"/>
      <c r="CH20" s="685"/>
      <c r="CI20" s="685"/>
      <c r="CJ20" s="685"/>
      <c r="CK20" s="685"/>
      <c r="CL20" s="685"/>
      <c r="CM20" s="685"/>
      <c r="CN20" s="685"/>
      <c r="CO20" s="685"/>
    </row>
    <row r="21" ht="16.95" customHeight="1" spans="2:93">
      <c r="B21" s="701"/>
      <c r="C21" s="701"/>
      <c r="D21" s="701"/>
      <c r="E21" s="701"/>
      <c r="F21" s="701"/>
      <c r="G21" s="701"/>
      <c r="H21" s="701"/>
      <c r="I21" s="702"/>
      <c r="J21" s="702"/>
      <c r="K21" s="702"/>
      <c r="L21" s="702"/>
      <c r="M21" s="702"/>
      <c r="N21" s="702"/>
      <c r="O21" s="702"/>
      <c r="P21" s="702"/>
      <c r="Q21" s="702"/>
      <c r="R21" s="702"/>
      <c r="S21" s="695"/>
      <c r="T21" s="695"/>
      <c r="U21" s="682" t="s">
        <v>279</v>
      </c>
      <c r="V21" s="703"/>
      <c r="W21" s="703"/>
      <c r="X21" s="688"/>
      <c r="Y21" s="704"/>
      <c r="Z21" s="704"/>
      <c r="AA21" s="704"/>
      <c r="AB21" s="704"/>
      <c r="AC21" s="704"/>
      <c r="AD21" s="704"/>
      <c r="AE21" s="704"/>
      <c r="AF21" s="702"/>
      <c r="AG21" s="702"/>
      <c r="AH21" s="702"/>
      <c r="AI21" s="702"/>
      <c r="AJ21" s="702"/>
      <c r="AK21" s="702"/>
      <c r="AL21" s="702"/>
      <c r="AM21" s="702"/>
      <c r="AN21" s="702"/>
      <c r="AO21" s="702"/>
      <c r="AP21" s="695"/>
      <c r="AQ21" s="695"/>
      <c r="AR21" s="682" t="s">
        <v>279</v>
      </c>
      <c r="AS21" s="703"/>
      <c r="AT21" s="703"/>
      <c r="AU21" s="688"/>
      <c r="AW21" s="698"/>
      <c r="AX21" s="699"/>
      <c r="AY21" s="699"/>
      <c r="AZ21" s="699"/>
      <c r="BA21" s="699"/>
      <c r="BB21" s="699"/>
      <c r="BC21" s="699"/>
      <c r="BD21" s="699"/>
      <c r="BE21" s="699"/>
      <c r="BF21" s="699"/>
      <c r="BG21" s="699"/>
      <c r="BH21" s="699"/>
      <c r="BI21" s="699"/>
      <c r="BJ21" s="699"/>
      <c r="BK21" s="699"/>
      <c r="BL21" s="699"/>
      <c r="BM21" s="699"/>
      <c r="BN21" s="699"/>
      <c r="BO21" s="699"/>
      <c r="BP21" s="699"/>
      <c r="BQ21" s="699"/>
      <c r="BR21" s="700"/>
      <c r="BT21" s="694"/>
      <c r="BU21" s="694"/>
      <c r="BV21" s="694"/>
      <c r="BW21" s="694"/>
      <c r="BX21" s="694"/>
      <c r="BY21" s="694"/>
      <c r="BZ21" s="694"/>
      <c r="CA21" s="694"/>
      <c r="CB21" s="694"/>
      <c r="CC21" s="694"/>
      <c r="CD21" s="694"/>
      <c r="CE21" s="694"/>
      <c r="CF21" s="694"/>
      <c r="CG21" s="694"/>
      <c r="CH21" s="694"/>
      <c r="CI21" s="694"/>
      <c r="CJ21" s="694"/>
      <c r="CK21" s="694"/>
      <c r="CL21" s="694"/>
      <c r="CM21" s="694"/>
      <c r="CN21" s="694"/>
      <c r="CO21" s="694"/>
    </row>
    <row r="22" ht="16.95" customHeight="1" spans="2:93">
      <c r="B22" s="684"/>
      <c r="C22" s="684"/>
      <c r="D22" s="684"/>
      <c r="E22" s="684"/>
      <c r="F22" s="684"/>
      <c r="G22" s="684"/>
      <c r="H22" s="684"/>
      <c r="I22" s="685"/>
      <c r="J22" s="685"/>
      <c r="K22" s="685"/>
      <c r="L22" s="685"/>
      <c r="M22" s="685"/>
      <c r="N22" s="685"/>
      <c r="O22" s="685"/>
      <c r="P22" s="685"/>
      <c r="Q22" s="685"/>
      <c r="R22" s="685"/>
      <c r="S22" s="686"/>
      <c r="T22" s="686"/>
      <c r="U22" s="682" t="s">
        <v>279</v>
      </c>
      <c r="V22" s="687"/>
      <c r="W22" s="687"/>
      <c r="X22" s="688"/>
      <c r="Y22" s="689"/>
      <c r="Z22" s="689"/>
      <c r="AA22" s="689"/>
      <c r="AB22" s="689"/>
      <c r="AC22" s="689"/>
      <c r="AD22" s="689"/>
      <c r="AE22" s="689"/>
      <c r="AF22" s="685"/>
      <c r="AG22" s="685"/>
      <c r="AH22" s="685"/>
      <c r="AI22" s="685"/>
      <c r="AJ22" s="685"/>
      <c r="AK22" s="685"/>
      <c r="AL22" s="685"/>
      <c r="AM22" s="685"/>
      <c r="AN22" s="685"/>
      <c r="AO22" s="685"/>
      <c r="AP22" s="686"/>
      <c r="AQ22" s="686"/>
      <c r="AR22" s="682" t="s">
        <v>279</v>
      </c>
      <c r="AS22" s="687"/>
      <c r="AT22" s="687"/>
      <c r="AU22" s="688"/>
      <c r="AW22" s="690"/>
      <c r="AX22" s="691"/>
      <c r="AY22" s="691"/>
      <c r="AZ22" s="691"/>
      <c r="BA22" s="691"/>
      <c r="BB22" s="691"/>
      <c r="BC22" s="691"/>
      <c r="BD22" s="691"/>
      <c r="BE22" s="691"/>
      <c r="BF22" s="691"/>
      <c r="BG22" s="691"/>
      <c r="BH22" s="691"/>
      <c r="BI22" s="691"/>
      <c r="BJ22" s="691"/>
      <c r="BK22" s="691"/>
      <c r="BL22" s="691"/>
      <c r="BM22" s="691"/>
      <c r="BN22" s="691"/>
      <c r="BO22" s="691"/>
      <c r="BP22" s="691"/>
      <c r="BQ22" s="691"/>
      <c r="BR22" s="692"/>
      <c r="BT22" s="685"/>
      <c r="BU22" s="685"/>
      <c r="BV22" s="685"/>
      <c r="BW22" s="685"/>
      <c r="BX22" s="685"/>
      <c r="BY22" s="685"/>
      <c r="BZ22" s="685"/>
      <c r="CA22" s="685"/>
      <c r="CB22" s="685"/>
      <c r="CC22" s="685"/>
      <c r="CD22" s="685"/>
      <c r="CE22" s="685"/>
      <c r="CF22" s="685"/>
      <c r="CG22" s="685"/>
      <c r="CH22" s="685"/>
      <c r="CI22" s="685"/>
      <c r="CJ22" s="685"/>
      <c r="CK22" s="685"/>
      <c r="CL22" s="685"/>
      <c r="CM22" s="685"/>
      <c r="CN22" s="685"/>
      <c r="CO22" s="685"/>
    </row>
    <row r="23" ht="16.95" customHeight="1" spans="2:93">
      <c r="B23" s="693"/>
      <c r="C23" s="693"/>
      <c r="D23" s="693"/>
      <c r="E23" s="693"/>
      <c r="F23" s="693"/>
      <c r="G23" s="693"/>
      <c r="H23" s="693"/>
      <c r="I23" s="694"/>
      <c r="J23" s="694"/>
      <c r="K23" s="694"/>
      <c r="L23" s="694"/>
      <c r="M23" s="694"/>
      <c r="N23" s="694"/>
      <c r="O23" s="694"/>
      <c r="P23" s="694"/>
      <c r="Q23" s="694"/>
      <c r="R23" s="694"/>
      <c r="S23" s="695"/>
      <c r="T23" s="695"/>
      <c r="U23" s="682" t="s">
        <v>279</v>
      </c>
      <c r="V23" s="696"/>
      <c r="W23" s="696"/>
      <c r="X23" s="688"/>
      <c r="Y23" s="697"/>
      <c r="Z23" s="697"/>
      <c r="AA23" s="697"/>
      <c r="AB23" s="697"/>
      <c r="AC23" s="697"/>
      <c r="AD23" s="697"/>
      <c r="AE23" s="697"/>
      <c r="AF23" s="694"/>
      <c r="AG23" s="694"/>
      <c r="AH23" s="694"/>
      <c r="AI23" s="694"/>
      <c r="AJ23" s="694"/>
      <c r="AK23" s="694"/>
      <c r="AL23" s="694"/>
      <c r="AM23" s="694"/>
      <c r="AN23" s="694"/>
      <c r="AO23" s="694"/>
      <c r="AP23" s="695"/>
      <c r="AQ23" s="695"/>
      <c r="AR23" s="682" t="s">
        <v>279</v>
      </c>
      <c r="AS23" s="696"/>
      <c r="AT23" s="696"/>
      <c r="AU23" s="688"/>
      <c r="AW23" s="698"/>
      <c r="AX23" s="699"/>
      <c r="AY23" s="699"/>
      <c r="AZ23" s="699"/>
      <c r="BA23" s="699"/>
      <c r="BB23" s="699"/>
      <c r="BC23" s="699"/>
      <c r="BD23" s="699"/>
      <c r="BE23" s="699"/>
      <c r="BF23" s="699"/>
      <c r="BG23" s="699"/>
      <c r="BH23" s="699"/>
      <c r="BI23" s="699"/>
      <c r="BJ23" s="699"/>
      <c r="BK23" s="699"/>
      <c r="BL23" s="699"/>
      <c r="BM23" s="699"/>
      <c r="BN23" s="699"/>
      <c r="BO23" s="699"/>
      <c r="BP23" s="699"/>
      <c r="BQ23" s="699"/>
      <c r="BR23" s="700"/>
      <c r="BT23" s="694"/>
      <c r="BU23" s="694"/>
      <c r="BV23" s="694"/>
      <c r="BW23" s="694"/>
      <c r="BX23" s="694"/>
      <c r="BY23" s="694"/>
      <c r="BZ23" s="694"/>
      <c r="CA23" s="694"/>
      <c r="CB23" s="694"/>
      <c r="CC23" s="694"/>
      <c r="CD23" s="694"/>
      <c r="CE23" s="694"/>
      <c r="CF23" s="694"/>
      <c r="CG23" s="694"/>
      <c r="CH23" s="694"/>
      <c r="CI23" s="694"/>
      <c r="CJ23" s="694"/>
      <c r="CK23" s="694"/>
      <c r="CL23" s="694"/>
      <c r="CM23" s="694"/>
      <c r="CN23" s="694"/>
      <c r="CO23" s="694"/>
    </row>
    <row r="24" ht="16.95" customHeight="1" spans="2:93">
      <c r="B24" s="684"/>
      <c r="C24" s="684"/>
      <c r="D24" s="684"/>
      <c r="E24" s="684"/>
      <c r="F24" s="684"/>
      <c r="G24" s="684"/>
      <c r="H24" s="684"/>
      <c r="I24" s="685"/>
      <c r="J24" s="685"/>
      <c r="K24" s="685"/>
      <c r="L24" s="685"/>
      <c r="M24" s="685"/>
      <c r="N24" s="685"/>
      <c r="O24" s="685"/>
      <c r="P24" s="685"/>
      <c r="Q24" s="685"/>
      <c r="R24" s="685"/>
      <c r="S24" s="686"/>
      <c r="T24" s="686"/>
      <c r="U24" s="682" t="s">
        <v>279</v>
      </c>
      <c r="V24" s="687"/>
      <c r="W24" s="687"/>
      <c r="X24" s="688"/>
      <c r="Y24" s="689"/>
      <c r="Z24" s="689"/>
      <c r="AA24" s="689"/>
      <c r="AB24" s="689"/>
      <c r="AC24" s="689"/>
      <c r="AD24" s="689"/>
      <c r="AE24" s="689"/>
      <c r="AF24" s="685"/>
      <c r="AG24" s="685"/>
      <c r="AH24" s="685"/>
      <c r="AI24" s="685"/>
      <c r="AJ24" s="685"/>
      <c r="AK24" s="685"/>
      <c r="AL24" s="685"/>
      <c r="AM24" s="685"/>
      <c r="AN24" s="685"/>
      <c r="AO24" s="685"/>
      <c r="AP24" s="686"/>
      <c r="AQ24" s="686"/>
      <c r="AR24" s="682" t="s">
        <v>279</v>
      </c>
      <c r="AS24" s="687"/>
      <c r="AT24" s="687"/>
      <c r="AU24" s="688"/>
      <c r="AW24" s="690"/>
      <c r="AX24" s="691"/>
      <c r="AY24" s="691"/>
      <c r="AZ24" s="691"/>
      <c r="BA24" s="691"/>
      <c r="BB24" s="691"/>
      <c r="BC24" s="691"/>
      <c r="BD24" s="691"/>
      <c r="BE24" s="691"/>
      <c r="BF24" s="691"/>
      <c r="BG24" s="691"/>
      <c r="BH24" s="691"/>
      <c r="BI24" s="691"/>
      <c r="BJ24" s="691"/>
      <c r="BK24" s="691"/>
      <c r="BL24" s="691"/>
      <c r="BM24" s="691"/>
      <c r="BN24" s="691"/>
      <c r="BO24" s="691"/>
      <c r="BP24" s="691"/>
      <c r="BQ24" s="691"/>
      <c r="BR24" s="692"/>
      <c r="BT24" s="685"/>
      <c r="BU24" s="685"/>
      <c r="BV24" s="685"/>
      <c r="BW24" s="685"/>
      <c r="BX24" s="685"/>
      <c r="BY24" s="685"/>
      <c r="BZ24" s="685"/>
      <c r="CA24" s="685"/>
      <c r="CB24" s="685"/>
      <c r="CC24" s="685"/>
      <c r="CD24" s="685"/>
      <c r="CE24" s="685"/>
      <c r="CF24" s="685"/>
      <c r="CG24" s="685"/>
      <c r="CH24" s="685"/>
      <c r="CI24" s="685"/>
      <c r="CJ24" s="685"/>
      <c r="CK24" s="685"/>
      <c r="CL24" s="685"/>
      <c r="CM24" s="685"/>
      <c r="CN24" s="685"/>
      <c r="CO24" s="685"/>
    </row>
    <row r="25" ht="16.95" customHeight="1" spans="2:93">
      <c r="B25" s="693"/>
      <c r="C25" s="693"/>
      <c r="D25" s="693"/>
      <c r="E25" s="693"/>
      <c r="F25" s="693"/>
      <c r="G25" s="693"/>
      <c r="H25" s="693"/>
      <c r="I25" s="694"/>
      <c r="J25" s="694"/>
      <c r="K25" s="694"/>
      <c r="L25" s="694"/>
      <c r="M25" s="694"/>
      <c r="N25" s="694"/>
      <c r="O25" s="694"/>
      <c r="P25" s="694"/>
      <c r="Q25" s="694"/>
      <c r="R25" s="694"/>
      <c r="S25" s="695"/>
      <c r="T25" s="695"/>
      <c r="U25" s="682" t="s">
        <v>279</v>
      </c>
      <c r="V25" s="696"/>
      <c r="W25" s="696"/>
      <c r="X25" s="688"/>
      <c r="Y25" s="697"/>
      <c r="Z25" s="697"/>
      <c r="AA25" s="697"/>
      <c r="AB25" s="697"/>
      <c r="AC25" s="697"/>
      <c r="AD25" s="697"/>
      <c r="AE25" s="697"/>
      <c r="AF25" s="694"/>
      <c r="AG25" s="694"/>
      <c r="AH25" s="694"/>
      <c r="AI25" s="694"/>
      <c r="AJ25" s="694"/>
      <c r="AK25" s="694"/>
      <c r="AL25" s="694"/>
      <c r="AM25" s="694"/>
      <c r="AN25" s="694"/>
      <c r="AO25" s="694"/>
      <c r="AP25" s="695"/>
      <c r="AQ25" s="695"/>
      <c r="AR25" s="682" t="s">
        <v>279</v>
      </c>
      <c r="AS25" s="696"/>
      <c r="AT25" s="696"/>
      <c r="AU25" s="688"/>
      <c r="AW25" s="698"/>
      <c r="AX25" s="699"/>
      <c r="AY25" s="699"/>
      <c r="AZ25" s="699"/>
      <c r="BA25" s="699"/>
      <c r="BB25" s="699"/>
      <c r="BC25" s="699"/>
      <c r="BD25" s="699"/>
      <c r="BE25" s="699"/>
      <c r="BF25" s="699"/>
      <c r="BG25" s="699"/>
      <c r="BH25" s="699"/>
      <c r="BI25" s="699"/>
      <c r="BJ25" s="699"/>
      <c r="BK25" s="699"/>
      <c r="BL25" s="699"/>
      <c r="BM25" s="699"/>
      <c r="BN25" s="699"/>
      <c r="BO25" s="699"/>
      <c r="BP25" s="699"/>
      <c r="BQ25" s="699"/>
      <c r="BR25" s="700"/>
      <c r="BT25" s="694"/>
      <c r="BU25" s="694"/>
      <c r="BV25" s="694"/>
      <c r="BW25" s="694"/>
      <c r="BX25" s="694"/>
      <c r="BY25" s="694"/>
      <c r="BZ25" s="694"/>
      <c r="CA25" s="694"/>
      <c r="CB25" s="694"/>
      <c r="CC25" s="694"/>
      <c r="CD25" s="694"/>
      <c r="CE25" s="694"/>
      <c r="CF25" s="694"/>
      <c r="CG25" s="694"/>
      <c r="CH25" s="694"/>
      <c r="CI25" s="694"/>
      <c r="CJ25" s="694"/>
      <c r="CK25" s="694"/>
      <c r="CL25" s="694"/>
      <c r="CM25" s="694"/>
      <c r="CN25" s="694"/>
      <c r="CO25" s="694"/>
    </row>
    <row r="26" ht="7.95" customHeight="1" spans="2:93">
      <c r="AS26" s="707"/>
      <c r="AT26" s="707"/>
    </row>
    <row r="27" ht="16.95" customHeight="1" spans="2:93">
      <c r="B27" s="708" t="s">
        <v>280</v>
      </c>
      <c r="C27" s="709"/>
      <c r="D27" s="672"/>
      <c r="E27" s="673"/>
      <c r="F27" s="673"/>
      <c r="G27" s="673"/>
      <c r="H27" s="710" t="s">
        <v>207</v>
      </c>
      <c r="I27" s="710"/>
      <c r="J27" s="710"/>
      <c r="K27" s="710"/>
      <c r="L27" s="710"/>
      <c r="M27" s="710"/>
      <c r="N27" s="710"/>
      <c r="O27" s="710"/>
      <c r="P27" s="674" t="str">
        <f>IF(U27&gt;500,"超载","")</f>
        <v/>
      </c>
      <c r="Q27" s="674"/>
      <c r="R27" s="674"/>
      <c r="S27" s="674"/>
      <c r="T27" s="674"/>
      <c r="U27" s="711">
        <f>SUMPRODUCT(S29:T82,V29:W82)</f>
        <v>0</v>
      </c>
      <c r="V27" s="711"/>
      <c r="W27" s="712"/>
      <c r="Y27" s="708" t="s">
        <v>280</v>
      </c>
      <c r="Z27" s="709"/>
      <c r="AA27" s="672"/>
      <c r="AB27" s="673"/>
      <c r="AC27" s="673"/>
      <c r="AD27" s="673"/>
      <c r="AE27" s="710" t="s">
        <v>281</v>
      </c>
      <c r="AF27" s="710"/>
      <c r="AG27" s="710"/>
      <c r="AH27" s="710"/>
      <c r="AI27" s="710"/>
      <c r="AJ27" s="710"/>
      <c r="AK27" s="710"/>
      <c r="AL27" s="710"/>
      <c r="AM27" s="674" t="str">
        <f>IF(AR27&gt;120,"超载","")</f>
        <v/>
      </c>
      <c r="AN27" s="674"/>
      <c r="AO27" s="674"/>
      <c r="AP27" s="674"/>
      <c r="AQ27" s="674"/>
      <c r="AR27" s="711">
        <f>SUMPRODUCT(AP29:AQ82,AS29:AT82)</f>
        <v>0</v>
      </c>
      <c r="AS27" s="711"/>
      <c r="AT27" s="712"/>
    </row>
    <row r="28" ht="16.95" customHeight="1" spans="2:93">
      <c r="B28" s="31" t="s">
        <v>114</v>
      </c>
      <c r="C28" s="31"/>
      <c r="D28" s="31"/>
      <c r="E28" s="31"/>
      <c r="F28" s="31"/>
      <c r="G28" s="31"/>
      <c r="H28" s="31"/>
      <c r="I28" s="31" t="s">
        <v>176</v>
      </c>
      <c r="J28" s="31"/>
      <c r="K28" s="31"/>
      <c r="L28" s="31"/>
      <c r="M28" s="31"/>
      <c r="N28" s="31"/>
      <c r="O28" s="31"/>
      <c r="P28" s="31"/>
      <c r="Q28" s="31"/>
      <c r="R28" s="31"/>
      <c r="S28" s="31" t="s">
        <v>116</v>
      </c>
      <c r="T28" s="31"/>
      <c r="U28" s="682"/>
      <c r="V28" s="31" t="s">
        <v>173</v>
      </c>
      <c r="W28" s="31"/>
      <c r="X28" s="682"/>
      <c r="Y28" s="31" t="s">
        <v>114</v>
      </c>
      <c r="Z28" s="31"/>
      <c r="AA28" s="31"/>
      <c r="AB28" s="31"/>
      <c r="AC28" s="31"/>
      <c r="AD28" s="31"/>
      <c r="AE28" s="31"/>
      <c r="AF28" s="31" t="s">
        <v>176</v>
      </c>
      <c r="AG28" s="31"/>
      <c r="AH28" s="31"/>
      <c r="AI28" s="31"/>
      <c r="AJ28" s="31"/>
      <c r="AK28" s="31"/>
      <c r="AL28" s="31"/>
      <c r="AM28" s="31"/>
      <c r="AN28" s="31"/>
      <c r="AO28" s="31"/>
      <c r="AP28" s="31" t="s">
        <v>116</v>
      </c>
      <c r="AQ28" s="31"/>
      <c r="AR28" s="682"/>
      <c r="AS28" s="31" t="s">
        <v>173</v>
      </c>
      <c r="AT28" s="31"/>
    </row>
    <row r="29" ht="16.95" customHeight="1" spans="2:93">
      <c r="B29" s="689"/>
      <c r="C29" s="689"/>
      <c r="D29" s="689"/>
      <c r="E29" s="689"/>
      <c r="F29" s="689"/>
      <c r="G29" s="689"/>
      <c r="H29" s="689"/>
      <c r="I29" s="685"/>
      <c r="J29" s="685"/>
      <c r="K29" s="685"/>
      <c r="L29" s="685"/>
      <c r="M29" s="685"/>
      <c r="N29" s="685"/>
      <c r="O29" s="685"/>
      <c r="P29" s="685"/>
      <c r="Q29" s="685"/>
      <c r="R29" s="685"/>
      <c r="S29" s="686"/>
      <c r="T29" s="686"/>
      <c r="U29" s="682" t="s">
        <v>279</v>
      </c>
      <c r="V29" s="687"/>
      <c r="W29" s="687"/>
      <c r="Y29" s="689"/>
      <c r="Z29" s="689"/>
      <c r="AA29" s="689"/>
      <c r="AB29" s="689"/>
      <c r="AC29" s="689"/>
      <c r="AD29" s="689"/>
      <c r="AE29" s="689"/>
      <c r="AF29" s="685"/>
      <c r="AG29" s="685"/>
      <c r="AH29" s="685"/>
      <c r="AI29" s="685"/>
      <c r="AJ29" s="685"/>
      <c r="AK29" s="685"/>
      <c r="AL29" s="685"/>
      <c r="AM29" s="685"/>
      <c r="AN29" s="685"/>
      <c r="AO29" s="685"/>
      <c r="AP29" s="686"/>
      <c r="AQ29" s="686"/>
      <c r="AR29" s="682" t="s">
        <v>279</v>
      </c>
      <c r="AS29" s="687"/>
      <c r="AT29" s="687"/>
    </row>
    <row r="30" ht="16.95" customHeight="1" spans="2:93">
      <c r="B30" s="697"/>
      <c r="C30" s="697"/>
      <c r="D30" s="697"/>
      <c r="E30" s="697"/>
      <c r="F30" s="697"/>
      <c r="G30" s="697"/>
      <c r="H30" s="697"/>
      <c r="I30" s="694"/>
      <c r="J30" s="694"/>
      <c r="K30" s="694"/>
      <c r="L30" s="694"/>
      <c r="M30" s="694"/>
      <c r="N30" s="694"/>
      <c r="O30" s="694"/>
      <c r="P30" s="694"/>
      <c r="Q30" s="694"/>
      <c r="R30" s="694"/>
      <c r="S30" s="695"/>
      <c r="T30" s="695"/>
      <c r="U30" s="682" t="s">
        <v>279</v>
      </c>
      <c r="V30" s="696"/>
      <c r="W30" s="696"/>
      <c r="Y30" s="697"/>
      <c r="Z30" s="697"/>
      <c r="AA30" s="697"/>
      <c r="AB30" s="697"/>
      <c r="AC30" s="697"/>
      <c r="AD30" s="697"/>
      <c r="AE30" s="697"/>
      <c r="AF30" s="694"/>
      <c r="AG30" s="694"/>
      <c r="AH30" s="694"/>
      <c r="AI30" s="694"/>
      <c r="AJ30" s="694"/>
      <c r="AK30" s="694"/>
      <c r="AL30" s="694"/>
      <c r="AM30" s="694"/>
      <c r="AN30" s="694"/>
      <c r="AO30" s="694"/>
      <c r="AP30" s="695"/>
      <c r="AQ30" s="695"/>
      <c r="AR30" s="682" t="s">
        <v>279</v>
      </c>
      <c r="AS30" s="696"/>
      <c r="AT30" s="696"/>
    </row>
    <row r="31" ht="16.95" customHeight="1" spans="2:93">
      <c r="B31" s="689"/>
      <c r="C31" s="689"/>
      <c r="D31" s="689"/>
      <c r="E31" s="689"/>
      <c r="F31" s="689"/>
      <c r="G31" s="689"/>
      <c r="H31" s="689"/>
      <c r="I31" s="685"/>
      <c r="J31" s="685"/>
      <c r="K31" s="685"/>
      <c r="L31" s="685"/>
      <c r="M31" s="685"/>
      <c r="N31" s="685"/>
      <c r="O31" s="685"/>
      <c r="P31" s="685"/>
      <c r="Q31" s="685"/>
      <c r="R31" s="685"/>
      <c r="S31" s="686"/>
      <c r="T31" s="686"/>
      <c r="U31" s="682" t="s">
        <v>279</v>
      </c>
      <c r="V31" s="687"/>
      <c r="W31" s="687"/>
      <c r="Y31" s="689"/>
      <c r="Z31" s="689"/>
      <c r="AA31" s="689"/>
      <c r="AB31" s="689"/>
      <c r="AC31" s="689"/>
      <c r="AD31" s="689"/>
      <c r="AE31" s="689"/>
      <c r="AF31" s="685"/>
      <c r="AG31" s="685"/>
      <c r="AH31" s="685"/>
      <c r="AI31" s="685"/>
      <c r="AJ31" s="685"/>
      <c r="AK31" s="685"/>
      <c r="AL31" s="685"/>
      <c r="AM31" s="685"/>
      <c r="AN31" s="685"/>
      <c r="AO31" s="685"/>
      <c r="AP31" s="686"/>
      <c r="AQ31" s="686"/>
      <c r="AR31" s="682" t="s">
        <v>279</v>
      </c>
      <c r="AS31" s="687"/>
      <c r="AT31" s="687"/>
    </row>
    <row r="32" ht="16.95" customHeight="1" spans="2:93">
      <c r="B32" s="697"/>
      <c r="C32" s="697"/>
      <c r="D32" s="697"/>
      <c r="E32" s="697"/>
      <c r="F32" s="697"/>
      <c r="G32" s="697"/>
      <c r="H32" s="697"/>
      <c r="I32" s="694"/>
      <c r="J32" s="694"/>
      <c r="K32" s="694"/>
      <c r="L32" s="694"/>
      <c r="M32" s="694"/>
      <c r="N32" s="694"/>
      <c r="O32" s="694"/>
      <c r="P32" s="694"/>
      <c r="Q32" s="694"/>
      <c r="R32" s="694"/>
      <c r="S32" s="695"/>
      <c r="T32" s="695"/>
      <c r="U32" s="682" t="s">
        <v>279</v>
      </c>
      <c r="V32" s="696"/>
      <c r="W32" s="696"/>
      <c r="Y32" s="697"/>
      <c r="Z32" s="697"/>
      <c r="AA32" s="697"/>
      <c r="AB32" s="697"/>
      <c r="AC32" s="697"/>
      <c r="AD32" s="697"/>
      <c r="AE32" s="697"/>
      <c r="AF32" s="694"/>
      <c r="AG32" s="694"/>
      <c r="AH32" s="694"/>
      <c r="AI32" s="694"/>
      <c r="AJ32" s="694"/>
      <c r="AK32" s="694"/>
      <c r="AL32" s="694"/>
      <c r="AM32" s="694"/>
      <c r="AN32" s="694"/>
      <c r="AO32" s="694"/>
      <c r="AP32" s="695"/>
      <c r="AQ32" s="695"/>
      <c r="AR32" s="682" t="s">
        <v>279</v>
      </c>
      <c r="AS32" s="696"/>
      <c r="AT32" s="696"/>
    </row>
    <row r="33" ht="16.95" customHeight="1" spans="2:46">
      <c r="B33" s="689"/>
      <c r="C33" s="689"/>
      <c r="D33" s="689"/>
      <c r="E33" s="689"/>
      <c r="F33" s="689"/>
      <c r="G33" s="689"/>
      <c r="H33" s="689"/>
      <c r="I33" s="685"/>
      <c r="J33" s="685"/>
      <c r="K33" s="685"/>
      <c r="L33" s="685"/>
      <c r="M33" s="685"/>
      <c r="N33" s="685"/>
      <c r="O33" s="685"/>
      <c r="P33" s="685"/>
      <c r="Q33" s="685"/>
      <c r="R33" s="685"/>
      <c r="S33" s="686"/>
      <c r="T33" s="686"/>
      <c r="U33" s="682" t="s">
        <v>279</v>
      </c>
      <c r="V33" s="687"/>
      <c r="W33" s="687"/>
      <c r="Y33" s="689"/>
      <c r="Z33" s="689"/>
      <c r="AA33" s="689"/>
      <c r="AB33" s="689"/>
      <c r="AC33" s="689"/>
      <c r="AD33" s="689"/>
      <c r="AE33" s="689"/>
      <c r="AF33" s="685"/>
      <c r="AG33" s="685"/>
      <c r="AH33" s="685"/>
      <c r="AI33" s="685"/>
      <c r="AJ33" s="685"/>
      <c r="AK33" s="685"/>
      <c r="AL33" s="685"/>
      <c r="AM33" s="685"/>
      <c r="AN33" s="685"/>
      <c r="AO33" s="685"/>
      <c r="AP33" s="686"/>
      <c r="AQ33" s="686"/>
      <c r="AR33" s="682" t="s">
        <v>279</v>
      </c>
      <c r="AS33" s="687"/>
      <c r="AT33" s="687"/>
    </row>
    <row r="34" ht="16.95" customHeight="1" spans="2:46">
      <c r="B34" s="704"/>
      <c r="C34" s="704"/>
      <c r="D34" s="704"/>
      <c r="E34" s="704"/>
      <c r="F34" s="704"/>
      <c r="G34" s="704"/>
      <c r="H34" s="704"/>
      <c r="I34" s="702"/>
      <c r="J34" s="702"/>
      <c r="K34" s="702"/>
      <c r="L34" s="702"/>
      <c r="M34" s="702"/>
      <c r="N34" s="702"/>
      <c r="O34" s="702"/>
      <c r="P34" s="702"/>
      <c r="Q34" s="702"/>
      <c r="R34" s="702"/>
      <c r="S34" s="695"/>
      <c r="T34" s="695"/>
      <c r="U34" s="682" t="s">
        <v>279</v>
      </c>
      <c r="V34" s="703"/>
      <c r="W34" s="703"/>
      <c r="Y34" s="704"/>
      <c r="Z34" s="704"/>
      <c r="AA34" s="704"/>
      <c r="AB34" s="704"/>
      <c r="AC34" s="704"/>
      <c r="AD34" s="704"/>
      <c r="AE34" s="704"/>
      <c r="AF34" s="702"/>
      <c r="AG34" s="702"/>
      <c r="AH34" s="702"/>
      <c r="AI34" s="702"/>
      <c r="AJ34" s="702"/>
      <c r="AK34" s="702"/>
      <c r="AL34" s="702"/>
      <c r="AM34" s="702"/>
      <c r="AN34" s="702"/>
      <c r="AO34" s="702"/>
      <c r="AP34" s="695"/>
      <c r="AQ34" s="695"/>
      <c r="AR34" s="682" t="s">
        <v>279</v>
      </c>
      <c r="AS34" s="703"/>
      <c r="AT34" s="703"/>
    </row>
    <row r="35" ht="16.95" customHeight="1" spans="2:46">
      <c r="B35" s="689"/>
      <c r="C35" s="689"/>
      <c r="D35" s="689"/>
      <c r="E35" s="689"/>
      <c r="F35" s="689"/>
      <c r="G35" s="689"/>
      <c r="H35" s="689"/>
      <c r="I35" s="685"/>
      <c r="J35" s="685"/>
      <c r="K35" s="685"/>
      <c r="L35" s="685"/>
      <c r="M35" s="685"/>
      <c r="N35" s="685"/>
      <c r="O35" s="685"/>
      <c r="P35" s="685"/>
      <c r="Q35" s="685"/>
      <c r="R35" s="685"/>
      <c r="S35" s="686"/>
      <c r="T35" s="686"/>
      <c r="U35" s="682" t="s">
        <v>279</v>
      </c>
      <c r="V35" s="687"/>
      <c r="W35" s="687"/>
      <c r="Y35" s="689"/>
      <c r="Z35" s="689"/>
      <c r="AA35" s="689"/>
      <c r="AB35" s="689"/>
      <c r="AC35" s="689"/>
      <c r="AD35" s="689"/>
      <c r="AE35" s="689"/>
      <c r="AF35" s="685"/>
      <c r="AG35" s="685"/>
      <c r="AH35" s="685"/>
      <c r="AI35" s="685"/>
      <c r="AJ35" s="685"/>
      <c r="AK35" s="685"/>
      <c r="AL35" s="685"/>
      <c r="AM35" s="685"/>
      <c r="AN35" s="685"/>
      <c r="AO35" s="685"/>
      <c r="AP35" s="686"/>
      <c r="AQ35" s="686"/>
      <c r="AR35" s="682" t="s">
        <v>279</v>
      </c>
      <c r="AS35" s="687"/>
      <c r="AT35" s="687"/>
    </row>
    <row r="36" ht="16.95" customHeight="1" spans="2:46">
      <c r="B36" s="697"/>
      <c r="C36" s="697"/>
      <c r="D36" s="697"/>
      <c r="E36" s="697"/>
      <c r="F36" s="697"/>
      <c r="G36" s="697"/>
      <c r="H36" s="697"/>
      <c r="I36" s="694"/>
      <c r="J36" s="694"/>
      <c r="K36" s="694"/>
      <c r="L36" s="694"/>
      <c r="M36" s="694"/>
      <c r="N36" s="694"/>
      <c r="O36" s="694"/>
      <c r="P36" s="694"/>
      <c r="Q36" s="694"/>
      <c r="R36" s="694"/>
      <c r="S36" s="695"/>
      <c r="T36" s="695"/>
      <c r="U36" s="682" t="s">
        <v>279</v>
      </c>
      <c r="V36" s="696"/>
      <c r="W36" s="696"/>
      <c r="Y36" s="697"/>
      <c r="Z36" s="697"/>
      <c r="AA36" s="697"/>
      <c r="AB36" s="697"/>
      <c r="AC36" s="697"/>
      <c r="AD36" s="697"/>
      <c r="AE36" s="697"/>
      <c r="AF36" s="694"/>
      <c r="AG36" s="694"/>
      <c r="AH36" s="694"/>
      <c r="AI36" s="694"/>
      <c r="AJ36" s="694"/>
      <c r="AK36" s="694"/>
      <c r="AL36" s="694"/>
      <c r="AM36" s="694"/>
      <c r="AN36" s="694"/>
      <c r="AO36" s="694"/>
      <c r="AP36" s="695"/>
      <c r="AQ36" s="695"/>
      <c r="AR36" s="682" t="s">
        <v>279</v>
      </c>
      <c r="AS36" s="696"/>
      <c r="AT36" s="696"/>
    </row>
    <row r="37" ht="16.95" customHeight="1" spans="2:46">
      <c r="B37" s="689"/>
      <c r="C37" s="689"/>
      <c r="D37" s="689"/>
      <c r="E37" s="689"/>
      <c r="F37" s="689"/>
      <c r="G37" s="689"/>
      <c r="H37" s="689"/>
      <c r="I37" s="685"/>
      <c r="J37" s="685"/>
      <c r="K37" s="685"/>
      <c r="L37" s="685"/>
      <c r="M37" s="685"/>
      <c r="N37" s="685"/>
      <c r="O37" s="685"/>
      <c r="P37" s="685"/>
      <c r="Q37" s="685"/>
      <c r="R37" s="685"/>
      <c r="S37" s="686"/>
      <c r="T37" s="686"/>
      <c r="U37" s="682" t="s">
        <v>279</v>
      </c>
      <c r="V37" s="687"/>
      <c r="W37" s="687"/>
      <c r="Y37" s="689"/>
      <c r="Z37" s="689"/>
      <c r="AA37" s="689"/>
      <c r="AB37" s="689"/>
      <c r="AC37" s="689"/>
      <c r="AD37" s="689"/>
      <c r="AE37" s="689"/>
      <c r="AF37" s="685"/>
      <c r="AG37" s="685"/>
      <c r="AH37" s="685"/>
      <c r="AI37" s="685"/>
      <c r="AJ37" s="685"/>
      <c r="AK37" s="685"/>
      <c r="AL37" s="685"/>
      <c r="AM37" s="685"/>
      <c r="AN37" s="685"/>
      <c r="AO37" s="685"/>
      <c r="AP37" s="686"/>
      <c r="AQ37" s="686"/>
      <c r="AR37" s="682" t="s">
        <v>279</v>
      </c>
      <c r="AS37" s="687"/>
      <c r="AT37" s="687"/>
    </row>
    <row r="38" ht="16.95" customHeight="1" spans="2:46">
      <c r="B38" s="697"/>
      <c r="C38" s="697"/>
      <c r="D38" s="697"/>
      <c r="E38" s="697"/>
      <c r="F38" s="697"/>
      <c r="G38" s="697"/>
      <c r="H38" s="697"/>
      <c r="I38" s="694"/>
      <c r="J38" s="694"/>
      <c r="K38" s="694"/>
      <c r="L38" s="694"/>
      <c r="M38" s="694"/>
      <c r="N38" s="694"/>
      <c r="O38" s="694"/>
      <c r="P38" s="694"/>
      <c r="Q38" s="694"/>
      <c r="R38" s="694"/>
      <c r="S38" s="695"/>
      <c r="T38" s="695"/>
      <c r="U38" s="682" t="s">
        <v>279</v>
      </c>
      <c r="V38" s="696"/>
      <c r="W38" s="696"/>
      <c r="Y38" s="697"/>
      <c r="Z38" s="697"/>
      <c r="AA38" s="697"/>
      <c r="AB38" s="697"/>
      <c r="AC38" s="697"/>
      <c r="AD38" s="697"/>
      <c r="AE38" s="697"/>
      <c r="AF38" s="694"/>
      <c r="AG38" s="694"/>
      <c r="AH38" s="694"/>
      <c r="AI38" s="694"/>
      <c r="AJ38" s="694"/>
      <c r="AK38" s="694"/>
      <c r="AL38" s="694"/>
      <c r="AM38" s="694"/>
      <c r="AN38" s="694"/>
      <c r="AO38" s="694"/>
      <c r="AP38" s="695"/>
      <c r="AQ38" s="695"/>
      <c r="AR38" s="682" t="s">
        <v>279</v>
      </c>
      <c r="AS38" s="696"/>
      <c r="AT38" s="696"/>
    </row>
    <row r="39" ht="7.95" customHeight="1" spans="2:46">
      <c r="B39" s="34"/>
      <c r="C39" s="34"/>
      <c r="D39" s="34"/>
      <c r="E39" s="34"/>
      <c r="F39" s="34"/>
      <c r="G39" s="34"/>
      <c r="H39" s="34"/>
      <c r="I39" s="34"/>
      <c r="J39" s="34"/>
      <c r="K39" s="34"/>
      <c r="L39" s="34"/>
      <c r="M39" s="34"/>
      <c r="N39" s="34"/>
      <c r="O39" s="34"/>
      <c r="P39" s="34"/>
      <c r="Q39" s="34"/>
      <c r="R39" s="34"/>
      <c r="S39" s="706"/>
      <c r="T39" s="706"/>
      <c r="V39" s="706"/>
      <c r="W39" s="706"/>
      <c r="Y39" s="34"/>
      <c r="Z39" s="34"/>
      <c r="AA39" s="34"/>
      <c r="AB39" s="34"/>
      <c r="AC39" s="34"/>
      <c r="AD39" s="34"/>
      <c r="AE39" s="34"/>
      <c r="AF39" s="34"/>
      <c r="AG39" s="34"/>
      <c r="AH39" s="34"/>
      <c r="AI39" s="34"/>
      <c r="AJ39" s="34"/>
      <c r="AK39" s="34"/>
      <c r="AL39" s="34"/>
      <c r="AM39" s="34"/>
      <c r="AN39" s="34"/>
      <c r="AO39" s="34"/>
      <c r="AP39" s="706"/>
      <c r="AQ39" s="706"/>
      <c r="AS39" s="706"/>
      <c r="AT39" s="706"/>
    </row>
    <row r="40" ht="16.95" customHeight="1" spans="2:46">
      <c r="B40" s="689"/>
      <c r="C40" s="689"/>
      <c r="D40" s="689"/>
      <c r="E40" s="689"/>
      <c r="F40" s="689"/>
      <c r="G40" s="689"/>
      <c r="H40" s="689"/>
      <c r="I40" s="685"/>
      <c r="J40" s="685"/>
      <c r="K40" s="685"/>
      <c r="L40" s="685"/>
      <c r="M40" s="685"/>
      <c r="N40" s="685"/>
      <c r="O40" s="685"/>
      <c r="P40" s="685"/>
      <c r="Q40" s="685"/>
      <c r="R40" s="685"/>
      <c r="S40" s="686"/>
      <c r="T40" s="686"/>
      <c r="U40" s="682" t="s">
        <v>279</v>
      </c>
      <c r="V40" s="687"/>
      <c r="W40" s="687"/>
      <c r="Y40" s="689"/>
      <c r="Z40" s="689"/>
      <c r="AA40" s="689"/>
      <c r="AB40" s="689"/>
      <c r="AC40" s="689"/>
      <c r="AD40" s="689"/>
      <c r="AE40" s="689"/>
      <c r="AF40" s="685"/>
      <c r="AG40" s="685"/>
      <c r="AH40" s="685"/>
      <c r="AI40" s="685"/>
      <c r="AJ40" s="685"/>
      <c r="AK40" s="685"/>
      <c r="AL40" s="685"/>
      <c r="AM40" s="685"/>
      <c r="AN40" s="685"/>
      <c r="AO40" s="685"/>
      <c r="AP40" s="686"/>
      <c r="AQ40" s="686"/>
      <c r="AR40" s="682" t="s">
        <v>279</v>
      </c>
      <c r="AS40" s="687"/>
      <c r="AT40" s="687"/>
    </row>
    <row r="41" ht="16.95" customHeight="1" spans="2:46">
      <c r="B41" s="697"/>
      <c r="C41" s="697"/>
      <c r="D41" s="697"/>
      <c r="E41" s="697"/>
      <c r="F41" s="697"/>
      <c r="G41" s="697"/>
      <c r="H41" s="697"/>
      <c r="I41" s="694"/>
      <c r="J41" s="694"/>
      <c r="K41" s="694"/>
      <c r="L41" s="694"/>
      <c r="M41" s="694"/>
      <c r="N41" s="694"/>
      <c r="O41" s="694"/>
      <c r="P41" s="694"/>
      <c r="Q41" s="694"/>
      <c r="R41" s="694"/>
      <c r="S41" s="695"/>
      <c r="T41" s="695"/>
      <c r="U41" s="682" t="s">
        <v>279</v>
      </c>
      <c r="V41" s="696"/>
      <c r="W41" s="696"/>
      <c r="Y41" s="697"/>
      <c r="Z41" s="697"/>
      <c r="AA41" s="697"/>
      <c r="AB41" s="697"/>
      <c r="AC41" s="697"/>
      <c r="AD41" s="697"/>
      <c r="AE41" s="697"/>
      <c r="AF41" s="694"/>
      <c r="AG41" s="694"/>
      <c r="AH41" s="694"/>
      <c r="AI41" s="694"/>
      <c r="AJ41" s="694"/>
      <c r="AK41" s="694"/>
      <c r="AL41" s="694"/>
      <c r="AM41" s="694"/>
      <c r="AN41" s="694"/>
      <c r="AO41" s="694"/>
      <c r="AP41" s="695"/>
      <c r="AQ41" s="695"/>
      <c r="AR41" s="682" t="s">
        <v>279</v>
      </c>
      <c r="AS41" s="696"/>
      <c r="AT41" s="696"/>
    </row>
    <row r="42" ht="16.95" customHeight="1" spans="2:46">
      <c r="B42" s="689"/>
      <c r="C42" s="689"/>
      <c r="D42" s="689"/>
      <c r="E42" s="689"/>
      <c r="F42" s="689"/>
      <c r="G42" s="689"/>
      <c r="H42" s="689"/>
      <c r="I42" s="685"/>
      <c r="J42" s="685"/>
      <c r="K42" s="685"/>
      <c r="L42" s="685"/>
      <c r="M42" s="685"/>
      <c r="N42" s="685"/>
      <c r="O42" s="685"/>
      <c r="P42" s="685"/>
      <c r="Q42" s="685"/>
      <c r="R42" s="685"/>
      <c r="S42" s="686"/>
      <c r="T42" s="686"/>
      <c r="U42" s="682" t="s">
        <v>279</v>
      </c>
      <c r="V42" s="687"/>
      <c r="W42" s="687"/>
      <c r="Y42" s="689"/>
      <c r="Z42" s="689"/>
      <c r="AA42" s="689"/>
      <c r="AB42" s="689"/>
      <c r="AC42" s="689"/>
      <c r="AD42" s="689"/>
      <c r="AE42" s="689"/>
      <c r="AF42" s="685"/>
      <c r="AG42" s="685"/>
      <c r="AH42" s="685"/>
      <c r="AI42" s="685"/>
      <c r="AJ42" s="685"/>
      <c r="AK42" s="685"/>
      <c r="AL42" s="685"/>
      <c r="AM42" s="685"/>
      <c r="AN42" s="685"/>
      <c r="AO42" s="685"/>
      <c r="AP42" s="686"/>
      <c r="AQ42" s="686"/>
      <c r="AR42" s="682" t="s">
        <v>279</v>
      </c>
      <c r="AS42" s="687"/>
      <c r="AT42" s="687"/>
    </row>
    <row r="43" ht="16.95" customHeight="1" spans="2:46">
      <c r="B43" s="697"/>
      <c r="C43" s="697"/>
      <c r="D43" s="697"/>
      <c r="E43" s="697"/>
      <c r="F43" s="697"/>
      <c r="G43" s="697"/>
      <c r="H43" s="697"/>
      <c r="I43" s="694"/>
      <c r="J43" s="694"/>
      <c r="K43" s="694"/>
      <c r="L43" s="694"/>
      <c r="M43" s="694"/>
      <c r="N43" s="694"/>
      <c r="O43" s="694"/>
      <c r="P43" s="694"/>
      <c r="Q43" s="694"/>
      <c r="R43" s="694"/>
      <c r="S43" s="695"/>
      <c r="T43" s="695"/>
      <c r="U43" s="682" t="s">
        <v>279</v>
      </c>
      <c r="V43" s="696"/>
      <c r="W43" s="696"/>
      <c r="Y43" s="697"/>
      <c r="Z43" s="697"/>
      <c r="AA43" s="697"/>
      <c r="AB43" s="697"/>
      <c r="AC43" s="697"/>
      <c r="AD43" s="697"/>
      <c r="AE43" s="697"/>
      <c r="AF43" s="694"/>
      <c r="AG43" s="694"/>
      <c r="AH43" s="694"/>
      <c r="AI43" s="694"/>
      <c r="AJ43" s="694"/>
      <c r="AK43" s="694"/>
      <c r="AL43" s="694"/>
      <c r="AM43" s="694"/>
      <c r="AN43" s="694"/>
      <c r="AO43" s="694"/>
      <c r="AP43" s="695"/>
      <c r="AQ43" s="695"/>
      <c r="AR43" s="682" t="s">
        <v>279</v>
      </c>
      <c r="AS43" s="696"/>
      <c r="AT43" s="696"/>
    </row>
    <row r="44" ht="16.95" customHeight="1" spans="2:46">
      <c r="B44" s="689"/>
      <c r="C44" s="689"/>
      <c r="D44" s="689"/>
      <c r="E44" s="689"/>
      <c r="F44" s="689"/>
      <c r="G44" s="689"/>
      <c r="H44" s="689"/>
      <c r="I44" s="685"/>
      <c r="J44" s="685"/>
      <c r="K44" s="685"/>
      <c r="L44" s="685"/>
      <c r="M44" s="685"/>
      <c r="N44" s="685"/>
      <c r="O44" s="685"/>
      <c r="P44" s="685"/>
      <c r="Q44" s="685"/>
      <c r="R44" s="685"/>
      <c r="S44" s="686"/>
      <c r="T44" s="686"/>
      <c r="U44" s="682" t="s">
        <v>279</v>
      </c>
      <c r="V44" s="687"/>
      <c r="W44" s="687"/>
      <c r="Y44" s="689"/>
      <c r="Z44" s="689"/>
      <c r="AA44" s="689"/>
      <c r="AB44" s="689"/>
      <c r="AC44" s="689"/>
      <c r="AD44" s="689"/>
      <c r="AE44" s="689"/>
      <c r="AF44" s="685"/>
      <c r="AG44" s="685"/>
      <c r="AH44" s="685"/>
      <c r="AI44" s="685"/>
      <c r="AJ44" s="685"/>
      <c r="AK44" s="685"/>
      <c r="AL44" s="685"/>
      <c r="AM44" s="685"/>
      <c r="AN44" s="685"/>
      <c r="AO44" s="685"/>
      <c r="AP44" s="686"/>
      <c r="AQ44" s="686"/>
      <c r="AR44" s="682" t="s">
        <v>279</v>
      </c>
      <c r="AS44" s="687"/>
      <c r="AT44" s="687"/>
    </row>
    <row r="45" ht="16.95" customHeight="1" spans="2:46">
      <c r="B45" s="704"/>
      <c r="C45" s="704"/>
      <c r="D45" s="704"/>
      <c r="E45" s="704"/>
      <c r="F45" s="704"/>
      <c r="G45" s="704"/>
      <c r="H45" s="704"/>
      <c r="I45" s="702"/>
      <c r="J45" s="702"/>
      <c r="K45" s="702"/>
      <c r="L45" s="702"/>
      <c r="M45" s="702"/>
      <c r="N45" s="702"/>
      <c r="O45" s="702"/>
      <c r="P45" s="702"/>
      <c r="Q45" s="702"/>
      <c r="R45" s="702"/>
      <c r="S45" s="695"/>
      <c r="T45" s="695"/>
      <c r="U45" s="682" t="s">
        <v>279</v>
      </c>
      <c r="V45" s="703"/>
      <c r="W45" s="703"/>
      <c r="Y45" s="704"/>
      <c r="Z45" s="704"/>
      <c r="AA45" s="704"/>
      <c r="AB45" s="704"/>
      <c r="AC45" s="704"/>
      <c r="AD45" s="704"/>
      <c r="AE45" s="704"/>
      <c r="AF45" s="702"/>
      <c r="AG45" s="702"/>
      <c r="AH45" s="702"/>
      <c r="AI45" s="702"/>
      <c r="AJ45" s="702"/>
      <c r="AK45" s="702"/>
      <c r="AL45" s="702"/>
      <c r="AM45" s="702"/>
      <c r="AN45" s="702"/>
      <c r="AO45" s="702"/>
      <c r="AP45" s="695"/>
      <c r="AQ45" s="695"/>
      <c r="AR45" s="682" t="s">
        <v>279</v>
      </c>
      <c r="AS45" s="703"/>
      <c r="AT45" s="703"/>
    </row>
    <row r="46" ht="16.95" customHeight="1" spans="2:46">
      <c r="B46" s="689"/>
      <c r="C46" s="689"/>
      <c r="D46" s="689"/>
      <c r="E46" s="689"/>
      <c r="F46" s="689"/>
      <c r="G46" s="689"/>
      <c r="H46" s="689"/>
      <c r="I46" s="685"/>
      <c r="J46" s="685"/>
      <c r="K46" s="685"/>
      <c r="L46" s="685"/>
      <c r="M46" s="685"/>
      <c r="N46" s="685"/>
      <c r="O46" s="685"/>
      <c r="P46" s="685"/>
      <c r="Q46" s="685"/>
      <c r="R46" s="685"/>
      <c r="S46" s="686"/>
      <c r="T46" s="686"/>
      <c r="U46" s="682" t="s">
        <v>279</v>
      </c>
      <c r="V46" s="687"/>
      <c r="W46" s="687"/>
      <c r="Y46" s="689"/>
      <c r="Z46" s="689"/>
      <c r="AA46" s="689"/>
      <c r="AB46" s="689"/>
      <c r="AC46" s="689"/>
      <c r="AD46" s="689"/>
      <c r="AE46" s="689"/>
      <c r="AF46" s="685"/>
      <c r="AG46" s="685"/>
      <c r="AH46" s="685"/>
      <c r="AI46" s="685"/>
      <c r="AJ46" s="685"/>
      <c r="AK46" s="685"/>
      <c r="AL46" s="685"/>
      <c r="AM46" s="685"/>
      <c r="AN46" s="685"/>
      <c r="AO46" s="685"/>
      <c r="AP46" s="686"/>
      <c r="AQ46" s="686"/>
      <c r="AR46" s="682" t="s">
        <v>279</v>
      </c>
      <c r="AS46" s="687"/>
      <c r="AT46" s="687"/>
    </row>
    <row r="47" ht="16.95" customHeight="1" spans="2:46">
      <c r="B47" s="697"/>
      <c r="C47" s="697"/>
      <c r="D47" s="697"/>
      <c r="E47" s="697"/>
      <c r="F47" s="697"/>
      <c r="G47" s="697"/>
      <c r="H47" s="697"/>
      <c r="I47" s="694"/>
      <c r="J47" s="694"/>
      <c r="K47" s="694"/>
      <c r="L47" s="694"/>
      <c r="M47" s="694"/>
      <c r="N47" s="694"/>
      <c r="O47" s="694"/>
      <c r="P47" s="694"/>
      <c r="Q47" s="694"/>
      <c r="R47" s="694"/>
      <c r="S47" s="695"/>
      <c r="T47" s="695"/>
      <c r="U47" s="682" t="s">
        <v>279</v>
      </c>
      <c r="V47" s="696"/>
      <c r="W47" s="696"/>
      <c r="Y47" s="697"/>
      <c r="Z47" s="697"/>
      <c r="AA47" s="697"/>
      <c r="AB47" s="697"/>
      <c r="AC47" s="697"/>
      <c r="AD47" s="697"/>
      <c r="AE47" s="697"/>
      <c r="AF47" s="694"/>
      <c r="AG47" s="694"/>
      <c r="AH47" s="694"/>
      <c r="AI47" s="694"/>
      <c r="AJ47" s="694"/>
      <c r="AK47" s="694"/>
      <c r="AL47" s="694"/>
      <c r="AM47" s="694"/>
      <c r="AN47" s="694"/>
      <c r="AO47" s="694"/>
      <c r="AP47" s="695"/>
      <c r="AQ47" s="695"/>
      <c r="AR47" s="682" t="s">
        <v>279</v>
      </c>
      <c r="AS47" s="696"/>
      <c r="AT47" s="696"/>
    </row>
    <row r="48" ht="16.95" customHeight="1" spans="2:46">
      <c r="B48" s="689"/>
      <c r="C48" s="689"/>
      <c r="D48" s="689"/>
      <c r="E48" s="689"/>
      <c r="F48" s="689"/>
      <c r="G48" s="689"/>
      <c r="H48" s="689"/>
      <c r="I48" s="685"/>
      <c r="J48" s="685"/>
      <c r="K48" s="685"/>
      <c r="L48" s="685"/>
      <c r="M48" s="685"/>
      <c r="N48" s="685"/>
      <c r="O48" s="685"/>
      <c r="P48" s="685"/>
      <c r="Q48" s="685"/>
      <c r="R48" s="685"/>
      <c r="S48" s="686"/>
      <c r="T48" s="686"/>
      <c r="U48" s="682" t="s">
        <v>279</v>
      </c>
      <c r="V48" s="687"/>
      <c r="W48" s="687"/>
      <c r="Y48" s="689"/>
      <c r="Z48" s="689"/>
      <c r="AA48" s="689"/>
      <c r="AB48" s="689"/>
      <c r="AC48" s="689"/>
      <c r="AD48" s="689"/>
      <c r="AE48" s="689"/>
      <c r="AF48" s="685"/>
      <c r="AG48" s="685"/>
      <c r="AH48" s="685"/>
      <c r="AI48" s="685"/>
      <c r="AJ48" s="685"/>
      <c r="AK48" s="685"/>
      <c r="AL48" s="685"/>
      <c r="AM48" s="685"/>
      <c r="AN48" s="685"/>
      <c r="AO48" s="685"/>
      <c r="AP48" s="686"/>
      <c r="AQ48" s="686"/>
      <c r="AR48" s="682" t="s">
        <v>279</v>
      </c>
      <c r="AS48" s="687"/>
      <c r="AT48" s="687"/>
    </row>
    <row r="49" ht="16.95" customHeight="1" spans="2:46">
      <c r="B49" s="697"/>
      <c r="C49" s="697"/>
      <c r="D49" s="697"/>
      <c r="E49" s="697"/>
      <c r="F49" s="697"/>
      <c r="G49" s="697"/>
      <c r="H49" s="697"/>
      <c r="I49" s="694"/>
      <c r="J49" s="694"/>
      <c r="K49" s="694"/>
      <c r="L49" s="694"/>
      <c r="M49" s="694"/>
      <c r="N49" s="694"/>
      <c r="O49" s="694"/>
      <c r="P49" s="694"/>
      <c r="Q49" s="694"/>
      <c r="R49" s="694"/>
      <c r="S49" s="695"/>
      <c r="T49" s="695"/>
      <c r="U49" s="682" t="s">
        <v>279</v>
      </c>
      <c r="V49" s="696"/>
      <c r="W49" s="696"/>
      <c r="Y49" s="697"/>
      <c r="Z49" s="697"/>
      <c r="AA49" s="697"/>
      <c r="AB49" s="697"/>
      <c r="AC49" s="697"/>
      <c r="AD49" s="697"/>
      <c r="AE49" s="697"/>
      <c r="AF49" s="694"/>
      <c r="AG49" s="694"/>
      <c r="AH49" s="694"/>
      <c r="AI49" s="694"/>
      <c r="AJ49" s="694"/>
      <c r="AK49" s="694"/>
      <c r="AL49" s="694"/>
      <c r="AM49" s="694"/>
      <c r="AN49" s="694"/>
      <c r="AO49" s="694"/>
      <c r="AP49" s="695"/>
      <c r="AQ49" s="695"/>
      <c r="AR49" s="682" t="s">
        <v>279</v>
      </c>
      <c r="AS49" s="696"/>
      <c r="AT49" s="696"/>
    </row>
    <row r="50" ht="7.95" customHeight="1" spans="2:46">
      <c r="B50" s="34"/>
      <c r="C50" s="34"/>
      <c r="D50" s="34"/>
      <c r="E50" s="34"/>
      <c r="F50" s="34"/>
      <c r="G50" s="34"/>
      <c r="H50" s="34"/>
      <c r="I50" s="34"/>
      <c r="J50" s="34"/>
      <c r="K50" s="34"/>
      <c r="L50" s="34"/>
      <c r="M50" s="34"/>
      <c r="N50" s="34"/>
      <c r="O50" s="34"/>
      <c r="P50" s="34"/>
      <c r="Q50" s="34"/>
      <c r="R50" s="34"/>
      <c r="S50" s="706"/>
      <c r="T50" s="706"/>
      <c r="V50" s="706"/>
      <c r="W50" s="706"/>
      <c r="Y50" s="34"/>
      <c r="Z50" s="34"/>
      <c r="AA50" s="34"/>
      <c r="AB50" s="34"/>
      <c r="AC50" s="34"/>
      <c r="AD50" s="34"/>
      <c r="AE50" s="34"/>
      <c r="AF50" s="34"/>
      <c r="AG50" s="34"/>
      <c r="AH50" s="34"/>
      <c r="AI50" s="34"/>
      <c r="AJ50" s="34"/>
      <c r="AK50" s="34"/>
      <c r="AL50" s="34"/>
      <c r="AM50" s="34"/>
      <c r="AN50" s="34"/>
      <c r="AO50" s="34"/>
      <c r="AP50" s="706"/>
      <c r="AQ50" s="706"/>
      <c r="AS50" s="706"/>
      <c r="AT50" s="706"/>
    </row>
    <row r="51" ht="16.95" customHeight="1" spans="2:46">
      <c r="B51" s="689"/>
      <c r="C51" s="689"/>
      <c r="D51" s="689"/>
      <c r="E51" s="689"/>
      <c r="F51" s="689"/>
      <c r="G51" s="689"/>
      <c r="H51" s="689"/>
      <c r="I51" s="685"/>
      <c r="J51" s="685"/>
      <c r="K51" s="685"/>
      <c r="L51" s="685"/>
      <c r="M51" s="685"/>
      <c r="N51" s="685"/>
      <c r="O51" s="685"/>
      <c r="P51" s="685"/>
      <c r="Q51" s="685"/>
      <c r="R51" s="685"/>
      <c r="S51" s="686"/>
      <c r="T51" s="686"/>
      <c r="U51" s="682" t="s">
        <v>279</v>
      </c>
      <c r="V51" s="687"/>
      <c r="W51" s="687"/>
      <c r="Y51" s="689"/>
      <c r="Z51" s="689"/>
      <c r="AA51" s="689"/>
      <c r="AB51" s="689"/>
      <c r="AC51" s="689"/>
      <c r="AD51" s="689"/>
      <c r="AE51" s="689"/>
      <c r="AF51" s="685"/>
      <c r="AG51" s="685"/>
      <c r="AH51" s="685"/>
      <c r="AI51" s="685"/>
      <c r="AJ51" s="685"/>
      <c r="AK51" s="685"/>
      <c r="AL51" s="685"/>
      <c r="AM51" s="685"/>
      <c r="AN51" s="685"/>
      <c r="AO51" s="685"/>
      <c r="AP51" s="686"/>
      <c r="AQ51" s="686"/>
      <c r="AR51" s="682" t="s">
        <v>279</v>
      </c>
      <c r="AS51" s="687"/>
      <c r="AT51" s="687"/>
    </row>
    <row r="52" ht="16.95" customHeight="1" spans="2:46">
      <c r="B52" s="697"/>
      <c r="C52" s="697"/>
      <c r="D52" s="697"/>
      <c r="E52" s="697"/>
      <c r="F52" s="697"/>
      <c r="G52" s="697"/>
      <c r="H52" s="697"/>
      <c r="I52" s="694"/>
      <c r="J52" s="694"/>
      <c r="K52" s="694"/>
      <c r="L52" s="694"/>
      <c r="M52" s="694"/>
      <c r="N52" s="694"/>
      <c r="O52" s="694"/>
      <c r="P52" s="694"/>
      <c r="Q52" s="694"/>
      <c r="R52" s="694"/>
      <c r="S52" s="695"/>
      <c r="T52" s="695"/>
      <c r="U52" s="682" t="s">
        <v>279</v>
      </c>
      <c r="V52" s="696"/>
      <c r="W52" s="696"/>
      <c r="Y52" s="697"/>
      <c r="Z52" s="697"/>
      <c r="AA52" s="697"/>
      <c r="AB52" s="697"/>
      <c r="AC52" s="697"/>
      <c r="AD52" s="697"/>
      <c r="AE52" s="697"/>
      <c r="AF52" s="694"/>
      <c r="AG52" s="694"/>
      <c r="AH52" s="694"/>
      <c r="AI52" s="694"/>
      <c r="AJ52" s="694"/>
      <c r="AK52" s="694"/>
      <c r="AL52" s="694"/>
      <c r="AM52" s="694"/>
      <c r="AN52" s="694"/>
      <c r="AO52" s="694"/>
      <c r="AP52" s="695"/>
      <c r="AQ52" s="695"/>
      <c r="AR52" s="682" t="s">
        <v>279</v>
      </c>
      <c r="AS52" s="696"/>
      <c r="AT52" s="696"/>
    </row>
    <row r="53" ht="16.95" customHeight="1" spans="2:46">
      <c r="B53" s="689"/>
      <c r="C53" s="689"/>
      <c r="D53" s="689"/>
      <c r="E53" s="689"/>
      <c r="F53" s="689"/>
      <c r="G53" s="689"/>
      <c r="H53" s="689"/>
      <c r="I53" s="685"/>
      <c r="J53" s="685"/>
      <c r="K53" s="685"/>
      <c r="L53" s="685"/>
      <c r="M53" s="685"/>
      <c r="N53" s="685"/>
      <c r="O53" s="685"/>
      <c r="P53" s="685"/>
      <c r="Q53" s="685"/>
      <c r="R53" s="685"/>
      <c r="S53" s="686"/>
      <c r="T53" s="686"/>
      <c r="U53" s="682" t="s">
        <v>279</v>
      </c>
      <c r="V53" s="687"/>
      <c r="W53" s="687"/>
      <c r="Y53" s="689"/>
      <c r="Z53" s="689"/>
      <c r="AA53" s="689"/>
      <c r="AB53" s="689"/>
      <c r="AC53" s="689"/>
      <c r="AD53" s="689"/>
      <c r="AE53" s="689"/>
      <c r="AF53" s="685"/>
      <c r="AG53" s="685"/>
      <c r="AH53" s="685"/>
      <c r="AI53" s="685"/>
      <c r="AJ53" s="685"/>
      <c r="AK53" s="685"/>
      <c r="AL53" s="685"/>
      <c r="AM53" s="685"/>
      <c r="AN53" s="685"/>
      <c r="AO53" s="685"/>
      <c r="AP53" s="686"/>
      <c r="AQ53" s="686"/>
      <c r="AR53" s="682" t="s">
        <v>279</v>
      </c>
      <c r="AS53" s="687"/>
      <c r="AT53" s="687"/>
    </row>
    <row r="54" ht="16.95" customHeight="1" spans="2:46">
      <c r="B54" s="697"/>
      <c r="C54" s="697"/>
      <c r="D54" s="697"/>
      <c r="E54" s="697"/>
      <c r="F54" s="697"/>
      <c r="G54" s="697"/>
      <c r="H54" s="697"/>
      <c r="I54" s="694"/>
      <c r="J54" s="694"/>
      <c r="K54" s="694"/>
      <c r="L54" s="694"/>
      <c r="M54" s="694"/>
      <c r="N54" s="694"/>
      <c r="O54" s="694"/>
      <c r="P54" s="694"/>
      <c r="Q54" s="694"/>
      <c r="R54" s="694"/>
      <c r="S54" s="695"/>
      <c r="T54" s="695"/>
      <c r="U54" s="682" t="s">
        <v>279</v>
      </c>
      <c r="V54" s="696"/>
      <c r="W54" s="696"/>
      <c r="Y54" s="697"/>
      <c r="Z54" s="697"/>
      <c r="AA54" s="697"/>
      <c r="AB54" s="697"/>
      <c r="AC54" s="697"/>
      <c r="AD54" s="697"/>
      <c r="AE54" s="697"/>
      <c r="AF54" s="694"/>
      <c r="AG54" s="694"/>
      <c r="AH54" s="694"/>
      <c r="AI54" s="694"/>
      <c r="AJ54" s="694"/>
      <c r="AK54" s="694"/>
      <c r="AL54" s="694"/>
      <c r="AM54" s="694"/>
      <c r="AN54" s="694"/>
      <c r="AO54" s="694"/>
      <c r="AP54" s="695"/>
      <c r="AQ54" s="695"/>
      <c r="AR54" s="682" t="s">
        <v>279</v>
      </c>
      <c r="AS54" s="696"/>
      <c r="AT54" s="696"/>
    </row>
    <row r="55" ht="16.95" customHeight="1" spans="2:46">
      <c r="B55" s="689"/>
      <c r="C55" s="689"/>
      <c r="D55" s="689"/>
      <c r="E55" s="689"/>
      <c r="F55" s="689"/>
      <c r="G55" s="689"/>
      <c r="H55" s="689"/>
      <c r="I55" s="685"/>
      <c r="J55" s="685"/>
      <c r="K55" s="685"/>
      <c r="L55" s="685"/>
      <c r="M55" s="685"/>
      <c r="N55" s="685"/>
      <c r="O55" s="685"/>
      <c r="P55" s="685"/>
      <c r="Q55" s="685"/>
      <c r="R55" s="685"/>
      <c r="S55" s="686"/>
      <c r="T55" s="686"/>
      <c r="U55" s="682" t="s">
        <v>279</v>
      </c>
      <c r="V55" s="687"/>
      <c r="W55" s="687"/>
      <c r="Y55" s="689"/>
      <c r="Z55" s="689"/>
      <c r="AA55" s="689"/>
      <c r="AB55" s="689"/>
      <c r="AC55" s="689"/>
      <c r="AD55" s="689"/>
      <c r="AE55" s="689"/>
      <c r="AF55" s="685"/>
      <c r="AG55" s="685"/>
      <c r="AH55" s="685"/>
      <c r="AI55" s="685"/>
      <c r="AJ55" s="685"/>
      <c r="AK55" s="685"/>
      <c r="AL55" s="685"/>
      <c r="AM55" s="685"/>
      <c r="AN55" s="685"/>
      <c r="AO55" s="685"/>
      <c r="AP55" s="686"/>
      <c r="AQ55" s="686"/>
      <c r="AR55" s="682" t="s">
        <v>279</v>
      </c>
      <c r="AS55" s="687"/>
      <c r="AT55" s="687"/>
    </row>
    <row r="56" ht="16.95" customHeight="1" spans="2:46">
      <c r="B56" s="704"/>
      <c r="C56" s="704"/>
      <c r="D56" s="704"/>
      <c r="E56" s="704"/>
      <c r="F56" s="704"/>
      <c r="G56" s="704"/>
      <c r="H56" s="704"/>
      <c r="I56" s="702"/>
      <c r="J56" s="702"/>
      <c r="K56" s="702"/>
      <c r="L56" s="702"/>
      <c r="M56" s="702"/>
      <c r="N56" s="702"/>
      <c r="O56" s="702"/>
      <c r="P56" s="702"/>
      <c r="Q56" s="702"/>
      <c r="R56" s="702"/>
      <c r="S56" s="695"/>
      <c r="T56" s="695"/>
      <c r="U56" s="682" t="s">
        <v>279</v>
      </c>
      <c r="V56" s="703"/>
      <c r="W56" s="703"/>
      <c r="Y56" s="704"/>
      <c r="Z56" s="704"/>
      <c r="AA56" s="704"/>
      <c r="AB56" s="704"/>
      <c r="AC56" s="704"/>
      <c r="AD56" s="704"/>
      <c r="AE56" s="704"/>
      <c r="AF56" s="702"/>
      <c r="AG56" s="702"/>
      <c r="AH56" s="702"/>
      <c r="AI56" s="702"/>
      <c r="AJ56" s="702"/>
      <c r="AK56" s="702"/>
      <c r="AL56" s="702"/>
      <c r="AM56" s="702"/>
      <c r="AN56" s="702"/>
      <c r="AO56" s="702"/>
      <c r="AP56" s="695"/>
      <c r="AQ56" s="695"/>
      <c r="AR56" s="682" t="s">
        <v>279</v>
      </c>
      <c r="AS56" s="703"/>
      <c r="AT56" s="703"/>
    </row>
    <row r="57" ht="16.95" customHeight="1" spans="2:46">
      <c r="B57" s="689"/>
      <c r="C57" s="689"/>
      <c r="D57" s="689"/>
      <c r="E57" s="689"/>
      <c r="F57" s="689"/>
      <c r="G57" s="689"/>
      <c r="H57" s="689"/>
      <c r="I57" s="685"/>
      <c r="J57" s="685"/>
      <c r="K57" s="685"/>
      <c r="L57" s="685"/>
      <c r="M57" s="685"/>
      <c r="N57" s="685"/>
      <c r="O57" s="685"/>
      <c r="P57" s="685"/>
      <c r="Q57" s="685"/>
      <c r="R57" s="685"/>
      <c r="S57" s="686"/>
      <c r="T57" s="686"/>
      <c r="U57" s="682" t="s">
        <v>279</v>
      </c>
      <c r="V57" s="687"/>
      <c r="W57" s="687"/>
      <c r="Y57" s="689"/>
      <c r="Z57" s="689"/>
      <c r="AA57" s="689"/>
      <c r="AB57" s="689"/>
      <c r="AC57" s="689"/>
      <c r="AD57" s="689"/>
      <c r="AE57" s="689"/>
      <c r="AF57" s="685"/>
      <c r="AG57" s="685"/>
      <c r="AH57" s="685"/>
      <c r="AI57" s="685"/>
      <c r="AJ57" s="685"/>
      <c r="AK57" s="685"/>
      <c r="AL57" s="685"/>
      <c r="AM57" s="685"/>
      <c r="AN57" s="685"/>
      <c r="AO57" s="685"/>
      <c r="AP57" s="686"/>
      <c r="AQ57" s="686"/>
      <c r="AR57" s="682" t="s">
        <v>279</v>
      </c>
      <c r="AS57" s="687"/>
      <c r="AT57" s="687"/>
    </row>
    <row r="58" ht="16.95" customHeight="1" spans="2:46">
      <c r="B58" s="697"/>
      <c r="C58" s="697"/>
      <c r="D58" s="697"/>
      <c r="E58" s="697"/>
      <c r="F58" s="697"/>
      <c r="G58" s="697"/>
      <c r="H58" s="697"/>
      <c r="I58" s="694"/>
      <c r="J58" s="694"/>
      <c r="K58" s="694"/>
      <c r="L58" s="694"/>
      <c r="M58" s="694"/>
      <c r="N58" s="694"/>
      <c r="O58" s="694"/>
      <c r="P58" s="694"/>
      <c r="Q58" s="694"/>
      <c r="R58" s="694"/>
      <c r="S58" s="695"/>
      <c r="T58" s="695"/>
      <c r="U58" s="682" t="s">
        <v>279</v>
      </c>
      <c r="V58" s="696"/>
      <c r="W58" s="696"/>
      <c r="Y58" s="697"/>
      <c r="Z58" s="697"/>
      <c r="AA58" s="697"/>
      <c r="AB58" s="697"/>
      <c r="AC58" s="697"/>
      <c r="AD58" s="697"/>
      <c r="AE58" s="697"/>
      <c r="AF58" s="694"/>
      <c r="AG58" s="694"/>
      <c r="AH58" s="694"/>
      <c r="AI58" s="694"/>
      <c r="AJ58" s="694"/>
      <c r="AK58" s="694"/>
      <c r="AL58" s="694"/>
      <c r="AM58" s="694"/>
      <c r="AN58" s="694"/>
      <c r="AO58" s="694"/>
      <c r="AP58" s="695"/>
      <c r="AQ58" s="695"/>
      <c r="AR58" s="682" t="s">
        <v>279</v>
      </c>
      <c r="AS58" s="696"/>
      <c r="AT58" s="696"/>
    </row>
    <row r="59" ht="16.95" customHeight="1" spans="2:46">
      <c r="B59" s="689"/>
      <c r="C59" s="689"/>
      <c r="D59" s="689"/>
      <c r="E59" s="689"/>
      <c r="F59" s="689"/>
      <c r="G59" s="689"/>
      <c r="H59" s="689"/>
      <c r="I59" s="685"/>
      <c r="J59" s="685"/>
      <c r="K59" s="685"/>
      <c r="L59" s="685"/>
      <c r="M59" s="685"/>
      <c r="N59" s="685"/>
      <c r="O59" s="685"/>
      <c r="P59" s="685"/>
      <c r="Q59" s="685"/>
      <c r="R59" s="685"/>
      <c r="S59" s="686"/>
      <c r="T59" s="686"/>
      <c r="U59" s="682" t="s">
        <v>279</v>
      </c>
      <c r="V59" s="687"/>
      <c r="W59" s="687"/>
      <c r="Y59" s="689"/>
      <c r="Z59" s="689"/>
      <c r="AA59" s="689"/>
      <c r="AB59" s="689"/>
      <c r="AC59" s="689"/>
      <c r="AD59" s="689"/>
      <c r="AE59" s="689"/>
      <c r="AF59" s="685"/>
      <c r="AG59" s="685"/>
      <c r="AH59" s="685"/>
      <c r="AI59" s="685"/>
      <c r="AJ59" s="685"/>
      <c r="AK59" s="685"/>
      <c r="AL59" s="685"/>
      <c r="AM59" s="685"/>
      <c r="AN59" s="685"/>
      <c r="AO59" s="685"/>
      <c r="AP59" s="686"/>
      <c r="AQ59" s="686"/>
      <c r="AR59" s="682" t="s">
        <v>279</v>
      </c>
      <c r="AS59" s="687"/>
      <c r="AT59" s="687"/>
    </row>
    <row r="60" ht="16.95" customHeight="1" spans="2:46">
      <c r="B60" s="697"/>
      <c r="C60" s="697"/>
      <c r="D60" s="697"/>
      <c r="E60" s="697"/>
      <c r="F60" s="697"/>
      <c r="G60" s="697"/>
      <c r="H60" s="697"/>
      <c r="I60" s="694"/>
      <c r="J60" s="694"/>
      <c r="K60" s="694"/>
      <c r="L60" s="694"/>
      <c r="M60" s="694"/>
      <c r="N60" s="694"/>
      <c r="O60" s="694"/>
      <c r="P60" s="694"/>
      <c r="Q60" s="694"/>
      <c r="R60" s="694"/>
      <c r="S60" s="695"/>
      <c r="T60" s="695"/>
      <c r="U60" s="682" t="s">
        <v>279</v>
      </c>
      <c r="V60" s="696"/>
      <c r="W60" s="696"/>
      <c r="Y60" s="697"/>
      <c r="Z60" s="697"/>
      <c r="AA60" s="697"/>
      <c r="AB60" s="697"/>
      <c r="AC60" s="697"/>
      <c r="AD60" s="697"/>
      <c r="AE60" s="697"/>
      <c r="AF60" s="694"/>
      <c r="AG60" s="694"/>
      <c r="AH60" s="694"/>
      <c r="AI60" s="694"/>
      <c r="AJ60" s="694"/>
      <c r="AK60" s="694"/>
      <c r="AL60" s="694"/>
      <c r="AM60" s="694"/>
      <c r="AN60" s="694"/>
      <c r="AO60" s="694"/>
      <c r="AP60" s="695"/>
      <c r="AQ60" s="695"/>
      <c r="AR60" s="682" t="s">
        <v>279</v>
      </c>
      <c r="AS60" s="696"/>
      <c r="AT60" s="696"/>
    </row>
    <row r="61" ht="7.95" customHeight="1" spans="2:46">
      <c r="B61" s="34"/>
      <c r="C61" s="34"/>
      <c r="D61" s="34"/>
      <c r="E61" s="34"/>
      <c r="F61" s="34"/>
      <c r="G61" s="34"/>
      <c r="H61" s="34"/>
      <c r="I61" s="34"/>
      <c r="J61" s="34"/>
      <c r="K61" s="34"/>
      <c r="L61" s="34"/>
      <c r="M61" s="34"/>
      <c r="N61" s="34"/>
      <c r="O61" s="34"/>
      <c r="P61" s="34"/>
      <c r="Q61" s="34"/>
      <c r="R61" s="34"/>
      <c r="S61" s="706"/>
      <c r="T61" s="706"/>
      <c r="V61" s="706"/>
      <c r="W61" s="706"/>
      <c r="Y61" s="34"/>
      <c r="Z61" s="34"/>
      <c r="AA61" s="34"/>
      <c r="AB61" s="34"/>
      <c r="AC61" s="34"/>
      <c r="AD61" s="34"/>
      <c r="AE61" s="34"/>
      <c r="AF61" s="34"/>
      <c r="AG61" s="34"/>
      <c r="AH61" s="34"/>
      <c r="AI61" s="34"/>
      <c r="AJ61" s="34"/>
      <c r="AK61" s="34"/>
      <c r="AL61" s="34"/>
      <c r="AM61" s="34"/>
      <c r="AN61" s="34"/>
      <c r="AO61" s="34"/>
      <c r="AP61" s="706"/>
      <c r="AQ61" s="706"/>
      <c r="AS61" s="706"/>
      <c r="AT61" s="706"/>
    </row>
    <row r="62" ht="16.95" customHeight="1" spans="2:46">
      <c r="B62" s="689"/>
      <c r="C62" s="689"/>
      <c r="D62" s="689"/>
      <c r="E62" s="689"/>
      <c r="F62" s="689"/>
      <c r="G62" s="689"/>
      <c r="H62" s="689"/>
      <c r="I62" s="685"/>
      <c r="J62" s="685"/>
      <c r="K62" s="685"/>
      <c r="L62" s="685"/>
      <c r="M62" s="685"/>
      <c r="N62" s="685"/>
      <c r="O62" s="685"/>
      <c r="P62" s="685"/>
      <c r="Q62" s="685"/>
      <c r="R62" s="685"/>
      <c r="S62" s="686"/>
      <c r="T62" s="686"/>
      <c r="U62" s="682" t="s">
        <v>279</v>
      </c>
      <c r="V62" s="687"/>
      <c r="W62" s="687"/>
      <c r="Y62" s="689"/>
      <c r="Z62" s="689"/>
      <c r="AA62" s="689"/>
      <c r="AB62" s="689"/>
      <c r="AC62" s="689"/>
      <c r="AD62" s="689"/>
      <c r="AE62" s="689"/>
      <c r="AF62" s="685"/>
      <c r="AG62" s="685"/>
      <c r="AH62" s="685"/>
      <c r="AI62" s="685"/>
      <c r="AJ62" s="685"/>
      <c r="AK62" s="685"/>
      <c r="AL62" s="685"/>
      <c r="AM62" s="685"/>
      <c r="AN62" s="685"/>
      <c r="AO62" s="685"/>
      <c r="AP62" s="686"/>
      <c r="AQ62" s="686"/>
      <c r="AR62" s="682" t="s">
        <v>279</v>
      </c>
      <c r="AS62" s="687"/>
      <c r="AT62" s="687"/>
    </row>
    <row r="63" ht="16.95" customHeight="1" spans="2:46">
      <c r="B63" s="697"/>
      <c r="C63" s="697"/>
      <c r="D63" s="697"/>
      <c r="E63" s="697"/>
      <c r="F63" s="697"/>
      <c r="G63" s="697"/>
      <c r="H63" s="697"/>
      <c r="I63" s="694"/>
      <c r="J63" s="694"/>
      <c r="K63" s="694"/>
      <c r="L63" s="694"/>
      <c r="M63" s="694"/>
      <c r="N63" s="694"/>
      <c r="O63" s="694"/>
      <c r="P63" s="694"/>
      <c r="Q63" s="694"/>
      <c r="R63" s="694"/>
      <c r="S63" s="695"/>
      <c r="T63" s="695"/>
      <c r="U63" s="682" t="s">
        <v>279</v>
      </c>
      <c r="V63" s="696"/>
      <c r="W63" s="696"/>
      <c r="Y63" s="697"/>
      <c r="Z63" s="697"/>
      <c r="AA63" s="697"/>
      <c r="AB63" s="697"/>
      <c r="AC63" s="697"/>
      <c r="AD63" s="697"/>
      <c r="AE63" s="697"/>
      <c r="AF63" s="694"/>
      <c r="AG63" s="694"/>
      <c r="AH63" s="694"/>
      <c r="AI63" s="694"/>
      <c r="AJ63" s="694"/>
      <c r="AK63" s="694"/>
      <c r="AL63" s="694"/>
      <c r="AM63" s="694"/>
      <c r="AN63" s="694"/>
      <c r="AO63" s="694"/>
      <c r="AP63" s="695"/>
      <c r="AQ63" s="695"/>
      <c r="AR63" s="682" t="s">
        <v>279</v>
      </c>
      <c r="AS63" s="696"/>
      <c r="AT63" s="696"/>
    </row>
    <row r="64" ht="16.95" customHeight="1" spans="2:46">
      <c r="B64" s="689"/>
      <c r="C64" s="689"/>
      <c r="D64" s="689"/>
      <c r="E64" s="689"/>
      <c r="F64" s="689"/>
      <c r="G64" s="689"/>
      <c r="H64" s="689"/>
      <c r="I64" s="685"/>
      <c r="J64" s="685"/>
      <c r="K64" s="685"/>
      <c r="L64" s="685"/>
      <c r="M64" s="685"/>
      <c r="N64" s="685"/>
      <c r="O64" s="685"/>
      <c r="P64" s="685"/>
      <c r="Q64" s="685"/>
      <c r="R64" s="685"/>
      <c r="S64" s="686"/>
      <c r="T64" s="686"/>
      <c r="U64" s="682" t="s">
        <v>279</v>
      </c>
      <c r="V64" s="687"/>
      <c r="W64" s="687"/>
      <c r="Y64" s="689"/>
      <c r="Z64" s="689"/>
      <c r="AA64" s="689"/>
      <c r="AB64" s="689"/>
      <c r="AC64" s="689"/>
      <c r="AD64" s="689"/>
      <c r="AE64" s="689"/>
      <c r="AF64" s="685"/>
      <c r="AG64" s="685"/>
      <c r="AH64" s="685"/>
      <c r="AI64" s="685"/>
      <c r="AJ64" s="685"/>
      <c r="AK64" s="685"/>
      <c r="AL64" s="685"/>
      <c r="AM64" s="685"/>
      <c r="AN64" s="685"/>
      <c r="AO64" s="685"/>
      <c r="AP64" s="686"/>
      <c r="AQ64" s="686"/>
      <c r="AR64" s="682" t="s">
        <v>279</v>
      </c>
      <c r="AS64" s="687"/>
      <c r="AT64" s="687"/>
    </row>
    <row r="65" ht="16.95" customHeight="1" spans="2:46">
      <c r="B65" s="697"/>
      <c r="C65" s="697"/>
      <c r="D65" s="697"/>
      <c r="E65" s="697"/>
      <c r="F65" s="697"/>
      <c r="G65" s="697"/>
      <c r="H65" s="697"/>
      <c r="I65" s="694"/>
      <c r="J65" s="694"/>
      <c r="K65" s="694"/>
      <c r="L65" s="694"/>
      <c r="M65" s="694"/>
      <c r="N65" s="694"/>
      <c r="O65" s="694"/>
      <c r="P65" s="694"/>
      <c r="Q65" s="694"/>
      <c r="R65" s="694"/>
      <c r="S65" s="695"/>
      <c r="T65" s="695"/>
      <c r="U65" s="682" t="s">
        <v>279</v>
      </c>
      <c r="V65" s="696"/>
      <c r="W65" s="696"/>
      <c r="Y65" s="697"/>
      <c r="Z65" s="697"/>
      <c r="AA65" s="697"/>
      <c r="AB65" s="697"/>
      <c r="AC65" s="697"/>
      <c r="AD65" s="697"/>
      <c r="AE65" s="697"/>
      <c r="AF65" s="694"/>
      <c r="AG65" s="694"/>
      <c r="AH65" s="694"/>
      <c r="AI65" s="694"/>
      <c r="AJ65" s="694"/>
      <c r="AK65" s="694"/>
      <c r="AL65" s="694"/>
      <c r="AM65" s="694"/>
      <c r="AN65" s="694"/>
      <c r="AO65" s="694"/>
      <c r="AP65" s="695"/>
      <c r="AQ65" s="695"/>
      <c r="AR65" s="682" t="s">
        <v>279</v>
      </c>
      <c r="AS65" s="696"/>
      <c r="AT65" s="696"/>
    </row>
    <row r="66" ht="16.95" customHeight="1" spans="2:46">
      <c r="B66" s="689"/>
      <c r="C66" s="689"/>
      <c r="D66" s="689"/>
      <c r="E66" s="689"/>
      <c r="F66" s="689"/>
      <c r="G66" s="689"/>
      <c r="H66" s="689"/>
      <c r="I66" s="685"/>
      <c r="J66" s="685"/>
      <c r="K66" s="685"/>
      <c r="L66" s="685"/>
      <c r="M66" s="685"/>
      <c r="N66" s="685"/>
      <c r="O66" s="685"/>
      <c r="P66" s="685"/>
      <c r="Q66" s="685"/>
      <c r="R66" s="685"/>
      <c r="S66" s="686"/>
      <c r="T66" s="686"/>
      <c r="U66" s="682" t="s">
        <v>279</v>
      </c>
      <c r="V66" s="687"/>
      <c r="W66" s="687"/>
      <c r="Y66" s="689"/>
      <c r="Z66" s="689"/>
      <c r="AA66" s="689"/>
      <c r="AB66" s="689"/>
      <c r="AC66" s="689"/>
      <c r="AD66" s="689"/>
      <c r="AE66" s="689"/>
      <c r="AF66" s="685"/>
      <c r="AG66" s="685"/>
      <c r="AH66" s="685"/>
      <c r="AI66" s="685"/>
      <c r="AJ66" s="685"/>
      <c r="AK66" s="685"/>
      <c r="AL66" s="685"/>
      <c r="AM66" s="685"/>
      <c r="AN66" s="685"/>
      <c r="AO66" s="685"/>
      <c r="AP66" s="686"/>
      <c r="AQ66" s="686"/>
      <c r="AR66" s="682" t="s">
        <v>279</v>
      </c>
      <c r="AS66" s="687"/>
      <c r="AT66" s="687"/>
    </row>
    <row r="67" ht="16.95" customHeight="1" spans="2:46">
      <c r="B67" s="704"/>
      <c r="C67" s="704"/>
      <c r="D67" s="704"/>
      <c r="E67" s="704"/>
      <c r="F67" s="704"/>
      <c r="G67" s="704"/>
      <c r="H67" s="704"/>
      <c r="I67" s="702"/>
      <c r="J67" s="702"/>
      <c r="K67" s="702"/>
      <c r="L67" s="702"/>
      <c r="M67" s="702"/>
      <c r="N67" s="702"/>
      <c r="O67" s="702"/>
      <c r="P67" s="702"/>
      <c r="Q67" s="702"/>
      <c r="R67" s="702"/>
      <c r="S67" s="695"/>
      <c r="T67" s="695"/>
      <c r="U67" s="682" t="s">
        <v>279</v>
      </c>
      <c r="V67" s="703"/>
      <c r="W67" s="703"/>
      <c r="Y67" s="704"/>
      <c r="Z67" s="704"/>
      <c r="AA67" s="704"/>
      <c r="AB67" s="704"/>
      <c r="AC67" s="704"/>
      <c r="AD67" s="704"/>
      <c r="AE67" s="704"/>
      <c r="AF67" s="702"/>
      <c r="AG67" s="702"/>
      <c r="AH67" s="702"/>
      <c r="AI67" s="702"/>
      <c r="AJ67" s="702"/>
      <c r="AK67" s="702"/>
      <c r="AL67" s="702"/>
      <c r="AM67" s="702"/>
      <c r="AN67" s="702"/>
      <c r="AO67" s="702"/>
      <c r="AP67" s="695"/>
      <c r="AQ67" s="695"/>
      <c r="AR67" s="682" t="s">
        <v>279</v>
      </c>
      <c r="AS67" s="703"/>
      <c r="AT67" s="703"/>
    </row>
    <row r="68" ht="16.95" customHeight="1" spans="2:46">
      <c r="B68" s="689"/>
      <c r="C68" s="689"/>
      <c r="D68" s="689"/>
      <c r="E68" s="689"/>
      <c r="F68" s="689"/>
      <c r="G68" s="689"/>
      <c r="H68" s="689"/>
      <c r="I68" s="685"/>
      <c r="J68" s="685"/>
      <c r="K68" s="685"/>
      <c r="L68" s="685"/>
      <c r="M68" s="685"/>
      <c r="N68" s="685"/>
      <c r="O68" s="685"/>
      <c r="P68" s="685"/>
      <c r="Q68" s="685"/>
      <c r="R68" s="685"/>
      <c r="S68" s="686"/>
      <c r="T68" s="686"/>
      <c r="U68" s="682" t="s">
        <v>279</v>
      </c>
      <c r="V68" s="687"/>
      <c r="W68" s="687"/>
      <c r="Y68" s="689"/>
      <c r="Z68" s="689"/>
      <c r="AA68" s="689"/>
      <c r="AB68" s="689"/>
      <c r="AC68" s="689"/>
      <c r="AD68" s="689"/>
      <c r="AE68" s="689"/>
      <c r="AF68" s="685"/>
      <c r="AG68" s="685"/>
      <c r="AH68" s="685"/>
      <c r="AI68" s="685"/>
      <c r="AJ68" s="685"/>
      <c r="AK68" s="685"/>
      <c r="AL68" s="685"/>
      <c r="AM68" s="685"/>
      <c r="AN68" s="685"/>
      <c r="AO68" s="685"/>
      <c r="AP68" s="686"/>
      <c r="AQ68" s="686"/>
      <c r="AR68" s="682" t="s">
        <v>279</v>
      </c>
      <c r="AS68" s="687"/>
      <c r="AT68" s="687"/>
    </row>
    <row r="69" ht="16.95" customHeight="1" spans="2:46">
      <c r="B69" s="697"/>
      <c r="C69" s="697"/>
      <c r="D69" s="697"/>
      <c r="E69" s="697"/>
      <c r="F69" s="697"/>
      <c r="G69" s="697"/>
      <c r="H69" s="697"/>
      <c r="I69" s="694"/>
      <c r="J69" s="694"/>
      <c r="K69" s="694"/>
      <c r="L69" s="694"/>
      <c r="M69" s="694"/>
      <c r="N69" s="694"/>
      <c r="O69" s="694"/>
      <c r="P69" s="694"/>
      <c r="Q69" s="694"/>
      <c r="R69" s="694"/>
      <c r="S69" s="695"/>
      <c r="T69" s="695"/>
      <c r="U69" s="682" t="s">
        <v>279</v>
      </c>
      <c r="V69" s="696"/>
      <c r="W69" s="696"/>
      <c r="Y69" s="697"/>
      <c r="Z69" s="697"/>
      <c r="AA69" s="697"/>
      <c r="AB69" s="697"/>
      <c r="AC69" s="697"/>
      <c r="AD69" s="697"/>
      <c r="AE69" s="697"/>
      <c r="AF69" s="694"/>
      <c r="AG69" s="694"/>
      <c r="AH69" s="694"/>
      <c r="AI69" s="694"/>
      <c r="AJ69" s="694"/>
      <c r="AK69" s="694"/>
      <c r="AL69" s="694"/>
      <c r="AM69" s="694"/>
      <c r="AN69" s="694"/>
      <c r="AO69" s="694"/>
      <c r="AP69" s="695"/>
      <c r="AQ69" s="695"/>
      <c r="AR69" s="682" t="s">
        <v>279</v>
      </c>
      <c r="AS69" s="696"/>
      <c r="AT69" s="696"/>
    </row>
    <row r="70" ht="16.95" customHeight="1" spans="2:46">
      <c r="B70" s="689"/>
      <c r="C70" s="689"/>
      <c r="D70" s="689"/>
      <c r="E70" s="689"/>
      <c r="F70" s="689"/>
      <c r="G70" s="689"/>
      <c r="H70" s="689"/>
      <c r="I70" s="685"/>
      <c r="J70" s="685"/>
      <c r="K70" s="685"/>
      <c r="L70" s="685"/>
      <c r="M70" s="685"/>
      <c r="N70" s="685"/>
      <c r="O70" s="685"/>
      <c r="P70" s="685"/>
      <c r="Q70" s="685"/>
      <c r="R70" s="685"/>
      <c r="S70" s="686"/>
      <c r="T70" s="686"/>
      <c r="U70" s="682" t="s">
        <v>279</v>
      </c>
      <c r="V70" s="687"/>
      <c r="W70" s="687"/>
      <c r="Y70" s="689"/>
      <c r="Z70" s="689"/>
      <c r="AA70" s="689"/>
      <c r="AB70" s="689"/>
      <c r="AC70" s="689"/>
      <c r="AD70" s="689"/>
      <c r="AE70" s="689"/>
      <c r="AF70" s="685"/>
      <c r="AG70" s="685"/>
      <c r="AH70" s="685"/>
      <c r="AI70" s="685"/>
      <c r="AJ70" s="685"/>
      <c r="AK70" s="685"/>
      <c r="AL70" s="685"/>
      <c r="AM70" s="685"/>
      <c r="AN70" s="685"/>
      <c r="AO70" s="685"/>
      <c r="AP70" s="686"/>
      <c r="AQ70" s="686"/>
      <c r="AR70" s="682" t="s">
        <v>279</v>
      </c>
      <c r="AS70" s="687"/>
      <c r="AT70" s="687"/>
    </row>
    <row r="71" ht="16.95" customHeight="1" spans="2:46">
      <c r="B71" s="697"/>
      <c r="C71" s="697"/>
      <c r="D71" s="697"/>
      <c r="E71" s="697"/>
      <c r="F71" s="697"/>
      <c r="G71" s="697"/>
      <c r="H71" s="697"/>
      <c r="I71" s="694"/>
      <c r="J71" s="694"/>
      <c r="K71" s="694"/>
      <c r="L71" s="694"/>
      <c r="M71" s="694"/>
      <c r="N71" s="694"/>
      <c r="O71" s="694"/>
      <c r="P71" s="694"/>
      <c r="Q71" s="694"/>
      <c r="R71" s="694"/>
      <c r="S71" s="695"/>
      <c r="T71" s="695"/>
      <c r="U71" s="682" t="s">
        <v>279</v>
      </c>
      <c r="V71" s="696"/>
      <c r="W71" s="696"/>
      <c r="Y71" s="697"/>
      <c r="Z71" s="697"/>
      <c r="AA71" s="697"/>
      <c r="AB71" s="697"/>
      <c r="AC71" s="697"/>
      <c r="AD71" s="697"/>
      <c r="AE71" s="697"/>
      <c r="AF71" s="694"/>
      <c r="AG71" s="694"/>
      <c r="AH71" s="694"/>
      <c r="AI71" s="694"/>
      <c r="AJ71" s="694"/>
      <c r="AK71" s="694"/>
      <c r="AL71" s="694"/>
      <c r="AM71" s="694"/>
      <c r="AN71" s="694"/>
      <c r="AO71" s="694"/>
      <c r="AP71" s="695"/>
      <c r="AQ71" s="695"/>
      <c r="AR71" s="682" t="s">
        <v>279</v>
      </c>
      <c r="AS71" s="696"/>
      <c r="AT71" s="696"/>
    </row>
    <row r="72" ht="7.95" customHeight="1" spans="2:46">
      <c r="B72" s="34"/>
      <c r="C72" s="34"/>
      <c r="D72" s="34"/>
      <c r="E72" s="34"/>
      <c r="F72" s="34"/>
      <c r="G72" s="34"/>
      <c r="H72" s="34"/>
      <c r="I72" s="34"/>
      <c r="J72" s="34"/>
      <c r="K72" s="34"/>
      <c r="L72" s="34"/>
      <c r="M72" s="34"/>
      <c r="N72" s="34"/>
      <c r="O72" s="34"/>
      <c r="P72" s="34"/>
      <c r="Q72" s="34"/>
      <c r="R72" s="34"/>
      <c r="S72" s="706"/>
      <c r="T72" s="706"/>
      <c r="V72" s="706"/>
      <c r="W72" s="706"/>
      <c r="Y72" s="34"/>
      <c r="Z72" s="34"/>
      <c r="AA72" s="34"/>
      <c r="AB72" s="34"/>
      <c r="AC72" s="34"/>
      <c r="AD72" s="34"/>
      <c r="AE72" s="34"/>
      <c r="AF72" s="34"/>
      <c r="AG72" s="34"/>
      <c r="AH72" s="34"/>
      <c r="AI72" s="34"/>
      <c r="AJ72" s="34"/>
      <c r="AK72" s="34"/>
      <c r="AL72" s="34"/>
      <c r="AM72" s="34"/>
      <c r="AN72" s="34"/>
      <c r="AO72" s="34"/>
      <c r="AP72" s="706"/>
      <c r="AQ72" s="706"/>
      <c r="AS72" s="706"/>
      <c r="AT72" s="706"/>
    </row>
    <row r="73" ht="16.95" customHeight="1" spans="2:46">
      <c r="B73" s="689"/>
      <c r="C73" s="689"/>
      <c r="D73" s="689"/>
      <c r="E73" s="689"/>
      <c r="F73" s="689"/>
      <c r="G73" s="689"/>
      <c r="H73" s="689"/>
      <c r="I73" s="685"/>
      <c r="J73" s="685"/>
      <c r="K73" s="685"/>
      <c r="L73" s="685"/>
      <c r="M73" s="685"/>
      <c r="N73" s="685"/>
      <c r="O73" s="685"/>
      <c r="P73" s="685"/>
      <c r="Q73" s="685"/>
      <c r="R73" s="685"/>
      <c r="S73" s="686"/>
      <c r="T73" s="686"/>
      <c r="U73" s="682" t="s">
        <v>279</v>
      </c>
      <c r="V73" s="687"/>
      <c r="W73" s="687"/>
      <c r="Y73" s="689"/>
      <c r="Z73" s="689"/>
      <c r="AA73" s="689"/>
      <c r="AB73" s="689"/>
      <c r="AC73" s="689"/>
      <c r="AD73" s="689"/>
      <c r="AE73" s="689"/>
      <c r="AF73" s="685"/>
      <c r="AG73" s="685"/>
      <c r="AH73" s="685"/>
      <c r="AI73" s="685"/>
      <c r="AJ73" s="685"/>
      <c r="AK73" s="685"/>
      <c r="AL73" s="685"/>
      <c r="AM73" s="685"/>
      <c r="AN73" s="685"/>
      <c r="AO73" s="685"/>
      <c r="AP73" s="686"/>
      <c r="AQ73" s="686"/>
      <c r="AR73" s="682" t="s">
        <v>279</v>
      </c>
      <c r="AS73" s="687"/>
      <c r="AT73" s="687"/>
    </row>
    <row r="74" ht="16.95" customHeight="1" spans="2:46">
      <c r="B74" s="697"/>
      <c r="C74" s="697"/>
      <c r="D74" s="697"/>
      <c r="E74" s="697"/>
      <c r="F74" s="697"/>
      <c r="G74" s="697"/>
      <c r="H74" s="697"/>
      <c r="I74" s="694"/>
      <c r="J74" s="694"/>
      <c r="K74" s="694"/>
      <c r="L74" s="694"/>
      <c r="M74" s="694"/>
      <c r="N74" s="694"/>
      <c r="O74" s="694"/>
      <c r="P74" s="694"/>
      <c r="Q74" s="694"/>
      <c r="R74" s="694"/>
      <c r="S74" s="695"/>
      <c r="T74" s="695"/>
      <c r="U74" s="682" t="s">
        <v>279</v>
      </c>
      <c r="V74" s="696"/>
      <c r="W74" s="696"/>
      <c r="Y74" s="697"/>
      <c r="Z74" s="697"/>
      <c r="AA74" s="697"/>
      <c r="AB74" s="697"/>
      <c r="AC74" s="697"/>
      <c r="AD74" s="697"/>
      <c r="AE74" s="697"/>
      <c r="AF74" s="694"/>
      <c r="AG74" s="694"/>
      <c r="AH74" s="694"/>
      <c r="AI74" s="694"/>
      <c r="AJ74" s="694"/>
      <c r="AK74" s="694"/>
      <c r="AL74" s="694"/>
      <c r="AM74" s="694"/>
      <c r="AN74" s="694"/>
      <c r="AO74" s="694"/>
      <c r="AP74" s="695"/>
      <c r="AQ74" s="695"/>
      <c r="AR74" s="682" t="s">
        <v>279</v>
      </c>
      <c r="AS74" s="696"/>
      <c r="AT74" s="696"/>
    </row>
    <row r="75" ht="16.95" customHeight="1" spans="2:46">
      <c r="B75" s="689"/>
      <c r="C75" s="689"/>
      <c r="D75" s="689"/>
      <c r="E75" s="689"/>
      <c r="F75" s="689"/>
      <c r="G75" s="689"/>
      <c r="H75" s="689"/>
      <c r="I75" s="685"/>
      <c r="J75" s="685"/>
      <c r="K75" s="685"/>
      <c r="L75" s="685"/>
      <c r="M75" s="685"/>
      <c r="N75" s="685"/>
      <c r="O75" s="685"/>
      <c r="P75" s="685"/>
      <c r="Q75" s="685"/>
      <c r="R75" s="685"/>
      <c r="S75" s="686"/>
      <c r="T75" s="686"/>
      <c r="U75" s="682" t="s">
        <v>279</v>
      </c>
      <c r="V75" s="687"/>
      <c r="W75" s="687"/>
      <c r="Y75" s="689"/>
      <c r="Z75" s="689"/>
      <c r="AA75" s="689"/>
      <c r="AB75" s="689"/>
      <c r="AC75" s="689"/>
      <c r="AD75" s="689"/>
      <c r="AE75" s="689"/>
      <c r="AF75" s="685"/>
      <c r="AG75" s="685"/>
      <c r="AH75" s="685"/>
      <c r="AI75" s="685"/>
      <c r="AJ75" s="685"/>
      <c r="AK75" s="685"/>
      <c r="AL75" s="685"/>
      <c r="AM75" s="685"/>
      <c r="AN75" s="685"/>
      <c r="AO75" s="685"/>
      <c r="AP75" s="686"/>
      <c r="AQ75" s="686"/>
      <c r="AR75" s="682" t="s">
        <v>279</v>
      </c>
      <c r="AS75" s="687"/>
      <c r="AT75" s="687"/>
    </row>
    <row r="76" ht="16.95" customHeight="1" spans="2:46">
      <c r="B76" s="697"/>
      <c r="C76" s="697"/>
      <c r="D76" s="697"/>
      <c r="E76" s="697"/>
      <c r="F76" s="697"/>
      <c r="G76" s="697"/>
      <c r="H76" s="697"/>
      <c r="I76" s="694"/>
      <c r="J76" s="694"/>
      <c r="K76" s="694"/>
      <c r="L76" s="694"/>
      <c r="M76" s="694"/>
      <c r="N76" s="694"/>
      <c r="O76" s="694"/>
      <c r="P76" s="694"/>
      <c r="Q76" s="694"/>
      <c r="R76" s="694"/>
      <c r="S76" s="695"/>
      <c r="T76" s="695"/>
      <c r="U76" s="682" t="s">
        <v>279</v>
      </c>
      <c r="V76" s="696"/>
      <c r="W76" s="696"/>
      <c r="Y76" s="697"/>
      <c r="Z76" s="697"/>
      <c r="AA76" s="697"/>
      <c r="AB76" s="697"/>
      <c r="AC76" s="697"/>
      <c r="AD76" s="697"/>
      <c r="AE76" s="697"/>
      <c r="AF76" s="694"/>
      <c r="AG76" s="694"/>
      <c r="AH76" s="694"/>
      <c r="AI76" s="694"/>
      <c r="AJ76" s="694"/>
      <c r="AK76" s="694"/>
      <c r="AL76" s="694"/>
      <c r="AM76" s="694"/>
      <c r="AN76" s="694"/>
      <c r="AO76" s="694"/>
      <c r="AP76" s="695"/>
      <c r="AQ76" s="695"/>
      <c r="AR76" s="682" t="s">
        <v>279</v>
      </c>
      <c r="AS76" s="696"/>
      <c r="AT76" s="696"/>
    </row>
    <row r="77" ht="16.95" customHeight="1" spans="2:46">
      <c r="B77" s="689"/>
      <c r="C77" s="689"/>
      <c r="D77" s="689"/>
      <c r="E77" s="689"/>
      <c r="F77" s="689"/>
      <c r="G77" s="689"/>
      <c r="H77" s="689"/>
      <c r="I77" s="685"/>
      <c r="J77" s="685"/>
      <c r="K77" s="685"/>
      <c r="L77" s="685"/>
      <c r="M77" s="685"/>
      <c r="N77" s="685"/>
      <c r="O77" s="685"/>
      <c r="P77" s="685"/>
      <c r="Q77" s="685"/>
      <c r="R77" s="685"/>
      <c r="S77" s="686"/>
      <c r="T77" s="686"/>
      <c r="U77" s="682" t="s">
        <v>279</v>
      </c>
      <c r="V77" s="687"/>
      <c r="W77" s="687"/>
      <c r="Y77" s="689"/>
      <c r="Z77" s="689"/>
      <c r="AA77" s="689"/>
      <c r="AB77" s="689"/>
      <c r="AC77" s="689"/>
      <c r="AD77" s="689"/>
      <c r="AE77" s="689"/>
      <c r="AF77" s="685"/>
      <c r="AG77" s="685"/>
      <c r="AH77" s="685"/>
      <c r="AI77" s="685"/>
      <c r="AJ77" s="685"/>
      <c r="AK77" s="685"/>
      <c r="AL77" s="685"/>
      <c r="AM77" s="685"/>
      <c r="AN77" s="685"/>
      <c r="AO77" s="685"/>
      <c r="AP77" s="686"/>
      <c r="AQ77" s="686"/>
      <c r="AR77" s="682" t="s">
        <v>279</v>
      </c>
      <c r="AS77" s="687"/>
      <c r="AT77" s="687"/>
    </row>
    <row r="78" ht="16.95" customHeight="1" spans="2:46">
      <c r="B78" s="704"/>
      <c r="C78" s="704"/>
      <c r="D78" s="704"/>
      <c r="E78" s="704"/>
      <c r="F78" s="704"/>
      <c r="G78" s="704"/>
      <c r="H78" s="704"/>
      <c r="I78" s="702"/>
      <c r="J78" s="702"/>
      <c r="K78" s="702"/>
      <c r="L78" s="702"/>
      <c r="M78" s="702"/>
      <c r="N78" s="702"/>
      <c r="O78" s="702"/>
      <c r="P78" s="702"/>
      <c r="Q78" s="702"/>
      <c r="R78" s="702"/>
      <c r="S78" s="695"/>
      <c r="T78" s="695"/>
      <c r="U78" s="682" t="s">
        <v>279</v>
      </c>
      <c r="V78" s="703"/>
      <c r="W78" s="703"/>
      <c r="Y78" s="704"/>
      <c r="Z78" s="704"/>
      <c r="AA78" s="704"/>
      <c r="AB78" s="704"/>
      <c r="AC78" s="704"/>
      <c r="AD78" s="704"/>
      <c r="AE78" s="704"/>
      <c r="AF78" s="702"/>
      <c r="AG78" s="702"/>
      <c r="AH78" s="702"/>
      <c r="AI78" s="702"/>
      <c r="AJ78" s="702"/>
      <c r="AK78" s="702"/>
      <c r="AL78" s="702"/>
      <c r="AM78" s="702"/>
      <c r="AN78" s="702"/>
      <c r="AO78" s="702"/>
      <c r="AP78" s="695"/>
      <c r="AQ78" s="695"/>
      <c r="AR78" s="682" t="s">
        <v>279</v>
      </c>
      <c r="AS78" s="703"/>
      <c r="AT78" s="703"/>
    </row>
    <row r="79" ht="16.95" customHeight="1" spans="2:46">
      <c r="B79" s="689"/>
      <c r="C79" s="689"/>
      <c r="D79" s="689"/>
      <c r="E79" s="689"/>
      <c r="F79" s="689"/>
      <c r="G79" s="689"/>
      <c r="H79" s="689"/>
      <c r="I79" s="685"/>
      <c r="J79" s="685"/>
      <c r="K79" s="685"/>
      <c r="L79" s="685"/>
      <c r="M79" s="685"/>
      <c r="N79" s="685"/>
      <c r="O79" s="685"/>
      <c r="P79" s="685"/>
      <c r="Q79" s="685"/>
      <c r="R79" s="685"/>
      <c r="S79" s="686"/>
      <c r="T79" s="686"/>
      <c r="U79" s="682" t="s">
        <v>279</v>
      </c>
      <c r="V79" s="687"/>
      <c r="W79" s="687"/>
      <c r="Y79" s="689"/>
      <c r="Z79" s="689"/>
      <c r="AA79" s="689"/>
      <c r="AB79" s="689"/>
      <c r="AC79" s="689"/>
      <c r="AD79" s="689"/>
      <c r="AE79" s="689"/>
      <c r="AF79" s="685"/>
      <c r="AG79" s="685"/>
      <c r="AH79" s="685"/>
      <c r="AI79" s="685"/>
      <c r="AJ79" s="685"/>
      <c r="AK79" s="685"/>
      <c r="AL79" s="685"/>
      <c r="AM79" s="685"/>
      <c r="AN79" s="685"/>
      <c r="AO79" s="685"/>
      <c r="AP79" s="686"/>
      <c r="AQ79" s="686"/>
      <c r="AR79" s="682" t="s">
        <v>279</v>
      </c>
      <c r="AS79" s="687"/>
      <c r="AT79" s="687"/>
    </row>
    <row r="80" ht="16.95" customHeight="1" spans="2:46">
      <c r="B80" s="697"/>
      <c r="C80" s="697"/>
      <c r="D80" s="697"/>
      <c r="E80" s="697"/>
      <c r="F80" s="697"/>
      <c r="G80" s="697"/>
      <c r="H80" s="697"/>
      <c r="I80" s="694"/>
      <c r="J80" s="694"/>
      <c r="K80" s="694"/>
      <c r="L80" s="694"/>
      <c r="M80" s="694"/>
      <c r="N80" s="694"/>
      <c r="O80" s="694"/>
      <c r="P80" s="694"/>
      <c r="Q80" s="694"/>
      <c r="R80" s="694"/>
      <c r="S80" s="695"/>
      <c r="T80" s="695"/>
      <c r="U80" s="682" t="s">
        <v>279</v>
      </c>
      <c r="V80" s="696"/>
      <c r="W80" s="696"/>
      <c r="Y80" s="697"/>
      <c r="Z80" s="697"/>
      <c r="AA80" s="697"/>
      <c r="AB80" s="697"/>
      <c r="AC80" s="697"/>
      <c r="AD80" s="697"/>
      <c r="AE80" s="697"/>
      <c r="AF80" s="694"/>
      <c r="AG80" s="694"/>
      <c r="AH80" s="694"/>
      <c r="AI80" s="694"/>
      <c r="AJ80" s="694"/>
      <c r="AK80" s="694"/>
      <c r="AL80" s="694"/>
      <c r="AM80" s="694"/>
      <c r="AN80" s="694"/>
      <c r="AO80" s="694"/>
      <c r="AP80" s="695"/>
      <c r="AQ80" s="695"/>
      <c r="AR80" s="682" t="s">
        <v>279</v>
      </c>
      <c r="AS80" s="696"/>
      <c r="AT80" s="696"/>
    </row>
    <row r="81" ht="16.95" customHeight="1" spans="2:46">
      <c r="B81" s="689"/>
      <c r="C81" s="689"/>
      <c r="D81" s="689"/>
      <c r="E81" s="689"/>
      <c r="F81" s="689"/>
      <c r="G81" s="689"/>
      <c r="H81" s="689"/>
      <c r="I81" s="685"/>
      <c r="J81" s="685"/>
      <c r="K81" s="685"/>
      <c r="L81" s="685"/>
      <c r="M81" s="685"/>
      <c r="N81" s="685"/>
      <c r="O81" s="685"/>
      <c r="P81" s="685"/>
      <c r="Q81" s="685"/>
      <c r="R81" s="685"/>
      <c r="S81" s="686"/>
      <c r="T81" s="686"/>
      <c r="U81" s="682" t="s">
        <v>279</v>
      </c>
      <c r="V81" s="687"/>
      <c r="W81" s="687"/>
      <c r="Y81" s="689"/>
      <c r="Z81" s="689"/>
      <c r="AA81" s="689"/>
      <c r="AB81" s="689"/>
      <c r="AC81" s="689"/>
      <c r="AD81" s="689"/>
      <c r="AE81" s="689"/>
      <c r="AF81" s="685"/>
      <c r="AG81" s="685"/>
      <c r="AH81" s="685"/>
      <c r="AI81" s="685"/>
      <c r="AJ81" s="685"/>
      <c r="AK81" s="685"/>
      <c r="AL81" s="685"/>
      <c r="AM81" s="685"/>
      <c r="AN81" s="685"/>
      <c r="AO81" s="685"/>
      <c r="AP81" s="686"/>
      <c r="AQ81" s="686"/>
      <c r="AR81" s="682" t="s">
        <v>279</v>
      </c>
      <c r="AS81" s="687"/>
      <c r="AT81" s="687"/>
    </row>
    <row r="82" ht="16.95" customHeight="1" spans="2:46">
      <c r="B82" s="697"/>
      <c r="C82" s="697"/>
      <c r="D82" s="697"/>
      <c r="E82" s="697"/>
      <c r="F82" s="697"/>
      <c r="G82" s="697"/>
      <c r="H82" s="697"/>
      <c r="I82" s="694"/>
      <c r="J82" s="694"/>
      <c r="K82" s="694"/>
      <c r="L82" s="694"/>
      <c r="M82" s="694"/>
      <c r="N82" s="694"/>
      <c r="O82" s="694"/>
      <c r="P82" s="694"/>
      <c r="Q82" s="694"/>
      <c r="R82" s="694"/>
      <c r="S82" s="695"/>
      <c r="T82" s="695"/>
      <c r="U82" s="682" t="s">
        <v>279</v>
      </c>
      <c r="V82" s="696"/>
      <c r="W82" s="696"/>
      <c r="Y82" s="697"/>
      <c r="Z82" s="697"/>
      <c r="AA82" s="697"/>
      <c r="AB82" s="697"/>
      <c r="AC82" s="697"/>
      <c r="AD82" s="697"/>
      <c r="AE82" s="697"/>
      <c r="AF82" s="694"/>
      <c r="AG82" s="694"/>
      <c r="AH82" s="694"/>
      <c r="AI82" s="694"/>
      <c r="AJ82" s="694"/>
      <c r="AK82" s="694"/>
      <c r="AL82" s="694"/>
      <c r="AM82" s="694"/>
      <c r="AN82" s="694"/>
      <c r="AO82" s="694"/>
      <c r="AP82" s="695"/>
      <c r="AQ82" s="695"/>
      <c r="AR82" s="682" t="s">
        <v>279</v>
      </c>
      <c r="AS82" s="696"/>
      <c r="AT82" s="696"/>
    </row>
    <row r="83" ht="7.95" customHeight="1"/>
  </sheetData>
  <sheetProtection sheet="1" objects="1" scenarios="1"/>
  <mergeCells count="634">
    <mergeCell ref="A1:AS1"/>
    <mergeCell ref="J2:M2"/>
    <mergeCell ref="B3:H3"/>
    <mergeCell ref="P3:T3"/>
    <mergeCell ref="V3:W3"/>
    <mergeCell ref="Y3:AE3"/>
    <mergeCell ref="AM3:AQ3"/>
    <mergeCell ref="AS3:AT3"/>
    <mergeCell ref="AW3:BR3"/>
    <mergeCell ref="BT3:CO3"/>
    <mergeCell ref="B4:H4"/>
    <mergeCell ref="I4:R4"/>
    <mergeCell ref="S4:T4"/>
    <mergeCell ref="V4:W4"/>
    <mergeCell ref="Y4:AE4"/>
    <mergeCell ref="AF4:AO4"/>
    <mergeCell ref="AP4:AQ4"/>
    <mergeCell ref="AS4:AT4"/>
    <mergeCell ref="B5:H5"/>
    <mergeCell ref="I5:R5"/>
    <mergeCell ref="S5:T5"/>
    <mergeCell ref="V5:W5"/>
    <mergeCell ref="Y5:AE5"/>
    <mergeCell ref="AF5:AO5"/>
    <mergeCell ref="AP5:AQ5"/>
    <mergeCell ref="AS5:AT5"/>
    <mergeCell ref="AW5:BR5"/>
    <mergeCell ref="BT5:CO5"/>
    <mergeCell ref="B6:H6"/>
    <mergeCell ref="I6:R6"/>
    <mergeCell ref="S6:T6"/>
    <mergeCell ref="V6:W6"/>
    <mergeCell ref="Y6:AE6"/>
    <mergeCell ref="AF6:AO6"/>
    <mergeCell ref="AP6:AQ6"/>
    <mergeCell ref="AS6:AT6"/>
    <mergeCell ref="AW6:BR6"/>
    <mergeCell ref="BT6:CO6"/>
    <mergeCell ref="B7:H7"/>
    <mergeCell ref="I7:R7"/>
    <mergeCell ref="S7:T7"/>
    <mergeCell ref="V7:W7"/>
    <mergeCell ref="Y7:AE7"/>
    <mergeCell ref="AF7:AO7"/>
    <mergeCell ref="AP7:AQ7"/>
    <mergeCell ref="AS7:AT7"/>
    <mergeCell ref="AW7:BR7"/>
    <mergeCell ref="BT7:CO7"/>
    <mergeCell ref="B8:H8"/>
    <mergeCell ref="I8:R8"/>
    <mergeCell ref="S8:T8"/>
    <mergeCell ref="V8:W8"/>
    <mergeCell ref="Y8:AE8"/>
    <mergeCell ref="AF8:AO8"/>
    <mergeCell ref="AP8:AQ8"/>
    <mergeCell ref="AS8:AT8"/>
    <mergeCell ref="AW8:BR8"/>
    <mergeCell ref="BT8:CO8"/>
    <mergeCell ref="B9:H9"/>
    <mergeCell ref="I9:R9"/>
    <mergeCell ref="S9:T9"/>
    <mergeCell ref="V9:W9"/>
    <mergeCell ref="Y9:AE9"/>
    <mergeCell ref="AF9:AO9"/>
    <mergeCell ref="AP9:AQ9"/>
    <mergeCell ref="AS9:AT9"/>
    <mergeCell ref="AW9:BR9"/>
    <mergeCell ref="BT9:CO9"/>
    <mergeCell ref="B10:H10"/>
    <mergeCell ref="I10:R10"/>
    <mergeCell ref="S10:T10"/>
    <mergeCell ref="V10:W10"/>
    <mergeCell ref="Y10:AE10"/>
    <mergeCell ref="AF10:AO10"/>
    <mergeCell ref="AP10:AQ10"/>
    <mergeCell ref="AS10:AT10"/>
    <mergeCell ref="AW10:BR10"/>
    <mergeCell ref="BT10:CO10"/>
    <mergeCell ref="B11:H11"/>
    <mergeCell ref="I11:R11"/>
    <mergeCell ref="S11:T11"/>
    <mergeCell ref="V11:W11"/>
    <mergeCell ref="Y11:AE11"/>
    <mergeCell ref="AF11:AO11"/>
    <mergeCell ref="AP11:AQ11"/>
    <mergeCell ref="AS11:AT11"/>
    <mergeCell ref="AW11:BR11"/>
    <mergeCell ref="BT11:CO11"/>
    <mergeCell ref="B12:H12"/>
    <mergeCell ref="I12:R12"/>
    <mergeCell ref="S12:T12"/>
    <mergeCell ref="V12:W12"/>
    <mergeCell ref="Y12:AE12"/>
    <mergeCell ref="AF12:AO12"/>
    <mergeCell ref="AP12:AQ12"/>
    <mergeCell ref="AS12:AT12"/>
    <mergeCell ref="AW12:BR12"/>
    <mergeCell ref="BT12:CO12"/>
    <mergeCell ref="B13:H13"/>
    <mergeCell ref="I13:R13"/>
    <mergeCell ref="S13:T13"/>
    <mergeCell ref="V13:W13"/>
    <mergeCell ref="Y13:AE13"/>
    <mergeCell ref="AF13:AO13"/>
    <mergeCell ref="AP13:AQ13"/>
    <mergeCell ref="AS13:AT13"/>
    <mergeCell ref="AW13:BR13"/>
    <mergeCell ref="BT13:CO13"/>
    <mergeCell ref="B14:H14"/>
    <mergeCell ref="I14:R14"/>
    <mergeCell ref="S14:T14"/>
    <mergeCell ref="V14:W14"/>
    <mergeCell ref="Y14:AE14"/>
    <mergeCell ref="AF14:AO14"/>
    <mergeCell ref="AP14:AQ14"/>
    <mergeCell ref="AS14:AT14"/>
    <mergeCell ref="AW14:BR14"/>
    <mergeCell ref="BT14:CO14"/>
    <mergeCell ref="B16:H16"/>
    <mergeCell ref="I16:R16"/>
    <mergeCell ref="S16:T16"/>
    <mergeCell ref="V16:W16"/>
    <mergeCell ref="Y16:AE16"/>
    <mergeCell ref="AF16:AO16"/>
    <mergeCell ref="AP16:AQ16"/>
    <mergeCell ref="AS16:AT16"/>
    <mergeCell ref="AW16:BR16"/>
    <mergeCell ref="BT16:CO16"/>
    <mergeCell ref="B17:H17"/>
    <mergeCell ref="I17:R17"/>
    <mergeCell ref="S17:T17"/>
    <mergeCell ref="V17:W17"/>
    <mergeCell ref="Y17:AE17"/>
    <mergeCell ref="AF17:AO17"/>
    <mergeCell ref="AP17:AQ17"/>
    <mergeCell ref="AS17:AT17"/>
    <mergeCell ref="AW17:BR17"/>
    <mergeCell ref="BT17:CO17"/>
    <mergeCell ref="B18:H18"/>
    <mergeCell ref="I18:R18"/>
    <mergeCell ref="S18:T18"/>
    <mergeCell ref="V18:W18"/>
    <mergeCell ref="Y18:AE18"/>
    <mergeCell ref="AF18:AO18"/>
    <mergeCell ref="AP18:AQ18"/>
    <mergeCell ref="AS18:AT18"/>
    <mergeCell ref="AW18:BR18"/>
    <mergeCell ref="BT18:CO18"/>
    <mergeCell ref="B19:H19"/>
    <mergeCell ref="I19:R19"/>
    <mergeCell ref="S19:T19"/>
    <mergeCell ref="V19:W19"/>
    <mergeCell ref="Y19:AE19"/>
    <mergeCell ref="AF19:AO19"/>
    <mergeCell ref="AP19:AQ19"/>
    <mergeCell ref="AS19:AT19"/>
    <mergeCell ref="AW19:BR19"/>
    <mergeCell ref="BT19:CO19"/>
    <mergeCell ref="B20:H20"/>
    <mergeCell ref="I20:R20"/>
    <mergeCell ref="S20:T20"/>
    <mergeCell ref="V20:W20"/>
    <mergeCell ref="Y20:AE20"/>
    <mergeCell ref="AF20:AO20"/>
    <mergeCell ref="AP20:AQ20"/>
    <mergeCell ref="AS20:AT20"/>
    <mergeCell ref="AW20:BR20"/>
    <mergeCell ref="BT20:CO20"/>
    <mergeCell ref="B21:H21"/>
    <mergeCell ref="I21:R21"/>
    <mergeCell ref="S21:T21"/>
    <mergeCell ref="V21:W21"/>
    <mergeCell ref="Y21:AE21"/>
    <mergeCell ref="AF21:AO21"/>
    <mergeCell ref="AP21:AQ21"/>
    <mergeCell ref="AS21:AT21"/>
    <mergeCell ref="AW21:BR21"/>
    <mergeCell ref="BT21:CO21"/>
    <mergeCell ref="B22:H22"/>
    <mergeCell ref="I22:R22"/>
    <mergeCell ref="S22:T22"/>
    <mergeCell ref="V22:W22"/>
    <mergeCell ref="Y22:AE22"/>
    <mergeCell ref="AF22:AO22"/>
    <mergeCell ref="AP22:AQ22"/>
    <mergeCell ref="AS22:AT22"/>
    <mergeCell ref="AW22:BR22"/>
    <mergeCell ref="BT22:CO22"/>
    <mergeCell ref="B23:H23"/>
    <mergeCell ref="I23:R23"/>
    <mergeCell ref="S23:T23"/>
    <mergeCell ref="V23:W23"/>
    <mergeCell ref="Y23:AE23"/>
    <mergeCell ref="AF23:AO23"/>
    <mergeCell ref="AP23:AQ23"/>
    <mergeCell ref="AS23:AT23"/>
    <mergeCell ref="AW23:BR23"/>
    <mergeCell ref="BT23:CO23"/>
    <mergeCell ref="B24:H24"/>
    <mergeCell ref="I24:R24"/>
    <mergeCell ref="S24:T24"/>
    <mergeCell ref="V24:W24"/>
    <mergeCell ref="Y24:AE24"/>
    <mergeCell ref="AF24:AO24"/>
    <mergeCell ref="AP24:AQ24"/>
    <mergeCell ref="AS24:AT24"/>
    <mergeCell ref="AW24:BR24"/>
    <mergeCell ref="BT24:CO24"/>
    <mergeCell ref="B25:H25"/>
    <mergeCell ref="I25:R25"/>
    <mergeCell ref="S25:T25"/>
    <mergeCell ref="V25:W25"/>
    <mergeCell ref="Y25:AE25"/>
    <mergeCell ref="AF25:AO25"/>
    <mergeCell ref="AP25:AQ25"/>
    <mergeCell ref="AS25:AT25"/>
    <mergeCell ref="AW25:BR25"/>
    <mergeCell ref="BT25:CO25"/>
    <mergeCell ref="B27:C27"/>
    <mergeCell ref="H27:O27"/>
    <mergeCell ref="P27:T27"/>
    <mergeCell ref="U27:W27"/>
    <mergeCell ref="Y27:Z27"/>
    <mergeCell ref="AE27:AL27"/>
    <mergeCell ref="AM27:AQ27"/>
    <mergeCell ref="AR27:AT27"/>
    <mergeCell ref="B28:H28"/>
    <mergeCell ref="I28:R28"/>
    <mergeCell ref="S28:T28"/>
    <mergeCell ref="V28:W28"/>
    <mergeCell ref="Y28:AE28"/>
    <mergeCell ref="AF28:AO28"/>
    <mergeCell ref="AP28:AQ28"/>
    <mergeCell ref="AS28:AT28"/>
    <mergeCell ref="B29:H29"/>
    <mergeCell ref="I29:R29"/>
    <mergeCell ref="S29:T29"/>
    <mergeCell ref="V29:W29"/>
    <mergeCell ref="Y29:AE29"/>
    <mergeCell ref="AF29:AO29"/>
    <mergeCell ref="AP29:AQ29"/>
    <mergeCell ref="AS29:AT29"/>
    <mergeCell ref="B30:H30"/>
    <mergeCell ref="I30:R30"/>
    <mergeCell ref="S30:T30"/>
    <mergeCell ref="V30:W30"/>
    <mergeCell ref="Y30:AE30"/>
    <mergeCell ref="AF30:AO30"/>
    <mergeCell ref="AP30:AQ30"/>
    <mergeCell ref="AS30:AT30"/>
    <mergeCell ref="B31:H31"/>
    <mergeCell ref="I31:R31"/>
    <mergeCell ref="S31:T31"/>
    <mergeCell ref="V31:W31"/>
    <mergeCell ref="Y31:AE31"/>
    <mergeCell ref="AF31:AO31"/>
    <mergeCell ref="AP31:AQ31"/>
    <mergeCell ref="AS31:AT31"/>
    <mergeCell ref="B32:H32"/>
    <mergeCell ref="I32:R32"/>
    <mergeCell ref="S32:T32"/>
    <mergeCell ref="V32:W32"/>
    <mergeCell ref="Y32:AE32"/>
    <mergeCell ref="AF32:AO32"/>
    <mergeCell ref="AP32:AQ32"/>
    <mergeCell ref="AS32:AT32"/>
    <mergeCell ref="B33:H33"/>
    <mergeCell ref="I33:R33"/>
    <mergeCell ref="S33:T33"/>
    <mergeCell ref="V33:W33"/>
    <mergeCell ref="Y33:AE33"/>
    <mergeCell ref="AF33:AO33"/>
    <mergeCell ref="AP33:AQ33"/>
    <mergeCell ref="AS33:AT33"/>
    <mergeCell ref="B34:H34"/>
    <mergeCell ref="I34:R34"/>
    <mergeCell ref="S34:T34"/>
    <mergeCell ref="V34:W34"/>
    <mergeCell ref="Y34:AE34"/>
    <mergeCell ref="AF34:AO34"/>
    <mergeCell ref="AP34:AQ34"/>
    <mergeCell ref="AS34:AT34"/>
    <mergeCell ref="B35:H35"/>
    <mergeCell ref="I35:R35"/>
    <mergeCell ref="S35:T35"/>
    <mergeCell ref="V35:W35"/>
    <mergeCell ref="Y35:AE35"/>
    <mergeCell ref="AF35:AO35"/>
    <mergeCell ref="AP35:AQ35"/>
    <mergeCell ref="AS35:AT35"/>
    <mergeCell ref="B36:H36"/>
    <mergeCell ref="I36:R36"/>
    <mergeCell ref="S36:T36"/>
    <mergeCell ref="V36:W36"/>
    <mergeCell ref="Y36:AE36"/>
    <mergeCell ref="AF36:AO36"/>
    <mergeCell ref="AP36:AQ36"/>
    <mergeCell ref="AS36:AT36"/>
    <mergeCell ref="B37:H37"/>
    <mergeCell ref="I37:R37"/>
    <mergeCell ref="S37:T37"/>
    <mergeCell ref="V37:W37"/>
    <mergeCell ref="Y37:AE37"/>
    <mergeCell ref="AF37:AO37"/>
    <mergeCell ref="AP37:AQ37"/>
    <mergeCell ref="AS37:AT37"/>
    <mergeCell ref="B38:H38"/>
    <mergeCell ref="I38:R38"/>
    <mergeCell ref="S38:T38"/>
    <mergeCell ref="V38:W38"/>
    <mergeCell ref="Y38:AE38"/>
    <mergeCell ref="AF38:AO38"/>
    <mergeCell ref="AP38:AQ38"/>
    <mergeCell ref="AS38:AT38"/>
    <mergeCell ref="B40:H40"/>
    <mergeCell ref="I40:R40"/>
    <mergeCell ref="S40:T40"/>
    <mergeCell ref="V40:W40"/>
    <mergeCell ref="Y40:AE40"/>
    <mergeCell ref="AF40:AO40"/>
    <mergeCell ref="AP40:AQ40"/>
    <mergeCell ref="AS40:AT40"/>
    <mergeCell ref="B41:H41"/>
    <mergeCell ref="I41:R41"/>
    <mergeCell ref="S41:T41"/>
    <mergeCell ref="V41:W41"/>
    <mergeCell ref="Y41:AE41"/>
    <mergeCell ref="AF41:AO41"/>
    <mergeCell ref="AP41:AQ41"/>
    <mergeCell ref="AS41:AT41"/>
    <mergeCell ref="B42:H42"/>
    <mergeCell ref="I42:R42"/>
    <mergeCell ref="S42:T42"/>
    <mergeCell ref="V42:W42"/>
    <mergeCell ref="Y42:AE42"/>
    <mergeCell ref="AF42:AO42"/>
    <mergeCell ref="AP42:AQ42"/>
    <mergeCell ref="AS42:AT42"/>
    <mergeCell ref="B43:H43"/>
    <mergeCell ref="I43:R43"/>
    <mergeCell ref="S43:T43"/>
    <mergeCell ref="V43:W43"/>
    <mergeCell ref="Y43:AE43"/>
    <mergeCell ref="AF43:AO43"/>
    <mergeCell ref="AP43:AQ43"/>
    <mergeCell ref="AS43:AT43"/>
    <mergeCell ref="B44:H44"/>
    <mergeCell ref="I44:R44"/>
    <mergeCell ref="S44:T44"/>
    <mergeCell ref="V44:W44"/>
    <mergeCell ref="Y44:AE44"/>
    <mergeCell ref="AF44:AO44"/>
    <mergeCell ref="AP44:AQ44"/>
    <mergeCell ref="AS44:AT44"/>
    <mergeCell ref="B45:H45"/>
    <mergeCell ref="I45:R45"/>
    <mergeCell ref="S45:T45"/>
    <mergeCell ref="V45:W45"/>
    <mergeCell ref="Y45:AE45"/>
    <mergeCell ref="AF45:AO45"/>
    <mergeCell ref="AP45:AQ45"/>
    <mergeCell ref="AS45:AT45"/>
    <mergeCell ref="B46:H46"/>
    <mergeCell ref="I46:R46"/>
    <mergeCell ref="S46:T46"/>
    <mergeCell ref="V46:W46"/>
    <mergeCell ref="Y46:AE46"/>
    <mergeCell ref="AF46:AO46"/>
    <mergeCell ref="AP46:AQ46"/>
    <mergeCell ref="AS46:AT46"/>
    <mergeCell ref="B47:H47"/>
    <mergeCell ref="I47:R47"/>
    <mergeCell ref="S47:T47"/>
    <mergeCell ref="V47:W47"/>
    <mergeCell ref="Y47:AE47"/>
    <mergeCell ref="AF47:AO47"/>
    <mergeCell ref="AP47:AQ47"/>
    <mergeCell ref="AS47:AT47"/>
    <mergeCell ref="B48:H48"/>
    <mergeCell ref="I48:R48"/>
    <mergeCell ref="S48:T48"/>
    <mergeCell ref="V48:W48"/>
    <mergeCell ref="Y48:AE48"/>
    <mergeCell ref="AF48:AO48"/>
    <mergeCell ref="AP48:AQ48"/>
    <mergeCell ref="AS48:AT48"/>
    <mergeCell ref="B49:H49"/>
    <mergeCell ref="I49:R49"/>
    <mergeCell ref="S49:T49"/>
    <mergeCell ref="V49:W49"/>
    <mergeCell ref="Y49:AE49"/>
    <mergeCell ref="AF49:AO49"/>
    <mergeCell ref="AP49:AQ49"/>
    <mergeCell ref="AS49:AT49"/>
    <mergeCell ref="B51:H51"/>
    <mergeCell ref="I51:R51"/>
    <mergeCell ref="S51:T51"/>
    <mergeCell ref="V51:W51"/>
    <mergeCell ref="Y51:AE51"/>
    <mergeCell ref="AF51:AO51"/>
    <mergeCell ref="AP51:AQ51"/>
    <mergeCell ref="AS51:AT51"/>
    <mergeCell ref="B52:H52"/>
    <mergeCell ref="I52:R52"/>
    <mergeCell ref="S52:T52"/>
    <mergeCell ref="V52:W52"/>
    <mergeCell ref="Y52:AE52"/>
    <mergeCell ref="AF52:AO52"/>
    <mergeCell ref="AP52:AQ52"/>
    <mergeCell ref="AS52:AT52"/>
    <mergeCell ref="B53:H53"/>
    <mergeCell ref="I53:R53"/>
    <mergeCell ref="S53:T53"/>
    <mergeCell ref="V53:W53"/>
    <mergeCell ref="Y53:AE53"/>
    <mergeCell ref="AF53:AO53"/>
    <mergeCell ref="AP53:AQ53"/>
    <mergeCell ref="AS53:AT53"/>
    <mergeCell ref="B54:H54"/>
    <mergeCell ref="I54:R54"/>
    <mergeCell ref="S54:T54"/>
    <mergeCell ref="V54:W54"/>
    <mergeCell ref="Y54:AE54"/>
    <mergeCell ref="AF54:AO54"/>
    <mergeCell ref="AP54:AQ54"/>
    <mergeCell ref="AS54:AT54"/>
    <mergeCell ref="B55:H55"/>
    <mergeCell ref="I55:R55"/>
    <mergeCell ref="S55:T55"/>
    <mergeCell ref="V55:W55"/>
    <mergeCell ref="Y55:AE55"/>
    <mergeCell ref="AF55:AO55"/>
    <mergeCell ref="AP55:AQ55"/>
    <mergeCell ref="AS55:AT55"/>
    <mergeCell ref="B56:H56"/>
    <mergeCell ref="I56:R56"/>
    <mergeCell ref="S56:T56"/>
    <mergeCell ref="V56:W56"/>
    <mergeCell ref="Y56:AE56"/>
    <mergeCell ref="AF56:AO56"/>
    <mergeCell ref="AP56:AQ56"/>
    <mergeCell ref="AS56:AT56"/>
    <mergeCell ref="B57:H57"/>
    <mergeCell ref="I57:R57"/>
    <mergeCell ref="S57:T57"/>
    <mergeCell ref="V57:W57"/>
    <mergeCell ref="Y57:AE57"/>
    <mergeCell ref="AF57:AO57"/>
    <mergeCell ref="AP57:AQ57"/>
    <mergeCell ref="AS57:AT57"/>
    <mergeCell ref="B58:H58"/>
    <mergeCell ref="I58:R58"/>
    <mergeCell ref="S58:T58"/>
    <mergeCell ref="V58:W58"/>
    <mergeCell ref="Y58:AE58"/>
    <mergeCell ref="AF58:AO58"/>
    <mergeCell ref="AP58:AQ58"/>
    <mergeCell ref="AS58:AT58"/>
    <mergeCell ref="B59:H59"/>
    <mergeCell ref="I59:R59"/>
    <mergeCell ref="S59:T59"/>
    <mergeCell ref="V59:W59"/>
    <mergeCell ref="Y59:AE59"/>
    <mergeCell ref="AF59:AO59"/>
    <mergeCell ref="AP59:AQ59"/>
    <mergeCell ref="AS59:AT59"/>
    <mergeCell ref="B60:H60"/>
    <mergeCell ref="I60:R60"/>
    <mergeCell ref="S60:T60"/>
    <mergeCell ref="V60:W60"/>
    <mergeCell ref="Y60:AE60"/>
    <mergeCell ref="AF60:AO60"/>
    <mergeCell ref="AP60:AQ60"/>
    <mergeCell ref="AS60:AT60"/>
    <mergeCell ref="B62:H62"/>
    <mergeCell ref="I62:R62"/>
    <mergeCell ref="S62:T62"/>
    <mergeCell ref="V62:W62"/>
    <mergeCell ref="Y62:AE62"/>
    <mergeCell ref="AF62:AO62"/>
    <mergeCell ref="AP62:AQ62"/>
    <mergeCell ref="AS62:AT62"/>
    <mergeCell ref="B63:H63"/>
    <mergeCell ref="I63:R63"/>
    <mergeCell ref="S63:T63"/>
    <mergeCell ref="V63:W63"/>
    <mergeCell ref="Y63:AE63"/>
    <mergeCell ref="AF63:AO63"/>
    <mergeCell ref="AP63:AQ63"/>
    <mergeCell ref="AS63:AT63"/>
    <mergeCell ref="B64:H64"/>
    <mergeCell ref="I64:R64"/>
    <mergeCell ref="S64:T64"/>
    <mergeCell ref="V64:W64"/>
    <mergeCell ref="Y64:AE64"/>
    <mergeCell ref="AF64:AO64"/>
    <mergeCell ref="AP64:AQ64"/>
    <mergeCell ref="AS64:AT64"/>
    <mergeCell ref="B65:H65"/>
    <mergeCell ref="I65:R65"/>
    <mergeCell ref="S65:T65"/>
    <mergeCell ref="V65:W65"/>
    <mergeCell ref="Y65:AE65"/>
    <mergeCell ref="AF65:AO65"/>
    <mergeCell ref="AP65:AQ65"/>
    <mergeCell ref="AS65:AT65"/>
    <mergeCell ref="B66:H66"/>
    <mergeCell ref="I66:R66"/>
    <mergeCell ref="S66:T66"/>
    <mergeCell ref="V66:W66"/>
    <mergeCell ref="Y66:AE66"/>
    <mergeCell ref="AF66:AO66"/>
    <mergeCell ref="AP66:AQ66"/>
    <mergeCell ref="AS66:AT66"/>
    <mergeCell ref="B67:H67"/>
    <mergeCell ref="I67:R67"/>
    <mergeCell ref="S67:T67"/>
    <mergeCell ref="V67:W67"/>
    <mergeCell ref="Y67:AE67"/>
    <mergeCell ref="AF67:AO67"/>
    <mergeCell ref="AP67:AQ67"/>
    <mergeCell ref="AS67:AT67"/>
    <mergeCell ref="B68:H68"/>
    <mergeCell ref="I68:R68"/>
    <mergeCell ref="S68:T68"/>
    <mergeCell ref="V68:W68"/>
    <mergeCell ref="Y68:AE68"/>
    <mergeCell ref="AF68:AO68"/>
    <mergeCell ref="AP68:AQ68"/>
    <mergeCell ref="AS68:AT68"/>
    <mergeCell ref="B69:H69"/>
    <mergeCell ref="I69:R69"/>
    <mergeCell ref="S69:T69"/>
    <mergeCell ref="V69:W69"/>
    <mergeCell ref="Y69:AE69"/>
    <mergeCell ref="AF69:AO69"/>
    <mergeCell ref="AP69:AQ69"/>
    <mergeCell ref="AS69:AT69"/>
    <mergeCell ref="B70:H70"/>
    <mergeCell ref="I70:R70"/>
    <mergeCell ref="S70:T70"/>
    <mergeCell ref="V70:W70"/>
    <mergeCell ref="Y70:AE70"/>
    <mergeCell ref="AF70:AO70"/>
    <mergeCell ref="AP70:AQ70"/>
    <mergeCell ref="AS70:AT70"/>
    <mergeCell ref="B71:H71"/>
    <mergeCell ref="I71:R71"/>
    <mergeCell ref="S71:T71"/>
    <mergeCell ref="V71:W71"/>
    <mergeCell ref="Y71:AE71"/>
    <mergeCell ref="AF71:AO71"/>
    <mergeCell ref="AP71:AQ71"/>
    <mergeCell ref="AS71:AT71"/>
    <mergeCell ref="B73:H73"/>
    <mergeCell ref="I73:R73"/>
    <mergeCell ref="S73:T73"/>
    <mergeCell ref="V73:W73"/>
    <mergeCell ref="Y73:AE73"/>
    <mergeCell ref="AF73:AO73"/>
    <mergeCell ref="AP73:AQ73"/>
    <mergeCell ref="AS73:AT73"/>
    <mergeCell ref="B74:H74"/>
    <mergeCell ref="I74:R74"/>
    <mergeCell ref="S74:T74"/>
    <mergeCell ref="V74:W74"/>
    <mergeCell ref="Y74:AE74"/>
    <mergeCell ref="AF74:AO74"/>
    <mergeCell ref="AP74:AQ74"/>
    <mergeCell ref="AS74:AT74"/>
    <mergeCell ref="B75:H75"/>
    <mergeCell ref="I75:R75"/>
    <mergeCell ref="S75:T75"/>
    <mergeCell ref="V75:W75"/>
    <mergeCell ref="Y75:AE75"/>
    <mergeCell ref="AF75:AO75"/>
    <mergeCell ref="AP75:AQ75"/>
    <mergeCell ref="AS75:AT75"/>
    <mergeCell ref="B76:H76"/>
    <mergeCell ref="I76:R76"/>
    <mergeCell ref="S76:T76"/>
    <mergeCell ref="V76:W76"/>
    <mergeCell ref="Y76:AE76"/>
    <mergeCell ref="AF76:AO76"/>
    <mergeCell ref="AP76:AQ76"/>
    <mergeCell ref="AS76:AT76"/>
    <mergeCell ref="B77:H77"/>
    <mergeCell ref="I77:R77"/>
    <mergeCell ref="S77:T77"/>
    <mergeCell ref="V77:W77"/>
    <mergeCell ref="Y77:AE77"/>
    <mergeCell ref="AF77:AO77"/>
    <mergeCell ref="AP77:AQ77"/>
    <mergeCell ref="AS77:AT77"/>
    <mergeCell ref="B78:H78"/>
    <mergeCell ref="I78:R78"/>
    <mergeCell ref="S78:T78"/>
    <mergeCell ref="V78:W78"/>
    <mergeCell ref="Y78:AE78"/>
    <mergeCell ref="AF78:AO78"/>
    <mergeCell ref="AP78:AQ78"/>
    <mergeCell ref="AS78:AT78"/>
    <mergeCell ref="B79:H79"/>
    <mergeCell ref="I79:R79"/>
    <mergeCell ref="S79:T79"/>
    <mergeCell ref="V79:W79"/>
    <mergeCell ref="Y79:AE79"/>
    <mergeCell ref="AF79:AO79"/>
    <mergeCell ref="AP79:AQ79"/>
    <mergeCell ref="AS79:AT79"/>
    <mergeCell ref="B80:H80"/>
    <mergeCell ref="I80:R80"/>
    <mergeCell ref="S80:T80"/>
    <mergeCell ref="V80:W80"/>
    <mergeCell ref="Y80:AE80"/>
    <mergeCell ref="AF80:AO80"/>
    <mergeCell ref="AP80:AQ80"/>
    <mergeCell ref="AS80:AT80"/>
    <mergeCell ref="B81:H81"/>
    <mergeCell ref="I81:R81"/>
    <mergeCell ref="S81:T81"/>
    <mergeCell ref="V81:W81"/>
    <mergeCell ref="Y81:AE81"/>
    <mergeCell ref="AF81:AO81"/>
    <mergeCell ref="AP81:AQ81"/>
    <mergeCell ref="AS81:AT81"/>
    <mergeCell ref="B82:H82"/>
    <mergeCell ref="I82:R82"/>
    <mergeCell ref="S82:T82"/>
    <mergeCell ref="V82:W82"/>
    <mergeCell ref="Y82:AE82"/>
    <mergeCell ref="AF82:AO82"/>
    <mergeCell ref="AP82:AQ82"/>
    <mergeCell ref="AS82:AT82"/>
  </mergeCells>
  <conditionalFormatting sqref="BT$1:CO$1048576">
    <cfRule type="expression" dxfId="20" priority="5">
      <formula>COUNTA($BT$5:$CO$25,$AW$16:$BR$25)=0</formula>
    </cfRule>
  </conditionalFormatting>
  <conditionalFormatting sqref="AW16:BR25">
    <cfRule type="expression" dxfId="20" priority="3">
      <formula>COUNTA($AW$5:$BR$25)=0</formula>
    </cfRule>
  </conditionalFormatting>
  <conditionalFormatting sqref="BT16:CO25">
    <cfRule type="expression" dxfId="20" priority="2">
      <formula>COUNTA($BT$5:$CO$25)=0</formula>
    </cfRule>
  </conditionalFormatting>
  <conditionalFormatting sqref="B28:W82">
    <cfRule type="expression" dxfId="21" priority="1016">
      <formula>$B$27="无效"</formula>
    </cfRule>
  </conditionalFormatting>
  <conditionalFormatting sqref="Y28:AT82">
    <cfRule type="expression" dxfId="21" priority="995">
      <formula>$Y$27="无效"</formula>
    </cfRule>
  </conditionalFormatting>
  <dataValidations count="13">
    <dataValidation type="list" allowBlank="1" showInputMessage="1" showErrorMessage="1" sqref="B3:H3">
      <formula1>装备数据!$S$138:$S$142</formula1>
    </dataValidation>
    <dataValidation allowBlank="1" showInputMessage="1" sqref="N3:P3 AF3 AM3"/>
    <dataValidation type="list" allowBlank="1" showInputMessage="1" sqref="Y3:AE3">
      <formula1>装备数据!$S$138:$S$142</formula1>
    </dataValidation>
    <dataValidation type="list" allowBlank="1" showInputMessage="1" showErrorMessage="1" sqref="B27:C27 Y27:Z27">
      <formula1>"无效,有效"</formula1>
    </dataValidation>
    <dataValidation type="list" allowBlank="1" showInputMessage="1" sqref="B5:H14 B16:H25 Y5:AE14 Y16:AE25">
      <formula1>装备数据!$S$3:$S$142</formula1>
    </dataValidation>
    <dataValidation type="list" allowBlank="1" showInputMessage="1" sqref="I5:R14">
      <formula1>装备数据!$Y12</formula1>
    </dataValidation>
    <dataValidation type="list" allowBlank="1" showInputMessage="1" sqref="I16:R25">
      <formula1>装备数据!$Y22</formula1>
    </dataValidation>
    <dataValidation type="list" allowBlank="1" showInputMessage="1" sqref="S5:T14">
      <formula1>装备数据!$Z12</formula1>
    </dataValidation>
    <dataValidation type="list" allowBlank="1" showInputMessage="1" sqref="AF5:AO14">
      <formula1>装备数据!$Y33</formula1>
    </dataValidation>
    <dataValidation type="list" allowBlank="1" showInputMessage="1" sqref="S16:T25">
      <formula1>装备数据!$Z22</formula1>
    </dataValidation>
    <dataValidation type="list" allowBlank="1" showInputMessage="1" sqref="AP5:AQ14">
      <formula1>装备数据!$Z33</formula1>
    </dataValidation>
    <dataValidation type="list" allowBlank="1" showInputMessage="1" sqref="AF16:AO25">
      <formula1>装备数据!$Y43</formula1>
    </dataValidation>
    <dataValidation type="list" allowBlank="1" showInputMessage="1" sqref="AP16:AQ25">
      <formula1>装备数据!$Z43</formula1>
    </dataValidation>
  </dataValidations>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7" tint="0.799981688894314"/>
  </sheetPr>
  <dimension ref="B1:AK58"/>
  <sheetViews>
    <sheetView workbookViewId="0">
      <selection activeCell="C23" sqref="C23:R56"/>
    </sheetView>
  </sheetViews>
  <sheetFormatPr defaultColWidth="9" defaultRowHeight="16.5"/>
  <cols>
    <col min="1" max="1" width="3.10909090909091" style="1" customWidth="1"/>
    <col min="2" max="2" width="1.66363636363636" style="1" customWidth="1"/>
    <col min="3" max="18" width="5.66363636363636" style="1" customWidth="1"/>
    <col min="19" max="19" width="1.66363636363636" style="1" customWidth="1"/>
    <col min="20" max="20" width="3.10909090909091" style="1" customWidth="1"/>
    <col min="21" max="21" width="2.33636363636364" style="593" customWidth="1"/>
    <col min="22" max="22" width="15.6636363636364" style="1" customWidth="1"/>
    <col min="23" max="23" width="3.10909090909091" style="1" customWidth="1"/>
    <col min="24" max="24" width="2.33636363636364" style="1" customWidth="1"/>
    <col min="25" max="25" width="15.6636363636364" style="1" customWidth="1"/>
    <col min="26" max="26" width="3.10909090909091" style="1" customWidth="1"/>
    <col min="27" max="27" width="2.33636363636364" style="1" customWidth="1"/>
    <col min="28" max="28" width="15.6636363636364" style="1" customWidth="1"/>
    <col min="29" max="29" width="3.10909090909091" style="1" customWidth="1"/>
    <col min="30" max="30" width="2.33636363636364" style="1" customWidth="1"/>
    <col min="31" max="31" width="15.6636363636364" style="1" customWidth="1"/>
    <col min="32" max="32" width="3.10909090909091" style="1" customWidth="1"/>
    <col min="33" max="33" width="2.33636363636364" style="1" customWidth="1"/>
    <col min="34" max="34" width="15.6636363636364" style="1" customWidth="1"/>
    <col min="35" max="35" width="3.10909090909091" style="1" customWidth="1"/>
    <col min="36" max="36" width="2.33636363636364" style="1" customWidth="1"/>
    <col min="37" max="37" width="15.6636363636364" style="1" customWidth="1"/>
    <col min="38" max="16384" width="9" style="1"/>
  </cols>
  <sheetData>
    <row r="1" ht="17.55" customHeight="1"/>
    <row r="2" ht="10.05" customHeight="1" spans="2:37">
      <c r="B2" s="594"/>
      <c r="C2" s="595"/>
      <c r="D2" s="595"/>
      <c r="E2" s="595"/>
      <c r="F2" s="595"/>
      <c r="G2" s="595"/>
      <c r="H2" s="595"/>
      <c r="I2" s="595"/>
      <c r="J2" s="595"/>
      <c r="K2" s="595"/>
      <c r="L2" s="595"/>
      <c r="M2" s="595"/>
      <c r="N2" s="595"/>
      <c r="O2" s="595"/>
      <c r="P2" s="595"/>
      <c r="Q2" s="595"/>
      <c r="R2" s="595"/>
      <c r="S2" s="596"/>
      <c r="T2" s="597" t="s">
        <v>282</v>
      </c>
      <c r="U2" s="34"/>
      <c r="V2" s="34"/>
      <c r="W2" s="34"/>
      <c r="X2" s="34"/>
      <c r="Y2" s="34"/>
    </row>
    <row r="3" ht="17.55" customHeight="1" spans="2:37">
      <c r="B3" s="598"/>
      <c r="C3" s="599" t="str">
        <f>IF(Y5&lt;&gt;"",Y5,V5)</f>
        <v/>
      </c>
      <c r="D3" s="599"/>
      <c r="E3" s="599"/>
      <c r="F3" s="599"/>
      <c r="G3" s="599"/>
      <c r="H3" s="599"/>
      <c r="I3" s="599"/>
      <c r="J3" s="599"/>
      <c r="K3" s="599"/>
      <c r="L3" s="599"/>
      <c r="M3" s="599"/>
      <c r="N3" s="599"/>
      <c r="O3" s="599"/>
      <c r="P3" s="599"/>
      <c r="Q3" s="599"/>
      <c r="R3" s="599"/>
      <c r="S3" s="600"/>
      <c r="T3" s="601"/>
      <c r="U3" s="602"/>
      <c r="V3" s="602"/>
      <c r="W3" s="602"/>
      <c r="X3" s="602"/>
      <c r="Y3" s="602"/>
    </row>
    <row r="4" ht="17.55" customHeight="1" spans="2:37">
      <c r="B4" s="603"/>
      <c r="C4" s="599"/>
      <c r="D4" s="599"/>
      <c r="E4" s="599"/>
      <c r="F4" s="599"/>
      <c r="G4" s="599"/>
      <c r="H4" s="599"/>
      <c r="I4" s="599"/>
      <c r="J4" s="599"/>
      <c r="K4" s="599"/>
      <c r="L4" s="599"/>
      <c r="M4" s="599"/>
      <c r="N4" s="599"/>
      <c r="O4" s="599"/>
      <c r="P4" s="599"/>
      <c r="Q4" s="599"/>
      <c r="R4" s="599"/>
      <c r="S4" s="604"/>
      <c r="T4" s="605" t="s">
        <v>283</v>
      </c>
      <c r="U4" s="605"/>
      <c r="V4" s="606" t="s">
        <v>284</v>
      </c>
      <c r="W4" s="605" t="s">
        <v>285</v>
      </c>
      <c r="X4" s="605"/>
      <c r="Y4" s="607">
        <f>101-法术数据!AV10</f>
        <v>1</v>
      </c>
    </row>
    <row r="5" ht="17.55" customHeight="1" spans="2:37">
      <c r="B5" s="603"/>
      <c r="C5" s="599"/>
      <c r="D5" s="599"/>
      <c r="E5" s="599"/>
      <c r="F5" s="599"/>
      <c r="G5" s="599"/>
      <c r="H5" s="599"/>
      <c r="I5" s="599"/>
      <c r="J5" s="599"/>
      <c r="K5" s="599"/>
      <c r="L5" s="599"/>
      <c r="M5" s="599"/>
      <c r="N5" s="599"/>
      <c r="O5" s="599"/>
      <c r="P5" s="599"/>
      <c r="Q5" s="599"/>
      <c r="R5" s="599"/>
      <c r="S5" s="604"/>
      <c r="T5" s="608"/>
      <c r="U5" s="609" t="str">
        <f>IF(V5="","","Lv")</f>
        <v/>
      </c>
      <c r="V5" s="610" t="str">
        <f>IF(V4="法术书1",VLOOKUP(101-法术数据!AV10,法术数据!AJ:AK,2,FALSE),IF(V4="法术书2",VLOOKUP(201-法术数据!AV10,法术数据!AJ:AK,2,FALSE),IF(V4="法术书3",VLOOKUP(301-法术数据!AV10,法术数据!AJ:AK,2,FALSE),"空白标签")))</f>
        <v/>
      </c>
      <c r="W5" s="611" t="s">
        <v>286</v>
      </c>
      <c r="X5" s="612"/>
      <c r="Y5" s="613"/>
    </row>
    <row r="6" ht="17.55" customHeight="1" spans="2:37">
      <c r="B6" s="603"/>
      <c r="C6" s="599"/>
      <c r="D6" s="599"/>
      <c r="E6" s="599"/>
      <c r="F6" s="599"/>
      <c r="G6" s="599"/>
      <c r="H6" s="599"/>
      <c r="I6" s="599"/>
      <c r="J6" s="599"/>
      <c r="K6" s="599"/>
      <c r="L6" s="599"/>
      <c r="M6" s="599"/>
      <c r="N6" s="599"/>
      <c r="O6" s="599"/>
      <c r="P6" s="599"/>
      <c r="Q6" s="599"/>
      <c r="R6" s="599"/>
      <c r="S6" s="604"/>
      <c r="T6" s="602"/>
      <c r="U6" s="614" t="str">
        <f>IFERROR(VLOOKUP(V5,法术数据!B:P,15,FALSE),"")</f>
        <v/>
      </c>
      <c r="V6" s="610"/>
      <c r="W6" s="601"/>
      <c r="X6" s="615"/>
      <c r="Y6" s="616"/>
    </row>
    <row r="7" ht="17.55" customHeight="1" spans="2:37">
      <c r="B7" s="603"/>
      <c r="C7" s="617"/>
      <c r="D7" s="595"/>
      <c r="E7" s="595"/>
      <c r="F7" s="595"/>
      <c r="G7" s="595"/>
      <c r="H7" s="595"/>
      <c r="I7" s="595"/>
      <c r="J7" s="595"/>
      <c r="K7" s="595"/>
      <c r="L7" s="595"/>
      <c r="M7" s="595"/>
      <c r="N7" s="595"/>
      <c r="O7" s="595"/>
      <c r="P7" s="595"/>
      <c r="Q7" s="595"/>
      <c r="R7" s="618"/>
      <c r="S7" s="604"/>
      <c r="T7" s="619" t="s">
        <v>284</v>
      </c>
      <c r="U7" s="620"/>
      <c r="V7" s="619"/>
      <c r="W7" s="619"/>
      <c r="X7" s="619"/>
      <c r="Y7" s="619"/>
      <c r="Z7" s="619" t="s">
        <v>287</v>
      </c>
      <c r="AA7" s="620"/>
      <c r="AB7" s="619"/>
      <c r="AC7" s="619"/>
      <c r="AD7" s="619"/>
      <c r="AE7" s="619"/>
      <c r="AF7" s="619" t="s">
        <v>288</v>
      </c>
      <c r="AG7" s="620"/>
      <c r="AH7" s="619"/>
      <c r="AI7" s="619"/>
      <c r="AJ7" s="619"/>
      <c r="AK7" s="619"/>
    </row>
    <row r="8" ht="17.55" customHeight="1" spans="2:37">
      <c r="B8" s="603"/>
      <c r="C8" s="621" t="str">
        <f>IF(C3="","",VLOOKUP(C3,法术数据!B:C,2,FALSE))</f>
        <v/>
      </c>
      <c r="D8" s="622"/>
      <c r="E8" s="622"/>
      <c r="F8" s="622"/>
      <c r="G8" s="622"/>
      <c r="H8" s="622"/>
      <c r="I8" s="622"/>
      <c r="J8" s="623"/>
      <c r="K8" s="624"/>
      <c r="L8" s="625"/>
      <c r="M8" s="626"/>
      <c r="N8" s="627"/>
      <c r="O8" s="626" t="str">
        <f>IF(C3="","","出自："&amp;VLOOKUP(C3,法术数据!B:Q,16,FALSE))</f>
        <v/>
      </c>
      <c r="P8" s="626"/>
      <c r="Q8" s="626"/>
      <c r="R8" s="627"/>
      <c r="S8" s="604"/>
      <c r="T8" s="628" t="str">
        <f>IF(V8="","",法术数据!AJ2)</f>
        <v/>
      </c>
      <c r="U8" s="629" t="str">
        <f>IFERROR(VLOOKUP(V8,法术数据!B:P,15,FALSE),"")</f>
        <v/>
      </c>
      <c r="V8" s="630"/>
      <c r="W8" s="628" t="str">
        <f>IF(Y8="","",法术数据!AJ52)</f>
        <v/>
      </c>
      <c r="X8" s="629" t="str">
        <f>IFERROR(VLOOKUP(Y8,法术数据!B:P,15,FALSE),"")</f>
        <v/>
      </c>
      <c r="Y8" s="630"/>
      <c r="Z8" s="628" t="str">
        <f>IF(AB8="","",法术数据!AJ2)</f>
        <v/>
      </c>
      <c r="AA8" s="629" t="str">
        <f>IFERROR(VLOOKUP(AB8,法术数据!B:P,15,FALSE),"")</f>
        <v/>
      </c>
      <c r="AB8" s="630"/>
      <c r="AC8" s="631" t="str">
        <f>IF(AE8="","",法术数据!AJ52)</f>
        <v/>
      </c>
      <c r="AD8" s="632" t="str">
        <f>IFERROR(VLOOKUP(AE8,法术数据!B:P,15,FALSE),"")</f>
        <v/>
      </c>
      <c r="AE8" s="633"/>
      <c r="AF8" s="628" t="str">
        <f>IF(AH8="","",法术数据!AJ2)</f>
        <v/>
      </c>
      <c r="AG8" s="629" t="str">
        <f>IFERROR(VLOOKUP(AH8,法术数据!B:P,15,FALSE),"")</f>
        <v/>
      </c>
      <c r="AH8" s="630"/>
      <c r="AI8" s="631" t="str">
        <f>IF(AK8="","",法术数据!AJ52)</f>
        <v/>
      </c>
      <c r="AJ8" s="632" t="str">
        <f>IFERROR(VLOOKUP(AK8,法术数据!B:P,15,FALSE),"")</f>
        <v/>
      </c>
      <c r="AK8" s="633"/>
    </row>
    <row r="9" ht="17.55" customHeight="1" spans="2:37">
      <c r="B9" s="603"/>
      <c r="C9" s="634" t="str">
        <f>IF(C3="","","施法时间： "&amp;VLOOKUP(C3,法术数据!B:F,5,FALSE)&amp;IF(VLOOKUP(C3,法术数据!B:D,3,FALSE)=1,"（仪式）",""))</f>
        <v/>
      </c>
      <c r="D9" s="635"/>
      <c r="E9" s="635"/>
      <c r="F9" s="635"/>
      <c r="G9" s="635"/>
      <c r="H9" s="635"/>
      <c r="I9" s="635"/>
      <c r="J9" s="635"/>
      <c r="K9" s="635"/>
      <c r="L9" s="635"/>
      <c r="M9" s="635"/>
      <c r="N9" s="636"/>
      <c r="O9" s="634" t="str">
        <f>IF(C3="","",VLOOKUP(VLOOKUP(C3,法术数据!B:P,15,FALSE),CHOOSE({1,2},法术数据!AI2:AI11,法术数据!AH2:AH11),2,FALSE)&amp;" / "&amp;VLOOKUP(C3,法术数据!B:E,4,FALSE))</f>
        <v/>
      </c>
      <c r="P9" s="635"/>
      <c r="Q9" s="635"/>
      <c r="R9" s="636"/>
      <c r="S9" s="604"/>
      <c r="T9" s="637" t="str">
        <f>IF(V9="","",法术数据!AJ3)</f>
        <v/>
      </c>
      <c r="U9" s="638" t="str">
        <f>IFERROR(VLOOKUP(V9,法术数据!B:P,15,FALSE),"")</f>
        <v/>
      </c>
      <c r="V9" s="639"/>
      <c r="W9" s="637" t="str">
        <f>IF(Y9="","",法术数据!AJ53)</f>
        <v/>
      </c>
      <c r="X9" s="638" t="str">
        <f>IFERROR(VLOOKUP(Y9,法术数据!B:P,15,FALSE),"")</f>
        <v/>
      </c>
      <c r="Y9" s="639"/>
      <c r="Z9" s="637" t="str">
        <f>IF(AB9="","",法术数据!AJ3)</f>
        <v/>
      </c>
      <c r="AA9" s="638" t="str">
        <f>IFERROR(VLOOKUP(AB9,法术数据!B:P,15,FALSE),"")</f>
        <v/>
      </c>
      <c r="AB9" s="639"/>
      <c r="AC9" s="640" t="str">
        <f>IF(AE9="","",法术数据!AV53)</f>
        <v/>
      </c>
      <c r="AD9" s="641" t="str">
        <f>IFERROR(VLOOKUP(AE9,法术数据!B:P,15,FALSE),"")</f>
        <v/>
      </c>
      <c r="AE9" s="642"/>
      <c r="AF9" s="637" t="str">
        <f>IF(AH9="","",法术数据!AJ3)</f>
        <v/>
      </c>
      <c r="AG9" s="638" t="str">
        <f>IFERROR(VLOOKUP(AH9,法术数据!B:P,15,FALSE),"")</f>
        <v/>
      </c>
      <c r="AH9" s="639"/>
      <c r="AI9" s="640" t="str">
        <f>IF(AK9="","",法术数据!AT53)</f>
        <v/>
      </c>
      <c r="AJ9" s="641" t="str">
        <f>IFERROR(VLOOKUP(AK9,法术数据!B:P,15,FALSE),"")</f>
        <v/>
      </c>
      <c r="AK9" s="642"/>
    </row>
    <row r="10" ht="17.55" customHeight="1" spans="2:37">
      <c r="B10" s="603"/>
      <c r="C10" s="643"/>
      <c r="D10" s="644"/>
      <c r="E10" s="644"/>
      <c r="F10" s="644"/>
      <c r="G10" s="644"/>
      <c r="H10" s="644"/>
      <c r="I10" s="644"/>
      <c r="J10" s="644"/>
      <c r="K10" s="644"/>
      <c r="L10" s="644"/>
      <c r="M10" s="644"/>
      <c r="N10" s="645"/>
      <c r="O10" s="643"/>
      <c r="P10" s="644"/>
      <c r="Q10" s="644"/>
      <c r="R10" s="645"/>
      <c r="S10" s="604"/>
      <c r="T10" s="628" t="str">
        <f>IF(V10="","",法术数据!AJ4)</f>
        <v/>
      </c>
      <c r="U10" s="629" t="str">
        <f>IFERROR(VLOOKUP(V10,法术数据!B:P,15,FALSE),"")</f>
        <v/>
      </c>
      <c r="V10" s="630"/>
      <c r="W10" s="628" t="str">
        <f>IF(Y10="","",法术数据!AJ54)</f>
        <v/>
      </c>
      <c r="X10" s="629" t="str">
        <f>IFERROR(VLOOKUP(Y10,法术数据!B:P,15,FALSE),"")</f>
        <v/>
      </c>
      <c r="Y10" s="630"/>
      <c r="Z10" s="628" t="str">
        <f>IF(AB10="","",法术数据!AJ4)</f>
        <v/>
      </c>
      <c r="AA10" s="629" t="str">
        <f>IFERROR(VLOOKUP(AB10,法术数据!B:P,15,FALSE),"")</f>
        <v/>
      </c>
      <c r="AB10" s="630"/>
      <c r="AC10" s="631" t="str">
        <f>IF(AE10="","",法术数据!AJ54)</f>
        <v/>
      </c>
      <c r="AD10" s="632" t="str">
        <f>IFERROR(VLOOKUP(AE10,法术数据!B:P,15,FALSE),"")</f>
        <v/>
      </c>
      <c r="AE10" s="633"/>
      <c r="AF10" s="628" t="str">
        <f>IF(AH10="","",法术数据!AJ4)</f>
        <v/>
      </c>
      <c r="AG10" s="629" t="str">
        <f>IFERROR(VLOOKUP(AH10,法术数据!B:P,15,FALSE),"")</f>
        <v/>
      </c>
      <c r="AH10" s="630"/>
      <c r="AI10" s="631" t="str">
        <f>IF(AK10="","",法术数据!AJ54)</f>
        <v/>
      </c>
      <c r="AJ10" s="632" t="str">
        <f>IFERROR(VLOOKUP(AK10,法术数据!B:P,15,FALSE),"")</f>
        <v/>
      </c>
      <c r="AK10" s="633"/>
    </row>
    <row r="11" ht="17.55" customHeight="1" spans="2:37">
      <c r="B11" s="603"/>
      <c r="C11" s="634" t="str">
        <f>IF(C3="","","法术成分："&amp;IF(VLOOKUP(C3,法术数据!B:H,7,FALSE)=1," 言语 ","")&amp;IF(VLOOKUP(C3,法术数据!B:I,8,FALSE)=1," 姿势 ","")&amp;IF(VLOOKUP(C3,法术数据!B:J,9,FALSE)=1," 材料 ",""))</f>
        <v/>
      </c>
      <c r="D11" s="635"/>
      <c r="E11" s="635"/>
      <c r="F11" s="635"/>
      <c r="G11" s="635"/>
      <c r="H11" s="635"/>
      <c r="I11" s="635"/>
      <c r="J11" s="636"/>
      <c r="K11" s="634" t="str">
        <f>IF(C3="","","施法距离： "&amp;VLOOKUP(C3,法术数据!B:G,6,FALSE))</f>
        <v/>
      </c>
      <c r="L11" s="635"/>
      <c r="M11" s="635"/>
      <c r="N11" s="635"/>
      <c r="O11" s="635"/>
      <c r="P11" s="635"/>
      <c r="Q11" s="635"/>
      <c r="R11" s="636"/>
      <c r="S11" s="604"/>
      <c r="T11" s="637" t="str">
        <f>IF(V11="","",法术数据!AJ5)</f>
        <v/>
      </c>
      <c r="U11" s="638" t="str">
        <f>IFERROR(VLOOKUP(V11,法术数据!B:P,15,FALSE),"")</f>
        <v/>
      </c>
      <c r="V11" s="639"/>
      <c r="W11" s="637" t="str">
        <f>IF(Y11="","",法术数据!AJ55)</f>
        <v/>
      </c>
      <c r="X11" s="638" t="str">
        <f>IFERROR(VLOOKUP(Y11,法术数据!B:P,15,FALSE),"")</f>
        <v/>
      </c>
      <c r="Y11" s="639"/>
      <c r="Z11" s="637" t="str">
        <f>IF(AB11="","",法术数据!AJ5)</f>
        <v/>
      </c>
      <c r="AA11" s="638" t="str">
        <f>IFERROR(VLOOKUP(AB11,法术数据!B:P,15,FALSE),"")</f>
        <v/>
      </c>
      <c r="AB11" s="639"/>
      <c r="AC11" s="640" t="str">
        <f>IF(AE11="","",法术数据!AV55)</f>
        <v/>
      </c>
      <c r="AD11" s="641" t="str">
        <f>IFERROR(VLOOKUP(AE11,法术数据!B:P,15,FALSE),"")</f>
        <v/>
      </c>
      <c r="AE11" s="642"/>
      <c r="AF11" s="637" t="str">
        <f>IF(AH11="","",法术数据!AJ5)</f>
        <v/>
      </c>
      <c r="AG11" s="638" t="str">
        <f>IFERROR(VLOOKUP(AH11,法术数据!B:P,15,FALSE),"")</f>
        <v/>
      </c>
      <c r="AH11" s="639"/>
      <c r="AI11" s="640" t="str">
        <f>IF(AK11="","",法术数据!AT55)</f>
        <v/>
      </c>
      <c r="AJ11" s="641" t="str">
        <f>IFERROR(VLOOKUP(AK11,法术数据!B:P,15,FALSE),"")</f>
        <v/>
      </c>
      <c r="AK11" s="642"/>
    </row>
    <row r="12" ht="17.55" customHeight="1" spans="2:37">
      <c r="B12" s="603"/>
      <c r="C12" s="643"/>
      <c r="D12" s="644"/>
      <c r="E12" s="644"/>
      <c r="F12" s="644"/>
      <c r="G12" s="644"/>
      <c r="H12" s="644"/>
      <c r="I12" s="644"/>
      <c r="J12" s="645"/>
      <c r="K12" s="643"/>
      <c r="L12" s="644"/>
      <c r="M12" s="644"/>
      <c r="N12" s="644"/>
      <c r="O12" s="644"/>
      <c r="P12" s="644"/>
      <c r="Q12" s="644"/>
      <c r="R12" s="645"/>
      <c r="S12" s="604"/>
      <c r="T12" s="628" t="str">
        <f>IF(V12="","",法术数据!AJ6)</f>
        <v/>
      </c>
      <c r="U12" s="629" t="str">
        <f>IFERROR(VLOOKUP(V12,法术数据!B:P,15,FALSE),"")</f>
        <v/>
      </c>
      <c r="V12" s="630"/>
      <c r="W12" s="628" t="str">
        <f>IF(Y12="","",法术数据!AJ56)</f>
        <v/>
      </c>
      <c r="X12" s="629" t="str">
        <f>IFERROR(VLOOKUP(Y12,法术数据!B:P,15,FALSE),"")</f>
        <v/>
      </c>
      <c r="Y12" s="630"/>
      <c r="Z12" s="628" t="str">
        <f>IF(AB12="","",法术数据!AJ6)</f>
        <v/>
      </c>
      <c r="AA12" s="629" t="str">
        <f>IFERROR(VLOOKUP(AB12,法术数据!B:P,15,FALSE),"")</f>
        <v/>
      </c>
      <c r="AB12" s="630"/>
      <c r="AC12" s="631" t="str">
        <f>IF(AE12="","",法术数据!AJ56)</f>
        <v/>
      </c>
      <c r="AD12" s="632" t="str">
        <f>IFERROR(VLOOKUP(AE12,法术数据!B:P,15,FALSE),"")</f>
        <v/>
      </c>
      <c r="AE12" s="633"/>
      <c r="AF12" s="628" t="str">
        <f>IF(AH12="","",法术数据!AJ6)</f>
        <v/>
      </c>
      <c r="AG12" s="629" t="str">
        <f>IFERROR(VLOOKUP(AH12,法术数据!B:P,15,FALSE),"")</f>
        <v/>
      </c>
      <c r="AH12" s="630"/>
      <c r="AI12" s="631" t="str">
        <f>IF(AK12="","",法术数据!AJ56)</f>
        <v/>
      </c>
      <c r="AJ12" s="632" t="str">
        <f>IFERROR(VLOOKUP(AK12,法术数据!B:P,15,FALSE),"")</f>
        <v/>
      </c>
      <c r="AK12" s="633"/>
    </row>
    <row r="13" ht="17.55" customHeight="1" spans="2:37">
      <c r="B13" s="603"/>
      <c r="C13" s="634" t="str">
        <f>IF(C3="","",IF(VLOOKUP(C3,法术数据!B:K,10,FALSE)="","","触媒： "&amp;VLOOKUP(C3,法术数据!B:K,10,FALSE))&amp;IF(VLOOKUP(C3,法术数据!B:J,9,FALSE)=2,CHAR(10),"")&amp;IF(VLOOKUP(C3,法术数据!B:L,11,FALSE)="","","耗材： "&amp;(VLOOKUP(C3,法术数据!B:L,11,FALSE))))</f>
        <v/>
      </c>
      <c r="D13" s="635"/>
      <c r="E13" s="635"/>
      <c r="F13" s="635"/>
      <c r="G13" s="635"/>
      <c r="H13" s="635"/>
      <c r="I13" s="635"/>
      <c r="J13" s="635"/>
      <c r="K13" s="635"/>
      <c r="L13" s="635"/>
      <c r="M13" s="635"/>
      <c r="N13" s="635"/>
      <c r="O13" s="635"/>
      <c r="P13" s="635"/>
      <c r="Q13" s="635"/>
      <c r="R13" s="636"/>
      <c r="S13" s="604"/>
      <c r="T13" s="637" t="str">
        <f>IF(V13="","",法术数据!AJ7)</f>
        <v/>
      </c>
      <c r="U13" s="638" t="str">
        <f>IFERROR(VLOOKUP(V13,法术数据!B:P,15,FALSE),"")</f>
        <v/>
      </c>
      <c r="V13" s="639"/>
      <c r="W13" s="637" t="str">
        <f>IF(Y13="","",法术数据!AJ57)</f>
        <v/>
      </c>
      <c r="X13" s="638" t="str">
        <f>IFERROR(VLOOKUP(Y13,法术数据!B:P,15,FALSE),"")</f>
        <v/>
      </c>
      <c r="Y13" s="639"/>
      <c r="Z13" s="637" t="str">
        <f>IF(AB13="","",法术数据!AJ7)</f>
        <v/>
      </c>
      <c r="AA13" s="638" t="str">
        <f>IFERROR(VLOOKUP(AB13,法术数据!B:P,15,FALSE),"")</f>
        <v/>
      </c>
      <c r="AB13" s="639"/>
      <c r="AC13" s="640" t="str">
        <f>IF(AE13="","",法术数据!AV57)</f>
        <v/>
      </c>
      <c r="AD13" s="641" t="str">
        <f>IFERROR(VLOOKUP(AE13,法术数据!B:P,15,FALSE),"")</f>
        <v/>
      </c>
      <c r="AE13" s="642"/>
      <c r="AF13" s="637" t="str">
        <f>IF(AH13="","",法术数据!AJ7)</f>
        <v/>
      </c>
      <c r="AG13" s="638" t="str">
        <f>IFERROR(VLOOKUP(AH13,法术数据!B:P,15,FALSE),"")</f>
        <v/>
      </c>
      <c r="AH13" s="639"/>
      <c r="AI13" s="640" t="str">
        <f>IF(AK13="","",法术数据!AT57)</f>
        <v/>
      </c>
      <c r="AJ13" s="641" t="str">
        <f>IFERROR(VLOOKUP(AK13,法术数据!B:P,15,FALSE),"")</f>
        <v/>
      </c>
      <c r="AK13" s="642"/>
    </row>
    <row r="14" spans="2:37">
      <c r="B14" s="603"/>
      <c r="C14" s="646"/>
      <c r="D14" s="647"/>
      <c r="E14" s="647"/>
      <c r="F14" s="647"/>
      <c r="G14" s="647"/>
      <c r="H14" s="647"/>
      <c r="I14" s="647"/>
      <c r="J14" s="647"/>
      <c r="K14" s="647"/>
      <c r="L14" s="647"/>
      <c r="M14" s="647"/>
      <c r="N14" s="647"/>
      <c r="O14" s="647"/>
      <c r="P14" s="647"/>
      <c r="Q14" s="647"/>
      <c r="R14" s="648"/>
      <c r="S14" s="604"/>
      <c r="T14" s="628" t="str">
        <f>IF(V14="","",法术数据!AJ8)</f>
        <v/>
      </c>
      <c r="U14" s="629" t="str">
        <f>IFERROR(VLOOKUP(V14,法术数据!B:P,15,FALSE),"")</f>
        <v/>
      </c>
      <c r="V14" s="630"/>
      <c r="W14" s="628" t="str">
        <f>IF(Y14="","",法术数据!AJ58)</f>
        <v/>
      </c>
      <c r="X14" s="629" t="str">
        <f>IFERROR(VLOOKUP(Y14,法术数据!B:P,15,FALSE),"")</f>
        <v/>
      </c>
      <c r="Y14" s="630"/>
      <c r="Z14" s="628" t="str">
        <f>IF(AB14="","",法术数据!AJ8)</f>
        <v/>
      </c>
      <c r="AA14" s="629" t="str">
        <f>IFERROR(VLOOKUP(AB14,法术数据!B:P,15,FALSE),"")</f>
        <v/>
      </c>
      <c r="AB14" s="630"/>
      <c r="AC14" s="631" t="str">
        <f>IF(AE14="","",法术数据!AJ58)</f>
        <v/>
      </c>
      <c r="AD14" s="632" t="str">
        <f>IFERROR(VLOOKUP(AE14,法术数据!B:P,15,FALSE),"")</f>
        <v/>
      </c>
      <c r="AE14" s="633"/>
      <c r="AF14" s="628" t="str">
        <f>IF(AH14="","",法术数据!AJ8)</f>
        <v/>
      </c>
      <c r="AG14" s="629" t="str">
        <f>IFERROR(VLOOKUP(AH14,法术数据!B:P,15,FALSE),"")</f>
        <v/>
      </c>
      <c r="AH14" s="630"/>
      <c r="AI14" s="631" t="str">
        <f>IF(AK14="","",法术数据!AJ58)</f>
        <v/>
      </c>
      <c r="AJ14" s="632" t="str">
        <f>IFERROR(VLOOKUP(AK14,法术数据!B:P,15,FALSE),"")</f>
        <v/>
      </c>
      <c r="AK14" s="633"/>
    </row>
    <row r="15" ht="17.55" customHeight="1" spans="2:37">
      <c r="B15" s="603"/>
      <c r="C15" s="646"/>
      <c r="D15" s="647"/>
      <c r="E15" s="647"/>
      <c r="F15" s="647"/>
      <c r="G15" s="647"/>
      <c r="H15" s="647"/>
      <c r="I15" s="647"/>
      <c r="J15" s="647"/>
      <c r="K15" s="647"/>
      <c r="L15" s="647"/>
      <c r="M15" s="647"/>
      <c r="N15" s="647"/>
      <c r="O15" s="647"/>
      <c r="P15" s="647"/>
      <c r="Q15" s="647"/>
      <c r="R15" s="648"/>
      <c r="S15" s="604"/>
      <c r="T15" s="637" t="str">
        <f>IF(V15="","",法术数据!AJ9)</f>
        <v/>
      </c>
      <c r="U15" s="638" t="str">
        <f>IFERROR(VLOOKUP(V15,法术数据!B:P,15,FALSE),"")</f>
        <v/>
      </c>
      <c r="V15" s="639"/>
      <c r="W15" s="637" t="str">
        <f>IF(Y15="","",法术数据!AJ59)</f>
        <v/>
      </c>
      <c r="X15" s="638" t="str">
        <f>IFERROR(VLOOKUP(Y15,法术数据!B:P,15,FALSE),"")</f>
        <v/>
      </c>
      <c r="Y15" s="639"/>
      <c r="Z15" s="637" t="str">
        <f>IF(AB15="","",法术数据!AJ9)</f>
        <v/>
      </c>
      <c r="AA15" s="638" t="str">
        <f>IFERROR(VLOOKUP(AB15,法术数据!B:P,15,FALSE),"")</f>
        <v/>
      </c>
      <c r="AB15" s="639"/>
      <c r="AC15" s="640" t="str">
        <f>IF(AE15="","",法术数据!AV59)</f>
        <v/>
      </c>
      <c r="AD15" s="641" t="str">
        <f>IFERROR(VLOOKUP(AE15,法术数据!B:P,15,FALSE),"")</f>
        <v/>
      </c>
      <c r="AE15" s="642"/>
      <c r="AF15" s="637" t="str">
        <f>IF(AH15="","",法术数据!AJ9)</f>
        <v/>
      </c>
      <c r="AG15" s="638" t="str">
        <f>IFERROR(VLOOKUP(AH15,法术数据!B:P,15,FALSE),"")</f>
        <v/>
      </c>
      <c r="AH15" s="639"/>
      <c r="AI15" s="640" t="str">
        <f>IF(AK15="","",法术数据!AT59)</f>
        <v/>
      </c>
      <c r="AJ15" s="641" t="str">
        <f>IFERROR(VLOOKUP(AK15,法术数据!B:P,15,FALSE),"")</f>
        <v/>
      </c>
      <c r="AK15" s="642"/>
    </row>
    <row r="16" ht="17.55" customHeight="1" spans="2:37">
      <c r="B16" s="603"/>
      <c r="C16" s="646"/>
      <c r="D16" s="647"/>
      <c r="E16" s="647"/>
      <c r="F16" s="647"/>
      <c r="G16" s="647"/>
      <c r="H16" s="647"/>
      <c r="I16" s="647"/>
      <c r="J16" s="647"/>
      <c r="K16" s="647"/>
      <c r="L16" s="647"/>
      <c r="M16" s="647"/>
      <c r="N16" s="647"/>
      <c r="O16" s="647"/>
      <c r="P16" s="647"/>
      <c r="Q16" s="647"/>
      <c r="R16" s="648"/>
      <c r="S16" s="604"/>
      <c r="T16" s="628" t="str">
        <f>IF(V16="","",法术数据!AJ10)</f>
        <v/>
      </c>
      <c r="U16" s="629" t="str">
        <f>IFERROR(VLOOKUP(V16,法术数据!B:P,15,FALSE),"")</f>
        <v/>
      </c>
      <c r="V16" s="630"/>
      <c r="W16" s="628" t="str">
        <f>IF(Y16="","",法术数据!AJ60)</f>
        <v/>
      </c>
      <c r="X16" s="629" t="str">
        <f>IFERROR(VLOOKUP(Y16,法术数据!B:P,15,FALSE),"")</f>
        <v/>
      </c>
      <c r="Y16" s="630"/>
      <c r="Z16" s="628" t="str">
        <f>IF(AB16="","",法术数据!AJ10)</f>
        <v/>
      </c>
      <c r="AA16" s="629" t="str">
        <f>IFERROR(VLOOKUP(AB16,法术数据!B:P,15,FALSE),"")</f>
        <v/>
      </c>
      <c r="AB16" s="630"/>
      <c r="AC16" s="631" t="str">
        <f>IF(AE16="","",法术数据!AJ60)</f>
        <v/>
      </c>
      <c r="AD16" s="632" t="str">
        <f>IFERROR(VLOOKUP(AE16,法术数据!B:P,15,FALSE),"")</f>
        <v/>
      </c>
      <c r="AE16" s="633"/>
      <c r="AF16" s="628" t="str">
        <f>IF(AH16="","",法术数据!AJ10)</f>
        <v/>
      </c>
      <c r="AG16" s="629" t="str">
        <f>IFERROR(VLOOKUP(AH16,法术数据!B:P,15,FALSE),"")</f>
        <v/>
      </c>
      <c r="AH16" s="630"/>
      <c r="AI16" s="631" t="str">
        <f>IF(AK16="","",法术数据!AJ60)</f>
        <v/>
      </c>
      <c r="AJ16" s="632" t="str">
        <f>IFERROR(VLOOKUP(AK16,法术数据!B:P,15,FALSE),"")</f>
        <v/>
      </c>
      <c r="AK16" s="633"/>
    </row>
    <row r="17" ht="17.55" customHeight="1" spans="2:37">
      <c r="B17" s="603"/>
      <c r="C17" s="646"/>
      <c r="D17" s="647"/>
      <c r="E17" s="647"/>
      <c r="F17" s="647"/>
      <c r="G17" s="647"/>
      <c r="H17" s="647"/>
      <c r="I17" s="647"/>
      <c r="J17" s="647"/>
      <c r="K17" s="647"/>
      <c r="L17" s="647"/>
      <c r="M17" s="647"/>
      <c r="N17" s="647"/>
      <c r="O17" s="647"/>
      <c r="P17" s="647"/>
      <c r="Q17" s="647"/>
      <c r="R17" s="648"/>
      <c r="S17" s="604"/>
      <c r="T17" s="637" t="str">
        <f>IF(V17="","",法术数据!AJ11)</f>
        <v/>
      </c>
      <c r="U17" s="638" t="str">
        <f>IFERROR(VLOOKUP(V17,法术数据!B:P,15,FALSE),"")</f>
        <v/>
      </c>
      <c r="V17" s="639"/>
      <c r="W17" s="637" t="str">
        <f>IF(Y17="","",法术数据!AJ61)</f>
        <v/>
      </c>
      <c r="X17" s="638" t="str">
        <f>IFERROR(VLOOKUP(Y17,法术数据!B:P,15,FALSE),"")</f>
        <v/>
      </c>
      <c r="Y17" s="639"/>
      <c r="Z17" s="637" t="str">
        <f>IF(AB17="","",法术数据!AJ11)</f>
        <v/>
      </c>
      <c r="AA17" s="638" t="str">
        <f>IFERROR(VLOOKUP(AB17,法术数据!B:P,15,FALSE),"")</f>
        <v/>
      </c>
      <c r="AB17" s="639"/>
      <c r="AC17" s="640" t="str">
        <f>IF(AE17="","",法术数据!AV61)</f>
        <v/>
      </c>
      <c r="AD17" s="641" t="str">
        <f>IFERROR(VLOOKUP(AE17,法术数据!B:P,15,FALSE),"")</f>
        <v/>
      </c>
      <c r="AE17" s="642"/>
      <c r="AF17" s="637" t="str">
        <f>IF(AH17="","",法术数据!AJ11)</f>
        <v/>
      </c>
      <c r="AG17" s="638" t="str">
        <f>IFERROR(VLOOKUP(AH17,法术数据!B:P,15,FALSE),"")</f>
        <v/>
      </c>
      <c r="AH17" s="639"/>
      <c r="AI17" s="640" t="str">
        <f>IF(AK17="","",法术数据!AT61)</f>
        <v/>
      </c>
      <c r="AJ17" s="641" t="str">
        <f>IFERROR(VLOOKUP(AK17,法术数据!B:P,15,FALSE),"")</f>
        <v/>
      </c>
      <c r="AK17" s="642"/>
    </row>
    <row r="18" ht="17.55" customHeight="1" spans="2:37">
      <c r="B18" s="603"/>
      <c r="C18" s="643"/>
      <c r="D18" s="644"/>
      <c r="E18" s="644"/>
      <c r="F18" s="644"/>
      <c r="G18" s="644"/>
      <c r="H18" s="644"/>
      <c r="I18" s="644"/>
      <c r="J18" s="644"/>
      <c r="K18" s="644"/>
      <c r="L18" s="644"/>
      <c r="M18" s="644"/>
      <c r="N18" s="644"/>
      <c r="O18" s="644"/>
      <c r="P18" s="644"/>
      <c r="Q18" s="644"/>
      <c r="R18" s="645"/>
      <c r="S18" s="604"/>
      <c r="T18" s="628" t="str">
        <f>IF(V18="","",法术数据!AJ12)</f>
        <v/>
      </c>
      <c r="U18" s="629" t="str">
        <f>IFERROR(VLOOKUP(V18,法术数据!B:P,15,FALSE),"")</f>
        <v/>
      </c>
      <c r="V18" s="630"/>
      <c r="W18" s="628" t="str">
        <f>IF(Y18="","",法术数据!AJ62)</f>
        <v/>
      </c>
      <c r="X18" s="629" t="str">
        <f>IFERROR(VLOOKUP(Y18,法术数据!B:P,15,FALSE),"")</f>
        <v/>
      </c>
      <c r="Y18" s="630"/>
      <c r="Z18" s="628" t="str">
        <f>IF(AB18="","",法术数据!AJ12)</f>
        <v/>
      </c>
      <c r="AA18" s="629" t="str">
        <f>IFERROR(VLOOKUP(AB18,法术数据!B:P,15,FALSE),"")</f>
        <v/>
      </c>
      <c r="AB18" s="630"/>
      <c r="AC18" s="631" t="str">
        <f>IF(AE18="","",法术数据!AJ62)</f>
        <v/>
      </c>
      <c r="AD18" s="632" t="str">
        <f>IFERROR(VLOOKUP(AE18,法术数据!B:P,15,FALSE),"")</f>
        <v/>
      </c>
      <c r="AE18" s="633"/>
      <c r="AF18" s="628" t="str">
        <f>IF(AH18="","",法术数据!AJ12)</f>
        <v/>
      </c>
      <c r="AG18" s="629" t="str">
        <f>IFERROR(VLOOKUP(AH18,法术数据!B:P,15,FALSE),"")</f>
        <v/>
      </c>
      <c r="AH18" s="630"/>
      <c r="AI18" s="631" t="str">
        <f>IF(AK18="","",法术数据!AJ62)</f>
        <v/>
      </c>
      <c r="AJ18" s="632" t="str">
        <f>IFERROR(VLOOKUP(AK18,法术数据!B:P,15,FALSE),"")</f>
        <v/>
      </c>
      <c r="AK18" s="633"/>
    </row>
    <row r="19" ht="17.55" customHeight="1" spans="2:37">
      <c r="B19" s="603"/>
      <c r="C19" s="634" t="str">
        <f>IF(C3="","","持续时间： "&amp;VLOOKUP(C3,法术数据!B:N,13,FALSE))</f>
        <v/>
      </c>
      <c r="D19" s="635"/>
      <c r="E19" s="635"/>
      <c r="F19" s="635"/>
      <c r="G19" s="635"/>
      <c r="H19" s="635"/>
      <c r="I19" s="635"/>
      <c r="J19" s="635"/>
      <c r="K19" s="635"/>
      <c r="L19" s="635"/>
      <c r="M19" s="635"/>
      <c r="N19" s="636"/>
      <c r="O19" s="649" t="str">
        <f>IFERROR(IF(VLOOKUP(C3,法术数据!B:M,12,FALSE)=1,"需要专注",""),"")</f>
        <v/>
      </c>
      <c r="P19" s="650"/>
      <c r="Q19" s="650"/>
      <c r="R19" s="651"/>
      <c r="S19" s="604"/>
      <c r="T19" s="637" t="str">
        <f>IF(V19="","",法术数据!AJ13)</f>
        <v/>
      </c>
      <c r="U19" s="638" t="str">
        <f>IFERROR(VLOOKUP(V19,法术数据!B:P,15,FALSE),"")</f>
        <v/>
      </c>
      <c r="V19" s="639"/>
      <c r="W19" s="637" t="str">
        <f>IF(Y19="","",法术数据!AJ63)</f>
        <v/>
      </c>
      <c r="X19" s="638" t="str">
        <f>IFERROR(VLOOKUP(Y19,法术数据!B:P,15,FALSE),"")</f>
        <v/>
      </c>
      <c r="Y19" s="639"/>
      <c r="Z19" s="637" t="str">
        <f>IF(AB19="","",法术数据!AJ13)</f>
        <v/>
      </c>
      <c r="AA19" s="638" t="str">
        <f>IFERROR(VLOOKUP(AB19,法术数据!B:P,15,FALSE),"")</f>
        <v/>
      </c>
      <c r="AB19" s="639"/>
      <c r="AC19" s="640" t="str">
        <f>IF(AE19="","",法术数据!AV63)</f>
        <v/>
      </c>
      <c r="AD19" s="641" t="str">
        <f>IFERROR(VLOOKUP(AE19,法术数据!B:P,15,FALSE),"")</f>
        <v/>
      </c>
      <c r="AE19" s="642"/>
      <c r="AF19" s="637" t="str">
        <f>IF(AH19="","",法术数据!AJ13)</f>
        <v/>
      </c>
      <c r="AG19" s="638" t="str">
        <f>IFERROR(VLOOKUP(AH19,法术数据!B:P,15,FALSE),"")</f>
        <v/>
      </c>
      <c r="AH19" s="639"/>
      <c r="AI19" s="640" t="str">
        <f>IF(AK19="","",法术数据!AT63)</f>
        <v/>
      </c>
      <c r="AJ19" s="641" t="str">
        <f>IFERROR(VLOOKUP(AK19,法术数据!B:P,15,FALSE),"")</f>
        <v/>
      </c>
      <c r="AK19" s="642"/>
    </row>
    <row r="20" ht="17.55" customHeight="1" spans="2:37">
      <c r="B20" s="603"/>
      <c r="C20" s="643"/>
      <c r="D20" s="644"/>
      <c r="E20" s="644"/>
      <c r="F20" s="644"/>
      <c r="G20" s="644"/>
      <c r="H20" s="644"/>
      <c r="I20" s="644"/>
      <c r="J20" s="644"/>
      <c r="K20" s="644"/>
      <c r="L20" s="644"/>
      <c r="M20" s="644"/>
      <c r="N20" s="645"/>
      <c r="O20" s="652"/>
      <c r="P20" s="653"/>
      <c r="Q20" s="653"/>
      <c r="R20" s="654"/>
      <c r="S20" s="604"/>
      <c r="T20" s="628" t="str">
        <f>IF(V20="","",法术数据!AJ14)</f>
        <v/>
      </c>
      <c r="U20" s="629" t="str">
        <f>IFERROR(VLOOKUP(V20,法术数据!B:P,15,FALSE),"")</f>
        <v/>
      </c>
      <c r="V20" s="630"/>
      <c r="W20" s="628" t="str">
        <f>IF(Y20="","",法术数据!AJ64)</f>
        <v/>
      </c>
      <c r="X20" s="629" t="str">
        <f>IFERROR(VLOOKUP(Y20,法术数据!B:P,15,FALSE),"")</f>
        <v/>
      </c>
      <c r="Y20" s="630"/>
      <c r="Z20" s="628" t="str">
        <f>IF(AB20="","",法术数据!AJ14)</f>
        <v/>
      </c>
      <c r="AA20" s="629" t="str">
        <f>IFERROR(VLOOKUP(AB20,法术数据!B:P,15,FALSE),"")</f>
        <v/>
      </c>
      <c r="AB20" s="630"/>
      <c r="AC20" s="631" t="str">
        <f>IF(AE20="","",法术数据!AJ64)</f>
        <v/>
      </c>
      <c r="AD20" s="632" t="str">
        <f>IFERROR(VLOOKUP(AE20,法术数据!B:P,15,FALSE),"")</f>
        <v/>
      </c>
      <c r="AE20" s="633"/>
      <c r="AF20" s="628" t="str">
        <f>IF(AH20="","",法术数据!AJ14)</f>
        <v/>
      </c>
      <c r="AG20" s="629" t="str">
        <f>IFERROR(VLOOKUP(AH20,法术数据!B:P,15,FALSE),"")</f>
        <v/>
      </c>
      <c r="AH20" s="630"/>
      <c r="AI20" s="631" t="str">
        <f>IF(AK20="","",法术数据!AJ64)</f>
        <v/>
      </c>
      <c r="AJ20" s="632" t="str">
        <f>IFERROR(VLOOKUP(AK20,法术数据!B:P,15,FALSE),"")</f>
        <v/>
      </c>
      <c r="AK20" s="633"/>
    </row>
    <row r="21" ht="17.55" customHeight="1" spans="2:37">
      <c r="B21" s="603"/>
      <c r="C21" s="617"/>
      <c r="D21" s="595"/>
      <c r="E21" s="595"/>
      <c r="F21" s="595"/>
      <c r="G21" s="595"/>
      <c r="H21" s="595"/>
      <c r="I21" s="595"/>
      <c r="J21" s="595"/>
      <c r="K21" s="595"/>
      <c r="L21" s="595"/>
      <c r="M21" s="595"/>
      <c r="N21" s="595"/>
      <c r="O21" s="595"/>
      <c r="P21" s="595"/>
      <c r="Q21" s="595"/>
      <c r="R21" s="618"/>
      <c r="S21" s="604"/>
      <c r="T21" s="637" t="str">
        <f>IF(V21="","",法术数据!AJ15)</f>
        <v/>
      </c>
      <c r="U21" s="638" t="str">
        <f>IFERROR(VLOOKUP(V21,法术数据!B:P,15,FALSE),"")</f>
        <v/>
      </c>
      <c r="V21" s="639"/>
      <c r="W21" s="637" t="str">
        <f>IF(Y21="","",法术数据!AJ65)</f>
        <v/>
      </c>
      <c r="X21" s="638" t="str">
        <f>IFERROR(VLOOKUP(Y21,法术数据!B:P,15,FALSE),"")</f>
        <v/>
      </c>
      <c r="Y21" s="639"/>
      <c r="Z21" s="637" t="str">
        <f>IF(AB21="","",法术数据!AJ15)</f>
        <v/>
      </c>
      <c r="AA21" s="638" t="str">
        <f>IFERROR(VLOOKUP(AB21,法术数据!B:P,15,FALSE),"")</f>
        <v/>
      </c>
      <c r="AB21" s="639"/>
      <c r="AC21" s="640" t="str">
        <f>IF(AE21="","",法术数据!AV65)</f>
        <v/>
      </c>
      <c r="AD21" s="641" t="str">
        <f>IFERROR(VLOOKUP(AE21,法术数据!B:P,15,FALSE),"")</f>
        <v/>
      </c>
      <c r="AE21" s="642"/>
      <c r="AF21" s="637" t="str">
        <f>IF(AH21="","",法术数据!AJ15)</f>
        <v/>
      </c>
      <c r="AG21" s="638" t="str">
        <f>IFERROR(VLOOKUP(AH21,法术数据!B:P,15,FALSE),"")</f>
        <v/>
      </c>
      <c r="AH21" s="639"/>
      <c r="AI21" s="640" t="str">
        <f>IF(AK21="","",法术数据!AT65)</f>
        <v/>
      </c>
      <c r="AJ21" s="641" t="str">
        <f>IFERROR(VLOOKUP(AK21,法术数据!B:P,15,FALSE),"")</f>
        <v/>
      </c>
      <c r="AK21" s="642"/>
    </row>
    <row r="22" ht="17.55" customHeight="1" spans="2:37">
      <c r="B22" s="603"/>
      <c r="C22" s="621" t="str">
        <f>IF(C23&lt;&gt;"","法术说明","")</f>
        <v/>
      </c>
      <c r="D22" s="622"/>
      <c r="E22" s="623"/>
      <c r="F22" s="655"/>
      <c r="G22" s="626"/>
      <c r="H22" s="626"/>
      <c r="I22" s="626"/>
      <c r="J22" s="626"/>
      <c r="K22" s="626"/>
      <c r="L22" s="626"/>
      <c r="M22" s="626"/>
      <c r="N22" s="626"/>
      <c r="O22" s="626"/>
      <c r="P22" s="626"/>
      <c r="Q22" s="626"/>
      <c r="R22" s="627"/>
      <c r="S22" s="604"/>
      <c r="T22" s="628" t="str">
        <f>IF(V22="","",法术数据!AJ16)</f>
        <v/>
      </c>
      <c r="U22" s="629" t="str">
        <f>IFERROR(VLOOKUP(V22,法术数据!B:P,15,FALSE),"")</f>
        <v/>
      </c>
      <c r="V22" s="630"/>
      <c r="W22" s="628" t="str">
        <f>IF(Y22="","",法术数据!AJ66)</f>
        <v/>
      </c>
      <c r="X22" s="629" t="str">
        <f>IFERROR(VLOOKUP(Y22,法术数据!B:P,15,FALSE),"")</f>
        <v/>
      </c>
      <c r="Y22" s="630"/>
      <c r="Z22" s="628" t="str">
        <f>IF(AB22="","",法术数据!AJ16)</f>
        <v/>
      </c>
      <c r="AA22" s="629" t="str">
        <f>IFERROR(VLOOKUP(AB22,法术数据!B:P,15,FALSE),"")</f>
        <v/>
      </c>
      <c r="AB22" s="630"/>
      <c r="AC22" s="631" t="str">
        <f>IF(AE22="","",法术数据!AJ66)</f>
        <v/>
      </c>
      <c r="AD22" s="632" t="str">
        <f>IFERROR(VLOOKUP(AE22,法术数据!B:P,15,FALSE),"")</f>
        <v/>
      </c>
      <c r="AE22" s="633"/>
      <c r="AF22" s="628" t="str">
        <f>IF(AH22="","",法术数据!AJ16)</f>
        <v/>
      </c>
      <c r="AG22" s="629" t="str">
        <f>IFERROR(VLOOKUP(AH22,法术数据!B:P,15,FALSE),"")</f>
        <v/>
      </c>
      <c r="AH22" s="630"/>
      <c r="AI22" s="631" t="str">
        <f>IF(AK22="","",法术数据!AJ66)</f>
        <v/>
      </c>
      <c r="AJ22" s="632" t="str">
        <f>IFERROR(VLOOKUP(AK22,法术数据!B:P,15,FALSE),"")</f>
        <v/>
      </c>
      <c r="AK22" s="633"/>
    </row>
    <row r="23" ht="17.55" customHeight="1" spans="2:37">
      <c r="B23" s="603"/>
      <c r="C23" s="656" t="str">
        <f>IF(C3="","",VLOOKUP(C3,法术数据!B:O,14,FALSE))</f>
        <v/>
      </c>
      <c r="D23" s="657"/>
      <c r="E23" s="657"/>
      <c r="F23" s="657"/>
      <c r="G23" s="657"/>
      <c r="H23" s="657"/>
      <c r="I23" s="657"/>
      <c r="J23" s="657"/>
      <c r="K23" s="657"/>
      <c r="L23" s="657"/>
      <c r="M23" s="657"/>
      <c r="N23" s="657"/>
      <c r="O23" s="657"/>
      <c r="P23" s="657"/>
      <c r="Q23" s="657"/>
      <c r="R23" s="658"/>
      <c r="S23" s="604"/>
      <c r="T23" s="637" t="str">
        <f>IF(V23="","",法术数据!AJ17)</f>
        <v/>
      </c>
      <c r="U23" s="638" t="str">
        <f>IFERROR(VLOOKUP(V23,法术数据!B:P,15,FALSE),"")</f>
        <v/>
      </c>
      <c r="V23" s="639"/>
      <c r="W23" s="637" t="str">
        <f>IF(Y23="","",法术数据!AJ67)</f>
        <v/>
      </c>
      <c r="X23" s="638" t="str">
        <f>IFERROR(VLOOKUP(Y23,法术数据!B:P,15,FALSE),"")</f>
        <v/>
      </c>
      <c r="Y23" s="639"/>
      <c r="Z23" s="637" t="str">
        <f>IF(AB23="","",法术数据!AJ17)</f>
        <v/>
      </c>
      <c r="AA23" s="638" t="str">
        <f>IFERROR(VLOOKUP(AB23,法术数据!B:P,15,FALSE),"")</f>
        <v/>
      </c>
      <c r="AB23" s="639"/>
      <c r="AC23" s="640" t="str">
        <f>IF(AE23="","",法术数据!AV67)</f>
        <v/>
      </c>
      <c r="AD23" s="641" t="str">
        <f>IFERROR(VLOOKUP(AE23,法术数据!B:P,15,FALSE),"")</f>
        <v/>
      </c>
      <c r="AE23" s="642"/>
      <c r="AF23" s="637" t="str">
        <f>IF(AH23="","",法术数据!AJ17)</f>
        <v/>
      </c>
      <c r="AG23" s="638" t="str">
        <f>IFERROR(VLOOKUP(AH23,法术数据!B:P,15,FALSE),"")</f>
        <v/>
      </c>
      <c r="AH23" s="639"/>
      <c r="AI23" s="640" t="str">
        <f>IF(AK23="","",法术数据!AT67)</f>
        <v/>
      </c>
      <c r="AJ23" s="641" t="str">
        <f>IFERROR(VLOOKUP(AK23,法术数据!B:P,15,FALSE),"")</f>
        <v/>
      </c>
      <c r="AK23" s="642"/>
    </row>
    <row r="24" ht="17.55" customHeight="1" spans="2:37">
      <c r="B24" s="603"/>
      <c r="C24" s="659"/>
      <c r="D24" s="660"/>
      <c r="E24" s="660"/>
      <c r="F24" s="660"/>
      <c r="G24" s="660"/>
      <c r="H24" s="660"/>
      <c r="I24" s="660"/>
      <c r="J24" s="660"/>
      <c r="K24" s="660"/>
      <c r="L24" s="660"/>
      <c r="M24" s="660"/>
      <c r="N24" s="660"/>
      <c r="O24" s="660"/>
      <c r="P24" s="660"/>
      <c r="Q24" s="660"/>
      <c r="R24" s="661"/>
      <c r="S24" s="604"/>
      <c r="T24" s="628" t="str">
        <f>IF(V24="","",法术数据!AJ18)</f>
        <v/>
      </c>
      <c r="U24" s="629" t="str">
        <f>IFERROR(VLOOKUP(V24,法术数据!B:P,15,FALSE),"")</f>
        <v/>
      </c>
      <c r="V24" s="630"/>
      <c r="W24" s="628" t="str">
        <f>IF(Y24="","",法术数据!AJ68)</f>
        <v/>
      </c>
      <c r="X24" s="629" t="str">
        <f>IFERROR(VLOOKUP(Y24,法术数据!B:P,15,FALSE),"")</f>
        <v/>
      </c>
      <c r="Y24" s="630"/>
      <c r="Z24" s="628" t="str">
        <f>IF(AB24="","",法术数据!AJ18)</f>
        <v/>
      </c>
      <c r="AA24" s="629" t="str">
        <f>IFERROR(VLOOKUP(AB24,法术数据!B:P,15,FALSE),"")</f>
        <v/>
      </c>
      <c r="AB24" s="630"/>
      <c r="AC24" s="631" t="str">
        <f>IF(AE24="","",法术数据!AJ68)</f>
        <v/>
      </c>
      <c r="AD24" s="632" t="str">
        <f>IFERROR(VLOOKUP(AE24,法术数据!B:P,15,FALSE),"")</f>
        <v/>
      </c>
      <c r="AE24" s="633"/>
      <c r="AF24" s="628" t="str">
        <f>IF(AH24="","",法术数据!AJ18)</f>
        <v/>
      </c>
      <c r="AG24" s="629" t="str">
        <f>IFERROR(VLOOKUP(AH24,法术数据!B:P,15,FALSE),"")</f>
        <v/>
      </c>
      <c r="AH24" s="630"/>
      <c r="AI24" s="631" t="str">
        <f>IF(AK24="","",法术数据!AJ68)</f>
        <v/>
      </c>
      <c r="AJ24" s="632" t="str">
        <f>IFERROR(VLOOKUP(AK24,法术数据!B:P,15,FALSE),"")</f>
        <v/>
      </c>
      <c r="AK24" s="633"/>
    </row>
    <row r="25" ht="17.55" customHeight="1" spans="2:37">
      <c r="B25" s="603"/>
      <c r="C25" s="659"/>
      <c r="D25" s="660"/>
      <c r="E25" s="660"/>
      <c r="F25" s="660"/>
      <c r="G25" s="660"/>
      <c r="H25" s="660"/>
      <c r="I25" s="660"/>
      <c r="J25" s="660"/>
      <c r="K25" s="660"/>
      <c r="L25" s="660"/>
      <c r="M25" s="660"/>
      <c r="N25" s="660"/>
      <c r="O25" s="660"/>
      <c r="P25" s="660"/>
      <c r="Q25" s="660"/>
      <c r="R25" s="661"/>
      <c r="S25" s="604"/>
      <c r="T25" s="637" t="str">
        <f>IF(V25="","",法术数据!AJ19)</f>
        <v/>
      </c>
      <c r="U25" s="638" t="str">
        <f>IFERROR(VLOOKUP(V25,法术数据!B:P,15,FALSE),"")</f>
        <v/>
      </c>
      <c r="V25" s="639"/>
      <c r="W25" s="637" t="str">
        <f>IF(Y25="","",法术数据!AJ69)</f>
        <v/>
      </c>
      <c r="X25" s="638" t="str">
        <f>IFERROR(VLOOKUP(Y25,法术数据!B:P,15,FALSE),"")</f>
        <v/>
      </c>
      <c r="Y25" s="639"/>
      <c r="Z25" s="637" t="str">
        <f>IF(AB25="","",法术数据!AJ19)</f>
        <v/>
      </c>
      <c r="AA25" s="638" t="str">
        <f>IFERROR(VLOOKUP(AB25,法术数据!B:P,15,FALSE),"")</f>
        <v/>
      </c>
      <c r="AB25" s="639"/>
      <c r="AC25" s="640" t="str">
        <f>IF(AE25="","",法术数据!AV69)</f>
        <v/>
      </c>
      <c r="AD25" s="641" t="str">
        <f>IFERROR(VLOOKUP(AE25,法术数据!B:P,15,FALSE),"")</f>
        <v/>
      </c>
      <c r="AE25" s="642"/>
      <c r="AF25" s="637" t="str">
        <f>IF(AH25="","",法术数据!AJ19)</f>
        <v/>
      </c>
      <c r="AG25" s="638" t="str">
        <f>IFERROR(VLOOKUP(AH25,法术数据!B:P,15,FALSE),"")</f>
        <v/>
      </c>
      <c r="AH25" s="639"/>
      <c r="AI25" s="640" t="str">
        <f>IF(AK25="","",法术数据!AT69)</f>
        <v/>
      </c>
      <c r="AJ25" s="641" t="str">
        <f>IFERROR(VLOOKUP(AK25,法术数据!B:P,15,FALSE),"")</f>
        <v/>
      </c>
      <c r="AK25" s="642"/>
    </row>
    <row r="26" ht="17.55" customHeight="1" spans="2:37">
      <c r="B26" s="603"/>
      <c r="C26" s="659"/>
      <c r="D26" s="660"/>
      <c r="E26" s="660"/>
      <c r="F26" s="660"/>
      <c r="G26" s="660"/>
      <c r="H26" s="660"/>
      <c r="I26" s="660"/>
      <c r="J26" s="660"/>
      <c r="K26" s="660"/>
      <c r="L26" s="660"/>
      <c r="M26" s="660"/>
      <c r="N26" s="660"/>
      <c r="O26" s="660"/>
      <c r="P26" s="660"/>
      <c r="Q26" s="660"/>
      <c r="R26" s="661"/>
      <c r="S26" s="604"/>
      <c r="T26" s="628" t="str">
        <f>IF(V26="","",法术数据!AJ20)</f>
        <v/>
      </c>
      <c r="U26" s="629" t="str">
        <f>IFERROR(VLOOKUP(V26,法术数据!B:P,15,FALSE),"")</f>
        <v/>
      </c>
      <c r="V26" s="630"/>
      <c r="W26" s="628" t="str">
        <f>IF(Y26="","",法术数据!AJ70)</f>
        <v/>
      </c>
      <c r="X26" s="629" t="str">
        <f>IFERROR(VLOOKUP(Y26,法术数据!B:P,15,FALSE),"")</f>
        <v/>
      </c>
      <c r="Y26" s="630"/>
      <c r="Z26" s="628" t="str">
        <f>IF(AB26="","",法术数据!AJ20)</f>
        <v/>
      </c>
      <c r="AA26" s="629" t="str">
        <f>IFERROR(VLOOKUP(AB26,法术数据!B:P,15,FALSE),"")</f>
        <v/>
      </c>
      <c r="AB26" s="630"/>
      <c r="AC26" s="631" t="str">
        <f>IF(AE26="","",法术数据!AJ70)</f>
        <v/>
      </c>
      <c r="AD26" s="632" t="str">
        <f>IFERROR(VLOOKUP(AE26,法术数据!B:P,15,FALSE),"")</f>
        <v/>
      </c>
      <c r="AE26" s="633"/>
      <c r="AF26" s="628" t="str">
        <f>IF(AH26="","",法术数据!AJ20)</f>
        <v/>
      </c>
      <c r="AG26" s="629" t="str">
        <f>IFERROR(VLOOKUP(AH26,法术数据!B:P,15,FALSE),"")</f>
        <v/>
      </c>
      <c r="AH26" s="630"/>
      <c r="AI26" s="631" t="str">
        <f>IF(AK26="","",法术数据!AJ70)</f>
        <v/>
      </c>
      <c r="AJ26" s="632" t="str">
        <f>IFERROR(VLOOKUP(AK26,法术数据!B:P,15,FALSE),"")</f>
        <v/>
      </c>
      <c r="AK26" s="633"/>
    </row>
    <row r="27" ht="17.55" customHeight="1" spans="2:37">
      <c r="B27" s="603"/>
      <c r="C27" s="659"/>
      <c r="D27" s="660"/>
      <c r="E27" s="660"/>
      <c r="F27" s="660"/>
      <c r="G27" s="660"/>
      <c r="H27" s="660"/>
      <c r="I27" s="660"/>
      <c r="J27" s="660"/>
      <c r="K27" s="660"/>
      <c r="L27" s="660"/>
      <c r="M27" s="660"/>
      <c r="N27" s="660"/>
      <c r="O27" s="660"/>
      <c r="P27" s="660"/>
      <c r="Q27" s="660"/>
      <c r="R27" s="661"/>
      <c r="S27" s="604"/>
      <c r="T27" s="637" t="str">
        <f>IF(V27="","",法术数据!AJ21)</f>
        <v/>
      </c>
      <c r="U27" s="638" t="str">
        <f>IFERROR(VLOOKUP(V27,法术数据!B:P,15,FALSE),"")</f>
        <v/>
      </c>
      <c r="V27" s="639"/>
      <c r="W27" s="637" t="str">
        <f>IF(Y27="","",法术数据!AJ71)</f>
        <v/>
      </c>
      <c r="X27" s="638" t="str">
        <f>IFERROR(VLOOKUP(Y27,法术数据!B:P,15,FALSE),"")</f>
        <v/>
      </c>
      <c r="Y27" s="639"/>
      <c r="Z27" s="637" t="str">
        <f>IF(AB27="","",法术数据!AJ21)</f>
        <v/>
      </c>
      <c r="AA27" s="638" t="str">
        <f>IFERROR(VLOOKUP(AB27,法术数据!B:P,15,FALSE),"")</f>
        <v/>
      </c>
      <c r="AB27" s="639"/>
      <c r="AC27" s="640" t="str">
        <f>IF(AE27="","",法术数据!AV71)</f>
        <v/>
      </c>
      <c r="AD27" s="641" t="str">
        <f>IFERROR(VLOOKUP(AE27,法术数据!B:P,15,FALSE),"")</f>
        <v/>
      </c>
      <c r="AE27" s="642"/>
      <c r="AF27" s="637" t="str">
        <f>IF(AH27="","",法术数据!AJ21)</f>
        <v/>
      </c>
      <c r="AG27" s="638" t="str">
        <f>IFERROR(VLOOKUP(AH27,法术数据!B:P,15,FALSE),"")</f>
        <v/>
      </c>
      <c r="AH27" s="639"/>
      <c r="AI27" s="640" t="str">
        <f>IF(AK27="","",法术数据!AT71)</f>
        <v/>
      </c>
      <c r="AJ27" s="641" t="str">
        <f>IFERROR(VLOOKUP(AK27,法术数据!B:P,15,FALSE),"")</f>
        <v/>
      </c>
      <c r="AK27" s="642"/>
    </row>
    <row r="28" ht="17.55" customHeight="1" spans="2:37">
      <c r="B28" s="603"/>
      <c r="C28" s="659"/>
      <c r="D28" s="660"/>
      <c r="E28" s="660"/>
      <c r="F28" s="660"/>
      <c r="G28" s="660"/>
      <c r="H28" s="660"/>
      <c r="I28" s="660"/>
      <c r="J28" s="660"/>
      <c r="K28" s="660"/>
      <c r="L28" s="660"/>
      <c r="M28" s="660"/>
      <c r="N28" s="660"/>
      <c r="O28" s="660"/>
      <c r="P28" s="660"/>
      <c r="Q28" s="660"/>
      <c r="R28" s="661"/>
      <c r="S28" s="604"/>
      <c r="T28" s="628" t="str">
        <f>IF(V28="","",法术数据!AJ22)</f>
        <v/>
      </c>
      <c r="U28" s="629" t="str">
        <f>IFERROR(VLOOKUP(V28,法术数据!B:P,15,FALSE),"")</f>
        <v/>
      </c>
      <c r="V28" s="630"/>
      <c r="W28" s="628" t="str">
        <f>IF(Y28="","",法术数据!AJ72)</f>
        <v/>
      </c>
      <c r="X28" s="629" t="str">
        <f>IFERROR(VLOOKUP(Y28,法术数据!B:P,15,FALSE),"")</f>
        <v/>
      </c>
      <c r="Y28" s="630"/>
      <c r="Z28" s="628" t="str">
        <f>IF(AB28="","",法术数据!AJ22)</f>
        <v/>
      </c>
      <c r="AA28" s="629" t="str">
        <f>IFERROR(VLOOKUP(AB28,法术数据!B:P,15,FALSE),"")</f>
        <v/>
      </c>
      <c r="AB28" s="630"/>
      <c r="AC28" s="631" t="str">
        <f>IF(AE28="","",法术数据!AJ72)</f>
        <v/>
      </c>
      <c r="AD28" s="632" t="str">
        <f>IFERROR(VLOOKUP(AE28,法术数据!B:P,15,FALSE),"")</f>
        <v/>
      </c>
      <c r="AE28" s="633"/>
      <c r="AF28" s="628" t="str">
        <f>IF(AH28="","",法术数据!AJ22)</f>
        <v/>
      </c>
      <c r="AG28" s="629" t="str">
        <f>IFERROR(VLOOKUP(AH28,法术数据!B:P,15,FALSE),"")</f>
        <v/>
      </c>
      <c r="AH28" s="630"/>
      <c r="AI28" s="631" t="str">
        <f>IF(AK28="","",法术数据!AJ72)</f>
        <v/>
      </c>
      <c r="AJ28" s="632" t="str">
        <f>IFERROR(VLOOKUP(AK28,法术数据!B:P,15,FALSE),"")</f>
        <v/>
      </c>
      <c r="AK28" s="633"/>
    </row>
    <row r="29" ht="17.55" customHeight="1" spans="2:37">
      <c r="B29" s="603"/>
      <c r="C29" s="659"/>
      <c r="D29" s="660"/>
      <c r="E29" s="660"/>
      <c r="F29" s="660"/>
      <c r="G29" s="660"/>
      <c r="H29" s="660"/>
      <c r="I29" s="660"/>
      <c r="J29" s="660"/>
      <c r="K29" s="660"/>
      <c r="L29" s="660"/>
      <c r="M29" s="660"/>
      <c r="N29" s="660"/>
      <c r="O29" s="660"/>
      <c r="P29" s="660"/>
      <c r="Q29" s="660"/>
      <c r="R29" s="661"/>
      <c r="S29" s="604"/>
      <c r="T29" s="637" t="str">
        <f>IF(V29="","",法术数据!AJ23)</f>
        <v/>
      </c>
      <c r="U29" s="638" t="str">
        <f>IFERROR(VLOOKUP(V29,法术数据!B:P,15,FALSE),"")</f>
        <v/>
      </c>
      <c r="V29" s="639"/>
      <c r="W29" s="637" t="str">
        <f>IF(Y29="","",法术数据!AJ73)</f>
        <v/>
      </c>
      <c r="X29" s="638" t="str">
        <f>IFERROR(VLOOKUP(Y29,法术数据!B:P,15,FALSE),"")</f>
        <v/>
      </c>
      <c r="Y29" s="639"/>
      <c r="Z29" s="637" t="str">
        <f>IF(AB29="","",法术数据!AJ23)</f>
        <v/>
      </c>
      <c r="AA29" s="638" t="str">
        <f>IFERROR(VLOOKUP(AB29,法术数据!B:P,15,FALSE),"")</f>
        <v/>
      </c>
      <c r="AB29" s="639"/>
      <c r="AC29" s="640" t="str">
        <f>IF(AE29="","",法术数据!AV73)</f>
        <v/>
      </c>
      <c r="AD29" s="641" t="str">
        <f>IFERROR(VLOOKUP(AE29,法术数据!B:P,15,FALSE),"")</f>
        <v/>
      </c>
      <c r="AE29" s="642"/>
      <c r="AF29" s="637" t="str">
        <f>IF(AH29="","",法术数据!AJ23)</f>
        <v/>
      </c>
      <c r="AG29" s="638" t="str">
        <f>IFERROR(VLOOKUP(AH29,法术数据!B:P,15,FALSE),"")</f>
        <v/>
      </c>
      <c r="AH29" s="639"/>
      <c r="AI29" s="640" t="str">
        <f>IF(AK29="","",法术数据!AT73)</f>
        <v/>
      </c>
      <c r="AJ29" s="641" t="str">
        <f>IFERROR(VLOOKUP(AK29,法术数据!B:P,15,FALSE),"")</f>
        <v/>
      </c>
      <c r="AK29" s="642"/>
    </row>
    <row r="30" ht="17.55" customHeight="1" spans="2:37">
      <c r="B30" s="603"/>
      <c r="C30" s="659"/>
      <c r="D30" s="660"/>
      <c r="E30" s="660"/>
      <c r="F30" s="660"/>
      <c r="G30" s="660"/>
      <c r="H30" s="660"/>
      <c r="I30" s="660"/>
      <c r="J30" s="660"/>
      <c r="K30" s="660"/>
      <c r="L30" s="660"/>
      <c r="M30" s="660"/>
      <c r="N30" s="660"/>
      <c r="O30" s="660"/>
      <c r="P30" s="660"/>
      <c r="Q30" s="660"/>
      <c r="R30" s="661"/>
      <c r="S30" s="604"/>
      <c r="T30" s="628" t="str">
        <f>IF(V30="","",法术数据!AJ24)</f>
        <v/>
      </c>
      <c r="U30" s="629" t="str">
        <f>IFERROR(VLOOKUP(V30,法术数据!B:P,15,FALSE),"")</f>
        <v/>
      </c>
      <c r="V30" s="630"/>
      <c r="W30" s="628" t="str">
        <f>IF(Y30="","",法术数据!AJ74)</f>
        <v/>
      </c>
      <c r="X30" s="629" t="str">
        <f>IFERROR(VLOOKUP(Y30,法术数据!B:P,15,FALSE),"")</f>
        <v/>
      </c>
      <c r="Y30" s="630"/>
      <c r="Z30" s="628" t="str">
        <f>IF(AB30="","",法术数据!AJ24)</f>
        <v/>
      </c>
      <c r="AA30" s="629" t="str">
        <f>IFERROR(VLOOKUP(AB30,法术数据!B:P,15,FALSE),"")</f>
        <v/>
      </c>
      <c r="AB30" s="630"/>
      <c r="AC30" s="631" t="str">
        <f>IF(AE30="","",法术数据!AJ74)</f>
        <v/>
      </c>
      <c r="AD30" s="632" t="str">
        <f>IFERROR(VLOOKUP(AE30,法术数据!B:P,15,FALSE),"")</f>
        <v/>
      </c>
      <c r="AE30" s="633"/>
      <c r="AF30" s="628" t="str">
        <f>IF(AH30="","",法术数据!AJ24)</f>
        <v/>
      </c>
      <c r="AG30" s="629" t="str">
        <f>IFERROR(VLOOKUP(AH30,法术数据!B:P,15,FALSE),"")</f>
        <v/>
      </c>
      <c r="AH30" s="630"/>
      <c r="AI30" s="631" t="str">
        <f>IF(AK30="","",法术数据!AJ74)</f>
        <v/>
      </c>
      <c r="AJ30" s="632" t="str">
        <f>IFERROR(VLOOKUP(AK30,法术数据!B:P,15,FALSE),"")</f>
        <v/>
      </c>
      <c r="AK30" s="633"/>
    </row>
    <row r="31" ht="17.55" customHeight="1" spans="2:37">
      <c r="B31" s="603"/>
      <c r="C31" s="659"/>
      <c r="D31" s="660"/>
      <c r="E31" s="660"/>
      <c r="F31" s="660"/>
      <c r="G31" s="660"/>
      <c r="H31" s="660"/>
      <c r="I31" s="660"/>
      <c r="J31" s="660"/>
      <c r="K31" s="660"/>
      <c r="L31" s="660"/>
      <c r="M31" s="660"/>
      <c r="N31" s="660"/>
      <c r="O31" s="660"/>
      <c r="P31" s="660"/>
      <c r="Q31" s="660"/>
      <c r="R31" s="661"/>
      <c r="S31" s="604"/>
      <c r="T31" s="637" t="str">
        <f>IF(V31="","",法术数据!AJ25)</f>
        <v/>
      </c>
      <c r="U31" s="638" t="str">
        <f>IFERROR(VLOOKUP(V31,法术数据!B:P,15,FALSE),"")</f>
        <v/>
      </c>
      <c r="V31" s="639"/>
      <c r="W31" s="637" t="str">
        <f>IF(Y31="","",法术数据!AJ75)</f>
        <v/>
      </c>
      <c r="X31" s="638" t="str">
        <f>IFERROR(VLOOKUP(Y31,法术数据!B:P,15,FALSE),"")</f>
        <v/>
      </c>
      <c r="Y31" s="639"/>
      <c r="Z31" s="637" t="str">
        <f>IF(AB31="","",法术数据!AJ25)</f>
        <v/>
      </c>
      <c r="AA31" s="638" t="str">
        <f>IFERROR(VLOOKUP(AB31,法术数据!B:P,15,FALSE),"")</f>
        <v/>
      </c>
      <c r="AB31" s="639"/>
      <c r="AC31" s="640" t="str">
        <f>IF(AE31="","",法术数据!AV75)</f>
        <v/>
      </c>
      <c r="AD31" s="641" t="str">
        <f>IFERROR(VLOOKUP(AE31,法术数据!B:P,15,FALSE),"")</f>
        <v/>
      </c>
      <c r="AE31" s="642"/>
      <c r="AF31" s="637" t="str">
        <f>IF(AH31="","",法术数据!AJ25)</f>
        <v/>
      </c>
      <c r="AG31" s="638" t="str">
        <f>IFERROR(VLOOKUP(AH31,法术数据!B:P,15,FALSE),"")</f>
        <v/>
      </c>
      <c r="AH31" s="639"/>
      <c r="AI31" s="640" t="str">
        <f>IF(AK31="","",法术数据!AT75)</f>
        <v/>
      </c>
      <c r="AJ31" s="641" t="str">
        <f>IFERROR(VLOOKUP(AK31,法术数据!B:P,15,FALSE),"")</f>
        <v/>
      </c>
      <c r="AK31" s="642"/>
    </row>
    <row r="32" ht="17.55" customHeight="1" spans="2:37">
      <c r="B32" s="603"/>
      <c r="C32" s="659"/>
      <c r="D32" s="660"/>
      <c r="E32" s="660"/>
      <c r="F32" s="660"/>
      <c r="G32" s="660"/>
      <c r="H32" s="660"/>
      <c r="I32" s="660"/>
      <c r="J32" s="660"/>
      <c r="K32" s="660"/>
      <c r="L32" s="660"/>
      <c r="M32" s="660"/>
      <c r="N32" s="660"/>
      <c r="O32" s="660"/>
      <c r="P32" s="660"/>
      <c r="Q32" s="660"/>
      <c r="R32" s="661"/>
      <c r="S32" s="604"/>
      <c r="T32" s="628" t="str">
        <f>IF(V32="","",法术数据!AJ26)</f>
        <v/>
      </c>
      <c r="U32" s="629" t="str">
        <f>IFERROR(VLOOKUP(V32,法术数据!B:P,15,FALSE),"")</f>
        <v/>
      </c>
      <c r="V32" s="630"/>
      <c r="W32" s="628" t="str">
        <f>IF(Y32="","",法术数据!AJ76)</f>
        <v/>
      </c>
      <c r="X32" s="629" t="str">
        <f>IFERROR(VLOOKUP(Y32,法术数据!B:P,15,FALSE),"")</f>
        <v/>
      </c>
      <c r="Y32" s="630"/>
      <c r="Z32" s="628" t="str">
        <f>IF(AB32="","",法术数据!AJ26)</f>
        <v/>
      </c>
      <c r="AA32" s="629" t="str">
        <f>IFERROR(VLOOKUP(AB32,法术数据!B:P,15,FALSE),"")</f>
        <v/>
      </c>
      <c r="AB32" s="630"/>
      <c r="AC32" s="631" t="str">
        <f>IF(AE32="","",法术数据!AJ76)</f>
        <v/>
      </c>
      <c r="AD32" s="632" t="str">
        <f>IFERROR(VLOOKUP(AE32,法术数据!B:P,15,FALSE),"")</f>
        <v/>
      </c>
      <c r="AE32" s="633"/>
      <c r="AF32" s="628" t="str">
        <f>IF(AH32="","",法术数据!AJ26)</f>
        <v/>
      </c>
      <c r="AG32" s="629" t="str">
        <f>IFERROR(VLOOKUP(AH32,法术数据!B:P,15,FALSE),"")</f>
        <v/>
      </c>
      <c r="AH32" s="630"/>
      <c r="AI32" s="631" t="str">
        <f>IF(AK32="","",法术数据!AJ76)</f>
        <v/>
      </c>
      <c r="AJ32" s="632" t="str">
        <f>IFERROR(VLOOKUP(AK32,法术数据!B:P,15,FALSE),"")</f>
        <v/>
      </c>
      <c r="AK32" s="633"/>
    </row>
    <row r="33" ht="17.55" customHeight="1" spans="2:37">
      <c r="B33" s="603"/>
      <c r="C33" s="659"/>
      <c r="D33" s="660"/>
      <c r="E33" s="660"/>
      <c r="F33" s="660"/>
      <c r="G33" s="660"/>
      <c r="H33" s="660"/>
      <c r="I33" s="660"/>
      <c r="J33" s="660"/>
      <c r="K33" s="660"/>
      <c r="L33" s="660"/>
      <c r="M33" s="660"/>
      <c r="N33" s="660"/>
      <c r="O33" s="660"/>
      <c r="P33" s="660"/>
      <c r="Q33" s="660"/>
      <c r="R33" s="661"/>
      <c r="S33" s="604"/>
      <c r="T33" s="637" t="str">
        <f>IF(V33="","",法术数据!AJ27)</f>
        <v/>
      </c>
      <c r="U33" s="638" t="str">
        <f>IFERROR(VLOOKUP(V33,法术数据!B:P,15,FALSE),"")</f>
        <v/>
      </c>
      <c r="V33" s="639"/>
      <c r="W33" s="637" t="str">
        <f>IF(Y33="","",法术数据!AJ77)</f>
        <v/>
      </c>
      <c r="X33" s="638" t="str">
        <f>IFERROR(VLOOKUP(Y33,法术数据!B:P,15,FALSE),"")</f>
        <v/>
      </c>
      <c r="Y33" s="639"/>
      <c r="Z33" s="637" t="str">
        <f>IF(AB33="","",法术数据!AJ27)</f>
        <v/>
      </c>
      <c r="AA33" s="638" t="str">
        <f>IFERROR(VLOOKUP(AB33,法术数据!B:P,15,FALSE),"")</f>
        <v/>
      </c>
      <c r="AB33" s="639"/>
      <c r="AC33" s="640" t="str">
        <f>IF(AE33="","",法术数据!AV77)</f>
        <v/>
      </c>
      <c r="AD33" s="641" t="str">
        <f>IFERROR(VLOOKUP(AE33,法术数据!B:P,15,FALSE),"")</f>
        <v/>
      </c>
      <c r="AE33" s="642"/>
      <c r="AF33" s="637" t="str">
        <f>IF(AH33="","",法术数据!AJ27)</f>
        <v/>
      </c>
      <c r="AG33" s="638" t="str">
        <f>IFERROR(VLOOKUP(AH33,法术数据!B:P,15,FALSE),"")</f>
        <v/>
      </c>
      <c r="AH33" s="639"/>
      <c r="AI33" s="640" t="str">
        <f>IF(AK33="","",法术数据!AT77)</f>
        <v/>
      </c>
      <c r="AJ33" s="641" t="str">
        <f>IFERROR(VLOOKUP(AK33,法术数据!B:P,15,FALSE),"")</f>
        <v/>
      </c>
      <c r="AK33" s="642"/>
    </row>
    <row r="34" ht="17.55" customHeight="1" spans="2:37">
      <c r="B34" s="603"/>
      <c r="C34" s="659"/>
      <c r="D34" s="660"/>
      <c r="E34" s="660"/>
      <c r="F34" s="660"/>
      <c r="G34" s="660"/>
      <c r="H34" s="660"/>
      <c r="I34" s="660"/>
      <c r="J34" s="660"/>
      <c r="K34" s="660"/>
      <c r="L34" s="660"/>
      <c r="M34" s="660"/>
      <c r="N34" s="660"/>
      <c r="O34" s="660"/>
      <c r="P34" s="660"/>
      <c r="Q34" s="660"/>
      <c r="R34" s="661"/>
      <c r="S34" s="604"/>
      <c r="T34" s="628" t="str">
        <f>IF(V34="","",法术数据!AJ28)</f>
        <v/>
      </c>
      <c r="U34" s="629" t="str">
        <f>IFERROR(VLOOKUP(V34,法术数据!B:P,15,FALSE),"")</f>
        <v/>
      </c>
      <c r="V34" s="630"/>
      <c r="W34" s="628" t="str">
        <f>IF(Y34="","",法术数据!AJ78)</f>
        <v/>
      </c>
      <c r="X34" s="629" t="str">
        <f>IFERROR(VLOOKUP(Y34,法术数据!B:P,15,FALSE),"")</f>
        <v/>
      </c>
      <c r="Y34" s="630"/>
      <c r="Z34" s="628" t="str">
        <f>IF(AB34="","",法术数据!AJ28)</f>
        <v/>
      </c>
      <c r="AA34" s="629" t="str">
        <f>IFERROR(VLOOKUP(AB34,法术数据!B:P,15,FALSE),"")</f>
        <v/>
      </c>
      <c r="AB34" s="630"/>
      <c r="AC34" s="631" t="str">
        <f>IF(AE34="","",法术数据!AJ78)</f>
        <v/>
      </c>
      <c r="AD34" s="632" t="str">
        <f>IFERROR(VLOOKUP(AE34,法术数据!B:P,15,FALSE),"")</f>
        <v/>
      </c>
      <c r="AE34" s="633"/>
      <c r="AF34" s="628" t="str">
        <f>IF(AH34="","",法术数据!AJ28)</f>
        <v/>
      </c>
      <c r="AG34" s="629" t="str">
        <f>IFERROR(VLOOKUP(AH34,法术数据!B:P,15,FALSE),"")</f>
        <v/>
      </c>
      <c r="AH34" s="630"/>
      <c r="AI34" s="631" t="str">
        <f>IF(AK34="","",法术数据!AJ78)</f>
        <v/>
      </c>
      <c r="AJ34" s="632" t="str">
        <f>IFERROR(VLOOKUP(AK34,法术数据!B:P,15,FALSE),"")</f>
        <v/>
      </c>
      <c r="AK34" s="633"/>
    </row>
    <row r="35" ht="17.55" customHeight="1" spans="2:37">
      <c r="B35" s="603"/>
      <c r="C35" s="659"/>
      <c r="D35" s="660"/>
      <c r="E35" s="660"/>
      <c r="F35" s="660"/>
      <c r="G35" s="660"/>
      <c r="H35" s="660"/>
      <c r="I35" s="660"/>
      <c r="J35" s="660"/>
      <c r="K35" s="660"/>
      <c r="L35" s="660"/>
      <c r="M35" s="660"/>
      <c r="N35" s="660"/>
      <c r="O35" s="660"/>
      <c r="P35" s="660"/>
      <c r="Q35" s="660"/>
      <c r="R35" s="661"/>
      <c r="S35" s="604"/>
      <c r="T35" s="637" t="str">
        <f>IF(V35="","",法术数据!AJ29)</f>
        <v/>
      </c>
      <c r="U35" s="638" t="str">
        <f>IFERROR(VLOOKUP(V35,法术数据!B:P,15,FALSE),"")</f>
        <v/>
      </c>
      <c r="V35" s="639"/>
      <c r="W35" s="637" t="str">
        <f>IF(Y35="","",法术数据!AJ79)</f>
        <v/>
      </c>
      <c r="X35" s="638" t="str">
        <f>IFERROR(VLOOKUP(Y35,法术数据!B:P,15,FALSE),"")</f>
        <v/>
      </c>
      <c r="Y35" s="639"/>
      <c r="Z35" s="637" t="str">
        <f>IF(AB35="","",法术数据!AJ29)</f>
        <v/>
      </c>
      <c r="AA35" s="638" t="str">
        <f>IFERROR(VLOOKUP(AB35,法术数据!B:P,15,FALSE),"")</f>
        <v/>
      </c>
      <c r="AB35" s="639"/>
      <c r="AC35" s="640" t="str">
        <f>IF(AE35="","",法术数据!AV79)</f>
        <v/>
      </c>
      <c r="AD35" s="641" t="str">
        <f>IFERROR(VLOOKUP(AE35,法术数据!B:P,15,FALSE),"")</f>
        <v/>
      </c>
      <c r="AE35" s="642"/>
      <c r="AF35" s="637" t="str">
        <f>IF(AH35="","",法术数据!AJ29)</f>
        <v/>
      </c>
      <c r="AG35" s="638" t="str">
        <f>IFERROR(VLOOKUP(AH35,法术数据!B:P,15,FALSE),"")</f>
        <v/>
      </c>
      <c r="AH35" s="639"/>
      <c r="AI35" s="640" t="str">
        <f>IF(AK35="","",法术数据!AT79)</f>
        <v/>
      </c>
      <c r="AJ35" s="641" t="str">
        <f>IFERROR(VLOOKUP(AK35,法术数据!B:P,15,FALSE),"")</f>
        <v/>
      </c>
      <c r="AK35" s="642"/>
    </row>
    <row r="36" ht="17.55" customHeight="1" spans="2:37">
      <c r="B36" s="603"/>
      <c r="C36" s="659"/>
      <c r="D36" s="660"/>
      <c r="E36" s="660"/>
      <c r="F36" s="660"/>
      <c r="G36" s="660"/>
      <c r="H36" s="660"/>
      <c r="I36" s="660"/>
      <c r="J36" s="660"/>
      <c r="K36" s="660"/>
      <c r="L36" s="660"/>
      <c r="M36" s="660"/>
      <c r="N36" s="660"/>
      <c r="O36" s="660"/>
      <c r="P36" s="660"/>
      <c r="Q36" s="660"/>
      <c r="R36" s="661"/>
      <c r="S36" s="604"/>
      <c r="T36" s="628" t="str">
        <f>IF(V36="","",法术数据!AJ30)</f>
        <v/>
      </c>
      <c r="U36" s="629" t="str">
        <f>IFERROR(VLOOKUP(V36,法术数据!B:P,15,FALSE),"")</f>
        <v/>
      </c>
      <c r="V36" s="630"/>
      <c r="W36" s="628" t="str">
        <f>IF(Y36="","",法术数据!AJ80)</f>
        <v/>
      </c>
      <c r="X36" s="629" t="str">
        <f>IFERROR(VLOOKUP(Y36,法术数据!B:P,15,FALSE),"")</f>
        <v/>
      </c>
      <c r="Y36" s="630"/>
      <c r="Z36" s="628" t="str">
        <f>IF(AB36="","",法术数据!AJ30)</f>
        <v/>
      </c>
      <c r="AA36" s="629" t="str">
        <f>IFERROR(VLOOKUP(AB36,法术数据!B:P,15,FALSE),"")</f>
        <v/>
      </c>
      <c r="AB36" s="630"/>
      <c r="AC36" s="631" t="str">
        <f>IF(AE36="","",法术数据!AJ80)</f>
        <v/>
      </c>
      <c r="AD36" s="632" t="str">
        <f>IFERROR(VLOOKUP(AE36,法术数据!B:P,15,FALSE),"")</f>
        <v/>
      </c>
      <c r="AE36" s="633"/>
      <c r="AF36" s="628" t="str">
        <f>IF(AH36="","",法术数据!AJ30)</f>
        <v/>
      </c>
      <c r="AG36" s="629" t="str">
        <f>IFERROR(VLOOKUP(AH36,法术数据!B:P,15,FALSE),"")</f>
        <v/>
      </c>
      <c r="AH36" s="630"/>
      <c r="AI36" s="631" t="str">
        <f>IF(AK36="","",法术数据!AJ80)</f>
        <v/>
      </c>
      <c r="AJ36" s="632" t="str">
        <f>IFERROR(VLOOKUP(AK36,法术数据!B:P,15,FALSE),"")</f>
        <v/>
      </c>
      <c r="AK36" s="633"/>
    </row>
    <row r="37" ht="17.55" customHeight="1" spans="2:37">
      <c r="B37" s="603"/>
      <c r="C37" s="659"/>
      <c r="D37" s="660"/>
      <c r="E37" s="660"/>
      <c r="F37" s="660"/>
      <c r="G37" s="660"/>
      <c r="H37" s="660"/>
      <c r="I37" s="660"/>
      <c r="J37" s="660"/>
      <c r="K37" s="660"/>
      <c r="L37" s="660"/>
      <c r="M37" s="660"/>
      <c r="N37" s="660"/>
      <c r="O37" s="660"/>
      <c r="P37" s="660"/>
      <c r="Q37" s="660"/>
      <c r="R37" s="661"/>
      <c r="S37" s="604"/>
      <c r="T37" s="637" t="str">
        <f>IF(V37="","",法术数据!AJ31)</f>
        <v/>
      </c>
      <c r="U37" s="638" t="str">
        <f>IFERROR(VLOOKUP(V37,法术数据!B:P,15,FALSE),"")</f>
        <v/>
      </c>
      <c r="V37" s="639"/>
      <c r="W37" s="637" t="str">
        <f>IF(Y37="","",法术数据!AJ81)</f>
        <v/>
      </c>
      <c r="X37" s="638" t="str">
        <f>IFERROR(VLOOKUP(Y37,法术数据!B:P,15,FALSE),"")</f>
        <v/>
      </c>
      <c r="Y37" s="639"/>
      <c r="Z37" s="637" t="str">
        <f>IF(AB37="","",法术数据!AJ31)</f>
        <v/>
      </c>
      <c r="AA37" s="638" t="str">
        <f>IFERROR(VLOOKUP(AB37,法术数据!B:P,15,FALSE),"")</f>
        <v/>
      </c>
      <c r="AB37" s="639"/>
      <c r="AC37" s="640" t="str">
        <f>IF(AE37="","",法术数据!AV81)</f>
        <v/>
      </c>
      <c r="AD37" s="641" t="str">
        <f>IFERROR(VLOOKUP(AE37,法术数据!B:P,15,FALSE),"")</f>
        <v/>
      </c>
      <c r="AE37" s="642"/>
      <c r="AF37" s="637" t="str">
        <f>IF(AH37="","",法术数据!AJ31)</f>
        <v/>
      </c>
      <c r="AG37" s="638" t="str">
        <f>IFERROR(VLOOKUP(AH37,法术数据!B:P,15,FALSE),"")</f>
        <v/>
      </c>
      <c r="AH37" s="639"/>
      <c r="AI37" s="640" t="str">
        <f>IF(AK37="","",法术数据!AT81)</f>
        <v/>
      </c>
      <c r="AJ37" s="641" t="str">
        <f>IFERROR(VLOOKUP(AK37,法术数据!B:P,15,FALSE),"")</f>
        <v/>
      </c>
      <c r="AK37" s="642"/>
    </row>
    <row r="38" ht="17.55" customHeight="1" spans="2:37">
      <c r="B38" s="603"/>
      <c r="C38" s="659"/>
      <c r="D38" s="660"/>
      <c r="E38" s="660"/>
      <c r="F38" s="660"/>
      <c r="G38" s="660"/>
      <c r="H38" s="660"/>
      <c r="I38" s="660"/>
      <c r="J38" s="660"/>
      <c r="K38" s="660"/>
      <c r="L38" s="660"/>
      <c r="M38" s="660"/>
      <c r="N38" s="660"/>
      <c r="O38" s="660"/>
      <c r="P38" s="660"/>
      <c r="Q38" s="660"/>
      <c r="R38" s="661"/>
      <c r="S38" s="604"/>
      <c r="T38" s="628" t="str">
        <f>IF(V38="","",法术数据!AJ32)</f>
        <v/>
      </c>
      <c r="U38" s="629" t="str">
        <f>IFERROR(VLOOKUP(V38,法术数据!B:P,15,FALSE),"")</f>
        <v/>
      </c>
      <c r="V38" s="630"/>
      <c r="W38" s="628" t="str">
        <f>IF(Y38="","",法术数据!AJ82)</f>
        <v/>
      </c>
      <c r="X38" s="629" t="str">
        <f>IFERROR(VLOOKUP(Y38,法术数据!B:P,15,FALSE),"")</f>
        <v/>
      </c>
      <c r="Y38" s="630"/>
      <c r="Z38" s="628" t="str">
        <f>IF(AB38="","",法术数据!AJ32)</f>
        <v/>
      </c>
      <c r="AA38" s="629" t="str">
        <f>IFERROR(VLOOKUP(AB38,法术数据!B:P,15,FALSE),"")</f>
        <v/>
      </c>
      <c r="AB38" s="630"/>
      <c r="AC38" s="631" t="str">
        <f>IF(AE38="","",法术数据!AJ82)</f>
        <v/>
      </c>
      <c r="AD38" s="632" t="str">
        <f>IFERROR(VLOOKUP(AE38,法术数据!B:P,15,FALSE),"")</f>
        <v/>
      </c>
      <c r="AE38" s="633"/>
      <c r="AF38" s="628" t="str">
        <f>IF(AH38="","",法术数据!AJ32)</f>
        <v/>
      </c>
      <c r="AG38" s="629" t="str">
        <f>IFERROR(VLOOKUP(AH38,法术数据!B:P,15,FALSE),"")</f>
        <v/>
      </c>
      <c r="AH38" s="630"/>
      <c r="AI38" s="631" t="str">
        <f>IF(AK38="","",法术数据!AJ82)</f>
        <v/>
      </c>
      <c r="AJ38" s="632" t="str">
        <f>IFERROR(VLOOKUP(AK38,法术数据!B:P,15,FALSE),"")</f>
        <v/>
      </c>
      <c r="AK38" s="633"/>
    </row>
    <row r="39" ht="17.55" customHeight="1" spans="2:37">
      <c r="B39" s="603"/>
      <c r="C39" s="659"/>
      <c r="D39" s="660"/>
      <c r="E39" s="660"/>
      <c r="F39" s="660"/>
      <c r="G39" s="660"/>
      <c r="H39" s="660"/>
      <c r="I39" s="660"/>
      <c r="J39" s="660"/>
      <c r="K39" s="660"/>
      <c r="L39" s="660"/>
      <c r="M39" s="660"/>
      <c r="N39" s="660"/>
      <c r="O39" s="660"/>
      <c r="P39" s="660"/>
      <c r="Q39" s="660"/>
      <c r="R39" s="661"/>
      <c r="S39" s="604"/>
      <c r="T39" s="637" t="str">
        <f>IF(V39="","",法术数据!AJ33)</f>
        <v/>
      </c>
      <c r="U39" s="638" t="str">
        <f>IFERROR(VLOOKUP(V39,法术数据!B:P,15,FALSE),"")</f>
        <v/>
      </c>
      <c r="V39" s="639"/>
      <c r="W39" s="637" t="str">
        <f>IF(Y39="","",法术数据!AJ83)</f>
        <v/>
      </c>
      <c r="X39" s="638" t="str">
        <f>IFERROR(VLOOKUP(Y39,法术数据!B:P,15,FALSE),"")</f>
        <v/>
      </c>
      <c r="Y39" s="639"/>
      <c r="Z39" s="637" t="str">
        <f>IF(AB39="","",法术数据!AJ33)</f>
        <v/>
      </c>
      <c r="AA39" s="638" t="str">
        <f>IFERROR(VLOOKUP(AB39,法术数据!B:P,15,FALSE),"")</f>
        <v/>
      </c>
      <c r="AB39" s="639"/>
      <c r="AC39" s="640" t="str">
        <f>IF(AE39="","",法术数据!AV83)</f>
        <v/>
      </c>
      <c r="AD39" s="641" t="str">
        <f>IFERROR(VLOOKUP(AE39,法术数据!B:P,15,FALSE),"")</f>
        <v/>
      </c>
      <c r="AE39" s="642"/>
      <c r="AF39" s="637" t="str">
        <f>IF(AH39="","",法术数据!AJ33)</f>
        <v/>
      </c>
      <c r="AG39" s="638" t="str">
        <f>IFERROR(VLOOKUP(AH39,法术数据!B:P,15,FALSE),"")</f>
        <v/>
      </c>
      <c r="AH39" s="639"/>
      <c r="AI39" s="640" t="str">
        <f>IF(AK39="","",法术数据!AT83)</f>
        <v/>
      </c>
      <c r="AJ39" s="641" t="str">
        <f>IFERROR(VLOOKUP(AK39,法术数据!B:P,15,FALSE),"")</f>
        <v/>
      </c>
      <c r="AK39" s="642"/>
    </row>
    <row r="40" ht="17.55" customHeight="1" spans="2:37">
      <c r="B40" s="603"/>
      <c r="C40" s="659"/>
      <c r="D40" s="660"/>
      <c r="E40" s="660"/>
      <c r="F40" s="660"/>
      <c r="G40" s="660"/>
      <c r="H40" s="660"/>
      <c r="I40" s="660"/>
      <c r="J40" s="660"/>
      <c r="K40" s="660"/>
      <c r="L40" s="660"/>
      <c r="M40" s="660"/>
      <c r="N40" s="660"/>
      <c r="O40" s="660"/>
      <c r="P40" s="660"/>
      <c r="Q40" s="660"/>
      <c r="R40" s="661"/>
      <c r="S40" s="604"/>
      <c r="T40" s="628" t="str">
        <f>IF(V40="","",法术数据!AJ34)</f>
        <v/>
      </c>
      <c r="U40" s="629" t="str">
        <f>IFERROR(VLOOKUP(V40,法术数据!B:P,15,FALSE),"")</f>
        <v/>
      </c>
      <c r="V40" s="630"/>
      <c r="W40" s="628" t="str">
        <f>IF(Y40="","",法术数据!AJ84)</f>
        <v/>
      </c>
      <c r="X40" s="629" t="str">
        <f>IFERROR(VLOOKUP(Y40,法术数据!B:P,15,FALSE),"")</f>
        <v/>
      </c>
      <c r="Y40" s="630"/>
      <c r="Z40" s="628" t="str">
        <f>IF(AB40="","",法术数据!AJ34)</f>
        <v/>
      </c>
      <c r="AA40" s="629" t="str">
        <f>IFERROR(VLOOKUP(AB40,法术数据!B:P,15,FALSE),"")</f>
        <v/>
      </c>
      <c r="AB40" s="630"/>
      <c r="AC40" s="631" t="str">
        <f>IF(AE40="","",法术数据!AJ84)</f>
        <v/>
      </c>
      <c r="AD40" s="632" t="str">
        <f>IFERROR(VLOOKUP(AE40,法术数据!B:P,15,FALSE),"")</f>
        <v/>
      </c>
      <c r="AE40" s="633"/>
      <c r="AF40" s="628" t="str">
        <f>IF(AH40="","",法术数据!AJ34)</f>
        <v/>
      </c>
      <c r="AG40" s="629" t="str">
        <f>IFERROR(VLOOKUP(AH40,法术数据!B:P,15,FALSE),"")</f>
        <v/>
      </c>
      <c r="AH40" s="630"/>
      <c r="AI40" s="631" t="str">
        <f>IF(AK40="","",法术数据!AJ84)</f>
        <v/>
      </c>
      <c r="AJ40" s="632" t="str">
        <f>IFERROR(VLOOKUP(AK40,法术数据!B:P,15,FALSE),"")</f>
        <v/>
      </c>
      <c r="AK40" s="633"/>
    </row>
    <row r="41" ht="17.55" customHeight="1" spans="2:37">
      <c r="B41" s="603"/>
      <c r="C41" s="659"/>
      <c r="D41" s="660"/>
      <c r="E41" s="660"/>
      <c r="F41" s="660"/>
      <c r="G41" s="660"/>
      <c r="H41" s="660"/>
      <c r="I41" s="660"/>
      <c r="J41" s="660"/>
      <c r="K41" s="660"/>
      <c r="L41" s="660"/>
      <c r="M41" s="660"/>
      <c r="N41" s="660"/>
      <c r="O41" s="660"/>
      <c r="P41" s="660"/>
      <c r="Q41" s="660"/>
      <c r="R41" s="661"/>
      <c r="S41" s="604"/>
      <c r="T41" s="637" t="str">
        <f>IF(V41="","",法术数据!AJ35)</f>
        <v/>
      </c>
      <c r="U41" s="638" t="str">
        <f>IFERROR(VLOOKUP(V41,法术数据!B:P,15,FALSE),"")</f>
        <v/>
      </c>
      <c r="V41" s="639"/>
      <c r="W41" s="637" t="str">
        <f>IF(Y41="","",法术数据!AJ85)</f>
        <v/>
      </c>
      <c r="X41" s="638" t="str">
        <f>IFERROR(VLOOKUP(Y41,法术数据!B:P,15,FALSE),"")</f>
        <v/>
      </c>
      <c r="Y41" s="639"/>
      <c r="Z41" s="637" t="str">
        <f>IF(AB41="","",法术数据!AJ35)</f>
        <v/>
      </c>
      <c r="AA41" s="638" t="str">
        <f>IFERROR(VLOOKUP(AB41,法术数据!B:P,15,FALSE),"")</f>
        <v/>
      </c>
      <c r="AB41" s="639"/>
      <c r="AC41" s="640" t="str">
        <f>IF(AE41="","",法术数据!AV85)</f>
        <v/>
      </c>
      <c r="AD41" s="641" t="str">
        <f>IFERROR(VLOOKUP(AE41,法术数据!B:P,15,FALSE),"")</f>
        <v/>
      </c>
      <c r="AE41" s="642"/>
      <c r="AF41" s="637" t="str">
        <f>IF(AH41="","",法术数据!AJ35)</f>
        <v/>
      </c>
      <c r="AG41" s="638" t="str">
        <f>IFERROR(VLOOKUP(AH41,法术数据!B:P,15,FALSE),"")</f>
        <v/>
      </c>
      <c r="AH41" s="639"/>
      <c r="AI41" s="640" t="str">
        <f>IF(AK41="","",法术数据!AT85)</f>
        <v/>
      </c>
      <c r="AJ41" s="641" t="str">
        <f>IFERROR(VLOOKUP(AK41,法术数据!B:P,15,FALSE),"")</f>
        <v/>
      </c>
      <c r="AK41" s="642"/>
    </row>
    <row r="42" ht="17.55" customHeight="1" spans="2:37">
      <c r="B42" s="603"/>
      <c r="C42" s="659"/>
      <c r="D42" s="660"/>
      <c r="E42" s="660"/>
      <c r="F42" s="660"/>
      <c r="G42" s="660"/>
      <c r="H42" s="660"/>
      <c r="I42" s="660"/>
      <c r="J42" s="660"/>
      <c r="K42" s="660"/>
      <c r="L42" s="660"/>
      <c r="M42" s="660"/>
      <c r="N42" s="660"/>
      <c r="O42" s="660"/>
      <c r="P42" s="660"/>
      <c r="Q42" s="660"/>
      <c r="R42" s="661"/>
      <c r="S42" s="604"/>
      <c r="T42" s="628" t="str">
        <f>IF(V42="","",法术数据!AJ36)</f>
        <v/>
      </c>
      <c r="U42" s="629" t="str">
        <f>IFERROR(VLOOKUP(V42,法术数据!B:P,15,FALSE),"")</f>
        <v/>
      </c>
      <c r="V42" s="630"/>
      <c r="W42" s="628" t="str">
        <f>IF(Y42="","",法术数据!AJ86)</f>
        <v/>
      </c>
      <c r="X42" s="629" t="str">
        <f>IFERROR(VLOOKUP(Y42,法术数据!B:P,15,FALSE),"")</f>
        <v/>
      </c>
      <c r="Y42" s="630"/>
      <c r="Z42" s="628" t="str">
        <f>IF(AB42="","",法术数据!AJ36)</f>
        <v/>
      </c>
      <c r="AA42" s="629" t="str">
        <f>IFERROR(VLOOKUP(AB42,法术数据!B:P,15,FALSE),"")</f>
        <v/>
      </c>
      <c r="AB42" s="630"/>
      <c r="AC42" s="631" t="str">
        <f>IF(AE42="","",法术数据!AJ86)</f>
        <v/>
      </c>
      <c r="AD42" s="632" t="str">
        <f>IFERROR(VLOOKUP(AE42,法术数据!B:P,15,FALSE),"")</f>
        <v/>
      </c>
      <c r="AE42" s="633"/>
      <c r="AF42" s="628" t="str">
        <f>IF(AH42="","",法术数据!AJ36)</f>
        <v/>
      </c>
      <c r="AG42" s="629" t="str">
        <f>IFERROR(VLOOKUP(AH42,法术数据!B:P,15,FALSE),"")</f>
        <v/>
      </c>
      <c r="AH42" s="630"/>
      <c r="AI42" s="631" t="str">
        <f>IF(AK42="","",法术数据!AJ86)</f>
        <v/>
      </c>
      <c r="AJ42" s="632" t="str">
        <f>IFERROR(VLOOKUP(AK42,法术数据!B:P,15,FALSE),"")</f>
        <v/>
      </c>
      <c r="AK42" s="633"/>
    </row>
    <row r="43" ht="17.55" customHeight="1" spans="2:37">
      <c r="B43" s="603"/>
      <c r="C43" s="659"/>
      <c r="D43" s="660"/>
      <c r="E43" s="660"/>
      <c r="F43" s="660"/>
      <c r="G43" s="660"/>
      <c r="H43" s="660"/>
      <c r="I43" s="660"/>
      <c r="J43" s="660"/>
      <c r="K43" s="660"/>
      <c r="L43" s="660"/>
      <c r="M43" s="660"/>
      <c r="N43" s="660"/>
      <c r="O43" s="660"/>
      <c r="P43" s="660"/>
      <c r="Q43" s="660"/>
      <c r="R43" s="661"/>
      <c r="S43" s="604"/>
      <c r="T43" s="637" t="str">
        <f>IF(V43="","",法术数据!AJ37)</f>
        <v/>
      </c>
      <c r="U43" s="638" t="str">
        <f>IFERROR(VLOOKUP(V43,法术数据!B:P,15,FALSE),"")</f>
        <v/>
      </c>
      <c r="V43" s="639"/>
      <c r="W43" s="637" t="str">
        <f>IF(Y43="","",法术数据!AJ87)</f>
        <v/>
      </c>
      <c r="X43" s="638" t="str">
        <f>IFERROR(VLOOKUP(Y43,法术数据!B:P,15,FALSE),"")</f>
        <v/>
      </c>
      <c r="Y43" s="639"/>
      <c r="Z43" s="637" t="str">
        <f>IF(AB43="","",法术数据!AJ37)</f>
        <v/>
      </c>
      <c r="AA43" s="638" t="str">
        <f>IFERROR(VLOOKUP(AB43,法术数据!B:P,15,FALSE),"")</f>
        <v/>
      </c>
      <c r="AB43" s="639"/>
      <c r="AC43" s="640" t="str">
        <f>IF(AE43="","",法术数据!AV87)</f>
        <v/>
      </c>
      <c r="AD43" s="641" t="str">
        <f>IFERROR(VLOOKUP(AE43,法术数据!B:P,15,FALSE),"")</f>
        <v/>
      </c>
      <c r="AE43" s="642"/>
      <c r="AF43" s="637" t="str">
        <f>IF(AH43="","",法术数据!AJ37)</f>
        <v/>
      </c>
      <c r="AG43" s="638" t="str">
        <f>IFERROR(VLOOKUP(AH43,法术数据!B:P,15,FALSE),"")</f>
        <v/>
      </c>
      <c r="AH43" s="639"/>
      <c r="AI43" s="640" t="str">
        <f>IF(AK43="","",法术数据!AT87)</f>
        <v/>
      </c>
      <c r="AJ43" s="641" t="str">
        <f>IFERROR(VLOOKUP(AK43,法术数据!B:P,15,FALSE),"")</f>
        <v/>
      </c>
      <c r="AK43" s="642"/>
    </row>
    <row r="44" ht="17.55" customHeight="1" spans="2:37">
      <c r="B44" s="603"/>
      <c r="C44" s="659"/>
      <c r="D44" s="660"/>
      <c r="E44" s="660"/>
      <c r="F44" s="660"/>
      <c r="G44" s="660"/>
      <c r="H44" s="660"/>
      <c r="I44" s="660"/>
      <c r="J44" s="660"/>
      <c r="K44" s="660"/>
      <c r="L44" s="660"/>
      <c r="M44" s="660"/>
      <c r="N44" s="660"/>
      <c r="O44" s="660"/>
      <c r="P44" s="660"/>
      <c r="Q44" s="660"/>
      <c r="R44" s="661"/>
      <c r="S44" s="604"/>
      <c r="T44" s="628" t="str">
        <f>IF(V44="","",法术数据!AJ38)</f>
        <v/>
      </c>
      <c r="U44" s="629" t="str">
        <f>IFERROR(VLOOKUP(V44,法术数据!B:P,15,FALSE),"")</f>
        <v/>
      </c>
      <c r="V44" s="630"/>
      <c r="W44" s="628" t="str">
        <f>IF(Y44="","",法术数据!AJ88)</f>
        <v/>
      </c>
      <c r="X44" s="629" t="str">
        <f>IFERROR(VLOOKUP(Y44,法术数据!B:P,15,FALSE),"")</f>
        <v/>
      </c>
      <c r="Y44" s="630"/>
      <c r="Z44" s="628" t="str">
        <f>IF(AB44="","",法术数据!AJ38)</f>
        <v/>
      </c>
      <c r="AA44" s="629" t="str">
        <f>IFERROR(VLOOKUP(AB44,法术数据!B:P,15,FALSE),"")</f>
        <v/>
      </c>
      <c r="AB44" s="630"/>
      <c r="AC44" s="631" t="str">
        <f>IF(AE44="","",法术数据!AJ88)</f>
        <v/>
      </c>
      <c r="AD44" s="632" t="str">
        <f>IFERROR(VLOOKUP(AE44,法术数据!B:P,15,FALSE),"")</f>
        <v/>
      </c>
      <c r="AE44" s="633"/>
      <c r="AF44" s="628" t="str">
        <f>IF(AH44="","",法术数据!AJ38)</f>
        <v/>
      </c>
      <c r="AG44" s="629" t="str">
        <f>IFERROR(VLOOKUP(AH44,法术数据!B:P,15,FALSE),"")</f>
        <v/>
      </c>
      <c r="AH44" s="630"/>
      <c r="AI44" s="631" t="str">
        <f>IF(AK44="","",法术数据!AJ88)</f>
        <v/>
      </c>
      <c r="AJ44" s="632" t="str">
        <f>IFERROR(VLOOKUP(AK44,法术数据!B:P,15,FALSE),"")</f>
        <v/>
      </c>
      <c r="AK44" s="633"/>
    </row>
    <row r="45" ht="17.55" customHeight="1" spans="2:37">
      <c r="B45" s="603"/>
      <c r="C45" s="659"/>
      <c r="D45" s="660"/>
      <c r="E45" s="660"/>
      <c r="F45" s="660"/>
      <c r="G45" s="660"/>
      <c r="H45" s="660"/>
      <c r="I45" s="660"/>
      <c r="J45" s="660"/>
      <c r="K45" s="660"/>
      <c r="L45" s="660"/>
      <c r="M45" s="660"/>
      <c r="N45" s="660"/>
      <c r="O45" s="660"/>
      <c r="P45" s="660"/>
      <c r="Q45" s="660"/>
      <c r="R45" s="661"/>
      <c r="S45" s="604"/>
      <c r="T45" s="637" t="str">
        <f>IF(V45="","",法术数据!AJ39)</f>
        <v/>
      </c>
      <c r="U45" s="638" t="str">
        <f>IFERROR(VLOOKUP(V45,法术数据!B:P,15,FALSE),"")</f>
        <v/>
      </c>
      <c r="V45" s="639"/>
      <c r="W45" s="637" t="str">
        <f>IF(Y45="","",法术数据!AJ89)</f>
        <v/>
      </c>
      <c r="X45" s="638" t="str">
        <f>IFERROR(VLOOKUP(Y45,法术数据!B:P,15,FALSE),"")</f>
        <v/>
      </c>
      <c r="Y45" s="639"/>
      <c r="Z45" s="637" t="str">
        <f>IF(AB45="","",法术数据!AJ39)</f>
        <v/>
      </c>
      <c r="AA45" s="638" t="str">
        <f>IFERROR(VLOOKUP(AB45,法术数据!B:P,15,FALSE),"")</f>
        <v/>
      </c>
      <c r="AB45" s="639"/>
      <c r="AC45" s="640" t="str">
        <f>IF(AE45="","",法术数据!AV89)</f>
        <v/>
      </c>
      <c r="AD45" s="641" t="str">
        <f>IFERROR(VLOOKUP(AE45,法术数据!B:P,15,FALSE),"")</f>
        <v/>
      </c>
      <c r="AE45" s="642"/>
      <c r="AF45" s="637" t="str">
        <f>IF(AH45="","",法术数据!AJ39)</f>
        <v/>
      </c>
      <c r="AG45" s="638" t="str">
        <f>IFERROR(VLOOKUP(AH45,法术数据!B:P,15,FALSE),"")</f>
        <v/>
      </c>
      <c r="AH45" s="639"/>
      <c r="AI45" s="640" t="str">
        <f>IF(AK45="","",法术数据!AT89)</f>
        <v/>
      </c>
      <c r="AJ45" s="641" t="str">
        <f>IFERROR(VLOOKUP(AK45,法术数据!B:P,15,FALSE),"")</f>
        <v/>
      </c>
      <c r="AK45" s="642"/>
    </row>
    <row r="46" ht="17.55" customHeight="1" spans="2:37">
      <c r="B46" s="603"/>
      <c r="C46" s="659"/>
      <c r="D46" s="660"/>
      <c r="E46" s="660"/>
      <c r="F46" s="660"/>
      <c r="G46" s="660"/>
      <c r="H46" s="660"/>
      <c r="I46" s="660"/>
      <c r="J46" s="660"/>
      <c r="K46" s="660"/>
      <c r="L46" s="660"/>
      <c r="M46" s="660"/>
      <c r="N46" s="660"/>
      <c r="O46" s="660"/>
      <c r="P46" s="660"/>
      <c r="Q46" s="660"/>
      <c r="R46" s="661"/>
      <c r="S46" s="604"/>
      <c r="T46" s="628" t="str">
        <f>IF(V46="","",法术数据!AJ40)</f>
        <v/>
      </c>
      <c r="U46" s="629" t="str">
        <f>IFERROR(VLOOKUP(V46,法术数据!B:P,15,FALSE),"")</f>
        <v/>
      </c>
      <c r="V46" s="630"/>
      <c r="W46" s="628" t="str">
        <f>IF(Y46="","",法术数据!AJ90)</f>
        <v/>
      </c>
      <c r="X46" s="629" t="str">
        <f>IFERROR(VLOOKUP(Y46,法术数据!B:P,15,FALSE),"")</f>
        <v/>
      </c>
      <c r="Y46" s="630"/>
      <c r="Z46" s="628" t="str">
        <f>IF(AB46="","",法术数据!AJ40)</f>
        <v/>
      </c>
      <c r="AA46" s="629" t="str">
        <f>IFERROR(VLOOKUP(AB46,法术数据!B:P,15,FALSE),"")</f>
        <v/>
      </c>
      <c r="AB46" s="630"/>
      <c r="AC46" s="631" t="str">
        <f>IF(AE46="","",法术数据!AJ90)</f>
        <v/>
      </c>
      <c r="AD46" s="632" t="str">
        <f>IFERROR(VLOOKUP(AE46,法术数据!B:P,15,FALSE),"")</f>
        <v/>
      </c>
      <c r="AE46" s="633"/>
      <c r="AF46" s="628" t="str">
        <f>IF(AH46="","",法术数据!AJ40)</f>
        <v/>
      </c>
      <c r="AG46" s="629" t="str">
        <f>IFERROR(VLOOKUP(AH46,法术数据!B:P,15,FALSE),"")</f>
        <v/>
      </c>
      <c r="AH46" s="630"/>
      <c r="AI46" s="631" t="str">
        <f>IF(AK46="","",法术数据!AJ90)</f>
        <v/>
      </c>
      <c r="AJ46" s="632" t="str">
        <f>IFERROR(VLOOKUP(AK46,法术数据!B:P,15,FALSE),"")</f>
        <v/>
      </c>
      <c r="AK46" s="633"/>
    </row>
    <row r="47" ht="17.55" customHeight="1" spans="2:37">
      <c r="B47" s="603"/>
      <c r="C47" s="659"/>
      <c r="D47" s="660"/>
      <c r="E47" s="660"/>
      <c r="F47" s="660"/>
      <c r="G47" s="660"/>
      <c r="H47" s="660"/>
      <c r="I47" s="660"/>
      <c r="J47" s="660"/>
      <c r="K47" s="660"/>
      <c r="L47" s="660"/>
      <c r="M47" s="660"/>
      <c r="N47" s="660"/>
      <c r="O47" s="660"/>
      <c r="P47" s="660"/>
      <c r="Q47" s="660"/>
      <c r="R47" s="661"/>
      <c r="S47" s="604"/>
      <c r="T47" s="637" t="str">
        <f>IF(V47="","",法术数据!AJ41)</f>
        <v/>
      </c>
      <c r="U47" s="638" t="str">
        <f>IFERROR(VLOOKUP(V47,法术数据!B:P,15,FALSE),"")</f>
        <v/>
      </c>
      <c r="V47" s="639"/>
      <c r="W47" s="637" t="str">
        <f>IF(Y47="","",法术数据!AJ91)</f>
        <v/>
      </c>
      <c r="X47" s="638" t="str">
        <f>IFERROR(VLOOKUP(Y47,法术数据!B:P,15,FALSE),"")</f>
        <v/>
      </c>
      <c r="Y47" s="639"/>
      <c r="Z47" s="637" t="str">
        <f>IF(AB47="","",法术数据!AJ41)</f>
        <v/>
      </c>
      <c r="AA47" s="638" t="str">
        <f>IFERROR(VLOOKUP(AB47,法术数据!B:P,15,FALSE),"")</f>
        <v/>
      </c>
      <c r="AB47" s="639"/>
      <c r="AC47" s="640" t="str">
        <f>IF(AE47="","",法术数据!AV91)</f>
        <v/>
      </c>
      <c r="AD47" s="641" t="str">
        <f>IFERROR(VLOOKUP(AE47,法术数据!B:P,15,FALSE),"")</f>
        <v/>
      </c>
      <c r="AE47" s="642"/>
      <c r="AF47" s="637" t="str">
        <f>IF(AH47="","",法术数据!AJ41)</f>
        <v/>
      </c>
      <c r="AG47" s="638" t="str">
        <f>IFERROR(VLOOKUP(AH47,法术数据!B:P,15,FALSE),"")</f>
        <v/>
      </c>
      <c r="AH47" s="639"/>
      <c r="AI47" s="640" t="str">
        <f>IF(AK47="","",法术数据!AT91)</f>
        <v/>
      </c>
      <c r="AJ47" s="641" t="str">
        <f>IFERROR(VLOOKUP(AK47,法术数据!B:P,15,FALSE),"")</f>
        <v/>
      </c>
      <c r="AK47" s="642"/>
    </row>
    <row r="48" ht="17.55" customHeight="1" spans="2:37">
      <c r="B48" s="603"/>
      <c r="C48" s="659"/>
      <c r="D48" s="660"/>
      <c r="E48" s="660"/>
      <c r="F48" s="660"/>
      <c r="G48" s="660"/>
      <c r="H48" s="660"/>
      <c r="I48" s="660"/>
      <c r="J48" s="660"/>
      <c r="K48" s="660"/>
      <c r="L48" s="660"/>
      <c r="M48" s="660"/>
      <c r="N48" s="660"/>
      <c r="O48" s="660"/>
      <c r="P48" s="660"/>
      <c r="Q48" s="660"/>
      <c r="R48" s="661"/>
      <c r="S48" s="604"/>
      <c r="T48" s="628" t="str">
        <f>IF(V48="","",法术数据!AJ42)</f>
        <v/>
      </c>
      <c r="U48" s="629" t="str">
        <f>IFERROR(VLOOKUP(V48,法术数据!B:P,15,FALSE),"")</f>
        <v/>
      </c>
      <c r="V48" s="630"/>
      <c r="W48" s="628" t="str">
        <f>IF(Y48="","",法术数据!AJ92)</f>
        <v/>
      </c>
      <c r="X48" s="629" t="str">
        <f>IFERROR(VLOOKUP(Y48,法术数据!B:P,15,FALSE),"")</f>
        <v/>
      </c>
      <c r="Y48" s="630"/>
      <c r="Z48" s="628" t="str">
        <f>IF(AB48="","",法术数据!AJ42)</f>
        <v/>
      </c>
      <c r="AA48" s="629" t="str">
        <f>IFERROR(VLOOKUP(AB48,法术数据!B:P,15,FALSE),"")</f>
        <v/>
      </c>
      <c r="AB48" s="630"/>
      <c r="AC48" s="631" t="str">
        <f>IF(AE48="","",法术数据!AJ92)</f>
        <v/>
      </c>
      <c r="AD48" s="632" t="str">
        <f>IFERROR(VLOOKUP(AE48,法术数据!B:P,15,FALSE),"")</f>
        <v/>
      </c>
      <c r="AE48" s="633"/>
      <c r="AF48" s="628" t="str">
        <f>IF(AH48="","",法术数据!AJ42)</f>
        <v/>
      </c>
      <c r="AG48" s="629" t="str">
        <f>IFERROR(VLOOKUP(AH48,法术数据!B:P,15,FALSE),"")</f>
        <v/>
      </c>
      <c r="AH48" s="630"/>
      <c r="AI48" s="631" t="str">
        <f>IF(AK48="","",法术数据!AJ92)</f>
        <v/>
      </c>
      <c r="AJ48" s="632" t="str">
        <f>IFERROR(VLOOKUP(AK48,法术数据!B:P,15,FALSE),"")</f>
        <v/>
      </c>
      <c r="AK48" s="633"/>
    </row>
    <row r="49" ht="17.55" customHeight="1" spans="2:37">
      <c r="B49" s="603"/>
      <c r="C49" s="659"/>
      <c r="D49" s="660"/>
      <c r="E49" s="660"/>
      <c r="F49" s="660"/>
      <c r="G49" s="660"/>
      <c r="H49" s="660"/>
      <c r="I49" s="660"/>
      <c r="J49" s="660"/>
      <c r="K49" s="660"/>
      <c r="L49" s="660"/>
      <c r="M49" s="660"/>
      <c r="N49" s="660"/>
      <c r="O49" s="660"/>
      <c r="P49" s="660"/>
      <c r="Q49" s="660"/>
      <c r="R49" s="661"/>
      <c r="S49" s="604"/>
      <c r="T49" s="637" t="str">
        <f>IF(V49="","",法术数据!AJ43)</f>
        <v/>
      </c>
      <c r="U49" s="638" t="str">
        <f>IFERROR(VLOOKUP(V49,法术数据!B:P,15,FALSE),"")</f>
        <v/>
      </c>
      <c r="V49" s="639"/>
      <c r="W49" s="637" t="str">
        <f>IF(Y49="","",法术数据!AJ93)</f>
        <v/>
      </c>
      <c r="X49" s="638" t="str">
        <f>IFERROR(VLOOKUP(Y49,法术数据!B:P,15,FALSE),"")</f>
        <v/>
      </c>
      <c r="Y49" s="639"/>
      <c r="Z49" s="637" t="str">
        <f>IF(AB49="","",法术数据!AJ43)</f>
        <v/>
      </c>
      <c r="AA49" s="638" t="str">
        <f>IFERROR(VLOOKUP(AB49,法术数据!B:P,15,FALSE),"")</f>
        <v/>
      </c>
      <c r="AB49" s="639"/>
      <c r="AC49" s="640" t="str">
        <f>IF(AE49="","",法术数据!AV93)</f>
        <v/>
      </c>
      <c r="AD49" s="641" t="str">
        <f>IFERROR(VLOOKUP(AE49,法术数据!B:P,15,FALSE),"")</f>
        <v/>
      </c>
      <c r="AE49" s="642"/>
      <c r="AF49" s="637" t="str">
        <f>IF(AH49="","",法术数据!AJ43)</f>
        <v/>
      </c>
      <c r="AG49" s="638" t="str">
        <f>IFERROR(VLOOKUP(AH49,法术数据!B:P,15,FALSE),"")</f>
        <v/>
      </c>
      <c r="AH49" s="639"/>
      <c r="AI49" s="640" t="str">
        <f>IF(AK49="","",法术数据!AT93)</f>
        <v/>
      </c>
      <c r="AJ49" s="641" t="str">
        <f>IFERROR(VLOOKUP(AK49,法术数据!B:P,15,FALSE),"")</f>
        <v/>
      </c>
      <c r="AK49" s="642"/>
    </row>
    <row r="50" ht="17.55" customHeight="1" spans="2:37">
      <c r="B50" s="603"/>
      <c r="C50" s="659"/>
      <c r="D50" s="660"/>
      <c r="E50" s="660"/>
      <c r="F50" s="660"/>
      <c r="G50" s="660"/>
      <c r="H50" s="660"/>
      <c r="I50" s="660"/>
      <c r="J50" s="660"/>
      <c r="K50" s="660"/>
      <c r="L50" s="660"/>
      <c r="M50" s="660"/>
      <c r="N50" s="660"/>
      <c r="O50" s="660"/>
      <c r="P50" s="660"/>
      <c r="Q50" s="660"/>
      <c r="R50" s="661"/>
      <c r="S50" s="604"/>
      <c r="T50" s="628" t="str">
        <f>IF(V50="","",法术数据!AJ44)</f>
        <v/>
      </c>
      <c r="U50" s="629" t="str">
        <f>IFERROR(VLOOKUP(V50,法术数据!B:P,15,FALSE),"")</f>
        <v/>
      </c>
      <c r="V50" s="630"/>
      <c r="W50" s="628" t="str">
        <f>IF(Y50="","",法术数据!AJ94)</f>
        <v/>
      </c>
      <c r="X50" s="629" t="str">
        <f>IFERROR(VLOOKUP(Y50,法术数据!B:P,15,FALSE),"")</f>
        <v/>
      </c>
      <c r="Y50" s="630"/>
      <c r="Z50" s="628" t="str">
        <f>IF(AB50="","",法术数据!AJ44)</f>
        <v/>
      </c>
      <c r="AA50" s="629" t="str">
        <f>IFERROR(VLOOKUP(AB50,法术数据!B:P,15,FALSE),"")</f>
        <v/>
      </c>
      <c r="AB50" s="630"/>
      <c r="AC50" s="631" t="str">
        <f>IF(AE50="","",法术数据!AJ94)</f>
        <v/>
      </c>
      <c r="AD50" s="632" t="str">
        <f>IFERROR(VLOOKUP(AE50,法术数据!B:P,15,FALSE),"")</f>
        <v/>
      </c>
      <c r="AE50" s="633"/>
      <c r="AF50" s="628" t="str">
        <f>IF(AH50="","",法术数据!AJ44)</f>
        <v/>
      </c>
      <c r="AG50" s="629" t="str">
        <f>IFERROR(VLOOKUP(AH50,法术数据!B:P,15,FALSE),"")</f>
        <v/>
      </c>
      <c r="AH50" s="630"/>
      <c r="AI50" s="631" t="str">
        <f>IF(AK50="","",法术数据!AJ94)</f>
        <v/>
      </c>
      <c r="AJ50" s="632" t="str">
        <f>IFERROR(VLOOKUP(AK50,法术数据!B:P,15,FALSE),"")</f>
        <v/>
      </c>
      <c r="AK50" s="633"/>
    </row>
    <row r="51" ht="17.55" customHeight="1" spans="2:37">
      <c r="B51" s="603"/>
      <c r="C51" s="659"/>
      <c r="D51" s="660"/>
      <c r="E51" s="660"/>
      <c r="F51" s="660"/>
      <c r="G51" s="660"/>
      <c r="H51" s="660"/>
      <c r="I51" s="660"/>
      <c r="J51" s="660"/>
      <c r="K51" s="660"/>
      <c r="L51" s="660"/>
      <c r="M51" s="660"/>
      <c r="N51" s="660"/>
      <c r="O51" s="660"/>
      <c r="P51" s="660"/>
      <c r="Q51" s="660"/>
      <c r="R51" s="661"/>
      <c r="S51" s="604"/>
      <c r="T51" s="637" t="str">
        <f>IF(V51="","",法术数据!AJ45)</f>
        <v/>
      </c>
      <c r="U51" s="638" t="str">
        <f>IFERROR(VLOOKUP(V51,法术数据!B:P,15,FALSE),"")</f>
        <v/>
      </c>
      <c r="V51" s="639"/>
      <c r="W51" s="637" t="str">
        <f>IF(Y51="","",法术数据!AJ95)</f>
        <v/>
      </c>
      <c r="X51" s="638" t="str">
        <f>IFERROR(VLOOKUP(Y51,法术数据!B:P,15,FALSE),"")</f>
        <v/>
      </c>
      <c r="Y51" s="639"/>
      <c r="Z51" s="637" t="str">
        <f>IF(AB51="","",法术数据!AJ45)</f>
        <v/>
      </c>
      <c r="AA51" s="638" t="str">
        <f>IFERROR(VLOOKUP(AB51,法术数据!B:P,15,FALSE),"")</f>
        <v/>
      </c>
      <c r="AB51" s="639"/>
      <c r="AC51" s="640" t="str">
        <f>IF(AE51="","",法术数据!AV95)</f>
        <v/>
      </c>
      <c r="AD51" s="641" t="str">
        <f>IFERROR(VLOOKUP(AE51,法术数据!B:P,15,FALSE),"")</f>
        <v/>
      </c>
      <c r="AE51" s="642"/>
      <c r="AF51" s="637" t="str">
        <f>IF(AH51="","",法术数据!AJ45)</f>
        <v/>
      </c>
      <c r="AG51" s="638" t="str">
        <f>IFERROR(VLOOKUP(AH51,法术数据!B:P,15,FALSE),"")</f>
        <v/>
      </c>
      <c r="AH51" s="639"/>
      <c r="AI51" s="640" t="str">
        <f>IF(AK51="","",法术数据!AT95)</f>
        <v/>
      </c>
      <c r="AJ51" s="641" t="str">
        <f>IFERROR(VLOOKUP(AK51,法术数据!B:P,15,FALSE),"")</f>
        <v/>
      </c>
      <c r="AK51" s="642"/>
    </row>
    <row r="52" ht="17.55" customHeight="1" spans="2:37">
      <c r="B52" s="603"/>
      <c r="C52" s="659"/>
      <c r="D52" s="660"/>
      <c r="E52" s="660"/>
      <c r="F52" s="660"/>
      <c r="G52" s="660"/>
      <c r="H52" s="660"/>
      <c r="I52" s="660"/>
      <c r="J52" s="660"/>
      <c r="K52" s="660"/>
      <c r="L52" s="660"/>
      <c r="M52" s="660"/>
      <c r="N52" s="660"/>
      <c r="O52" s="660"/>
      <c r="P52" s="660"/>
      <c r="Q52" s="660"/>
      <c r="R52" s="661"/>
      <c r="S52" s="604"/>
      <c r="T52" s="628" t="str">
        <f>IF(V52="","",法术数据!AJ46)</f>
        <v/>
      </c>
      <c r="U52" s="629" t="str">
        <f>IFERROR(VLOOKUP(V52,法术数据!B:P,15,FALSE),"")</f>
        <v/>
      </c>
      <c r="V52" s="630"/>
      <c r="W52" s="628" t="str">
        <f>IF(Y52="","",法术数据!AJ96)</f>
        <v/>
      </c>
      <c r="X52" s="629" t="str">
        <f>IFERROR(VLOOKUP(Y52,法术数据!B:P,15,FALSE),"")</f>
        <v/>
      </c>
      <c r="Y52" s="630"/>
      <c r="Z52" s="628" t="str">
        <f>IF(AB52="","",法术数据!AJ46)</f>
        <v/>
      </c>
      <c r="AA52" s="629" t="str">
        <f>IFERROR(VLOOKUP(AB52,法术数据!B:P,15,FALSE),"")</f>
        <v/>
      </c>
      <c r="AB52" s="630"/>
      <c r="AC52" s="631" t="str">
        <f>IF(AE52="","",法术数据!AJ96)</f>
        <v/>
      </c>
      <c r="AD52" s="632" t="str">
        <f>IFERROR(VLOOKUP(AE52,法术数据!B:P,15,FALSE),"")</f>
        <v/>
      </c>
      <c r="AE52" s="633"/>
      <c r="AF52" s="628" t="str">
        <f>IF(AH52="","",法术数据!AJ46)</f>
        <v/>
      </c>
      <c r="AG52" s="629" t="str">
        <f>IFERROR(VLOOKUP(AH52,法术数据!B:P,15,FALSE),"")</f>
        <v/>
      </c>
      <c r="AH52" s="630"/>
      <c r="AI52" s="631" t="str">
        <f>IF(AK52="","",法术数据!AJ96)</f>
        <v/>
      </c>
      <c r="AJ52" s="632" t="str">
        <f>IFERROR(VLOOKUP(AK52,法术数据!B:P,15,FALSE),"")</f>
        <v/>
      </c>
      <c r="AK52" s="633"/>
    </row>
    <row r="53" ht="17.55" customHeight="1" spans="2:37">
      <c r="B53" s="603"/>
      <c r="C53" s="659"/>
      <c r="D53" s="660"/>
      <c r="E53" s="660"/>
      <c r="F53" s="660"/>
      <c r="G53" s="660"/>
      <c r="H53" s="660"/>
      <c r="I53" s="660"/>
      <c r="J53" s="660"/>
      <c r="K53" s="660"/>
      <c r="L53" s="660"/>
      <c r="M53" s="660"/>
      <c r="N53" s="660"/>
      <c r="O53" s="660"/>
      <c r="P53" s="660"/>
      <c r="Q53" s="660"/>
      <c r="R53" s="661"/>
      <c r="S53" s="604"/>
      <c r="T53" s="637" t="str">
        <f>IF(V53="","",法术数据!AJ47)</f>
        <v/>
      </c>
      <c r="U53" s="638" t="str">
        <f>IFERROR(VLOOKUP(V53,法术数据!B:P,15,FALSE),"")</f>
        <v/>
      </c>
      <c r="V53" s="639"/>
      <c r="W53" s="637" t="str">
        <f>IF(Y53="","",法术数据!AJ97)</f>
        <v/>
      </c>
      <c r="X53" s="638" t="str">
        <f>IFERROR(VLOOKUP(Y53,法术数据!B:P,15,FALSE),"")</f>
        <v/>
      </c>
      <c r="Y53" s="639"/>
      <c r="Z53" s="637" t="str">
        <f>IF(AB53="","",法术数据!AJ47)</f>
        <v/>
      </c>
      <c r="AA53" s="638" t="str">
        <f>IFERROR(VLOOKUP(AB53,法术数据!B:P,15,FALSE),"")</f>
        <v/>
      </c>
      <c r="AB53" s="639"/>
      <c r="AC53" s="640" t="str">
        <f>IF(AE53="","",法术数据!AV97)</f>
        <v/>
      </c>
      <c r="AD53" s="641" t="str">
        <f>IFERROR(VLOOKUP(AE53,法术数据!B:P,15,FALSE),"")</f>
        <v/>
      </c>
      <c r="AE53" s="642"/>
      <c r="AF53" s="637" t="str">
        <f>IF(AH53="","",法术数据!AJ47)</f>
        <v/>
      </c>
      <c r="AG53" s="638" t="str">
        <f>IFERROR(VLOOKUP(AH53,法术数据!B:P,15,FALSE),"")</f>
        <v/>
      </c>
      <c r="AH53" s="639"/>
      <c r="AI53" s="640" t="str">
        <f>IF(AK53="","",法术数据!AT97)</f>
        <v/>
      </c>
      <c r="AJ53" s="641" t="str">
        <f>IFERROR(VLOOKUP(AK53,法术数据!B:P,15,FALSE),"")</f>
        <v/>
      </c>
      <c r="AK53" s="642"/>
    </row>
    <row r="54" ht="17.55" customHeight="1" spans="2:37">
      <c r="B54" s="603"/>
      <c r="C54" s="659"/>
      <c r="D54" s="660"/>
      <c r="E54" s="660"/>
      <c r="F54" s="660"/>
      <c r="G54" s="660"/>
      <c r="H54" s="660"/>
      <c r="I54" s="660"/>
      <c r="J54" s="660"/>
      <c r="K54" s="660"/>
      <c r="L54" s="660"/>
      <c r="M54" s="660"/>
      <c r="N54" s="660"/>
      <c r="O54" s="660"/>
      <c r="P54" s="660"/>
      <c r="Q54" s="660"/>
      <c r="R54" s="661"/>
      <c r="S54" s="604"/>
      <c r="T54" s="628" t="str">
        <f>IF(V54="","",法术数据!AJ48)</f>
        <v/>
      </c>
      <c r="U54" s="629" t="str">
        <f>IFERROR(VLOOKUP(V54,法术数据!B:P,15,FALSE),"")</f>
        <v/>
      </c>
      <c r="V54" s="630"/>
      <c r="W54" s="628" t="str">
        <f>IF(Y54="","",法术数据!AJ98)</f>
        <v/>
      </c>
      <c r="X54" s="629" t="str">
        <f>IFERROR(VLOOKUP(Y54,法术数据!B:P,15,FALSE),"")</f>
        <v/>
      </c>
      <c r="Y54" s="630"/>
      <c r="Z54" s="628" t="str">
        <f>IF(AB54="","",法术数据!AJ48)</f>
        <v/>
      </c>
      <c r="AA54" s="629" t="str">
        <f>IFERROR(VLOOKUP(AB54,法术数据!B:P,15,FALSE),"")</f>
        <v/>
      </c>
      <c r="AB54" s="630"/>
      <c r="AC54" s="631" t="str">
        <f>IF(AE54="","",法术数据!AJ98)</f>
        <v/>
      </c>
      <c r="AD54" s="632" t="str">
        <f>IFERROR(VLOOKUP(AE54,法术数据!B:P,15,FALSE),"")</f>
        <v/>
      </c>
      <c r="AE54" s="633"/>
      <c r="AF54" s="628" t="str">
        <f>IF(AH54="","",法术数据!AJ48)</f>
        <v/>
      </c>
      <c r="AG54" s="629" t="str">
        <f>IFERROR(VLOOKUP(AH54,法术数据!B:P,15,FALSE),"")</f>
        <v/>
      </c>
      <c r="AH54" s="630"/>
      <c r="AI54" s="631" t="str">
        <f>IF(AK54="","",法术数据!AJ98)</f>
        <v/>
      </c>
      <c r="AJ54" s="632" t="str">
        <f>IFERROR(VLOOKUP(AK54,法术数据!B:P,15,FALSE),"")</f>
        <v/>
      </c>
      <c r="AK54" s="633"/>
    </row>
    <row r="55" ht="17.55" customHeight="1" spans="2:37">
      <c r="B55" s="603"/>
      <c r="C55" s="659"/>
      <c r="D55" s="660"/>
      <c r="E55" s="660"/>
      <c r="F55" s="660"/>
      <c r="G55" s="660"/>
      <c r="H55" s="660"/>
      <c r="I55" s="660"/>
      <c r="J55" s="660"/>
      <c r="K55" s="660"/>
      <c r="L55" s="660"/>
      <c r="M55" s="660"/>
      <c r="N55" s="660"/>
      <c r="O55" s="660"/>
      <c r="P55" s="660"/>
      <c r="Q55" s="660"/>
      <c r="R55" s="661"/>
      <c r="S55" s="604"/>
      <c r="T55" s="637" t="str">
        <f>IF(V55="","",法术数据!AJ49)</f>
        <v/>
      </c>
      <c r="U55" s="638" t="str">
        <f>IFERROR(VLOOKUP(V55,法术数据!B:P,15,FALSE),"")</f>
        <v/>
      </c>
      <c r="V55" s="639"/>
      <c r="W55" s="637" t="str">
        <f>IF(Y55="","",法术数据!AJ99)</f>
        <v/>
      </c>
      <c r="X55" s="638" t="str">
        <f>IFERROR(VLOOKUP(Y55,法术数据!B:P,15,FALSE),"")</f>
        <v/>
      </c>
      <c r="Y55" s="639"/>
      <c r="Z55" s="637" t="str">
        <f>IF(AB55="","",法术数据!AJ49)</f>
        <v/>
      </c>
      <c r="AA55" s="638" t="str">
        <f>IFERROR(VLOOKUP(AB55,法术数据!B:P,15,FALSE),"")</f>
        <v/>
      </c>
      <c r="AB55" s="639"/>
      <c r="AC55" s="640" t="str">
        <f>IF(AE55="","",法术数据!AV99)</f>
        <v/>
      </c>
      <c r="AD55" s="641" t="str">
        <f>IFERROR(VLOOKUP(AE55,法术数据!B:P,15,FALSE),"")</f>
        <v/>
      </c>
      <c r="AE55" s="642"/>
      <c r="AF55" s="637" t="str">
        <f>IF(AH55="","",法术数据!AJ49)</f>
        <v/>
      </c>
      <c r="AG55" s="638" t="str">
        <f>IFERROR(VLOOKUP(AH55,法术数据!B:P,15,FALSE),"")</f>
        <v/>
      </c>
      <c r="AH55" s="639"/>
      <c r="AI55" s="640" t="str">
        <f>IF(AK55="","",法术数据!AT99)</f>
        <v/>
      </c>
      <c r="AJ55" s="641" t="str">
        <f>IFERROR(VLOOKUP(AK55,法术数据!B:P,15,FALSE),"")</f>
        <v/>
      </c>
      <c r="AK55" s="642"/>
    </row>
    <row r="56" ht="17.55" customHeight="1" spans="2:37">
      <c r="B56" s="662"/>
      <c r="C56" s="663"/>
      <c r="D56" s="664"/>
      <c r="E56" s="664"/>
      <c r="F56" s="664"/>
      <c r="G56" s="664"/>
      <c r="H56" s="664"/>
      <c r="I56" s="664"/>
      <c r="J56" s="664"/>
      <c r="K56" s="664"/>
      <c r="L56" s="664"/>
      <c r="M56" s="664"/>
      <c r="N56" s="664"/>
      <c r="O56" s="664"/>
      <c r="P56" s="664"/>
      <c r="Q56" s="664"/>
      <c r="R56" s="665"/>
      <c r="S56" s="666"/>
      <c r="T56" s="628" t="str">
        <f>IF(V56="","",法术数据!AJ50)</f>
        <v/>
      </c>
      <c r="U56" s="629" t="str">
        <f>IFERROR(VLOOKUP(V56,法术数据!B:P,15,FALSE),"")</f>
        <v/>
      </c>
      <c r="V56" s="630"/>
      <c r="W56" s="628" t="str">
        <f>IF(Y56="","",法术数据!AJ100)</f>
        <v/>
      </c>
      <c r="X56" s="629" t="str">
        <f>IFERROR(VLOOKUP(Y56,法术数据!B:P,15,FALSE),"")</f>
        <v/>
      </c>
      <c r="Y56" s="630"/>
      <c r="Z56" s="628" t="str">
        <f>IF(AB56="","",法术数据!AJ50)</f>
        <v/>
      </c>
      <c r="AA56" s="629" t="str">
        <f>IFERROR(VLOOKUP(AB56,法术数据!B:P,15,FALSE),"")</f>
        <v/>
      </c>
      <c r="AB56" s="630"/>
      <c r="AC56" s="631" t="str">
        <f>IF(AE56="","",法术数据!AJ100)</f>
        <v/>
      </c>
      <c r="AD56" s="632" t="str">
        <f>IFERROR(VLOOKUP(AE56,法术数据!B:P,15,FALSE),"")</f>
        <v/>
      </c>
      <c r="AE56" s="633"/>
      <c r="AF56" s="628" t="str">
        <f>IF(AH56="","",法术数据!AJ50)</f>
        <v/>
      </c>
      <c r="AG56" s="629" t="str">
        <f>IFERROR(VLOOKUP(AH56,法术数据!B:P,15,FALSE),"")</f>
        <v/>
      </c>
      <c r="AH56" s="630"/>
      <c r="AI56" s="631" t="str">
        <f>IF(AK56="","",法术数据!AJ100)</f>
        <v/>
      </c>
      <c r="AJ56" s="632" t="str">
        <f>IFERROR(VLOOKUP(AK56,法术数据!B:P,15,FALSE),"")</f>
        <v/>
      </c>
      <c r="AK56" s="633"/>
    </row>
    <row r="57" ht="17.55" customHeight="1" spans="2:37">
      <c r="B57" s="667"/>
      <c r="C57" s="668"/>
      <c r="D57" s="668"/>
      <c r="E57" s="668"/>
      <c r="F57" s="668"/>
      <c r="G57" s="668"/>
      <c r="H57" s="668"/>
      <c r="I57" s="668"/>
      <c r="J57" s="668"/>
      <c r="K57" s="668"/>
      <c r="L57" s="668"/>
      <c r="M57" s="668"/>
      <c r="N57" s="668"/>
      <c r="O57" s="668"/>
      <c r="P57" s="668"/>
      <c r="Q57" s="668"/>
      <c r="R57" s="668"/>
      <c r="S57" s="669"/>
      <c r="T57" s="637" t="str">
        <f>IF(V57="","",法术数据!AJ51)</f>
        <v/>
      </c>
      <c r="U57" s="638" t="str">
        <f>IFERROR(VLOOKUP(V57,法术数据!B:P,15,FALSE),"")</f>
        <v/>
      </c>
      <c r="V57" s="639"/>
      <c r="W57" s="637" t="str">
        <f>IF(Y57="","",法术数据!AJ101)</f>
        <v/>
      </c>
      <c r="X57" s="638" t="str">
        <f>IFERROR(VLOOKUP(Y57,法术数据!B:P,15,FALSE),"")</f>
        <v/>
      </c>
      <c r="Y57" s="639"/>
      <c r="Z57" s="637" t="str">
        <f>IF(AB57="","",法术数据!AJ51)</f>
        <v/>
      </c>
      <c r="AA57" s="638" t="str">
        <f>IFERROR(VLOOKUP(AB57,法术数据!B:P,15,FALSE),"")</f>
        <v/>
      </c>
      <c r="AB57" s="639"/>
      <c r="AC57" s="640" t="str">
        <f>IF(AE57="","",法术数据!AV101)</f>
        <v/>
      </c>
      <c r="AD57" s="641" t="str">
        <f>IFERROR(VLOOKUP(AE57,法术数据!B:P,15,FALSE),"")</f>
        <v/>
      </c>
      <c r="AE57" s="642"/>
      <c r="AF57" s="637" t="str">
        <f>IF(AH57="","",法术数据!AJ51)</f>
        <v/>
      </c>
      <c r="AG57" s="638" t="str">
        <f>IFERROR(VLOOKUP(AH57,法术数据!B:P,15,FALSE),"")</f>
        <v/>
      </c>
      <c r="AH57" s="639"/>
      <c r="AI57" s="640" t="str">
        <f>IF(AK57="","",法术数据!AT101)</f>
        <v/>
      </c>
      <c r="AJ57" s="641" t="str">
        <f>IFERROR(VLOOKUP(AK57,法术数据!B:P,15,FALSE),"")</f>
        <v/>
      </c>
      <c r="AK57" s="642"/>
    </row>
    <row r="58" ht="15.6" customHeight="1"/>
  </sheetData>
  <sheetProtection sheet="1" objects="1" scenarios="1"/>
  <mergeCells count="30">
    <mergeCell ref="B2:S2"/>
    <mergeCell ref="T4:U4"/>
    <mergeCell ref="W4:X4"/>
    <mergeCell ref="C7:R7"/>
    <mergeCell ref="T7:Y7"/>
    <mergeCell ref="Z7:AE7"/>
    <mergeCell ref="AF7:AK7"/>
    <mergeCell ref="C8:J8"/>
    <mergeCell ref="L8:N8"/>
    <mergeCell ref="O8:R8"/>
    <mergeCell ref="C21:R21"/>
    <mergeCell ref="C22:E22"/>
    <mergeCell ref="G22:R22"/>
    <mergeCell ref="B57:S57"/>
    <mergeCell ref="B3:B56"/>
    <mergeCell ref="S3:S56"/>
    <mergeCell ref="T5:T6"/>
    <mergeCell ref="V5:V6"/>
    <mergeCell ref="Y5:Y6"/>
    <mergeCell ref="W5:X6"/>
    <mergeCell ref="T2:Y3"/>
    <mergeCell ref="O19:R20"/>
    <mergeCell ref="C3:R6"/>
    <mergeCell ref="C23:R56"/>
    <mergeCell ref="C13:R18"/>
    <mergeCell ref="C19:N20"/>
    <mergeCell ref="O9:R10"/>
    <mergeCell ref="C9:N10"/>
    <mergeCell ref="C11:J12"/>
    <mergeCell ref="K11:R12"/>
  </mergeCells>
  <conditionalFormatting sqref="Z$1:AE$1048576">
    <cfRule type="expression" dxfId="22" priority="15">
      <formula>COUNTA($V$8:$V$57,$Y$8:$Y$57,$AB$8:$AB$57,$AE$8:$AE$57)=0</formula>
    </cfRule>
  </conditionalFormatting>
  <conditionalFormatting sqref="AF$1:AK$1048576">
    <cfRule type="expression" dxfId="22" priority="14">
      <formula>COUNTA($AB$8:$AB$57,$AE$8:$AE$57,$AH$8:$AH$57,$AK$8:$AK$57)=0</formula>
    </cfRule>
  </conditionalFormatting>
  <conditionalFormatting sqref="V8:V57 Y8:Y57">
    <cfRule type="duplicateValues" dxfId="0" priority="6"/>
    <cfRule type="expression" dxfId="23" priority="743">
      <formula>AND(T8=101-法术数据!$AV$10,$V$4="法术书1")</formula>
    </cfRule>
  </conditionalFormatting>
  <conditionalFormatting sqref="AE8:AE57 AB8:AB57">
    <cfRule type="duplicateValues" dxfId="0" priority="30"/>
  </conditionalFormatting>
  <conditionalFormatting sqref="AB8:AB57 AE8:AE57">
    <cfRule type="expression" dxfId="24" priority="739">
      <formula>AND(T8=101-法术数据!$AV$10,$V$4="法术书2")</formula>
    </cfRule>
  </conditionalFormatting>
  <conditionalFormatting sqref="AH8:AH57 AK8:AK57">
    <cfRule type="duplicateValues" dxfId="0" priority="27"/>
    <cfRule type="expression" dxfId="23" priority="741">
      <formula>AND(Z8=101-法术数据!$AV$10,$V$4="法术书3")</formula>
    </cfRule>
  </conditionalFormatting>
  <conditionalFormatting sqref="C9:N10">
    <cfRule type="expression" dxfId="25" priority="16">
      <formula>COUNTIF($C$9,"*仪式）")</formula>
    </cfRule>
  </conditionalFormatting>
  <dataValidations count="3">
    <dataValidation type="list" allowBlank="1" showInputMessage="1" showErrorMessage="1" sqref="V4">
      <formula1>OFFSET(法术数据!$AV$7,,,SUMPRODUCT(N(LEN(法术数据!$AV$7:$AV$9)&gt;0)),)</formula1>
    </dataValidation>
    <dataValidation type="list" allowBlank="1" showInputMessage="1" showErrorMessage="1" sqref="V8:V57 Y8:Y57 AB8:AB57 AE8:AE57 AH8:AH57 AK8:AK57">
      <formula1>OFFSET(法术数据!$AB$2,,,SUMPRODUCT(N(LEN(法术数据!$AB$2:$AB$518)&gt;0)),)</formula1>
    </dataValidation>
    <dataValidation type="list" allowBlank="1" sqref="Y5:Y6">
      <formula1>OFFSET(法术数据!$AM$2,,,SUMPRODUCT(N(LEN(法术数据!$AM$2:$AM$301)&gt;0)),)</formula1>
    </dataValidation>
  </dataValidations>
  <pageMargins left="0.75" right="0.75" top="1" bottom="1" header="0.5" footer="0.5"/>
  <headerFooter/>
  <drawing r:id="rId1"/>
  <legacyDrawing r:id="rId2"/>
  <mc:AlternateContent xmlns:mc="http://schemas.openxmlformats.org/markup-compatibility/2006">
    <mc:Choice Requires="x14">
      <controls>
        <mc:AlternateContent xmlns:mc="http://schemas.openxmlformats.org/markup-compatibility/2006">
          <mc:Choice Requires="x14">
            <control shapeId="5121" name="Spinner 1" r:id="rId3">
              <controlPr defaultSize="0">
                <anchor moveWithCells="1">
                  <from>
                    <xdr:col>19</xdr:col>
                    <xdr:colOff>15240</xdr:colOff>
                    <xdr:row>4</xdr:row>
                    <xdr:rowOff>15240</xdr:rowOff>
                  </from>
                  <to>
                    <xdr:col>20</xdr:col>
                    <xdr:colOff>7620</xdr:colOff>
                    <xdr:row>6</xdr:row>
                    <xdr:rowOff>7620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T26"/>
  <sheetViews>
    <sheetView workbookViewId="0">
      <selection activeCell="B23" sqref="B2:B23"/>
    </sheetView>
  </sheetViews>
  <sheetFormatPr defaultColWidth="9" defaultRowHeight="14.4" customHeight="1"/>
  <cols>
    <col min="1" max="1" width="8.89090909090909" style="587"/>
    <col min="2" max="16384" width="8.89090909090909" style="373"/>
  </cols>
  <sheetData>
    <row r="1" customHeight="1" spans="1:20">
      <c r="A1" s="263" t="s">
        <v>289</v>
      </c>
      <c r="B1" s="265"/>
      <c r="C1" s="264" t="s">
        <v>226</v>
      </c>
      <c r="D1" s="264"/>
      <c r="E1" s="366" t="s">
        <v>290</v>
      </c>
      <c r="F1" s="588" t="s">
        <v>291</v>
      </c>
      <c r="G1" s="373">
        <f>主要!Y3</f>
        <v>3</v>
      </c>
      <c r="H1" s="263" t="s">
        <v>68</v>
      </c>
      <c r="I1" s="589" t="b">
        <v>0</v>
      </c>
      <c r="J1" s="589" t="b">
        <v>0</v>
      </c>
      <c r="K1" s="589" t="b">
        <v>0</v>
      </c>
      <c r="L1" s="589" t="b">
        <v>0</v>
      </c>
      <c r="M1" s="589" t="b">
        <v>0</v>
      </c>
      <c r="N1" s="370" t="b">
        <v>0</v>
      </c>
      <c r="O1" s="263" t="s">
        <v>108</v>
      </c>
      <c r="P1" s="264"/>
      <c r="Q1" s="265"/>
      <c r="R1" s="368" t="s">
        <v>292</v>
      </c>
      <c r="S1" s="263" t="s">
        <v>293</v>
      </c>
      <c r="T1" s="265"/>
    </row>
    <row r="2" customHeight="1" spans="1:20">
      <c r="A2" s="307" t="s">
        <v>249</v>
      </c>
      <c r="B2" s="590" t="b">
        <v>1</v>
      </c>
      <c r="C2" s="373" t="s">
        <v>226</v>
      </c>
      <c r="D2" s="373" t="s">
        <v>27</v>
      </c>
      <c r="E2" s="412">
        <f>IF(种族数据!V4=种族数据!B2,1,0)+IF(种族数据!V4=种族数据!K5,2,0)+IF(COUNTIF(专长数据!E2:E7,专长数据!A41),2,0)</f>
        <v>0</v>
      </c>
      <c r="F2" s="373">
        <f>主要!R3</f>
        <v>900</v>
      </c>
      <c r="G2" s="373">
        <f>IFERROR(IF(G1=20,IF(G1=20,MOD((F2-D22),30000)/30000),(F2-VLOOKUP(G1,C3:D21,2,0))/((VLOOKUP(G1+1,C3:D21,2,0)-VLOOKUP(G1,C3:D21,2,0)))),0)</f>
        <v>0</v>
      </c>
      <c r="H2" s="222">
        <v>1</v>
      </c>
      <c r="I2" s="224" t="s">
        <v>294</v>
      </c>
      <c r="J2" s="224" t="s">
        <v>295</v>
      </c>
      <c r="K2" s="224" t="s">
        <v>296</v>
      </c>
      <c r="L2" s="224" t="s">
        <v>297</v>
      </c>
      <c r="M2" s="224" t="s">
        <v>298</v>
      </c>
      <c r="N2" s="223" t="s">
        <v>299</v>
      </c>
      <c r="O2" s="307" t="s">
        <v>120</v>
      </c>
      <c r="P2" s="373">
        <f>主要!I39</f>
        <v>-1</v>
      </c>
      <c r="Q2" s="590" t="b">
        <v>0</v>
      </c>
      <c r="R2" s="412" t="s">
        <v>300</v>
      </c>
      <c r="S2" s="307">
        <v>8</v>
      </c>
      <c r="T2" s="374">
        <v>0</v>
      </c>
    </row>
    <row r="3" customHeight="1" spans="1:20">
      <c r="A3" s="307" t="s">
        <v>250</v>
      </c>
      <c r="B3" s="590" t="b">
        <v>1</v>
      </c>
      <c r="C3" s="373">
        <v>1</v>
      </c>
      <c r="D3" s="373">
        <v>0</v>
      </c>
      <c r="E3" s="412">
        <f>IF(主要!AW4="",0,主要!AW4+主要!$R$16+E2)</f>
        <v>0</v>
      </c>
      <c r="F3" s="373">
        <v>0</v>
      </c>
      <c r="G3" s="373">
        <f t="shared" ref="G3:G21" si="0">D4-F3</f>
        <v>300</v>
      </c>
      <c r="H3" s="222">
        <v>2</v>
      </c>
      <c r="I3" s="224" t="s">
        <v>301</v>
      </c>
      <c r="J3" s="224" t="s">
        <v>302</v>
      </c>
      <c r="K3" s="224" t="s">
        <v>303</v>
      </c>
      <c r="L3" s="224" t="s">
        <v>304</v>
      </c>
      <c r="M3" s="224" t="s">
        <v>305</v>
      </c>
      <c r="N3" s="223" t="s">
        <v>306</v>
      </c>
      <c r="O3" s="307" t="s">
        <v>132</v>
      </c>
      <c r="P3" s="373">
        <f>主要!I41</f>
        <v>-1</v>
      </c>
      <c r="Q3" s="590" t="b">
        <v>0</v>
      </c>
      <c r="R3" s="412" t="s">
        <v>307</v>
      </c>
      <c r="S3" s="307">
        <v>9</v>
      </c>
      <c r="T3" s="374">
        <v>1</v>
      </c>
    </row>
    <row r="4" customHeight="1" spans="1:20">
      <c r="A4" s="307" t="s">
        <v>251</v>
      </c>
      <c r="B4" s="590" t="b">
        <v>1</v>
      </c>
      <c r="C4" s="373">
        <v>2</v>
      </c>
      <c r="D4" s="373">
        <v>300</v>
      </c>
      <c r="E4" s="412">
        <f>IF(主要!AY4="",0,MAX(主要!AY4+主要!$R$16,1)+E2)</f>
        <v>0</v>
      </c>
      <c r="F4" s="373">
        <f t="shared" ref="F4:F21" si="1">D4+1</f>
        <v>301</v>
      </c>
      <c r="G4" s="373">
        <f t="shared" si="0"/>
        <v>599</v>
      </c>
      <c r="H4" s="222">
        <v>3</v>
      </c>
      <c r="I4" s="224" t="s">
        <v>308</v>
      </c>
      <c r="J4" s="224" t="s">
        <v>309</v>
      </c>
      <c r="K4" s="224" t="s">
        <v>310</v>
      </c>
      <c r="L4" s="224" t="s">
        <v>311</v>
      </c>
      <c r="M4" s="224" t="s">
        <v>312</v>
      </c>
      <c r="N4" s="223" t="s">
        <v>313</v>
      </c>
      <c r="O4" s="307" t="s">
        <v>136</v>
      </c>
      <c r="P4" s="373">
        <f>主要!I42</f>
        <v>-1</v>
      </c>
      <c r="Q4" s="590" t="b">
        <v>0</v>
      </c>
      <c r="R4" s="412" t="s">
        <v>314</v>
      </c>
      <c r="S4" s="307">
        <v>10</v>
      </c>
      <c r="T4" s="374">
        <v>2</v>
      </c>
    </row>
    <row r="5" customHeight="1" spans="1:20">
      <c r="A5" s="307" t="s">
        <v>252</v>
      </c>
      <c r="B5" s="590" t="b">
        <v>1</v>
      </c>
      <c r="C5" s="373">
        <v>3</v>
      </c>
      <c r="D5" s="373">
        <v>900</v>
      </c>
      <c r="E5" s="412">
        <f>IF(主要!BA4="",0,MAX(主要!BA4+主要!$R$16,1)+E2)</f>
        <v>0</v>
      </c>
      <c r="F5" s="373">
        <f t="shared" si="1"/>
        <v>901</v>
      </c>
      <c r="G5" s="373">
        <f t="shared" si="0"/>
        <v>1799</v>
      </c>
      <c r="H5" s="222">
        <v>4</v>
      </c>
      <c r="I5" s="224" t="s">
        <v>315</v>
      </c>
      <c r="J5" s="224" t="s">
        <v>316</v>
      </c>
      <c r="K5" s="224" t="s">
        <v>317</v>
      </c>
      <c r="L5" s="224" t="s">
        <v>318</v>
      </c>
      <c r="M5" s="224" t="s">
        <v>319</v>
      </c>
      <c r="N5" s="223" t="s">
        <v>320</v>
      </c>
      <c r="O5" s="307" t="s">
        <v>138</v>
      </c>
      <c r="P5" s="373">
        <f>主要!I43</f>
        <v>-1</v>
      </c>
      <c r="Q5" s="590" t="b">
        <v>0</v>
      </c>
      <c r="R5" s="412" t="s">
        <v>321</v>
      </c>
      <c r="S5" s="307">
        <v>11</v>
      </c>
      <c r="T5" s="374">
        <v>3</v>
      </c>
    </row>
    <row r="6" customHeight="1" spans="1:20">
      <c r="A6" s="307" t="s">
        <v>253</v>
      </c>
      <c r="B6" s="590" t="b">
        <v>1</v>
      </c>
      <c r="C6" s="373">
        <v>4</v>
      </c>
      <c r="D6" s="373">
        <v>2700</v>
      </c>
      <c r="E6" s="412">
        <f>IF(主要!BC4="",0,MAX(主要!BC4+主要!$R$16,1)+E2)</f>
        <v>0</v>
      </c>
      <c r="F6" s="373">
        <f t="shared" si="1"/>
        <v>2701</v>
      </c>
      <c r="G6" s="373">
        <f t="shared" si="0"/>
        <v>3799</v>
      </c>
      <c r="H6" s="222">
        <v>5</v>
      </c>
      <c r="I6" s="224" t="s">
        <v>322</v>
      </c>
      <c r="J6" s="224" t="s">
        <v>323</v>
      </c>
      <c r="K6" s="224" t="s">
        <v>324</v>
      </c>
      <c r="L6" s="224" t="s">
        <v>325</v>
      </c>
      <c r="M6" s="224" t="s">
        <v>326</v>
      </c>
      <c r="N6" s="223" t="s">
        <v>327</v>
      </c>
      <c r="O6" s="307" t="s">
        <v>142</v>
      </c>
      <c r="P6" s="373">
        <f>主要!I45</f>
        <v>-1</v>
      </c>
      <c r="Q6" s="590" t="b">
        <v>0</v>
      </c>
      <c r="R6" s="412" t="s">
        <v>328</v>
      </c>
      <c r="S6" s="307">
        <v>12</v>
      </c>
      <c r="T6" s="374">
        <v>4</v>
      </c>
    </row>
    <row r="7" customHeight="1" spans="1:20">
      <c r="A7" s="307" t="s">
        <v>254</v>
      </c>
      <c r="B7" s="590" t="b">
        <v>1</v>
      </c>
      <c r="C7" s="373">
        <v>5</v>
      </c>
      <c r="D7" s="373">
        <v>6500</v>
      </c>
      <c r="E7" s="412">
        <f>IF(主要!BE4="",0,MAX(主要!BE4+主要!$R$16,1)+E2)</f>
        <v>0</v>
      </c>
      <c r="F7" s="373">
        <f t="shared" si="1"/>
        <v>6501</v>
      </c>
      <c r="G7" s="373">
        <f t="shared" si="0"/>
        <v>7499</v>
      </c>
      <c r="H7" s="222">
        <v>6</v>
      </c>
      <c r="I7" s="224" t="s">
        <v>329</v>
      </c>
      <c r="J7" s="224" t="s">
        <v>330</v>
      </c>
      <c r="K7" s="224" t="s">
        <v>331</v>
      </c>
      <c r="L7" s="224" t="s">
        <v>332</v>
      </c>
      <c r="M7" s="224" t="s">
        <v>333</v>
      </c>
      <c r="N7" s="223" t="s">
        <v>334</v>
      </c>
      <c r="O7" s="307" t="s">
        <v>144</v>
      </c>
      <c r="P7" s="373">
        <f>主要!I46</f>
        <v>-1</v>
      </c>
      <c r="Q7" s="590" t="b">
        <v>0</v>
      </c>
      <c r="R7" s="412" t="s">
        <v>335</v>
      </c>
      <c r="S7" s="307">
        <v>13</v>
      </c>
      <c r="T7" s="374">
        <v>5</v>
      </c>
    </row>
    <row r="8" customHeight="1" spans="1:20">
      <c r="A8" s="307" t="s">
        <v>255</v>
      </c>
      <c r="B8" s="590" t="b">
        <v>1</v>
      </c>
      <c r="C8" s="373">
        <v>6</v>
      </c>
      <c r="D8" s="373">
        <v>14000</v>
      </c>
      <c r="E8" s="412">
        <f>IF(主要!BG4="",0,MAX(主要!BG4+主要!$R$16,1)+E2)</f>
        <v>0</v>
      </c>
      <c r="F8" s="373">
        <f t="shared" si="1"/>
        <v>14001</v>
      </c>
      <c r="G8" s="373">
        <f t="shared" si="0"/>
        <v>8999</v>
      </c>
      <c r="H8" s="222">
        <v>7</v>
      </c>
      <c r="I8" s="224" t="s">
        <v>336</v>
      </c>
      <c r="J8" s="224" t="s">
        <v>337</v>
      </c>
      <c r="K8" s="224" t="s">
        <v>338</v>
      </c>
      <c r="L8" s="224" t="s">
        <v>339</v>
      </c>
      <c r="M8" s="224" t="s">
        <v>340</v>
      </c>
      <c r="N8" s="223" t="s">
        <v>341</v>
      </c>
      <c r="O8" s="307" t="s">
        <v>146</v>
      </c>
      <c r="P8" s="373">
        <f>主要!I47</f>
        <v>-1</v>
      </c>
      <c r="Q8" s="590" t="b">
        <v>0</v>
      </c>
      <c r="R8" s="412" t="s">
        <v>342</v>
      </c>
      <c r="S8" s="307">
        <v>14</v>
      </c>
      <c r="T8" s="374">
        <v>7</v>
      </c>
    </row>
    <row r="9" customHeight="1" spans="1:20">
      <c r="A9" s="307" t="s">
        <v>256</v>
      </c>
      <c r="B9" s="590" t="b">
        <v>1</v>
      </c>
      <c r="C9" s="373">
        <v>7</v>
      </c>
      <c r="D9" s="373">
        <v>23000</v>
      </c>
      <c r="E9" s="412">
        <f>IF(主要!BI4="",0,MAX(主要!BI4+主要!$R$16,1)+E2)</f>
        <v>0</v>
      </c>
      <c r="F9" s="373">
        <f t="shared" si="1"/>
        <v>23001</v>
      </c>
      <c r="G9" s="373">
        <f t="shared" si="0"/>
        <v>10999</v>
      </c>
      <c r="H9" s="222">
        <v>8</v>
      </c>
      <c r="I9" s="224" t="s">
        <v>343</v>
      </c>
      <c r="J9" s="224" t="s">
        <v>344</v>
      </c>
      <c r="K9" s="224" t="s">
        <v>345</v>
      </c>
      <c r="L9" s="373" t="s">
        <v>346</v>
      </c>
      <c r="M9" s="224" t="s">
        <v>347</v>
      </c>
      <c r="N9" s="223" t="s">
        <v>348</v>
      </c>
      <c r="O9" s="307" t="s">
        <v>151</v>
      </c>
      <c r="P9" s="373">
        <f>主要!I48</f>
        <v>-1</v>
      </c>
      <c r="Q9" s="590" t="b">
        <v>0</v>
      </c>
      <c r="R9" s="412" t="s">
        <v>349</v>
      </c>
      <c r="S9" s="384">
        <v>15</v>
      </c>
      <c r="T9" s="490">
        <v>9</v>
      </c>
    </row>
    <row r="10" customHeight="1" spans="1:20">
      <c r="A10" s="307" t="s">
        <v>257</v>
      </c>
      <c r="B10" s="590" t="b">
        <v>1</v>
      </c>
      <c r="C10" s="373">
        <v>8</v>
      </c>
      <c r="D10" s="373">
        <v>34000</v>
      </c>
      <c r="E10" s="412">
        <f>IF(主要!BK4="",0,MAX(主要!BK4+主要!$R$16,1)+E2)</f>
        <v>0</v>
      </c>
      <c r="F10" s="373">
        <f t="shared" si="1"/>
        <v>34001</v>
      </c>
      <c r="G10" s="373">
        <f t="shared" si="0"/>
        <v>13999</v>
      </c>
      <c r="H10" s="222">
        <v>9</v>
      </c>
      <c r="I10" s="224" t="s">
        <v>350</v>
      </c>
      <c r="J10" s="224" t="s">
        <v>350</v>
      </c>
      <c r="K10" s="224" t="s">
        <v>350</v>
      </c>
      <c r="L10" s="224" t="s">
        <v>351</v>
      </c>
      <c r="M10" s="224" t="s">
        <v>350</v>
      </c>
      <c r="N10" s="223" t="s">
        <v>350</v>
      </c>
      <c r="O10" s="307" t="s">
        <v>159</v>
      </c>
      <c r="P10" s="373">
        <f>主要!I49</f>
        <v>-1</v>
      </c>
      <c r="Q10" s="590" t="b">
        <v>0</v>
      </c>
      <c r="R10" s="412" t="s">
        <v>352</v>
      </c>
    </row>
    <row r="11" customHeight="1" spans="1:20">
      <c r="A11" s="307" t="s">
        <v>258</v>
      </c>
      <c r="B11" s="590" t="b">
        <v>1</v>
      </c>
      <c r="C11" s="373">
        <v>9</v>
      </c>
      <c r="D11" s="373">
        <v>48000</v>
      </c>
      <c r="E11" s="412">
        <f>IF(主要!BM4="",0,MAX(主要!BM4+主要!$R$16,1)+E2)</f>
        <v>0</v>
      </c>
      <c r="F11" s="373">
        <f t="shared" si="1"/>
        <v>48001</v>
      </c>
      <c r="G11" s="373">
        <f t="shared" si="0"/>
        <v>15999</v>
      </c>
      <c r="H11" s="222">
        <v>10</v>
      </c>
      <c r="I11" s="224" t="s">
        <v>353</v>
      </c>
      <c r="J11" s="224" t="s">
        <v>354</v>
      </c>
      <c r="K11" s="224" t="s">
        <v>355</v>
      </c>
      <c r="L11" s="224" t="s">
        <v>356</v>
      </c>
      <c r="M11" s="224" t="s">
        <v>357</v>
      </c>
      <c r="N11" s="223" t="s">
        <v>358</v>
      </c>
      <c r="O11" s="307" t="s">
        <v>170</v>
      </c>
      <c r="P11" s="373">
        <f>主要!I51</f>
        <v>-1</v>
      </c>
      <c r="Q11" s="590" t="b">
        <v>0</v>
      </c>
      <c r="R11" s="412" t="s">
        <v>359</v>
      </c>
    </row>
    <row r="12" customHeight="1" spans="1:20">
      <c r="A12" s="307" t="s">
        <v>259</v>
      </c>
      <c r="B12" s="590" t="b">
        <v>1</v>
      </c>
      <c r="C12" s="373">
        <v>10</v>
      </c>
      <c r="D12" s="373">
        <v>64000</v>
      </c>
      <c r="E12" s="412">
        <f>IF(主要!BO4="",0,MAX(主要!BO4+主要!$R$16,1)+E2)</f>
        <v>0</v>
      </c>
      <c r="F12" s="373">
        <f t="shared" si="1"/>
        <v>64001</v>
      </c>
      <c r="G12" s="373">
        <f t="shared" si="0"/>
        <v>20999</v>
      </c>
      <c r="H12" s="222">
        <v>11</v>
      </c>
      <c r="I12" s="224" t="s">
        <v>360</v>
      </c>
      <c r="J12" s="224" t="s">
        <v>361</v>
      </c>
      <c r="K12" s="224" t="s">
        <v>362</v>
      </c>
      <c r="L12" s="224" t="s">
        <v>363</v>
      </c>
      <c r="M12" s="224" t="s">
        <v>364</v>
      </c>
      <c r="N12" s="223" t="s">
        <v>365</v>
      </c>
      <c r="O12" s="307" t="s">
        <v>177</v>
      </c>
      <c r="P12" s="373">
        <f>主要!I52</f>
        <v>-1</v>
      </c>
      <c r="Q12" s="590" t="b">
        <v>0</v>
      </c>
      <c r="R12" s="412" t="s">
        <v>366</v>
      </c>
    </row>
    <row r="13" customHeight="1" spans="1:20">
      <c r="A13" s="307" t="s">
        <v>260</v>
      </c>
      <c r="B13" s="590" t="b">
        <v>1</v>
      </c>
      <c r="C13" s="373">
        <v>11</v>
      </c>
      <c r="D13" s="373">
        <v>85000</v>
      </c>
      <c r="E13" s="412">
        <f>IF(主要!AW7="",0,MAX(主要!AW7+主要!$R$16,1)+E2)</f>
        <v>0</v>
      </c>
      <c r="F13" s="373">
        <f t="shared" si="1"/>
        <v>85001</v>
      </c>
      <c r="G13" s="373">
        <f t="shared" si="0"/>
        <v>14999</v>
      </c>
      <c r="H13" s="222">
        <v>12</v>
      </c>
      <c r="I13" s="224" t="s">
        <v>367</v>
      </c>
      <c r="J13" s="224" t="s">
        <v>368</v>
      </c>
      <c r="K13" s="224" t="s">
        <v>369</v>
      </c>
      <c r="L13" s="224" t="s">
        <v>370</v>
      </c>
      <c r="M13" s="224" t="s">
        <v>371</v>
      </c>
      <c r="N13" s="223" t="s">
        <v>372</v>
      </c>
      <c r="O13" s="307" t="s">
        <v>179</v>
      </c>
      <c r="P13" s="373">
        <f>主要!I53</f>
        <v>-1</v>
      </c>
      <c r="Q13" s="590" t="b">
        <v>0</v>
      </c>
      <c r="R13" s="412" t="s">
        <v>373</v>
      </c>
    </row>
    <row r="14" customHeight="1" spans="1:20">
      <c r="A14" s="307" t="s">
        <v>261</v>
      </c>
      <c r="B14" s="590" t="b">
        <v>1</v>
      </c>
      <c r="C14" s="373">
        <v>12</v>
      </c>
      <c r="D14" s="373">
        <v>100000</v>
      </c>
      <c r="E14" s="412">
        <f>IF(主要!AY7="",0,MAX(主要!AY7+主要!$R$16,1)+E2)</f>
        <v>0</v>
      </c>
      <c r="F14" s="373">
        <f t="shared" si="1"/>
        <v>100001</v>
      </c>
      <c r="G14" s="373">
        <f t="shared" si="0"/>
        <v>19999</v>
      </c>
      <c r="H14" s="222">
        <v>13</v>
      </c>
      <c r="I14" s="224" t="s">
        <v>374</v>
      </c>
      <c r="J14" s="224" t="s">
        <v>375</v>
      </c>
      <c r="K14" s="224" t="s">
        <v>376</v>
      </c>
      <c r="L14" s="224" t="s">
        <v>377</v>
      </c>
      <c r="M14" s="224" t="s">
        <v>378</v>
      </c>
      <c r="N14" s="223" t="s">
        <v>379</v>
      </c>
      <c r="O14" s="307" t="s">
        <v>181</v>
      </c>
      <c r="P14" s="373">
        <f>主要!I54</f>
        <v>-1</v>
      </c>
      <c r="Q14" s="590" t="b">
        <v>0</v>
      </c>
      <c r="R14" s="412" t="s">
        <v>380</v>
      </c>
    </row>
    <row r="15" customHeight="1" spans="1:20">
      <c r="A15" s="307" t="s">
        <v>262</v>
      </c>
      <c r="B15" s="590" t="b">
        <v>1</v>
      </c>
      <c r="C15" s="373">
        <v>13</v>
      </c>
      <c r="D15" s="373">
        <v>120000</v>
      </c>
      <c r="E15" s="412">
        <f>IF(主要!BA7="",0,MAX(主要!BA7+主要!$R$16,1)+E2)</f>
        <v>0</v>
      </c>
      <c r="F15" s="373">
        <f t="shared" si="1"/>
        <v>120001</v>
      </c>
      <c r="G15" s="373">
        <f t="shared" si="0"/>
        <v>19999</v>
      </c>
      <c r="H15" s="222">
        <v>14</v>
      </c>
      <c r="I15" s="224" t="str">
        <f>I14</f>
        <v>一拳一个小朋友</v>
      </c>
      <c r="J15" s="224" t="str">
        <f t="shared" ref="J15:N15" si="2">J14</f>
        <v>很不错的反应能力，可以在旋转的硬币落下的一瞬间看出是哪面落地</v>
      </c>
      <c r="K15" s="224" t="str">
        <f t="shared" si="2"/>
        <v>一般的磕磕碰碰都不放在眼里</v>
      </c>
      <c r="L15" s="224" t="str">
        <f t="shared" si="2"/>
        <v>可以很轻松地取得别人要刻苦努力才能得到的成绩</v>
      </c>
      <c r="M15" s="224" t="str">
        <f t="shared" si="2"/>
        <v>可以推断出一些别人不知道的东西</v>
      </c>
      <c r="N15" s="223" t="str">
        <f t="shared" si="2"/>
        <v>人们更容易接受你的意见</v>
      </c>
      <c r="O15" s="307" t="s">
        <v>183</v>
      </c>
      <c r="P15" s="373">
        <f>主要!I55</f>
        <v>-1</v>
      </c>
      <c r="Q15" s="590" t="b">
        <v>0</v>
      </c>
      <c r="R15" s="441" t="s">
        <v>381</v>
      </c>
    </row>
    <row r="16" customHeight="1" spans="1:20">
      <c r="A16" s="307" t="s">
        <v>263</v>
      </c>
      <c r="B16" s="590" t="b">
        <v>1</v>
      </c>
      <c r="C16" s="373">
        <v>14</v>
      </c>
      <c r="D16" s="373">
        <v>140000</v>
      </c>
      <c r="E16" s="412">
        <f>IF(主要!BC7="",0,MAX(主要!BC7+主要!$R$16,1)+E2)</f>
        <v>0</v>
      </c>
      <c r="F16" s="373">
        <f t="shared" si="1"/>
        <v>140001</v>
      </c>
      <c r="G16" s="373">
        <f t="shared" si="0"/>
        <v>24999</v>
      </c>
      <c r="H16" s="222">
        <v>15</v>
      </c>
      <c r="I16" s="224" t="str">
        <f>I17</f>
        <v>超乎常人的力度</v>
      </c>
      <c r="J16" s="224" t="str">
        <f t="shared" ref="J16:N16" si="3">J17</f>
        <v>左右横跳</v>
      </c>
      <c r="K16" s="224" t="str">
        <f t="shared" si="3"/>
        <v>你从来就不知道什么叫生病</v>
      </c>
      <c r="L16" s="224" t="str">
        <f t="shared" si="3"/>
        <v>就是个天才</v>
      </c>
      <c r="M16" s="224" t="str">
        <f t="shared" si="3"/>
        <v>身边的一切风吹草动都逃不出您的敏锐的目光</v>
      </c>
      <c r="N16" s="223" t="str">
        <f t="shared" si="3"/>
        <v>您不经意间的一举一动都有可能吸引着其他人</v>
      </c>
      <c r="O16" s="307" t="s">
        <v>191</v>
      </c>
      <c r="P16" s="373">
        <f>主要!I57</f>
        <v>-1</v>
      </c>
      <c r="Q16" s="590" t="b">
        <v>0</v>
      </c>
    </row>
    <row r="17" customHeight="1" spans="1:17">
      <c r="A17" s="307" t="s">
        <v>264</v>
      </c>
      <c r="B17" s="590" t="b">
        <v>1</v>
      </c>
      <c r="C17" s="373">
        <v>15</v>
      </c>
      <c r="D17" s="373">
        <v>165000</v>
      </c>
      <c r="E17" s="412">
        <f>IF(主要!BE7="",0,MAX(主要!BE7+主要!$R$16,1)+E2)</f>
        <v>0</v>
      </c>
      <c r="F17" s="373">
        <f t="shared" si="1"/>
        <v>165001</v>
      </c>
      <c r="G17" s="373">
        <f t="shared" si="0"/>
        <v>29999</v>
      </c>
      <c r="H17" s="222">
        <v>16</v>
      </c>
      <c r="I17" s="224" t="s">
        <v>382</v>
      </c>
      <c r="J17" s="224" t="s">
        <v>383</v>
      </c>
      <c r="K17" s="224" t="s">
        <v>384</v>
      </c>
      <c r="L17" s="224" t="s">
        <v>385</v>
      </c>
      <c r="M17" s="224" t="s">
        <v>386</v>
      </c>
      <c r="N17" s="223" t="s">
        <v>387</v>
      </c>
      <c r="O17" s="307" t="s">
        <v>200</v>
      </c>
      <c r="P17" s="373">
        <f>主要!I58</f>
        <v>-1</v>
      </c>
      <c r="Q17" s="590" t="b">
        <v>0</v>
      </c>
    </row>
    <row r="18" customHeight="1" spans="1:17">
      <c r="A18" s="307" t="s">
        <v>265</v>
      </c>
      <c r="B18" s="590" t="b">
        <v>1</v>
      </c>
      <c r="C18" s="373">
        <v>16</v>
      </c>
      <c r="D18" s="373">
        <v>195000</v>
      </c>
      <c r="E18" s="412">
        <f>IF(主要!BG7="",0,MAX(主要!BG7+主要!$R$16,1)+E2)</f>
        <v>0</v>
      </c>
      <c r="F18" s="373">
        <f t="shared" si="1"/>
        <v>195001</v>
      </c>
      <c r="G18" s="373">
        <f t="shared" si="0"/>
        <v>29999</v>
      </c>
      <c r="H18" s="222">
        <v>17</v>
      </c>
      <c r="I18" s="224" t="str">
        <f>I17</f>
        <v>超乎常人的力度</v>
      </c>
      <c r="J18" s="224" t="str">
        <f t="shared" ref="J18:N18" si="4">J17</f>
        <v>左右横跳</v>
      </c>
      <c r="K18" s="224" t="str">
        <f t="shared" si="4"/>
        <v>你从来就不知道什么叫生病</v>
      </c>
      <c r="L18" s="224" t="str">
        <f t="shared" si="4"/>
        <v>就是个天才</v>
      </c>
      <c r="M18" s="224" t="str">
        <f t="shared" si="4"/>
        <v>身边的一切风吹草动都逃不出您的敏锐的目光</v>
      </c>
      <c r="N18" s="223" t="str">
        <f t="shared" si="4"/>
        <v>您不经意间的一举一动都有可能吸引着其他人</v>
      </c>
      <c r="O18" s="307" t="s">
        <v>204</v>
      </c>
      <c r="P18" s="373">
        <f>主要!I59</f>
        <v>-1</v>
      </c>
      <c r="Q18" s="590" t="b">
        <v>0</v>
      </c>
    </row>
    <row r="19" customHeight="1" spans="1:17">
      <c r="A19" s="307" t="s">
        <v>266</v>
      </c>
      <c r="B19" s="590" t="b">
        <v>1</v>
      </c>
      <c r="C19" s="373">
        <v>17</v>
      </c>
      <c r="D19" s="373">
        <v>225000</v>
      </c>
      <c r="E19" s="412">
        <f>IF(主要!BI7="",0,MAX(主要!BI7+主要!$R$16,1)+E2)</f>
        <v>0</v>
      </c>
      <c r="F19" s="373">
        <f t="shared" si="1"/>
        <v>225001</v>
      </c>
      <c r="G19" s="373">
        <f t="shared" si="0"/>
        <v>39999</v>
      </c>
      <c r="H19" s="222">
        <v>18</v>
      </c>
      <c r="I19" s="224" t="s">
        <v>388</v>
      </c>
      <c r="J19" s="224" t="s">
        <v>389</v>
      </c>
      <c r="K19" s="224" t="s">
        <v>390</v>
      </c>
      <c r="L19" s="224" t="s">
        <v>391</v>
      </c>
      <c r="M19" s="224" t="s">
        <v>392</v>
      </c>
      <c r="N19" s="223" t="s">
        <v>393</v>
      </c>
      <c r="O19" s="384" t="s">
        <v>209</v>
      </c>
      <c r="P19" s="381">
        <f>主要!I60</f>
        <v>-1</v>
      </c>
      <c r="Q19" s="591" t="b">
        <v>0</v>
      </c>
    </row>
    <row r="20" customHeight="1" spans="1:17">
      <c r="A20" s="307" t="s">
        <v>267</v>
      </c>
      <c r="B20" s="590" t="b">
        <v>1</v>
      </c>
      <c r="C20" s="373">
        <v>18</v>
      </c>
      <c r="D20" s="373">
        <v>265000</v>
      </c>
      <c r="E20" s="412">
        <f>IF(主要!BK7="",0,MAX(主要!BK7+主要!$R$16,1)+E2)</f>
        <v>0</v>
      </c>
      <c r="F20" s="373">
        <f t="shared" si="1"/>
        <v>265001</v>
      </c>
      <c r="G20" s="373">
        <f t="shared" si="0"/>
        <v>39999</v>
      </c>
      <c r="H20" s="222">
        <v>19</v>
      </c>
      <c r="I20" s="224" t="s">
        <v>394</v>
      </c>
      <c r="J20" s="224" t="s">
        <v>395</v>
      </c>
      <c r="K20" s="224" t="s">
        <v>396</v>
      </c>
      <c r="L20" s="224" t="s">
        <v>397</v>
      </c>
      <c r="M20" s="224" t="s">
        <v>398</v>
      </c>
      <c r="N20" s="224" t="s">
        <v>399</v>
      </c>
      <c r="O20" s="412" t="s">
        <v>400</v>
      </c>
      <c r="P20" s="373" t="s">
        <v>401</v>
      </c>
      <c r="Q20" s="592" t="b">
        <v>1</v>
      </c>
    </row>
    <row r="21" customHeight="1" spans="1:17">
      <c r="A21" s="307" t="s">
        <v>268</v>
      </c>
      <c r="B21" s="590" t="b">
        <v>1</v>
      </c>
      <c r="C21" s="373">
        <v>19</v>
      </c>
      <c r="D21" s="373">
        <v>305000</v>
      </c>
      <c r="E21" s="412">
        <f>IF(主要!BM7="",0,MAX(主要!BM7+主要!$R$16,1)+E2)</f>
        <v>0</v>
      </c>
      <c r="F21" s="381">
        <f t="shared" si="1"/>
        <v>305001</v>
      </c>
      <c r="G21" s="381">
        <f t="shared" si="0"/>
        <v>49999</v>
      </c>
      <c r="H21" s="222">
        <v>20</v>
      </c>
      <c r="I21" s="224" t="s">
        <v>402</v>
      </c>
      <c r="J21" s="224" t="s">
        <v>403</v>
      </c>
      <c r="K21" s="224" t="s">
        <v>404</v>
      </c>
      <c r="L21" s="224" t="s">
        <v>405</v>
      </c>
      <c r="M21" s="224" t="s">
        <v>406</v>
      </c>
      <c r="N21" s="224" t="s">
        <v>407</v>
      </c>
      <c r="O21" s="412">
        <f>IFERROR(_xlfn.IFS(主要!H62=O22,主要!B62/100,主要!H62=O23,主要!B62/10,主要!H62=O24,主要!B62/2,主要!H62=O25,主要!B62,主要!H62=O26,主要!B62*10,1,""),"")</f>
        <v>0</v>
      </c>
      <c r="P21" s="373" t="s">
        <v>408</v>
      </c>
      <c r="Q21" s="592" t="b">
        <v>1</v>
      </c>
    </row>
    <row r="22" customHeight="1" spans="1:17">
      <c r="A22" s="307" t="s">
        <v>269</v>
      </c>
      <c r="B22" s="590" t="b">
        <v>1</v>
      </c>
      <c r="C22" s="381">
        <v>20</v>
      </c>
      <c r="D22" s="381">
        <v>355000</v>
      </c>
      <c r="E22" s="441">
        <f>IF(主要!BO7="",0,MAX(主要!BO7+主要!$R$16,1)+E2)</f>
        <v>0</v>
      </c>
      <c r="H22" s="222">
        <v>21</v>
      </c>
      <c r="I22" s="224" t="s">
        <v>409</v>
      </c>
      <c r="J22" s="224" t="s">
        <v>410</v>
      </c>
      <c r="K22" s="224" t="s">
        <v>411</v>
      </c>
      <c r="L22" s="224" t="s">
        <v>412</v>
      </c>
      <c r="M22" s="224" t="s">
        <v>413</v>
      </c>
      <c r="N22" s="224" t="s">
        <v>414</v>
      </c>
      <c r="O22" s="412" t="s">
        <v>213</v>
      </c>
    </row>
    <row r="23" customHeight="1" spans="1:17">
      <c r="A23" s="384" t="s">
        <v>415</v>
      </c>
      <c r="B23" s="591" t="b">
        <v>0</v>
      </c>
      <c r="H23" s="222">
        <v>22</v>
      </c>
      <c r="I23" s="224" t="s">
        <v>416</v>
      </c>
      <c r="J23" s="224" t="s">
        <v>417</v>
      </c>
      <c r="K23" s="224" t="s">
        <v>418</v>
      </c>
      <c r="L23" s="224" t="s">
        <v>419</v>
      </c>
      <c r="M23" s="224" t="s">
        <v>420</v>
      </c>
      <c r="N23" s="224" t="s">
        <v>421</v>
      </c>
      <c r="O23" s="412" t="s">
        <v>214</v>
      </c>
    </row>
    <row r="24" customHeight="1" spans="1:17">
      <c r="H24" s="222">
        <v>23</v>
      </c>
      <c r="I24" s="224" t="s">
        <v>422</v>
      </c>
      <c r="J24" s="224" t="s">
        <v>423</v>
      </c>
      <c r="K24" s="224" t="s">
        <v>424</v>
      </c>
      <c r="L24" s="224" t="s">
        <v>425</v>
      </c>
      <c r="M24" s="224" t="s">
        <v>426</v>
      </c>
      <c r="N24" s="224" t="s">
        <v>427</v>
      </c>
      <c r="O24" s="412" t="s">
        <v>215</v>
      </c>
    </row>
    <row r="25" customHeight="1" spans="1:17">
      <c r="H25" s="222">
        <v>24</v>
      </c>
      <c r="I25" s="224" t="s">
        <v>428</v>
      </c>
      <c r="J25" s="224" t="s">
        <v>429</v>
      </c>
      <c r="K25" s="224" t="s">
        <v>430</v>
      </c>
      <c r="L25" s="224" t="s">
        <v>431</v>
      </c>
      <c r="M25" s="224" t="s">
        <v>432</v>
      </c>
      <c r="N25" s="224" t="s">
        <v>433</v>
      </c>
      <c r="O25" s="412" t="s">
        <v>216</v>
      </c>
    </row>
    <row r="26" customHeight="1" spans="1:17">
      <c r="H26" s="230">
        <v>25</v>
      </c>
      <c r="I26" s="234" t="s">
        <v>434</v>
      </c>
      <c r="J26" s="234" t="s">
        <v>435</v>
      </c>
      <c r="K26" s="234" t="s">
        <v>436</v>
      </c>
      <c r="L26" s="234" t="s">
        <v>437</v>
      </c>
      <c r="M26" s="234" t="s">
        <v>438</v>
      </c>
      <c r="N26" s="234" t="s">
        <v>439</v>
      </c>
      <c r="O26" s="441" t="s">
        <v>217</v>
      </c>
    </row>
  </sheetData>
  <sheetProtection sheet="1" objects="1" scenarios="1"/>
  <mergeCells count="4">
    <mergeCell ref="A1:B1"/>
    <mergeCell ref="C1:D1"/>
    <mergeCell ref="O1:Q1"/>
    <mergeCell ref="S1:T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BU159"/>
  <sheetViews>
    <sheetView workbookViewId="0">
      <pane ySplit="1" topLeftCell="A35" activePane="bottomLeft" state="frozen"/>
      <selection/>
      <selection pane="bottomLeft" activeCell="A41" sqref="A41"/>
    </sheetView>
  </sheetViews>
  <sheetFormatPr defaultColWidth="9" defaultRowHeight="14.4" customHeight="1"/>
  <cols>
    <col min="1" max="1" width="8.89090909090909" style="372"/>
    <col min="2" max="2" width="8.89090909090909" style="372" customWidth="1"/>
    <col min="3" max="17" width="8.89090909090909" style="372"/>
    <col min="18" max="18" width="8.89090909090909" style="372" customWidth="1"/>
    <col min="19" max="34" width="8.89090909090909" style="372"/>
    <col min="35" max="35" width="8.89090909090909" style="499"/>
    <col min="36" max="37" width="8.89090909090909" style="499" customWidth="1"/>
    <col min="38" max="38" width="8.89090909090909" style="306" customWidth="1"/>
    <col min="39" max="39" width="8.89090909090909" style="499" customWidth="1"/>
    <col min="40" max="16384" width="8.89090909090909" style="499"/>
  </cols>
  <sheetData>
    <row r="1" customHeight="1" spans="1:73">
      <c r="A1" s="391"/>
      <c r="B1" s="264" t="s">
        <v>56</v>
      </c>
      <c r="C1" s="500" t="s">
        <v>249</v>
      </c>
      <c r="D1" s="401" t="s">
        <v>252</v>
      </c>
      <c r="E1" s="501" t="s">
        <v>253</v>
      </c>
      <c r="F1" s="502" t="s">
        <v>255</v>
      </c>
      <c r="G1" s="503" t="s">
        <v>256</v>
      </c>
      <c r="H1" s="504" t="s">
        <v>257</v>
      </c>
      <c r="I1" s="505" t="s">
        <v>258</v>
      </c>
      <c r="J1" s="506" t="s">
        <v>259</v>
      </c>
      <c r="K1" s="405" t="s">
        <v>260</v>
      </c>
      <c r="L1" s="408" t="s">
        <v>262</v>
      </c>
      <c r="M1" s="507" t="s">
        <v>263</v>
      </c>
      <c r="N1" s="508" t="s">
        <v>264</v>
      </c>
      <c r="O1" s="509" t="s">
        <v>265</v>
      </c>
      <c r="P1" s="510" t="s">
        <v>266</v>
      </c>
      <c r="Q1" s="511" t="s">
        <v>415</v>
      </c>
      <c r="R1" s="389" t="s">
        <v>102</v>
      </c>
      <c r="S1" s="368" t="s">
        <v>440</v>
      </c>
      <c r="T1" s="264" t="s">
        <v>441</v>
      </c>
      <c r="U1" s="265"/>
      <c r="V1" s="263" t="s">
        <v>236</v>
      </c>
      <c r="W1" s="264"/>
      <c r="X1" s="264"/>
      <c r="Y1" s="265"/>
      <c r="Z1" s="264" t="s">
        <v>442</v>
      </c>
      <c r="AA1" s="389"/>
      <c r="AB1" s="512" t="s">
        <v>443</v>
      </c>
      <c r="AC1" s="500"/>
      <c r="AD1" s="513"/>
      <c r="AE1" s="264" t="s">
        <v>41</v>
      </c>
      <c r="AF1" s="264" t="s">
        <v>444</v>
      </c>
      <c r="AG1" s="264" t="s">
        <v>445</v>
      </c>
      <c r="AH1" s="264" t="s">
        <v>446</v>
      </c>
      <c r="AI1" s="512" t="s">
        <v>447</v>
      </c>
      <c r="AJ1" s="514" t="s">
        <v>239</v>
      </c>
      <c r="AK1" s="514" t="s">
        <v>102</v>
      </c>
      <c r="AL1" s="514" t="s">
        <v>103</v>
      </c>
      <c r="AM1" s="515" t="s">
        <v>22</v>
      </c>
      <c r="AN1" s="499" t="s">
        <v>448</v>
      </c>
      <c r="AO1" s="499" t="s">
        <v>449</v>
      </c>
      <c r="AP1" s="499" t="s">
        <v>450</v>
      </c>
      <c r="AQ1" s="499" t="s">
        <v>451</v>
      </c>
      <c r="AR1" s="499" t="s">
        <v>452</v>
      </c>
      <c r="AS1" s="499" t="s">
        <v>453</v>
      </c>
      <c r="AT1" s="499" t="s">
        <v>454</v>
      </c>
      <c r="AU1" s="499" t="s">
        <v>455</v>
      </c>
      <c r="AV1" s="499" t="s">
        <v>456</v>
      </c>
      <c r="AW1" s="499" t="s">
        <v>457</v>
      </c>
      <c r="AX1" s="499" t="s">
        <v>458</v>
      </c>
      <c r="AY1" s="499" t="s">
        <v>459</v>
      </c>
      <c r="AZ1" s="499" t="s">
        <v>460</v>
      </c>
      <c r="BA1" s="499" t="s">
        <v>461</v>
      </c>
      <c r="BB1" s="499" t="s">
        <v>462</v>
      </c>
      <c r="BC1" s="499" t="s">
        <v>463</v>
      </c>
      <c r="BD1" s="499" t="s">
        <v>464</v>
      </c>
      <c r="BE1" s="499" t="s">
        <v>465</v>
      </c>
      <c r="BF1" s="499" t="s">
        <v>466</v>
      </c>
      <c r="BG1" s="499" t="s">
        <v>467</v>
      </c>
      <c r="BH1" s="499" t="s">
        <v>468</v>
      </c>
      <c r="BI1" s="499" t="s">
        <v>469</v>
      </c>
      <c r="BJ1" s="306" t="s">
        <v>470</v>
      </c>
      <c r="BK1" s="306" t="s">
        <v>471</v>
      </c>
      <c r="BL1" s="306" t="s">
        <v>472</v>
      </c>
      <c r="BM1" s="306" t="s">
        <v>473</v>
      </c>
      <c r="BN1" s="306" t="s">
        <v>474</v>
      </c>
      <c r="BO1" s="499" t="s">
        <v>475</v>
      </c>
      <c r="BP1" s="499" t="s">
        <v>476</v>
      </c>
      <c r="BQ1" s="499" t="s">
        <v>477</v>
      </c>
      <c r="BR1" s="499" t="s">
        <v>478</v>
      </c>
      <c r="BS1" s="499" t="s">
        <v>479</v>
      </c>
      <c r="BT1" s="499" t="s">
        <v>480</v>
      </c>
      <c r="BU1" s="499" t="s">
        <v>481</v>
      </c>
    </row>
    <row r="2" customHeight="1" spans="1:73">
      <c r="A2" s="516" t="s">
        <v>482</v>
      </c>
      <c r="B2" s="499" t="s">
        <v>483</v>
      </c>
      <c r="C2" s="499" t="s">
        <v>484</v>
      </c>
      <c r="D2" s="266" t="str">
        <f>IF(OR(综合数据!B8=TRUE,综合数据!B18=TRUE),"灰矮人","")</f>
        <v>灰矮人</v>
      </c>
      <c r="E2" s="267" t="str">
        <f>IF(综合数据!B10=TRUE,"警戒龙纹","")</f>
        <v>警戒龙纹</v>
      </c>
      <c r="F2" s="372" t="str">
        <f t="shared" ref="F2:O2" si="0">""</f>
        <v/>
      </c>
      <c r="G2" s="372" t="str">
        <f t="shared" si="0"/>
        <v/>
      </c>
      <c r="H2" s="372" t="str">
        <f t="shared" si="0"/>
        <v/>
      </c>
      <c r="I2" s="372" t="str">
        <f t="shared" si="0"/>
        <v/>
      </c>
      <c r="J2" s="372" t="str">
        <f t="shared" si="0"/>
        <v/>
      </c>
      <c r="K2" s="372" t="str">
        <f t="shared" si="0"/>
        <v/>
      </c>
      <c r="L2" s="372" t="str">
        <f t="shared" si="0"/>
        <v/>
      </c>
      <c r="M2" s="372" t="str">
        <f t="shared" si="0"/>
        <v/>
      </c>
      <c r="N2" s="372" t="str">
        <f t="shared" si="0"/>
        <v/>
      </c>
      <c r="O2" s="372" t="str">
        <f t="shared" si="0"/>
        <v/>
      </c>
      <c r="Q2" s="376"/>
      <c r="R2" s="372" t="s">
        <v>485</v>
      </c>
      <c r="S2" s="377" t="str">
        <f t="array" ref="S2">INDEX(A:A,SMALL(IF($A$2:$A$51&lt;&gt;"",ROW($2:$51),52),ROW(A1)))&amp;""</f>
        <v>矮人</v>
      </c>
      <c r="T2" s="372">
        <f>VLOOKUP(V3,AE2:AF125,2,0)</f>
        <v>27</v>
      </c>
      <c r="U2" s="372" t="str">
        <f t="array" ref="U2">INDEX(T:T,SMALL(IF($T$3:$T$15&lt;&gt;"",ROW($3:$15),16),ROW(T1)))&amp;""</f>
        <v>半血裔</v>
      </c>
      <c r="V2" s="414">
        <f>IF(主要!Y3="",0,主要!Y3)</f>
        <v>3</v>
      </c>
      <c r="W2" s="373" t="s">
        <v>444</v>
      </c>
      <c r="X2" s="373" t="s">
        <v>445</v>
      </c>
      <c r="Y2" s="374" t="s">
        <v>446</v>
      </c>
      <c r="Z2" s="372" t="str">
        <f>IFERROR(IF(COUNTIF($AB$2:$AB$15,$W6),"",W6),"")</f>
        <v/>
      </c>
      <c r="AA2" s="372" t="str">
        <f t="array" ref="AA2">INDEX(Z:Z,SMALL(IF($Z$2:$Z$16&lt;&gt;"",ROW($2:$16),17),ROW(Z1)))&amp;""</f>
        <v>精类生物</v>
      </c>
      <c r="AB2" s="517" t="str">
        <f>IF(主要!$Z84="",0,主要!$Z84)</f>
        <v>属性值加成</v>
      </c>
      <c r="AC2" s="306" t="str">
        <f t="shared" ref="AC2:AC15" si="1">IFERROR(VLOOKUP($AB2,$W$6:$X$27,2,0),"")</f>
        <v>自选两项属性分别+2/+1或自选三项属性+1</v>
      </c>
      <c r="AD2" s="518">
        <f>IF($AB2=0,"",COUNTIF($AB$2:$AB$15,$AB2))</f>
        <v>1</v>
      </c>
      <c r="AE2" s="519" t="s">
        <v>482</v>
      </c>
      <c r="AF2" s="519">
        <v>1</v>
      </c>
      <c r="AG2" s="519">
        <v>1</v>
      </c>
      <c r="AH2" s="519">
        <v>5</v>
      </c>
      <c r="AI2" s="516" t="s">
        <v>483</v>
      </c>
      <c r="AJ2" s="520" t="s">
        <v>486</v>
      </c>
      <c r="AK2" s="520" t="s">
        <v>487</v>
      </c>
      <c r="AL2" s="520" t="s">
        <v>488</v>
      </c>
      <c r="AM2" s="521" t="s">
        <v>489</v>
      </c>
      <c r="AN2" s="306" t="s">
        <v>490</v>
      </c>
      <c r="AO2" s="277" t="s">
        <v>491</v>
      </c>
      <c r="AP2" s="306" t="s">
        <v>492</v>
      </c>
      <c r="AQ2" s="306" t="s">
        <v>493</v>
      </c>
      <c r="AR2" s="306" t="s">
        <v>494</v>
      </c>
      <c r="AS2" s="306" t="s">
        <v>495</v>
      </c>
      <c r="AT2" s="306" t="s">
        <v>496</v>
      </c>
      <c r="AU2" s="306" t="s">
        <v>497</v>
      </c>
      <c r="AV2" s="306" t="s">
        <v>498</v>
      </c>
      <c r="AW2" s="306" t="s">
        <v>499</v>
      </c>
      <c r="AX2" s="306" t="s">
        <v>500</v>
      </c>
      <c r="AY2" s="306" t="s">
        <v>501</v>
      </c>
      <c r="AZ2" s="306" t="s">
        <v>502</v>
      </c>
      <c r="BA2" s="306" t="s">
        <v>503</v>
      </c>
      <c r="BB2" s="306" t="s">
        <v>504</v>
      </c>
      <c r="BC2" s="306" t="s">
        <v>505</v>
      </c>
      <c r="BD2" s="306" t="s">
        <v>506</v>
      </c>
      <c r="BE2" s="306" t="s">
        <v>507</v>
      </c>
      <c r="BF2" s="306" t="s">
        <v>508</v>
      </c>
      <c r="BG2" s="306" t="s">
        <v>509</v>
      </c>
      <c r="BH2" s="306" t="s">
        <v>510</v>
      </c>
      <c r="BI2" s="306" t="s">
        <v>511</v>
      </c>
      <c r="BJ2" s="306" t="s">
        <v>512</v>
      </c>
      <c r="BK2" s="306" t="s">
        <v>513</v>
      </c>
      <c r="BL2" s="306" t="s">
        <v>514</v>
      </c>
      <c r="BM2" s="306" t="s">
        <v>515</v>
      </c>
      <c r="BN2" s="306" t="s">
        <v>516</v>
      </c>
      <c r="BO2" s="306" t="s">
        <v>517</v>
      </c>
      <c r="BP2" s="306" t="s">
        <v>518</v>
      </c>
      <c r="BQ2" s="306" t="s">
        <v>519</v>
      </c>
      <c r="BR2" s="306" t="s">
        <v>520</v>
      </c>
      <c r="BS2" s="306" t="s">
        <v>521</v>
      </c>
      <c r="BT2" s="306" t="s">
        <v>522</v>
      </c>
      <c r="BU2" s="306" t="s">
        <v>523</v>
      </c>
    </row>
    <row r="3" customHeight="1" spans="1:73">
      <c r="A3" s="516" t="s">
        <v>524</v>
      </c>
      <c r="B3" s="499" t="s">
        <v>525</v>
      </c>
      <c r="C3" s="499" t="s">
        <v>526</v>
      </c>
      <c r="D3" s="499" t="s">
        <v>527</v>
      </c>
      <c r="E3" s="266" t="str">
        <f>IF(OR(综合数据!B8=TRUE,综合数据!B18=TRUE),"雅灵","")</f>
        <v>雅灵</v>
      </c>
      <c r="F3" s="266" t="str">
        <f>IF(OR(综合数据!B8=TRUE,综合数据!B18=TRUE),"海精灵","")</f>
        <v>海精灵</v>
      </c>
      <c r="G3" s="266" t="str">
        <f>IF(OR(综合数据!B8=TRUE,综合数据!B18=TRUE),"影灵","")</f>
        <v>影灵</v>
      </c>
      <c r="H3" s="267" t="str">
        <f>IF(综合数据!B10=TRUE,"阴影龙纹","")</f>
        <v>阴影龙纹</v>
      </c>
      <c r="I3" s="522" t="str">
        <f>IF(综合数据!B11=TRUE,"苍白精灵","")</f>
        <v>苍白精灵</v>
      </c>
      <c r="J3" s="372" t="str">
        <f t="shared" ref="J3:O3" si="2">""</f>
        <v/>
      </c>
      <c r="K3" s="372" t="str">
        <f t="shared" si="2"/>
        <v/>
      </c>
      <c r="L3" s="372" t="str">
        <f t="shared" si="2"/>
        <v/>
      </c>
      <c r="M3" s="372" t="str">
        <f t="shared" si="2"/>
        <v/>
      </c>
      <c r="N3" s="372" t="str">
        <f t="shared" si="2"/>
        <v/>
      </c>
      <c r="O3" s="372" t="str">
        <f t="shared" si="2"/>
        <v/>
      </c>
      <c r="Q3" s="376"/>
      <c r="R3" s="372" t="s">
        <v>528</v>
      </c>
      <c r="S3" s="377" t="str">
        <f t="array" ref="S3">INDEX(A:A,SMALL(IF($A$2:$A$51&lt;&gt;"",ROW($2:$51),52),ROW(A2)))&amp;""</f>
        <v>精灵</v>
      </c>
      <c r="T3" s="372" t="str">
        <f>INDEX($B$2:$K$51,$T$2,1)</f>
        <v/>
      </c>
      <c r="U3" s="372" t="str">
        <f t="array" ref="U3">INDEX(T:T,SMALL(IF($T$3:$T$15&lt;&gt;"",ROW($3:$15),16),ROW(T2)))&amp;""</f>
        <v>巫咒之子</v>
      </c>
      <c r="V3" s="414" t="str">
        <f>IF(主要!$D6="",0,主要!$D6)</f>
        <v>幻身灵</v>
      </c>
      <c r="W3" s="373">
        <f>IF(COUNTIF(T13:T15,V4)=0,VLOOKUP(V3,AE:AF,2,0)*2,VLOOKUP(V4,AE:AF,2,0)*2)</f>
        <v>54</v>
      </c>
      <c r="X3" s="373"/>
      <c r="Y3" s="374">
        <f>IF(COUNTIF(T13:T15,V4)=0,VLOOKUP(V3,AE:AH,4,0),VLOOKUP(V4,AE:AH,4,0))</f>
        <v>3</v>
      </c>
      <c r="Z3" s="372" t="str">
        <f>IFERROR(IF(COUNTIF($AB$2:$AB$15,$W7),"",W7),"")</f>
        <v/>
      </c>
      <c r="AA3" s="372" t="str">
        <f t="array" ref="AA3">INDEX(Z:Z,SMALL(IF($Z$2:$Z$16&lt;&gt;"",ROW($2:$16),17),ROW(Z2)))&amp;""</f>
        <v>变形生物</v>
      </c>
      <c r="AB3" s="517" t="str">
        <f>IF(主要!$Z85="",0,主要!$Z85)</f>
        <v>体型</v>
      </c>
      <c r="AC3" s="306" t="str">
        <f t="shared" si="1"/>
        <v>中型</v>
      </c>
      <c r="AD3" s="518">
        <f>IF($AB3=0,"",COUNTIF($AB$2:$AB$15,$AB3))</f>
        <v>1</v>
      </c>
      <c r="AE3" s="499" t="s">
        <v>483</v>
      </c>
      <c r="AF3" s="499"/>
      <c r="AG3" s="499">
        <v>6</v>
      </c>
      <c r="AH3" s="499">
        <v>6</v>
      </c>
      <c r="AI3" s="516" t="s">
        <v>484</v>
      </c>
      <c r="AJ3" s="520" t="s">
        <v>529</v>
      </c>
      <c r="AK3" s="520" t="str">
        <f t="shared" ref="AK3:AM5" si="3">AK$2</f>
        <v>中型</v>
      </c>
      <c r="AL3" s="520" t="str">
        <f t="shared" si="3"/>
        <v>基础步行速度为25尺，你的速度不会因穿着重甲而减慢</v>
      </c>
      <c r="AM3" s="521" t="str">
        <f t="shared" si="3"/>
        <v>和矮人语</v>
      </c>
      <c r="AN3" s="306" t="s">
        <v>530</v>
      </c>
      <c r="AO3" s="277" t="s">
        <v>531</v>
      </c>
      <c r="AP3" s="306" t="s">
        <v>532</v>
      </c>
      <c r="AQ3" s="306" t="s">
        <v>533</v>
      </c>
      <c r="AR3" s="306" t="s">
        <v>534</v>
      </c>
      <c r="AS3" s="306" t="s">
        <v>535</v>
      </c>
      <c r="AT3" s="306" t="s">
        <v>536</v>
      </c>
      <c r="AU3" s="306" t="s">
        <v>537</v>
      </c>
      <c r="AV3" s="306" t="s">
        <v>538</v>
      </c>
      <c r="AW3" s="306" t="s">
        <v>539</v>
      </c>
      <c r="AX3" s="306" t="s">
        <v>540</v>
      </c>
      <c r="AY3" s="306" t="s">
        <v>541</v>
      </c>
      <c r="AZ3" s="306" t="s">
        <v>542</v>
      </c>
      <c r="BA3" s="306" t="s">
        <v>543</v>
      </c>
      <c r="BB3" s="306" t="s">
        <v>544</v>
      </c>
      <c r="BC3" s="306" t="s">
        <v>545</v>
      </c>
      <c r="BD3" s="306" t="s">
        <v>546</v>
      </c>
      <c r="BE3" s="306" t="s">
        <v>547</v>
      </c>
      <c r="BF3" s="306" t="s">
        <v>548</v>
      </c>
      <c r="BG3" s="306" t="s">
        <v>549</v>
      </c>
      <c r="BH3" s="306" t="s">
        <v>550</v>
      </c>
      <c r="BI3" s="306" t="s">
        <v>551</v>
      </c>
      <c r="BJ3" s="306" t="s">
        <v>552</v>
      </c>
      <c r="BK3" s="306" t="s">
        <v>553</v>
      </c>
      <c r="BL3" s="306" t="s">
        <v>554</v>
      </c>
      <c r="BM3" s="306" t="s">
        <v>555</v>
      </c>
      <c r="BN3" s="306" t="s">
        <v>556</v>
      </c>
      <c r="BO3" s="306" t="s">
        <v>557</v>
      </c>
      <c r="BP3" s="306" t="s">
        <v>558</v>
      </c>
      <c r="BQ3" s="306" t="s">
        <v>559</v>
      </c>
      <c r="BR3" s="306" t="s">
        <v>560</v>
      </c>
      <c r="BS3" s="306" t="s">
        <v>561</v>
      </c>
      <c r="BT3" s="306" t="s">
        <v>562</v>
      </c>
      <c r="BU3" s="306" t="s">
        <v>563</v>
      </c>
    </row>
    <row r="4" customHeight="1" spans="1:73">
      <c r="A4" s="516" t="s">
        <v>564</v>
      </c>
      <c r="B4" s="499" t="s">
        <v>565</v>
      </c>
      <c r="C4" s="499" t="s">
        <v>566</v>
      </c>
      <c r="D4" s="244" t="str">
        <f>IF(综合数据!B5=TRUE,"鬼智半身人","")</f>
        <v>鬼智半身人</v>
      </c>
      <c r="E4" s="267" t="str">
        <f>IF(综合数据!B10=TRUE,"医疗龙纹","")</f>
        <v>医疗龙纹</v>
      </c>
      <c r="F4" s="267" t="str">
        <f>IF(综合数据!B10=TRUE,"招待龙纹","")</f>
        <v>招待龙纹</v>
      </c>
      <c r="G4" s="522" t="str">
        <f>IF(综合数据!B11=TRUE,"莲源半身人","")</f>
        <v>莲源半身人</v>
      </c>
      <c r="H4" s="372" t="str">
        <f t="shared" ref="H4:O4" si="4">""</f>
        <v/>
      </c>
      <c r="I4" s="372" t="str">
        <f t="shared" si="4"/>
        <v/>
      </c>
      <c r="J4" s="372" t="str">
        <f t="shared" si="4"/>
        <v/>
      </c>
      <c r="K4" s="372" t="str">
        <f t="shared" si="4"/>
        <v/>
      </c>
      <c r="L4" s="372" t="str">
        <f t="shared" si="4"/>
        <v/>
      </c>
      <c r="M4" s="372" t="str">
        <f t="shared" si="4"/>
        <v/>
      </c>
      <c r="N4" s="372" t="str">
        <f t="shared" si="4"/>
        <v/>
      </c>
      <c r="O4" s="372" t="str">
        <f t="shared" si="4"/>
        <v/>
      </c>
      <c r="Q4" s="376"/>
      <c r="R4" s="372" t="s">
        <v>487</v>
      </c>
      <c r="S4" s="377" t="str">
        <f t="array" ref="S4">INDEX(A:A,SMALL(IF($A$2:$A$51&lt;&gt;"",ROW($2:$51),52),ROW(A3)))&amp;""</f>
        <v>半身人</v>
      </c>
      <c r="T4" s="372" t="str">
        <f>INDEX($B$2:$K$51,$T$2,2)</f>
        <v/>
      </c>
      <c r="U4" s="372" t="str">
        <f t="array" ref="U4">INDEX(T:T,SMALL(IF($T$3:$T$15&lt;&gt;"",ROW($3:$15),16),ROW(T3)))&amp;""</f>
        <v>重生者</v>
      </c>
      <c r="V4" s="414">
        <f>IF(主要!$D7="",0,主要!$D7)</f>
        <v>0</v>
      </c>
      <c r="W4" s="373">
        <f>W3-1</f>
        <v>53</v>
      </c>
      <c r="X4" s="373" t="e">
        <f>IF(COUNTIF(T13:T15,V4)=0,VLOOKUP(V4,AE:AG,3,0),0/0)</f>
        <v>#N/A</v>
      </c>
      <c r="Y4" s="374" t="e">
        <f>VLOOKUP(V4,AE:AH,4,0)</f>
        <v>#N/A</v>
      </c>
      <c r="Z4" s="372" t="str">
        <f>IFERROR(IF(COUNTIF($AB$2:$AB$15,$W8),"",W8),"")</f>
        <v/>
      </c>
      <c r="AA4" s="372" t="str">
        <f t="array" ref="AA4">INDEX(Z:Z,SMALL(IF($Z$2:$Z$16&lt;&gt;"",ROW($2:$16),17),ROW(Z3)))&amp;""</f>
        <v>幻身灵本能</v>
      </c>
      <c r="AB4" s="517" t="str">
        <f>IF(主要!$Z86="",0,主要!$Z86)</f>
        <v>速度</v>
      </c>
      <c r="AC4" s="306" t="str">
        <f t="shared" si="1"/>
        <v>基础步行速度为30尺</v>
      </c>
      <c r="AD4" s="518">
        <f t="shared" ref="AD4:AD15" si="5">IF($AB4=0,"",COUNTIF($AB$2:$AB$15,$AB4))</f>
        <v>1</v>
      </c>
      <c r="AE4" s="499" t="s">
        <v>484</v>
      </c>
      <c r="AF4" s="499"/>
      <c r="AG4" s="499">
        <v>7</v>
      </c>
      <c r="AH4" s="499">
        <v>7</v>
      </c>
      <c r="AI4" s="285" t="s">
        <v>567</v>
      </c>
      <c r="AJ4" s="520" t="s">
        <v>568</v>
      </c>
      <c r="AK4" s="520" t="str">
        <f t="shared" si="3"/>
        <v>中型</v>
      </c>
      <c r="AL4" s="520" t="s">
        <v>569</v>
      </c>
      <c r="AM4" s="521" t="s">
        <v>570</v>
      </c>
      <c r="AN4" s="306" t="s">
        <v>571</v>
      </c>
      <c r="AO4" s="277" t="s">
        <v>572</v>
      </c>
      <c r="AP4" s="306" t="s">
        <v>573</v>
      </c>
      <c r="AQ4" s="306" t="s">
        <v>574</v>
      </c>
      <c r="AR4" s="306" t="s">
        <v>575</v>
      </c>
      <c r="AS4" s="306" t="s">
        <v>576</v>
      </c>
      <c r="AT4" s="306" t="s">
        <v>577</v>
      </c>
      <c r="AU4" s="306" t="s">
        <v>578</v>
      </c>
      <c r="AV4" s="306" t="s">
        <v>579</v>
      </c>
      <c r="AW4" s="306" t="s">
        <v>580</v>
      </c>
      <c r="AX4" s="306" t="s">
        <v>581</v>
      </c>
      <c r="AY4" s="306" t="s">
        <v>582</v>
      </c>
      <c r="AZ4" s="306" t="s">
        <v>583</v>
      </c>
      <c r="BA4" s="306" t="s">
        <v>584</v>
      </c>
      <c r="BB4" s="306" t="s">
        <v>585</v>
      </c>
      <c r="BC4" s="306" t="s">
        <v>586</v>
      </c>
      <c r="BD4" s="306" t="s">
        <v>587</v>
      </c>
      <c r="BE4" s="306" t="s">
        <v>588</v>
      </c>
      <c r="BF4" s="306" t="s">
        <v>589</v>
      </c>
      <c r="BG4" s="306" t="s">
        <v>590</v>
      </c>
      <c r="BH4" s="306" t="s">
        <v>591</v>
      </c>
      <c r="BI4" s="306" t="s">
        <v>592</v>
      </c>
      <c r="BJ4" s="306" t="s">
        <v>593</v>
      </c>
      <c r="BK4" s="306" t="s">
        <v>594</v>
      </c>
      <c r="BL4" s="306" t="s">
        <v>595</v>
      </c>
      <c r="BM4" s="306" t="s">
        <v>596</v>
      </c>
      <c r="BN4" s="306" t="s">
        <v>597</v>
      </c>
      <c r="BO4" s="306" t="s">
        <v>598</v>
      </c>
      <c r="BP4" s="306" t="s">
        <v>599</v>
      </c>
      <c r="BQ4" s="306" t="s">
        <v>600</v>
      </c>
      <c r="BR4" s="306" t="s">
        <v>601</v>
      </c>
      <c r="BS4" s="306" t="s">
        <v>602</v>
      </c>
      <c r="BT4" s="306" t="s">
        <v>603</v>
      </c>
      <c r="BU4" s="306" t="s">
        <v>604</v>
      </c>
    </row>
    <row r="5" customHeight="1" spans="1:73">
      <c r="A5" s="516" t="s">
        <v>605</v>
      </c>
      <c r="B5" s="499" t="s">
        <v>606</v>
      </c>
      <c r="C5" s="267" t="str">
        <f>IF(综合数据!B10=TRUE,"探索龙纹","")</f>
        <v>探索龙纹</v>
      </c>
      <c r="D5" s="267" t="str">
        <f>IF(综合数据!B10=TRUE,"畜牧龙纹","")</f>
        <v>畜牧龙纹</v>
      </c>
      <c r="E5" s="267" t="str">
        <f>IF(综合数据!B10=TRUE,"创造龙纹","")</f>
        <v>创造龙纹</v>
      </c>
      <c r="F5" s="267" t="str">
        <f>IF(综合数据!B10=TRUE,"通行龙纹","")</f>
        <v>通行龙纹</v>
      </c>
      <c r="G5" s="267" t="str">
        <f>IF(综合数据!B10=TRUE,"守护龙纹","")</f>
        <v>守护龙纹</v>
      </c>
      <c r="H5" s="257" t="str">
        <f>IF(综合数据!B23=TRUE,"加渥尼","")</f>
        <v/>
      </c>
      <c r="I5" s="257" t="str">
        <f>IF(综合数据!B23=TRUE,"凯锡革","")</f>
        <v/>
      </c>
      <c r="J5" s="257" t="str">
        <f>IF(综合数据!B23=TRUE,"涅非利亚","")</f>
        <v/>
      </c>
      <c r="K5" s="257" t="str">
        <f>IF(综合数据!B23=TRUE,"史顿襄","")</f>
        <v/>
      </c>
      <c r="L5" s="372" t="str">
        <f>""</f>
        <v/>
      </c>
      <c r="M5" s="372" t="str">
        <f>""</f>
        <v/>
      </c>
      <c r="N5" s="372" t="str">
        <f>""</f>
        <v/>
      </c>
      <c r="O5" s="372" t="str">
        <f>""</f>
        <v/>
      </c>
      <c r="Q5" s="376"/>
      <c r="R5" s="372" t="s">
        <v>607</v>
      </c>
      <c r="S5" s="377" t="str">
        <f t="array" ref="S5">INDEX(A:A,SMALL(IF($A$2:$A$51&lt;&gt;"",ROW($2:$51),52),ROW(A4)))&amp;""</f>
        <v>人类</v>
      </c>
      <c r="T5" s="372" t="str">
        <f>INDEX($B$2:$K$51,$T$2,3)</f>
        <v/>
      </c>
      <c r="U5" s="372" t="str">
        <f t="array" ref="U5">INDEX(T:T,SMALL(IF($T$3:$T$15&lt;&gt;"",ROW($3:$15),16),ROW(T4)))&amp;""</f>
        <v/>
      </c>
      <c r="V5" s="307" t="s">
        <v>608</v>
      </c>
      <c r="W5" s="373" t="s">
        <v>114</v>
      </c>
      <c r="X5" s="373" t="s">
        <v>176</v>
      </c>
      <c r="Y5" s="374" t="s">
        <v>609</v>
      </c>
      <c r="Z5" s="372" t="str">
        <f>IFERROR(IF(COUNTIF($AB$2:$AB$15,$W9),"",W9),"")</f>
        <v/>
      </c>
      <c r="AA5" s="372" t="str">
        <f t="array" ref="AA5">INDEX(Z:Z,SMALL(IF($Z$2:$Z$16&lt;&gt;"",ROW($2:$16),17),ROW(Z4)))&amp;""</f>
        <v/>
      </c>
      <c r="AB5" s="517" t="str">
        <f>IF(主要!$Z87="",0,主要!$Z87)</f>
        <v>语言</v>
      </c>
      <c r="AC5" s="306" t="str">
        <f t="shared" si="1"/>
        <v>能说、读、写通用语，以及任意一门自选语言</v>
      </c>
      <c r="AD5" s="518">
        <f t="shared" si="5"/>
        <v>1</v>
      </c>
      <c r="AE5" s="266" t="s">
        <v>567</v>
      </c>
      <c r="AF5" s="266"/>
      <c r="AG5" s="266">
        <v>8</v>
      </c>
      <c r="AH5" s="266">
        <f>IF(V2&lt;3,9,10)</f>
        <v>10</v>
      </c>
      <c r="AI5" s="523" t="s">
        <v>610</v>
      </c>
      <c r="AJ5" s="520" t="s">
        <v>611</v>
      </c>
      <c r="AK5" s="520" t="str">
        <f t="shared" si="3"/>
        <v>中型</v>
      </c>
      <c r="AL5" s="520" t="str">
        <f t="shared" si="3"/>
        <v>基础步行速度为25尺，你的速度不会因穿着重甲而减慢</v>
      </c>
      <c r="AM5" s="521" t="str">
        <f t="shared" si="3"/>
        <v>和矮人语</v>
      </c>
      <c r="AN5" s="306" t="s">
        <v>612</v>
      </c>
      <c r="AO5" s="277" t="s">
        <v>613</v>
      </c>
      <c r="AP5" s="306" t="s">
        <v>614</v>
      </c>
      <c r="AQ5" s="306" t="s">
        <v>615</v>
      </c>
      <c r="AR5" s="306" t="s">
        <v>616</v>
      </c>
      <c r="AS5" s="306" t="s">
        <v>617</v>
      </c>
      <c r="AT5" s="306" t="s">
        <v>618</v>
      </c>
      <c r="AU5" s="306" t="s">
        <v>619</v>
      </c>
      <c r="AV5" s="306" t="s">
        <v>620</v>
      </c>
      <c r="AW5" s="306" t="s">
        <v>621</v>
      </c>
      <c r="AX5" s="306" t="s">
        <v>622</v>
      </c>
      <c r="AY5" s="306" t="s">
        <v>623</v>
      </c>
      <c r="AZ5" s="306" t="s">
        <v>624</v>
      </c>
      <c r="BA5" s="306" t="s">
        <v>625</v>
      </c>
      <c r="BB5" s="306" t="s">
        <v>626</v>
      </c>
      <c r="BC5" s="306" t="s">
        <v>627</v>
      </c>
      <c r="BD5" s="306" t="s">
        <v>628</v>
      </c>
      <c r="BE5" s="306" t="s">
        <v>629</v>
      </c>
      <c r="BF5" s="306" t="s">
        <v>630</v>
      </c>
      <c r="BG5" s="306" t="s">
        <v>631</v>
      </c>
      <c r="BH5" s="306" t="s">
        <v>632</v>
      </c>
      <c r="BI5" s="306" t="s">
        <v>633</v>
      </c>
      <c r="BJ5" s="306" t="s">
        <v>634</v>
      </c>
      <c r="BK5" s="306" t="s">
        <v>635</v>
      </c>
      <c r="BL5" s="306" t="s">
        <v>636</v>
      </c>
      <c r="BM5" s="306" t="s">
        <v>637</v>
      </c>
      <c r="BN5" s="306" t="s">
        <v>638</v>
      </c>
      <c r="BO5" s="306" t="s">
        <v>639</v>
      </c>
      <c r="BP5" s="306" t="s">
        <v>640</v>
      </c>
      <c r="BQ5" s="306" t="s">
        <v>641</v>
      </c>
      <c r="BR5" s="306" t="s">
        <v>642</v>
      </c>
      <c r="BS5" s="306" t="s">
        <v>643</v>
      </c>
      <c r="BT5" s="306" t="s">
        <v>644</v>
      </c>
      <c r="BU5" s="306" t="s">
        <v>645</v>
      </c>
    </row>
    <row r="6" customHeight="1" spans="1:73">
      <c r="A6" s="516" t="s">
        <v>646</v>
      </c>
      <c r="B6" s="522" t="str">
        <f>IF(综合数据!B11=TRUE,"龙国血统","")</f>
        <v>龙国血统</v>
      </c>
      <c r="C6" s="522" t="str">
        <f>IF(综合数据!B11=TRUE,"瑞雯奈特","")</f>
        <v>瑞雯奈特</v>
      </c>
      <c r="D6" s="524" t="str">
        <f>IF(综合数据!B16=TRUE,"色彩龙血统","")</f>
        <v>色彩龙血统</v>
      </c>
      <c r="E6" s="524" t="str">
        <f>IF(综合数据!B16=TRUE,"宝石龙血统","")</f>
        <v>宝石龙血统</v>
      </c>
      <c r="F6" s="524" t="str">
        <f>IF(综合数据!B16=TRUE,"金属龙血统","")</f>
        <v>金属龙血统</v>
      </c>
      <c r="G6" s="372" t="str">
        <f t="shared" ref="G6:O6" si="6">""</f>
        <v/>
      </c>
      <c r="H6" s="372" t="str">
        <f t="shared" si="6"/>
        <v/>
      </c>
      <c r="I6" s="372" t="str">
        <f t="shared" si="6"/>
        <v/>
      </c>
      <c r="J6" s="372" t="str">
        <f t="shared" si="6"/>
        <v/>
      </c>
      <c r="K6" s="372" t="str">
        <f t="shared" si="6"/>
        <v/>
      </c>
      <c r="L6" s="372" t="str">
        <f t="shared" si="6"/>
        <v/>
      </c>
      <c r="M6" s="372" t="str">
        <f t="shared" si="6"/>
        <v/>
      </c>
      <c r="N6" s="372" t="str">
        <f t="shared" si="6"/>
        <v/>
      </c>
      <c r="O6" s="372" t="str">
        <f t="shared" si="6"/>
        <v/>
      </c>
      <c r="Q6" s="376"/>
      <c r="R6" s="372" t="s">
        <v>647</v>
      </c>
      <c r="S6" s="377" t="str">
        <f t="array" ref="S6">INDEX(A:A,SMALL(IF($A$2:$A$51&lt;&gt;"",ROW($2:$51),52),ROW(A5)))&amp;""</f>
        <v>龙裔</v>
      </c>
      <c r="T6" s="372" t="str">
        <f>INDEX($B$2:$K$51,$T$2,4)</f>
        <v/>
      </c>
      <c r="U6" s="372" t="str">
        <f t="array" ref="U6">INDEX(T:T,SMALL(IF($T$3:$T$15&lt;&gt;"",ROW($3:$15),16),ROW(T5)))&amp;""</f>
        <v/>
      </c>
      <c r="V6" s="307"/>
      <c r="W6" s="373" t="s">
        <v>239</v>
      </c>
      <c r="X6" s="373" t="str">
        <f>IF(T18=0,"",IF(V4=0,VLOOKUP($V$3,$AI:$AJ,2,0),VLOOKUP($V$4,$AI:$AJ,2,0)))</f>
        <v>自选两项属性分别+2/+1或自选三项属性+1</v>
      </c>
      <c r="Y6" s="374"/>
      <c r="Z6" s="372" t="str">
        <f t="shared" ref="Z6:Z16" si="7">IFERROR(IF(OR($W10="",COUNTIF($AB$2:$AB$15,$W10)),"",W10),"")</f>
        <v>精类生物</v>
      </c>
      <c r="AA6" s="372" t="str">
        <f t="array" ref="AA6">INDEX(Z:Z,SMALL(IF($Z$2:$Z$16&lt;&gt;"",ROW($2:$16),17),ROW(Z5)))&amp;""</f>
        <v/>
      </c>
      <c r="AB6" s="517">
        <f>IF(主要!$Z88="",0,主要!$Z88)</f>
        <v>0</v>
      </c>
      <c r="AC6" s="306" t="str">
        <f t="shared" si="1"/>
        <v/>
      </c>
      <c r="AD6" s="518" t="str">
        <f t="shared" si="5"/>
        <v/>
      </c>
      <c r="AE6" s="267" t="s">
        <v>610</v>
      </c>
      <c r="AF6" s="267"/>
      <c r="AG6" s="267">
        <v>11</v>
      </c>
      <c r="AH6" s="267">
        <v>13</v>
      </c>
      <c r="AI6" s="516" t="s">
        <v>525</v>
      </c>
      <c r="AJ6" s="520" t="s">
        <v>648</v>
      </c>
      <c r="AK6" s="520" t="s">
        <v>487</v>
      </c>
      <c r="AL6" s="520" t="s">
        <v>569</v>
      </c>
      <c r="AM6" s="521" t="s">
        <v>649</v>
      </c>
      <c r="AN6" s="306" t="s">
        <v>650</v>
      </c>
      <c r="AO6" s="277" t="s">
        <v>651</v>
      </c>
      <c r="AP6" s="306" t="s">
        <v>652</v>
      </c>
      <c r="AQ6" s="306" t="s">
        <v>653</v>
      </c>
      <c r="AR6" s="306" t="s">
        <v>654</v>
      </c>
      <c r="AS6" s="306" t="s">
        <v>655</v>
      </c>
      <c r="AT6" s="306" t="s">
        <v>656</v>
      </c>
      <c r="AU6" s="306" t="s">
        <v>657</v>
      </c>
      <c r="AV6" s="306" t="s">
        <v>658</v>
      </c>
      <c r="AW6" s="306" t="s">
        <v>659</v>
      </c>
      <c r="AX6" s="306"/>
      <c r="AY6" s="306"/>
      <c r="AZ6" s="306"/>
      <c r="BA6" s="306"/>
      <c r="BB6" s="306"/>
      <c r="BC6" s="306"/>
      <c r="BD6" s="306"/>
      <c r="BE6" s="306"/>
      <c r="BF6" s="306"/>
      <c r="BG6" s="306" t="s">
        <v>660</v>
      </c>
      <c r="BH6" s="306" t="s">
        <v>661</v>
      </c>
      <c r="BI6" s="306" t="s">
        <v>662</v>
      </c>
      <c r="BJ6" s="306" t="s">
        <v>663</v>
      </c>
      <c r="BK6" s="306" t="s">
        <v>664</v>
      </c>
      <c r="BL6" s="306" t="s">
        <v>665</v>
      </c>
      <c r="BM6" s="306" t="s">
        <v>666</v>
      </c>
      <c r="BN6" s="306" t="s">
        <v>667</v>
      </c>
      <c r="BO6" s="306" t="s">
        <v>668</v>
      </c>
      <c r="BP6" s="306" t="s">
        <v>669</v>
      </c>
      <c r="BQ6" s="306" t="s">
        <v>670</v>
      </c>
      <c r="BR6" s="306" t="s">
        <v>671</v>
      </c>
      <c r="BS6" s="306" t="s">
        <v>672</v>
      </c>
      <c r="BT6" s="306" t="s">
        <v>673</v>
      </c>
      <c r="BU6" s="306" t="s">
        <v>674</v>
      </c>
    </row>
    <row r="7" customHeight="1" spans="1:73">
      <c r="A7" s="516" t="s">
        <v>675</v>
      </c>
      <c r="B7" s="499" t="s">
        <v>676</v>
      </c>
      <c r="C7" s="499" t="s">
        <v>677</v>
      </c>
      <c r="D7" s="266" t="str">
        <f>IF(OR(综合数据!B8=TRUE,综合数据!B18=TRUE),"地底侏儒","")</f>
        <v>地底侏儒</v>
      </c>
      <c r="E7" s="267" t="str">
        <f>IF(综合数据!B10=TRUE,"抄录龙纹","")</f>
        <v>抄录龙纹</v>
      </c>
      <c r="F7" s="372" t="str">
        <f t="shared" ref="F7:O7" si="8">""</f>
        <v/>
      </c>
      <c r="G7" s="372" t="str">
        <f t="shared" si="8"/>
        <v/>
      </c>
      <c r="H7" s="372" t="str">
        <f t="shared" si="8"/>
        <v/>
      </c>
      <c r="I7" s="372" t="str">
        <f t="shared" si="8"/>
        <v/>
      </c>
      <c r="J7" s="372" t="str">
        <f t="shared" si="8"/>
        <v/>
      </c>
      <c r="K7" s="372" t="str">
        <f t="shared" si="8"/>
        <v/>
      </c>
      <c r="L7" s="372" t="str">
        <f t="shared" si="8"/>
        <v/>
      </c>
      <c r="M7" s="372" t="str">
        <f t="shared" si="8"/>
        <v/>
      </c>
      <c r="N7" s="372" t="str">
        <f t="shared" si="8"/>
        <v/>
      </c>
      <c r="O7" s="372" t="str">
        <f t="shared" si="8"/>
        <v/>
      </c>
      <c r="Q7" s="376"/>
      <c r="R7" s="382" t="s">
        <v>678</v>
      </c>
      <c r="S7" s="377" t="str">
        <f t="array" ref="S7">INDEX(A:A,SMALL(IF($A$2:$A$51&lt;&gt;"",ROW($2:$51),52),ROW(A6)))&amp;""</f>
        <v>侏儒</v>
      </c>
      <c r="T7" s="372" t="str">
        <f>INDEX($B$2:$K$51,$T$2,5)</f>
        <v/>
      </c>
      <c r="U7" s="372" t="str">
        <f t="array" ref="U7">INDEX(T:T,SMALL(IF($T$3:$T$15&lt;&gt;"",ROW($3:$15),16),ROW(T6)))&amp;""</f>
        <v/>
      </c>
      <c r="V7" s="307"/>
      <c r="W7" s="373" t="s">
        <v>102</v>
      </c>
      <c r="X7" s="373" t="str">
        <f>IF(T18=0,"",IF(V4=0,VLOOKUP($V$3,$AI:$AK,3,0),VLOOKUP($V$4,$AI:$AK,3,0)))</f>
        <v>中型</v>
      </c>
      <c r="Y7" s="374"/>
      <c r="Z7" s="372" t="str">
        <f t="shared" si="7"/>
        <v>变形生物</v>
      </c>
      <c r="AA7" s="372" t="str">
        <f t="array" ref="AA7">INDEX(Z:Z,SMALL(IF($Z$2:$Z$16&lt;&gt;"",ROW($2:$16),17),ROW(Z6)))&amp;""</f>
        <v/>
      </c>
      <c r="AB7" s="517">
        <f>IF(主要!$Z89="",0,主要!$Z89)</f>
        <v>0</v>
      </c>
      <c r="AC7" s="306" t="str">
        <f t="shared" si="1"/>
        <v/>
      </c>
      <c r="AD7" s="518" t="str">
        <f t="shared" si="5"/>
        <v/>
      </c>
      <c r="AE7" s="519" t="s">
        <v>524</v>
      </c>
      <c r="AF7" s="519">
        <f>AF2+1</f>
        <v>2</v>
      </c>
      <c r="AG7" s="519">
        <v>1</v>
      </c>
      <c r="AH7" s="519">
        <v>4</v>
      </c>
      <c r="AI7" s="516" t="s">
        <v>526</v>
      </c>
      <c r="AJ7" s="520" t="s">
        <v>679</v>
      </c>
      <c r="AK7" s="520" t="str">
        <f t="shared" ref="AK7:AM9" si="9">AK$6</f>
        <v>中型</v>
      </c>
      <c r="AL7" s="520" t="str">
        <f t="shared" si="9"/>
        <v>基础步行速度为30尺</v>
      </c>
      <c r="AM7" s="521" t="str">
        <f t="shared" si="9"/>
        <v>和精灵语</v>
      </c>
      <c r="AN7" s="306" t="s">
        <v>680</v>
      </c>
      <c r="AO7" s="277" t="s">
        <v>681</v>
      </c>
      <c r="AP7" s="306" t="s">
        <v>682</v>
      </c>
      <c r="AQ7" s="306" t="s">
        <v>683</v>
      </c>
      <c r="AR7" s="306" t="s">
        <v>684</v>
      </c>
      <c r="AS7" s="306" t="s">
        <v>685</v>
      </c>
      <c r="AT7" s="306" t="s">
        <v>686</v>
      </c>
      <c r="AU7" s="306" t="s">
        <v>687</v>
      </c>
      <c r="AV7" s="306" t="s">
        <v>688</v>
      </c>
      <c r="AW7" s="306" t="s">
        <v>689</v>
      </c>
      <c r="AX7" s="306"/>
      <c r="AY7" s="306"/>
      <c r="AZ7" s="306"/>
      <c r="BA7" s="306"/>
      <c r="BB7" s="306"/>
      <c r="BC7" s="306"/>
      <c r="BD7" s="306"/>
      <c r="BE7" s="306"/>
      <c r="BF7" s="306"/>
      <c r="BG7" s="306" t="s">
        <v>690</v>
      </c>
      <c r="BH7" s="306" t="s">
        <v>691</v>
      </c>
      <c r="BI7" s="306" t="s">
        <v>692</v>
      </c>
      <c r="BJ7" s="306" t="s">
        <v>693</v>
      </c>
      <c r="BK7" s="306" t="s">
        <v>694</v>
      </c>
      <c r="BL7" s="306" t="s">
        <v>695</v>
      </c>
      <c r="BM7" s="306" t="s">
        <v>696</v>
      </c>
      <c r="BN7" s="306" t="s">
        <v>697</v>
      </c>
      <c r="BO7" s="306" t="s">
        <v>698</v>
      </c>
      <c r="BP7" s="306" t="s">
        <v>699</v>
      </c>
      <c r="BQ7" s="306" t="s">
        <v>700</v>
      </c>
      <c r="BR7" s="306" t="s">
        <v>701</v>
      </c>
      <c r="BS7" s="306" t="s">
        <v>702</v>
      </c>
      <c r="BT7" s="306" t="s">
        <v>703</v>
      </c>
      <c r="BU7" s="306" t="s">
        <v>704</v>
      </c>
    </row>
    <row r="8" customHeight="1" spans="1:73">
      <c r="A8" s="516" t="s">
        <v>705</v>
      </c>
      <c r="B8" s="244" t="str">
        <f>IF(综合数据!B5=TRUE,"半木精灵","")</f>
        <v>半木精灵</v>
      </c>
      <c r="C8" s="244" t="str">
        <f>IF(综合数据!B5=TRUE,"半月精灵","")</f>
        <v>半月精灵</v>
      </c>
      <c r="D8" s="244" t="str">
        <f>IF(综合数据!B5=TRUE,"半日精灵","")</f>
        <v>半日精灵</v>
      </c>
      <c r="E8" s="244" t="str">
        <f>IF(综合数据!B5=TRUE,"半卓尔精灵","")</f>
        <v>半卓尔精灵</v>
      </c>
      <c r="F8" s="244" t="str">
        <f>IF(综合数据!B5=TRUE,"半水生精灵","")</f>
        <v>半水生精灵</v>
      </c>
      <c r="G8" s="267" t="str">
        <f>IF(综合数据!B10=TRUE,"侦测龙纹","")</f>
        <v>侦测龙纹</v>
      </c>
      <c r="H8" s="267" t="str">
        <f>IF(综合数据!B10=TRUE,"暴风龙纹","")</f>
        <v>暴风龙纹</v>
      </c>
      <c r="I8" s="372" t="str">
        <f t="shared" ref="I8:O8" si="10">""</f>
        <v/>
      </c>
      <c r="J8" s="372" t="str">
        <f t="shared" si="10"/>
        <v/>
      </c>
      <c r="K8" s="372" t="str">
        <f t="shared" si="10"/>
        <v/>
      </c>
      <c r="L8" s="372" t="str">
        <f t="shared" si="10"/>
        <v/>
      </c>
      <c r="M8" s="372" t="str">
        <f t="shared" si="10"/>
        <v/>
      </c>
      <c r="N8" s="372" t="str">
        <f t="shared" si="10"/>
        <v/>
      </c>
      <c r="O8" s="372" t="str">
        <f t="shared" si="10"/>
        <v/>
      </c>
      <c r="Q8" s="376"/>
      <c r="S8" s="377" t="str">
        <f t="array" ref="S8">INDEX(A:A,SMALL(IF($A$2:$A$51&lt;&gt;"",ROW($2:$51),52),ROW(A7)))&amp;""</f>
        <v>半精灵</v>
      </c>
      <c r="T8" s="372" t="str">
        <f>INDEX($B$2:$K$51,$T$2,6)</f>
        <v/>
      </c>
      <c r="U8" s="372" t="str">
        <f t="array" ref="U8">INDEX(T:T,SMALL(IF($T$3:$T$15&lt;&gt;"",ROW($3:$15),16),ROW(T7)))&amp;""</f>
        <v/>
      </c>
      <c r="V8" s="307"/>
      <c r="W8" s="373" t="s">
        <v>103</v>
      </c>
      <c r="X8" s="373" t="str">
        <f>IF(T18=0,"",IF(V4=0,VLOOKUP($V$3,$AI:$AL,4,0),VLOOKUP($V$4,$AI:$AL,4,0)))</f>
        <v>基础步行速度为30尺</v>
      </c>
      <c r="Y8" s="374"/>
      <c r="Z8" s="372" t="str">
        <f t="shared" si="7"/>
        <v>幻身灵本能</v>
      </c>
      <c r="AA8" s="372" t="str">
        <f t="array" ref="AA8">INDEX(Z:Z,SMALL(IF($Z$2:$Z$16&lt;&gt;"",ROW($2:$16),17),ROW(Z7)))&amp;""</f>
        <v/>
      </c>
      <c r="AB8" s="517">
        <f>IF(主要!$Z90="",0,主要!$Z90)</f>
        <v>0</v>
      </c>
      <c r="AC8" s="306" t="str">
        <f t="shared" si="1"/>
        <v/>
      </c>
      <c r="AD8" s="518" t="str">
        <f t="shared" si="5"/>
        <v/>
      </c>
      <c r="AE8" s="499" t="s">
        <v>525</v>
      </c>
      <c r="AF8" s="499"/>
      <c r="AG8" s="499">
        <v>5</v>
      </c>
      <c r="AH8" s="499">
        <v>7</v>
      </c>
      <c r="AI8" s="516" t="s">
        <v>527</v>
      </c>
      <c r="AJ8" s="520" t="s">
        <v>706</v>
      </c>
      <c r="AK8" s="520" t="str">
        <f t="shared" si="9"/>
        <v>中型</v>
      </c>
      <c r="AL8" s="520" t="str">
        <f t="shared" si="9"/>
        <v>基础步行速度为30尺</v>
      </c>
      <c r="AM8" s="521" t="str">
        <f t="shared" si="9"/>
        <v>和精灵语</v>
      </c>
      <c r="AN8" s="306"/>
      <c r="AO8" s="306"/>
      <c r="AP8" s="306" t="s">
        <v>707</v>
      </c>
      <c r="AQ8" s="306" t="s">
        <v>708</v>
      </c>
      <c r="AR8" s="306" t="s">
        <v>709</v>
      </c>
      <c r="AS8" s="306"/>
      <c r="AT8" s="306" t="s">
        <v>710</v>
      </c>
      <c r="AU8" s="306" t="s">
        <v>711</v>
      </c>
      <c r="AV8" s="306" t="s">
        <v>712</v>
      </c>
      <c r="AW8" s="306" t="s">
        <v>713</v>
      </c>
      <c r="AX8" s="306"/>
      <c r="AY8" s="306"/>
      <c r="AZ8" s="306"/>
      <c r="BA8" s="306"/>
      <c r="BB8" s="306"/>
      <c r="BC8" s="306"/>
      <c r="BD8" s="306"/>
      <c r="BE8" s="306"/>
      <c r="BF8" s="306"/>
      <c r="BG8" s="306" t="s">
        <v>714</v>
      </c>
      <c r="BH8" s="306" t="s">
        <v>715</v>
      </c>
      <c r="BI8" s="306" t="s">
        <v>716</v>
      </c>
      <c r="BJ8" s="306" t="s">
        <v>717</v>
      </c>
      <c r="BK8" s="306" t="s">
        <v>718</v>
      </c>
      <c r="BL8" s="306" t="s">
        <v>719</v>
      </c>
      <c r="BM8" s="306" t="s">
        <v>720</v>
      </c>
      <c r="BN8" s="306" t="s">
        <v>721</v>
      </c>
      <c r="BO8" s="306" t="s">
        <v>722</v>
      </c>
      <c r="BP8" s="306" t="s">
        <v>723</v>
      </c>
      <c r="BQ8" s="306"/>
      <c r="BR8" s="306"/>
      <c r="BS8" s="306" t="s">
        <v>724</v>
      </c>
      <c r="BT8" s="306"/>
    </row>
    <row r="9" customHeight="1" spans="1:73">
      <c r="A9" s="516" t="s">
        <v>725</v>
      </c>
      <c r="B9" s="267" t="str">
        <f>IF(综合数据!B10=TRUE,"探索龙纹","")</f>
        <v>探索龙纹</v>
      </c>
      <c r="C9" s="257" t="str">
        <f>IF(综合数据!B23=TRUE,"阿芒凯牛头怪","")</f>
        <v/>
      </c>
      <c r="D9" s="372" t="str">
        <f t="shared" ref="D9:O9" si="11">""</f>
        <v/>
      </c>
      <c r="E9" s="372" t="str">
        <f t="shared" si="11"/>
        <v/>
      </c>
      <c r="F9" s="372" t="str">
        <f t="shared" si="11"/>
        <v/>
      </c>
      <c r="G9" s="372" t="str">
        <f t="shared" si="11"/>
        <v/>
      </c>
      <c r="H9" s="372" t="str">
        <f t="shared" si="11"/>
        <v/>
      </c>
      <c r="I9" s="372" t="str">
        <f t="shared" si="11"/>
        <v/>
      </c>
      <c r="J9" s="372" t="str">
        <f t="shared" si="11"/>
        <v/>
      </c>
      <c r="K9" s="372" t="str">
        <f t="shared" si="11"/>
        <v/>
      </c>
      <c r="L9" s="372" t="str">
        <f t="shared" si="11"/>
        <v/>
      </c>
      <c r="M9" s="372" t="str">
        <f t="shared" si="11"/>
        <v/>
      </c>
      <c r="N9" s="372" t="str">
        <f t="shared" si="11"/>
        <v/>
      </c>
      <c r="O9" s="372" t="str">
        <f t="shared" si="11"/>
        <v/>
      </c>
      <c r="Q9" s="376"/>
      <c r="S9" s="377" t="str">
        <f t="array" ref="S9">INDEX(A:A,SMALL(IF($A$2:$A$51&lt;&gt;"",ROW($2:$51),52),ROW(A8)))&amp;""</f>
        <v>半兽人</v>
      </c>
      <c r="T9" s="372" t="str">
        <f>INDEX($B$2:$K$51,$T$2,7)</f>
        <v/>
      </c>
      <c r="U9" s="372" t="str">
        <f t="array" ref="U9">INDEX(T:T,SMALL(IF($T$3:$T$15&lt;&gt;"",ROW($3:$15),16),ROW(T8)))&amp;""</f>
        <v/>
      </c>
      <c r="V9" s="307"/>
      <c r="W9" s="373" t="s">
        <v>22</v>
      </c>
      <c r="X9" s="373" t="str">
        <f>IF(T18=0,"","能说、读、写通用语"&amp;IF(V4=0,VLOOKUP($V$3,$AI:$AM,5,0),VLOOKUP($V$4,$AI:$AM,5,0)))</f>
        <v>能说、读、写通用语，以及任意一门自选语言</v>
      </c>
      <c r="Y9" s="374"/>
      <c r="Z9" s="372" t="str">
        <f t="shared" si="7"/>
        <v/>
      </c>
      <c r="AA9" s="372" t="str">
        <f t="array" ref="AA9">INDEX(Z:Z,SMALL(IF($Z$2:$Z$16&lt;&gt;"",ROW($2:$16),17),ROW(Z8)))&amp;""</f>
        <v/>
      </c>
      <c r="AB9" s="517">
        <f>IF(主要!$Z91="",0,主要!$Z91)</f>
        <v>0</v>
      </c>
      <c r="AC9" s="306" t="str">
        <f t="shared" si="1"/>
        <v/>
      </c>
      <c r="AD9" s="518" t="str">
        <f t="shared" si="5"/>
        <v/>
      </c>
      <c r="AE9" s="499" t="s">
        <v>526</v>
      </c>
      <c r="AF9" s="499"/>
      <c r="AG9" s="499">
        <v>8</v>
      </c>
      <c r="AH9" s="499">
        <v>10</v>
      </c>
      <c r="AI9" s="285" t="s">
        <v>726</v>
      </c>
      <c r="AJ9" s="520" t="s">
        <v>568</v>
      </c>
      <c r="AK9" s="520" t="str">
        <f t="shared" si="9"/>
        <v>中型</v>
      </c>
      <c r="AL9" s="520" t="str">
        <f t="shared" si="9"/>
        <v>基础步行速度为30尺</v>
      </c>
      <c r="AM9" s="521" t="s">
        <v>570</v>
      </c>
      <c r="AN9" s="306"/>
      <c r="AO9" s="306"/>
      <c r="AP9" s="306" t="s">
        <v>727</v>
      </c>
      <c r="AQ9" s="306" t="s">
        <v>728</v>
      </c>
      <c r="AR9" s="306" t="s">
        <v>729</v>
      </c>
      <c r="AS9" s="306"/>
      <c r="AT9" s="306" t="s">
        <v>730</v>
      </c>
      <c r="AU9" s="306" t="s">
        <v>731</v>
      </c>
      <c r="AV9" s="306" t="s">
        <v>732</v>
      </c>
      <c r="AW9" s="306" t="s">
        <v>733</v>
      </c>
      <c r="AX9" s="306"/>
      <c r="AY9" s="306"/>
      <c r="AZ9" s="306"/>
      <c r="BA9" s="306"/>
      <c r="BB9" s="306"/>
      <c r="BC9" s="306"/>
      <c r="BD9" s="306"/>
      <c r="BE9" s="306"/>
      <c r="BF9" s="306"/>
      <c r="BG9" s="306" t="s">
        <v>734</v>
      </c>
      <c r="BH9" s="306" t="s">
        <v>735</v>
      </c>
      <c r="BI9" s="306" t="s">
        <v>736</v>
      </c>
      <c r="BJ9" s="306" t="s">
        <v>737</v>
      </c>
      <c r="BK9" s="306" t="s">
        <v>738</v>
      </c>
      <c r="BL9" s="306" t="s">
        <v>739</v>
      </c>
      <c r="BM9" s="306" t="s">
        <v>740</v>
      </c>
      <c r="BN9" s="306" t="s">
        <v>741</v>
      </c>
      <c r="BO9" s="306"/>
      <c r="BP9" s="306" t="s">
        <v>742</v>
      </c>
      <c r="BQ9" s="306"/>
      <c r="BR9" s="306"/>
      <c r="BS9" s="306" t="s">
        <v>743</v>
      </c>
      <c r="BT9" s="306"/>
    </row>
    <row r="10" customHeight="1" spans="1:73">
      <c r="A10" s="516" t="s">
        <v>744</v>
      </c>
      <c r="B10" s="244" t="str">
        <f>IF(综合数据!B5=TRUE,"提夫林变体","")</f>
        <v>提夫林变体</v>
      </c>
      <c r="C10" s="266" t="str">
        <f>IF(综合数据!B8=TRUE,"巴尔泽布","")</f>
        <v>巴尔泽布</v>
      </c>
      <c r="D10" s="266" t="str">
        <f>IF(综合数据!B8=TRUE,"迪斯帕特","")</f>
        <v>迪斯帕特</v>
      </c>
      <c r="E10" s="266" t="str">
        <f>IF(综合数据!B8=TRUE,"菲尔娜","")</f>
        <v>菲尔娜</v>
      </c>
      <c r="F10" s="266" t="str">
        <f>IF(综合数据!B8=TRUE,"格莱西雅","")</f>
        <v>格莱西雅</v>
      </c>
      <c r="G10" s="266" t="str">
        <f>IF(综合数据!B8=TRUE,"莱维斯图斯","")</f>
        <v>莱维斯图斯</v>
      </c>
      <c r="H10" s="266" t="str">
        <f>IF(综合数据!B8=TRUE,"马曼","")</f>
        <v>马曼</v>
      </c>
      <c r="I10" s="266" t="str">
        <f>IF(综合数据!B8=TRUE,"墨菲斯托菲利斯","")</f>
        <v>墨菲斯托菲利斯</v>
      </c>
      <c r="J10" s="266" t="str">
        <f>IF(综合数据!B8=TRUE,"扎瑞尔","")</f>
        <v>扎瑞尔</v>
      </c>
      <c r="K10" s="372" t="str">
        <f>""</f>
        <v/>
      </c>
      <c r="L10" s="372" t="str">
        <f>""</f>
        <v/>
      </c>
      <c r="M10" s="372" t="str">
        <f>""</f>
        <v/>
      </c>
      <c r="N10" s="372" t="str">
        <f>""</f>
        <v/>
      </c>
      <c r="O10" s="372" t="str">
        <f>""</f>
        <v/>
      </c>
      <c r="Q10" s="376"/>
      <c r="S10" s="377" t="str">
        <f t="array" ref="S10">INDEX(A:A,SMALL(IF($A$2:$A$51&lt;&gt;"",ROW($2:$51),52),ROW(A9)))&amp;""</f>
        <v>提夫林</v>
      </c>
      <c r="T10" s="372" t="str">
        <f>INDEX($B$2:$K$51,$T$2,8)</f>
        <v/>
      </c>
      <c r="U10" s="372" t="str">
        <f t="array" ref="U10">INDEX(T:T,SMALL(IF($T$3:$T$15&lt;&gt;"",ROW($3:$15),16),ROW(T9)))&amp;""</f>
        <v/>
      </c>
      <c r="V10" s="307">
        <f>IF($V9+1&gt;$Y$3,IF($X$4+$Y9&gt;$Y$4,"",$X$4+$Y9),$V9+1)</f>
        <v>1</v>
      </c>
      <c r="W10" s="373" t="str">
        <f t="shared" ref="W10:W20" si="12">INDEX($B$54:$AD$159,W$4,$V10)</f>
        <v>精类生物</v>
      </c>
      <c r="X10" s="373" t="str">
        <f t="shared" ref="X10:X20" si="13">INDEX($B$54:$AD$159,W$3,$V10)</f>
        <v>你的生物类型是精类，而非类人</v>
      </c>
      <c r="Y10" s="374">
        <f>IF($V9+1&gt;$Y$3,$Y9+1,0)</f>
        <v>0</v>
      </c>
      <c r="Z10" s="372" t="str">
        <f t="shared" si="7"/>
        <v/>
      </c>
      <c r="AA10" s="372" t="str">
        <f t="array" ref="AA10">INDEX(Z:Z,SMALL(IF($Z$2:$Z$16&lt;&gt;"",ROW($2:$16),17),ROW(Z9)))&amp;""</f>
        <v/>
      </c>
      <c r="AB10" s="517">
        <f>IF(主要!$Z92="",0,主要!$Z92)</f>
        <v>0</v>
      </c>
      <c r="AC10" s="306" t="str">
        <f t="shared" si="1"/>
        <v/>
      </c>
      <c r="AD10" s="518" t="str">
        <f t="shared" si="5"/>
        <v/>
      </c>
      <c r="AE10" s="499" t="s">
        <v>527</v>
      </c>
      <c r="AF10" s="499"/>
      <c r="AG10" s="499">
        <v>11</v>
      </c>
      <c r="AH10" s="499">
        <v>14</v>
      </c>
      <c r="AI10" s="285" t="s">
        <v>745</v>
      </c>
      <c r="AJ10" s="520" t="str">
        <f>AJ9</f>
        <v>自选两项属性分别+2/+1或自选三项属性+1</v>
      </c>
      <c r="AK10" s="520" t="str">
        <f t="shared" ref="AK10:AL13" si="14">AK$6</f>
        <v>中型</v>
      </c>
      <c r="AL10" s="520" t="str">
        <f t="shared" si="14"/>
        <v>基础步行速度为30尺</v>
      </c>
      <c r="AM10" s="521" t="str">
        <f>AM9</f>
        <v>，以及任意一门自选语言</v>
      </c>
      <c r="AN10" s="306"/>
      <c r="AO10" s="306"/>
      <c r="AP10" s="306"/>
      <c r="AQ10" s="306"/>
      <c r="AR10" s="306" t="s">
        <v>746</v>
      </c>
      <c r="AS10" s="306"/>
      <c r="AT10" s="306"/>
      <c r="AU10" s="306"/>
      <c r="AV10" s="306"/>
      <c r="AW10" s="306" t="s">
        <v>180</v>
      </c>
      <c r="AX10" s="306"/>
      <c r="AY10" s="306"/>
      <c r="AZ10" s="306"/>
      <c r="BA10" s="306"/>
      <c r="BB10" s="306"/>
      <c r="BC10" s="306"/>
      <c r="BD10" s="306"/>
      <c r="BE10" s="306"/>
      <c r="BF10" s="306"/>
      <c r="BG10" s="306" t="s">
        <v>747</v>
      </c>
      <c r="BK10" s="306" t="s">
        <v>748</v>
      </c>
      <c r="BL10" s="306" t="s">
        <v>749</v>
      </c>
      <c r="BM10" s="306" t="s">
        <v>750</v>
      </c>
      <c r="BN10" s="306" t="s">
        <v>751</v>
      </c>
    </row>
    <row r="11" customHeight="1" spans="1:73">
      <c r="A11" s="525" t="str">
        <f>IF(OR(综合数据!B6=TRUE,综合数据!B11=TRUE,综合数据!B18=TRUE),"阿斯莫","")</f>
        <v>阿斯莫</v>
      </c>
      <c r="B11" s="372" t="str">
        <f t="shared" ref="B11:O11" si="15">""</f>
        <v/>
      </c>
      <c r="C11" s="372" t="str">
        <f t="shared" si="15"/>
        <v/>
      </c>
      <c r="D11" s="372" t="str">
        <f t="shared" si="15"/>
        <v/>
      </c>
      <c r="E11" s="372" t="str">
        <f t="shared" si="15"/>
        <v/>
      </c>
      <c r="F11" s="372" t="str">
        <f t="shared" si="15"/>
        <v/>
      </c>
      <c r="G11" s="372" t="str">
        <f t="shared" si="15"/>
        <v/>
      </c>
      <c r="H11" s="372" t="str">
        <f t="shared" si="15"/>
        <v/>
      </c>
      <c r="I11" s="372" t="str">
        <f t="shared" si="15"/>
        <v/>
      </c>
      <c r="J11" s="372" t="str">
        <f t="shared" si="15"/>
        <v/>
      </c>
      <c r="K11" s="372" t="str">
        <f t="shared" si="15"/>
        <v/>
      </c>
      <c r="L11" s="372" t="str">
        <f t="shared" si="15"/>
        <v/>
      </c>
      <c r="M11" s="372" t="str">
        <f t="shared" si="15"/>
        <v/>
      </c>
      <c r="N11" s="372" t="str">
        <f t="shared" si="15"/>
        <v/>
      </c>
      <c r="O11" s="372" t="str">
        <f t="shared" si="15"/>
        <v/>
      </c>
      <c r="Q11" s="376"/>
      <c r="S11" s="377" t="str">
        <f t="array" ref="S11">INDEX(A:A,SMALL(IF($A$2:$A$51&lt;&gt;"",ROW($2:$51),52),ROW(A10)))&amp;""</f>
        <v>阿斯莫</v>
      </c>
      <c r="T11" s="372" t="str">
        <f>INDEX($B$2:$K$51,$T$2,9)</f>
        <v/>
      </c>
      <c r="U11" s="372" t="str">
        <f t="array" ref="U11">INDEX(T:T,SMALL(IF($T$3:$T$15&lt;&gt;"",ROW($3:$15),16),ROW(T10)))&amp;""</f>
        <v/>
      </c>
      <c r="V11" s="307">
        <f t="shared" ref="V11:V20" si="16">IF($V10+1&gt;$Y$3,IF($X$4+$Y10&gt;$Y$4,"",$X$4+$Y10),$V10+1)</f>
        <v>2</v>
      </c>
      <c r="W11" s="373" t="str">
        <f t="shared" si="12"/>
        <v>变形生物</v>
      </c>
      <c r="X11" s="373" t="str">
        <f t="shared" si="13"/>
        <v>使用一个动作，你可以改变你的外表和声音。你决定这些变化的特征，包括你的肤色、发长和性别。你也可以调整你的身高和体重，并可以在中型和小型之中改变你的体型。你能够让自己看上去像是其他种族的一员，但这并不会改变你的游戏数据。你不能复制一个你从没见过的生物的外表，而你也必须选择一个和你基本肢体相同的生物。你的衣服和装备不能被这个能力变化
你将一直保持这个形态，直到你用一个动作变回你的真实形态或者你死亡</v>
      </c>
      <c r="Y11" s="374">
        <f t="shared" ref="Y11:Y16" si="17">IF($V10+1&gt;$Y$3,$Y10+1,0)</f>
        <v>0</v>
      </c>
      <c r="Z11" s="372" t="str">
        <f t="shared" si="7"/>
        <v/>
      </c>
      <c r="AA11" s="372" t="str">
        <f t="array" ref="AA11">INDEX(Z:Z,SMALL(IF($Z$2:$Z$16&lt;&gt;"",ROW($2:$16),17),ROW(Z10)))&amp;""</f>
        <v/>
      </c>
      <c r="AB11" s="517">
        <f>IF(主要!$Z93="",0,主要!$Z93)</f>
        <v>0</v>
      </c>
      <c r="AC11" s="306" t="str">
        <f t="shared" si="1"/>
        <v/>
      </c>
      <c r="AD11" s="518" t="str">
        <f t="shared" si="5"/>
        <v/>
      </c>
      <c r="AE11" s="266" t="s">
        <v>726</v>
      </c>
      <c r="AF11" s="266"/>
      <c r="AG11" s="266">
        <v>15</v>
      </c>
      <c r="AH11" s="266">
        <v>15</v>
      </c>
      <c r="AI11" s="285" t="s">
        <v>752</v>
      </c>
      <c r="AJ11" s="520" t="str">
        <f>AJ9</f>
        <v>自选两项属性分别+2/+1或自选三项属性+1</v>
      </c>
      <c r="AK11" s="520" t="str">
        <f t="shared" si="14"/>
        <v>中型</v>
      </c>
      <c r="AL11" s="520" t="str">
        <f t="shared" si="14"/>
        <v>基础步行速度为30尺</v>
      </c>
      <c r="AM11" s="521" t="str">
        <f>AM9</f>
        <v>，以及任意一门自选语言</v>
      </c>
      <c r="AN11" s="306"/>
      <c r="AO11" s="306"/>
      <c r="AP11" s="306"/>
      <c r="AQ11" s="306"/>
      <c r="AR11" s="306" t="s">
        <v>753</v>
      </c>
      <c r="AS11" s="306"/>
      <c r="AT11" s="306"/>
      <c r="AU11" s="306"/>
      <c r="AV11" s="306"/>
      <c r="AW11" s="306" t="s">
        <v>754</v>
      </c>
      <c r="AX11" s="306"/>
      <c r="AY11" s="306"/>
      <c r="AZ11" s="306"/>
      <c r="BA11" s="306"/>
      <c r="BB11" s="306"/>
      <c r="BC11" s="306"/>
      <c r="BD11" s="306"/>
      <c r="BE11" s="306"/>
      <c r="BF11" s="306"/>
      <c r="BG11" s="306" t="s">
        <v>755</v>
      </c>
      <c r="BK11" s="306" t="s">
        <v>756</v>
      </c>
      <c r="BL11" s="306" t="s">
        <v>757</v>
      </c>
      <c r="BM11" s="306" t="s">
        <v>758</v>
      </c>
      <c r="BN11" s="306" t="s">
        <v>759</v>
      </c>
    </row>
    <row r="12" customHeight="1" spans="1:73">
      <c r="A12" s="525" t="str">
        <f>IF(OR(综合数据!B6=TRUE,综合数据!B11=TRUE,综合数据!B18=TRUE),"费尔伯格人","")</f>
        <v>费尔伯格人</v>
      </c>
      <c r="B12" s="372" t="str">
        <f t="shared" ref="B12:O12" si="18">""</f>
        <v/>
      </c>
      <c r="C12" s="372" t="str">
        <f t="shared" si="18"/>
        <v/>
      </c>
      <c r="D12" s="372" t="str">
        <f t="shared" si="18"/>
        <v/>
      </c>
      <c r="E12" s="372" t="str">
        <f t="shared" si="18"/>
        <v/>
      </c>
      <c r="F12" s="372" t="str">
        <f t="shared" si="18"/>
        <v/>
      </c>
      <c r="G12" s="372" t="str">
        <f t="shared" si="18"/>
        <v/>
      </c>
      <c r="H12" s="372" t="str">
        <f t="shared" si="18"/>
        <v/>
      </c>
      <c r="I12" s="372" t="str">
        <f t="shared" si="18"/>
        <v/>
      </c>
      <c r="J12" s="372" t="str">
        <f t="shared" si="18"/>
        <v/>
      </c>
      <c r="K12" s="372" t="str">
        <f t="shared" si="18"/>
        <v/>
      </c>
      <c r="L12" s="372" t="str">
        <f t="shared" si="18"/>
        <v/>
      </c>
      <c r="M12" s="372" t="str">
        <f t="shared" si="18"/>
        <v/>
      </c>
      <c r="N12" s="372" t="str">
        <f t="shared" si="18"/>
        <v/>
      </c>
      <c r="O12" s="372" t="str">
        <f t="shared" si="18"/>
        <v/>
      </c>
      <c r="Q12" s="376"/>
      <c r="S12" s="377" t="str">
        <f t="array" ref="S12">INDEX(A:A,SMALL(IF($A$2:$A$51&lt;&gt;"",ROW($2:$51),52),ROW(A11)))&amp;""</f>
        <v>费尔伯格人</v>
      </c>
      <c r="T12" s="372" t="str">
        <f>INDEX($B$2:$K$51,$T$2,10)</f>
        <v/>
      </c>
      <c r="U12" s="372" t="str">
        <f t="array" ref="U12">INDEX(T:T,SMALL(IF($T$3:$T$15&lt;&gt;"",ROW($3:$15),16),ROW(T11)))&amp;""</f>
        <v/>
      </c>
      <c r="V12" s="307">
        <f t="shared" si="16"/>
        <v>3</v>
      </c>
      <c r="W12" s="373" t="str">
        <f t="shared" si="12"/>
        <v>幻身灵本能</v>
      </c>
      <c r="X12" s="373" t="str">
        <f t="shared" si="13"/>
        <v>你从以下技能中选择两项获得熟练项：欺瞒、洞悉、威吓、表演或游说</v>
      </c>
      <c r="Y12" s="374">
        <f t="shared" si="17"/>
        <v>0</v>
      </c>
      <c r="Z12" s="372" t="str">
        <f t="shared" si="7"/>
        <v/>
      </c>
      <c r="AA12" s="372" t="str">
        <f t="array" ref="AA12">INDEX(Z:Z,SMALL(IF($Z$2:$Z$16&lt;&gt;"",ROW($2:$16),17),ROW(Z11)))&amp;""</f>
        <v/>
      </c>
      <c r="AB12" s="517">
        <f>IF(主要!$Z94="",0,主要!$Z94)</f>
        <v>0</v>
      </c>
      <c r="AC12" s="306" t="str">
        <f t="shared" si="1"/>
        <v/>
      </c>
      <c r="AD12" s="518" t="str">
        <f t="shared" si="5"/>
        <v/>
      </c>
      <c r="AE12" s="266" t="s">
        <v>745</v>
      </c>
      <c r="AF12" s="266"/>
      <c r="AG12" s="266">
        <v>16</v>
      </c>
      <c r="AH12" s="266">
        <v>18</v>
      </c>
      <c r="AI12" s="523" t="s">
        <v>760</v>
      </c>
      <c r="AJ12" s="520" t="s">
        <v>706</v>
      </c>
      <c r="AK12" s="520" t="str">
        <f t="shared" si="14"/>
        <v>中型</v>
      </c>
      <c r="AL12" s="520" t="str">
        <f t="shared" si="14"/>
        <v>基础步行速度为30尺</v>
      </c>
      <c r="AM12" s="521" t="str">
        <f>AM$6</f>
        <v>和精灵语</v>
      </c>
    </row>
    <row r="13" customHeight="1" spans="1:73">
      <c r="A13" s="525" t="str">
        <f>IF(OR(综合数据!B6=TRUE,综合数据!B11=TRUE,综合数据!B18=TRUE),"歌利亚","")</f>
        <v>歌利亚</v>
      </c>
      <c r="B13" s="372" t="str">
        <f t="shared" ref="B13:O13" si="19">""</f>
        <v/>
      </c>
      <c r="C13" s="372" t="str">
        <f t="shared" si="19"/>
        <v/>
      </c>
      <c r="D13" s="372" t="str">
        <f t="shared" si="19"/>
        <v/>
      </c>
      <c r="E13" s="372" t="str">
        <f t="shared" si="19"/>
        <v/>
      </c>
      <c r="F13" s="372" t="str">
        <f t="shared" si="19"/>
        <v/>
      </c>
      <c r="G13" s="372" t="str">
        <f t="shared" si="19"/>
        <v/>
      </c>
      <c r="H13" s="372" t="str">
        <f t="shared" si="19"/>
        <v/>
      </c>
      <c r="I13" s="372" t="str">
        <f t="shared" si="19"/>
        <v/>
      </c>
      <c r="J13" s="372" t="str">
        <f t="shared" si="19"/>
        <v/>
      </c>
      <c r="K13" s="372" t="str">
        <f t="shared" si="19"/>
        <v/>
      </c>
      <c r="L13" s="372" t="str">
        <f t="shared" si="19"/>
        <v/>
      </c>
      <c r="M13" s="372" t="str">
        <f t="shared" si="19"/>
        <v/>
      </c>
      <c r="N13" s="372" t="str">
        <f t="shared" si="19"/>
        <v/>
      </c>
      <c r="O13" s="372" t="str">
        <f t="shared" si="19"/>
        <v/>
      </c>
      <c r="Q13" s="376"/>
      <c r="S13" s="377" t="str">
        <f t="array" ref="S13">INDEX(A:A,SMALL(IF($A$2:$A$51&lt;&gt;"",ROW($2:$51),52),ROW(A12)))&amp;""</f>
        <v>歌利亚</v>
      </c>
      <c r="T13" s="481" t="str">
        <f>IF(综合数据!B15=TRUE,"半血裔","")</f>
        <v>半血裔</v>
      </c>
      <c r="U13" s="372" t="str">
        <f t="array" ref="U13">INDEX(T:T,SMALL(IF($T$3:$T$15&lt;&gt;"",ROW($3:$15),16),ROW(T12)))&amp;""</f>
        <v/>
      </c>
      <c r="V13" s="307" t="e">
        <f t="shared" si="16"/>
        <v>#N/A</v>
      </c>
      <c r="W13" s="373" t="e">
        <f t="shared" si="12"/>
        <v>#N/A</v>
      </c>
      <c r="X13" s="373" t="e">
        <f t="shared" si="13"/>
        <v>#N/A</v>
      </c>
      <c r="Y13" s="374">
        <f t="shared" si="17"/>
        <v>1</v>
      </c>
      <c r="Z13" s="372" t="str">
        <f t="shared" si="7"/>
        <v/>
      </c>
      <c r="AA13" s="372" t="str">
        <f t="array" ref="AA13">INDEX(Z:Z,SMALL(IF($Z$2:$Z$16&lt;&gt;"",ROW($2:$16),17),ROW(Z12)))&amp;""</f>
        <v/>
      </c>
      <c r="AB13" s="517">
        <f>IF(主要!$Z95="",0,主要!$Z95)</f>
        <v>0</v>
      </c>
      <c r="AC13" s="306" t="str">
        <f t="shared" si="1"/>
        <v/>
      </c>
      <c r="AD13" s="518" t="str">
        <f t="shared" si="5"/>
        <v/>
      </c>
      <c r="AE13" s="266" t="s">
        <v>752</v>
      </c>
      <c r="AF13" s="266"/>
      <c r="AG13" s="266">
        <v>19</v>
      </c>
      <c r="AH13" s="266">
        <v>20</v>
      </c>
      <c r="AI13" s="526" t="s">
        <v>761</v>
      </c>
      <c r="AJ13" s="520" t="s">
        <v>679</v>
      </c>
      <c r="AK13" s="520" t="str">
        <f t="shared" si="14"/>
        <v>中型</v>
      </c>
      <c r="AL13" s="520" t="str">
        <f t="shared" si="14"/>
        <v>基础步行速度为30尺</v>
      </c>
      <c r="AM13" s="521" t="str">
        <f>AM$6</f>
        <v>和精灵语</v>
      </c>
    </row>
    <row r="14" customHeight="1" spans="1:73">
      <c r="A14" s="525" t="str">
        <f>IF(OR(综合数据!B6=TRUE,综合数据!B11=TRUE,综合数据!B18=TRUE),"天狗","")</f>
        <v>天狗</v>
      </c>
      <c r="B14" s="372" t="str">
        <f t="shared" ref="B14:O14" si="20">""</f>
        <v/>
      </c>
      <c r="C14" s="372" t="str">
        <f t="shared" si="20"/>
        <v/>
      </c>
      <c r="D14" s="372" t="str">
        <f t="shared" si="20"/>
        <v/>
      </c>
      <c r="E14" s="372" t="str">
        <f t="shared" si="20"/>
        <v/>
      </c>
      <c r="F14" s="372" t="str">
        <f t="shared" si="20"/>
        <v/>
      </c>
      <c r="G14" s="372" t="str">
        <f t="shared" si="20"/>
        <v/>
      </c>
      <c r="H14" s="372" t="str">
        <f t="shared" si="20"/>
        <v/>
      </c>
      <c r="I14" s="372" t="str">
        <f t="shared" si="20"/>
        <v/>
      </c>
      <c r="J14" s="372" t="str">
        <f t="shared" si="20"/>
        <v/>
      </c>
      <c r="K14" s="372" t="str">
        <f t="shared" si="20"/>
        <v/>
      </c>
      <c r="L14" s="372" t="str">
        <f t="shared" si="20"/>
        <v/>
      </c>
      <c r="M14" s="372" t="str">
        <f t="shared" si="20"/>
        <v/>
      </c>
      <c r="N14" s="372" t="str">
        <f t="shared" si="20"/>
        <v/>
      </c>
      <c r="O14" s="372" t="str">
        <f t="shared" si="20"/>
        <v/>
      </c>
      <c r="Q14" s="376"/>
      <c r="S14" s="377" t="str">
        <f t="array" ref="S14">INDEX(A:A,SMALL(IF($A$2:$A$51&lt;&gt;"",ROW($2:$51),52),ROW(A13)))&amp;""</f>
        <v>天狗</v>
      </c>
      <c r="T14" s="481" t="str">
        <f>IF(综合数据!B15=TRUE,"巫咒之子","")</f>
        <v>巫咒之子</v>
      </c>
      <c r="U14" s="372" t="str">
        <f t="array" ref="U14">INDEX(T:T,SMALL(IF($T$3:$T$15&lt;&gt;"",ROW($3:$15),16),ROW(T13)))&amp;""</f>
        <v/>
      </c>
      <c r="V14" s="307" t="e">
        <f t="shared" si="16"/>
        <v>#N/A</v>
      </c>
      <c r="W14" s="373" t="e">
        <f t="shared" si="12"/>
        <v>#N/A</v>
      </c>
      <c r="X14" s="373" t="e">
        <f t="shared" si="13"/>
        <v>#N/A</v>
      </c>
      <c r="Y14" s="374" t="e">
        <f t="shared" si="17"/>
        <v>#N/A</v>
      </c>
      <c r="Z14" s="372" t="str">
        <f t="shared" si="7"/>
        <v/>
      </c>
      <c r="AA14" s="372" t="str">
        <f t="array" ref="AA14">INDEX(Z:Z,SMALL(IF($Z$2:$Z$16&lt;&gt;"",ROW($2:$16),17),ROW(Z13)))&amp;""</f>
        <v/>
      </c>
      <c r="AB14" s="517">
        <f>IF(主要!$Z96="",0,主要!$Z96)</f>
        <v>0</v>
      </c>
      <c r="AC14" s="306" t="str">
        <f t="shared" si="1"/>
        <v/>
      </c>
      <c r="AD14" s="518" t="str">
        <f t="shared" si="5"/>
        <v/>
      </c>
      <c r="AE14" s="267" t="s">
        <v>760</v>
      </c>
      <c r="AF14" s="267"/>
      <c r="AG14" s="267">
        <v>21</v>
      </c>
      <c r="AH14" s="267">
        <v>23</v>
      </c>
      <c r="AI14" s="516" t="s">
        <v>565</v>
      </c>
      <c r="AJ14" s="520" t="s">
        <v>706</v>
      </c>
      <c r="AK14" s="520" t="s">
        <v>528</v>
      </c>
      <c r="AL14" s="520" t="s">
        <v>762</v>
      </c>
      <c r="AM14" s="521" t="s">
        <v>763</v>
      </c>
    </row>
    <row r="15" customHeight="1" spans="1:73">
      <c r="A15" s="525" t="str">
        <f>IF(OR(综合数据!B6=TRUE,综合数据!B18=TRUE),"蜥蜴人","")</f>
        <v>蜥蜴人</v>
      </c>
      <c r="B15" s="372" t="str">
        <f t="shared" ref="B15:O15" si="21">""</f>
        <v/>
      </c>
      <c r="C15" s="372" t="str">
        <f t="shared" si="21"/>
        <v/>
      </c>
      <c r="D15" s="372" t="str">
        <f t="shared" si="21"/>
        <v/>
      </c>
      <c r="E15" s="372" t="str">
        <f t="shared" si="21"/>
        <v/>
      </c>
      <c r="F15" s="372" t="str">
        <f t="shared" si="21"/>
        <v/>
      </c>
      <c r="G15" s="372" t="str">
        <f t="shared" si="21"/>
        <v/>
      </c>
      <c r="H15" s="372" t="str">
        <f t="shared" si="21"/>
        <v/>
      </c>
      <c r="I15" s="372" t="str">
        <f t="shared" si="21"/>
        <v/>
      </c>
      <c r="J15" s="372" t="str">
        <f t="shared" si="21"/>
        <v/>
      </c>
      <c r="K15" s="372" t="str">
        <f t="shared" si="21"/>
        <v/>
      </c>
      <c r="L15" s="372" t="str">
        <f t="shared" si="21"/>
        <v/>
      </c>
      <c r="M15" s="372" t="str">
        <f t="shared" si="21"/>
        <v/>
      </c>
      <c r="N15" s="372" t="str">
        <f t="shared" si="21"/>
        <v/>
      </c>
      <c r="O15" s="372" t="str">
        <f t="shared" si="21"/>
        <v/>
      </c>
      <c r="Q15" s="376"/>
      <c r="S15" s="377" t="str">
        <f t="array" ref="S15">INDEX(A:A,SMALL(IF($A$2:$A$51&lt;&gt;"",ROW($2:$51),52),ROW(A14)))&amp;""</f>
        <v>蜥蜴人</v>
      </c>
      <c r="T15" s="481" t="str">
        <f>IF(综合数据!B15=TRUE,"重生者","")</f>
        <v>重生者</v>
      </c>
      <c r="V15" s="307" t="e">
        <f t="shared" si="16"/>
        <v>#N/A</v>
      </c>
      <c r="W15" s="373" t="e">
        <f t="shared" si="12"/>
        <v>#N/A</v>
      </c>
      <c r="X15" s="373" t="e">
        <f t="shared" si="13"/>
        <v>#N/A</v>
      </c>
      <c r="Y15" s="374" t="e">
        <f t="shared" si="17"/>
        <v>#N/A</v>
      </c>
      <c r="Z15" s="372" t="str">
        <f t="shared" si="7"/>
        <v/>
      </c>
      <c r="AA15" s="372" t="str">
        <f t="array" ref="AA15">INDEX(Z:Z,SMALL(IF($Z$2:$Z$16&lt;&gt;"",ROW($2:$16),17),ROW(Z14)))&amp;""</f>
        <v/>
      </c>
      <c r="AB15" s="517">
        <f>IF(主要!$Z97="",0,主要!$Z97)</f>
        <v>0</v>
      </c>
      <c r="AC15" s="306" t="str">
        <f t="shared" si="1"/>
        <v/>
      </c>
      <c r="AD15" s="518" t="str">
        <f t="shared" si="5"/>
        <v/>
      </c>
      <c r="AE15" s="522" t="s">
        <v>761</v>
      </c>
      <c r="AF15" s="522"/>
      <c r="AG15" s="522">
        <v>24</v>
      </c>
      <c r="AH15" s="522">
        <v>25</v>
      </c>
      <c r="AI15" s="516" t="s">
        <v>566</v>
      </c>
      <c r="AJ15" s="520" t="s">
        <v>764</v>
      </c>
      <c r="AK15" s="520" t="str">
        <f t="shared" ref="AK15:AM19" si="22">AK$14</f>
        <v>小型</v>
      </c>
      <c r="AL15" s="520" t="str">
        <f t="shared" si="22"/>
        <v>基础步行速度为25尺</v>
      </c>
      <c r="AM15" s="521" t="str">
        <f t="shared" si="22"/>
        <v>和半身人语</v>
      </c>
    </row>
    <row r="16" customHeight="1" spans="1:73">
      <c r="A16" s="525" t="str">
        <f>IF(OR(综合数据!B6=TRUE,综合数据!B11=TRUE,综合数据!B18=TRUE),"斑猫人","")</f>
        <v>斑猫人</v>
      </c>
      <c r="B16" s="372" t="str">
        <f t="shared" ref="B16:O16" si="23">""</f>
        <v/>
      </c>
      <c r="C16" s="372" t="str">
        <f t="shared" si="23"/>
        <v/>
      </c>
      <c r="D16" s="372" t="str">
        <f t="shared" si="23"/>
        <v/>
      </c>
      <c r="E16" s="372" t="str">
        <f t="shared" si="23"/>
        <v/>
      </c>
      <c r="F16" s="372" t="str">
        <f t="shared" si="23"/>
        <v/>
      </c>
      <c r="G16" s="372" t="str">
        <f t="shared" si="23"/>
        <v/>
      </c>
      <c r="H16" s="372" t="str">
        <f t="shared" si="23"/>
        <v/>
      </c>
      <c r="I16" s="372" t="str">
        <f t="shared" si="23"/>
        <v/>
      </c>
      <c r="J16" s="372" t="str">
        <f t="shared" si="23"/>
        <v/>
      </c>
      <c r="K16" s="372" t="str">
        <f t="shared" si="23"/>
        <v/>
      </c>
      <c r="L16" s="372" t="str">
        <f t="shared" si="23"/>
        <v/>
      </c>
      <c r="M16" s="372" t="str">
        <f t="shared" si="23"/>
        <v/>
      </c>
      <c r="N16" s="372" t="str">
        <f t="shared" si="23"/>
        <v/>
      </c>
      <c r="O16" s="372" t="str">
        <f t="shared" si="23"/>
        <v/>
      </c>
      <c r="Q16" s="376"/>
      <c r="S16" s="377" t="str">
        <f t="array" ref="S16">INDEX(A:A,SMALL(IF($A$2:$A$51&lt;&gt;"",ROW($2:$51),52),ROW(A15)))&amp;""</f>
        <v>斑猫人</v>
      </c>
      <c r="V16" s="307" t="e">
        <f t="shared" si="16"/>
        <v>#N/A</v>
      </c>
      <c r="W16" s="373" t="e">
        <f t="shared" si="12"/>
        <v>#N/A</v>
      </c>
      <c r="X16" s="373" t="e">
        <f t="shared" si="13"/>
        <v>#N/A</v>
      </c>
      <c r="Y16" s="374" t="e">
        <f t="shared" si="17"/>
        <v>#N/A</v>
      </c>
      <c r="Z16" s="382" t="str">
        <f t="shared" si="7"/>
        <v/>
      </c>
      <c r="AA16" s="382" t="str">
        <f t="array" ref="AA16">INDEX(Z:Z,SMALL(IF($Z$2:$Z$16&lt;&gt;"",ROW($2:$16),17),ROW(Z15)))&amp;""</f>
        <v/>
      </c>
      <c r="AB16" s="517" t="s">
        <v>765</v>
      </c>
      <c r="AC16" s="499">
        <f>COUNTIF(AD2:AD15,"&gt;1")</f>
        <v>0</v>
      </c>
      <c r="AD16" s="527" t="s">
        <v>766</v>
      </c>
      <c r="AE16" s="519" t="s">
        <v>564</v>
      </c>
      <c r="AF16" s="519">
        <f>AF7+1</f>
        <v>3</v>
      </c>
      <c r="AG16" s="519">
        <v>1</v>
      </c>
      <c r="AH16" s="519">
        <v>3</v>
      </c>
      <c r="AI16" s="528" t="s">
        <v>767</v>
      </c>
      <c r="AJ16" s="520" t="s">
        <v>679</v>
      </c>
      <c r="AK16" s="520" t="str">
        <f t="shared" si="22"/>
        <v>小型</v>
      </c>
      <c r="AL16" s="520" t="str">
        <f t="shared" si="22"/>
        <v>基础步行速度为25尺</v>
      </c>
      <c r="AM16" s="521" t="str">
        <f t="shared" si="22"/>
        <v>和半身人语</v>
      </c>
    </row>
    <row r="17" customHeight="1" spans="1:39">
      <c r="A17" s="525" t="str">
        <f>IF(OR(综合数据!B6=TRUE,综合数据!B18=TRUE),"梭螺鱼人","")</f>
        <v>梭螺鱼人</v>
      </c>
      <c r="B17" s="372" t="str">
        <f t="shared" ref="B17:O17" si="24">""</f>
        <v/>
      </c>
      <c r="C17" s="372" t="str">
        <f t="shared" si="24"/>
        <v/>
      </c>
      <c r="D17" s="372" t="str">
        <f t="shared" si="24"/>
        <v/>
      </c>
      <c r="E17" s="372" t="str">
        <f t="shared" si="24"/>
        <v/>
      </c>
      <c r="F17" s="372" t="str">
        <f t="shared" si="24"/>
        <v/>
      </c>
      <c r="G17" s="372" t="str">
        <f t="shared" si="24"/>
        <v/>
      </c>
      <c r="H17" s="372" t="str">
        <f t="shared" si="24"/>
        <v/>
      </c>
      <c r="I17" s="372" t="str">
        <f t="shared" si="24"/>
        <v/>
      </c>
      <c r="J17" s="372" t="str">
        <f t="shared" si="24"/>
        <v/>
      </c>
      <c r="K17" s="372" t="str">
        <f t="shared" si="24"/>
        <v/>
      </c>
      <c r="L17" s="372" t="str">
        <f t="shared" si="24"/>
        <v/>
      </c>
      <c r="M17" s="372" t="str">
        <f t="shared" si="24"/>
        <v/>
      </c>
      <c r="N17" s="372" t="str">
        <f t="shared" si="24"/>
        <v/>
      </c>
      <c r="O17" s="372" t="str">
        <f t="shared" si="24"/>
        <v/>
      </c>
      <c r="Q17" s="376"/>
      <c r="S17" s="377" t="str">
        <f t="array" ref="S17">INDEX(A:A,SMALL(IF($A$2:$A$51&lt;&gt;"",ROW($2:$51),52),ROW(A16)))&amp;""</f>
        <v>梭螺鱼人</v>
      </c>
      <c r="T17" s="373" t="s">
        <v>768</v>
      </c>
      <c r="U17" s="373" t="s">
        <v>769</v>
      </c>
      <c r="V17" s="307" t="e">
        <f t="shared" si="16"/>
        <v>#N/A</v>
      </c>
      <c r="W17" s="373" t="e">
        <f t="shared" si="12"/>
        <v>#N/A</v>
      </c>
      <c r="X17" s="373" t="e">
        <f t="shared" si="13"/>
        <v>#N/A</v>
      </c>
      <c r="Y17" s="374" t="e">
        <f t="shared" ref="Y17:Y20" si="25">IF($V16+1&gt;$Y$3,$Y16+1,0)</f>
        <v>#N/A</v>
      </c>
      <c r="AB17" s="517" t="s">
        <v>770</v>
      </c>
      <c r="AC17" s="499">
        <f>COUNTIF(AC18:AC25,"&gt;1")</f>
        <v>0</v>
      </c>
      <c r="AD17" s="527">
        <f>IF(OR(AND(V2&lt;5,AD21&gt;0),AD19+AD21&gt;2,AD21&gt;1),2,0)</f>
        <v>0</v>
      </c>
      <c r="AE17" s="499" t="s">
        <v>565</v>
      </c>
      <c r="AF17" s="499"/>
      <c r="AG17" s="499">
        <v>4</v>
      </c>
      <c r="AH17" s="499">
        <v>4</v>
      </c>
      <c r="AI17" s="523" t="s">
        <v>771</v>
      </c>
      <c r="AJ17" s="520" t="s">
        <v>679</v>
      </c>
      <c r="AK17" s="520" t="str">
        <f t="shared" si="22"/>
        <v>小型</v>
      </c>
      <c r="AL17" s="520" t="str">
        <f t="shared" si="22"/>
        <v>基础步行速度为25尺</v>
      </c>
      <c r="AM17" s="521" t="str">
        <f t="shared" si="22"/>
        <v>和半身人语</v>
      </c>
    </row>
    <row r="18" customHeight="1" spans="1:39">
      <c r="A18" s="525" t="str">
        <f>IF(OR(综合数据!B6=TRUE,综合数据!B11=TRUE,综合数据!B18=TRUE),"地精","")</f>
        <v>地精</v>
      </c>
      <c r="B18" s="529" t="s">
        <v>772</v>
      </c>
      <c r="C18" s="529" t="s">
        <v>773</v>
      </c>
      <c r="D18" s="257" t="str">
        <f>IF(综合数据!B23=TRUE,"依夏兰","")</f>
        <v/>
      </c>
      <c r="E18" s="257" t="str">
        <f>IF(综合数据!B23=TRUE,"赞迪卡","")</f>
        <v/>
      </c>
      <c r="F18" s="372" t="str">
        <f t="shared" ref="F18:O18" si="26">""</f>
        <v/>
      </c>
      <c r="G18" s="372" t="str">
        <f t="shared" si="26"/>
        <v/>
      </c>
      <c r="H18" s="372" t="str">
        <f t="shared" si="26"/>
        <v/>
      </c>
      <c r="I18" s="372" t="str">
        <f t="shared" si="26"/>
        <v/>
      </c>
      <c r="J18" s="372" t="str">
        <f t="shared" si="26"/>
        <v/>
      </c>
      <c r="K18" s="372" t="str">
        <f t="shared" si="26"/>
        <v/>
      </c>
      <c r="L18" s="372" t="str">
        <f t="shared" si="26"/>
        <v/>
      </c>
      <c r="M18" s="372" t="str">
        <f t="shared" si="26"/>
        <v/>
      </c>
      <c r="N18" s="372" t="str">
        <f t="shared" si="26"/>
        <v/>
      </c>
      <c r="O18" s="372" t="str">
        <f t="shared" si="26"/>
        <v/>
      </c>
      <c r="Q18" s="376"/>
      <c r="S18" s="377" t="str">
        <f t="array" ref="S18">INDEX(A:A,SMALL(IF($A$2:$A$51&lt;&gt;"",ROW($2:$51),52),ROW(A17)))&amp;""</f>
        <v>地精</v>
      </c>
      <c r="T18" s="382" t="str">
        <f>IF($V4=0,"",COUNTIF($T$3:$T$15,$V4))</f>
        <v/>
      </c>
      <c r="U18" s="382" t="str">
        <f>IF(AND(V4=0,OR(V3=A2,V3=A3,V3=A4,V3=A7,V3=A22,V3=A33,V3=A50,V3=A51)),1,"")</f>
        <v/>
      </c>
      <c r="V18" s="307" t="e">
        <f t="shared" si="16"/>
        <v>#N/A</v>
      </c>
      <c r="W18" s="373" t="e">
        <f t="shared" si="12"/>
        <v>#N/A</v>
      </c>
      <c r="X18" s="373" t="e">
        <f t="shared" si="13"/>
        <v>#N/A</v>
      </c>
      <c r="Y18" s="374" t="e">
        <f t="shared" si="25"/>
        <v>#N/A</v>
      </c>
      <c r="AB18" s="528" t="s">
        <v>774</v>
      </c>
      <c r="AC18" s="499">
        <f>IF(V3=A8,COUNTIF($AB$2:$AB$15,"多才多艺")+COUNTIF($AB$2:$AB$15,"敏锐感官")+COUNTIF($AB$2:$AB$15,"木精灵武器训练")+COUNTIF($AB$2:$AB$15,"轻捷步伐")+COUNTIF($AB$2:$AB$15,"野性面具"),0)</f>
        <v>0</v>
      </c>
      <c r="AD18" s="530" t="s">
        <v>775</v>
      </c>
      <c r="AE18" s="499" t="s">
        <v>566</v>
      </c>
      <c r="AF18" s="499"/>
      <c r="AG18" s="499">
        <v>5</v>
      </c>
      <c r="AH18" s="499">
        <v>5</v>
      </c>
      <c r="AI18" s="523" t="s">
        <v>776</v>
      </c>
      <c r="AJ18" s="520" t="s">
        <v>706</v>
      </c>
      <c r="AK18" s="520" t="str">
        <f t="shared" si="22"/>
        <v>小型</v>
      </c>
      <c r="AL18" s="520" t="str">
        <f t="shared" si="22"/>
        <v>基础步行速度为25尺</v>
      </c>
      <c r="AM18" s="521" t="str">
        <f t="shared" si="22"/>
        <v>和半身人语</v>
      </c>
    </row>
    <row r="19" customHeight="1" spans="1:39">
      <c r="A19" s="525" t="str">
        <f>IF(OR(综合数据!B6=TRUE,综合数据!B18=TRUE),"狗头人","")</f>
        <v>狗头人</v>
      </c>
      <c r="B19" s="372" t="str">
        <f t="shared" ref="B19:O19" si="27">""</f>
        <v/>
      </c>
      <c r="C19" s="372" t="str">
        <f t="shared" si="27"/>
        <v/>
      </c>
      <c r="D19" s="372" t="str">
        <f t="shared" si="27"/>
        <v/>
      </c>
      <c r="E19" s="372" t="str">
        <f t="shared" si="27"/>
        <v/>
      </c>
      <c r="F19" s="372" t="str">
        <f t="shared" si="27"/>
        <v/>
      </c>
      <c r="G19" s="372" t="str">
        <f t="shared" si="27"/>
        <v/>
      </c>
      <c r="H19" s="372" t="str">
        <f t="shared" si="27"/>
        <v/>
      </c>
      <c r="I19" s="372" t="str">
        <f t="shared" si="27"/>
        <v/>
      </c>
      <c r="J19" s="372" t="str">
        <f t="shared" si="27"/>
        <v/>
      </c>
      <c r="K19" s="372" t="str">
        <f t="shared" si="27"/>
        <v/>
      </c>
      <c r="L19" s="372" t="str">
        <f t="shared" si="27"/>
        <v/>
      </c>
      <c r="M19" s="372" t="str">
        <f t="shared" si="27"/>
        <v/>
      </c>
      <c r="N19" s="372" t="str">
        <f t="shared" si="27"/>
        <v/>
      </c>
      <c r="O19" s="372" t="str">
        <f t="shared" si="27"/>
        <v/>
      </c>
      <c r="Q19" s="376"/>
      <c r="S19" s="377" t="str">
        <f t="array" ref="S19">INDEX(A:A,SMALL(IF($A$2:$A$51&lt;&gt;"",ROW($2:$51),52),ROW(A18)))&amp;""</f>
        <v>狗头人</v>
      </c>
      <c r="V19" s="307" t="e">
        <f t="shared" si="16"/>
        <v>#N/A</v>
      </c>
      <c r="W19" s="373" t="e">
        <f t="shared" si="12"/>
        <v>#N/A</v>
      </c>
      <c r="X19" s="373" t="e">
        <f t="shared" si="13"/>
        <v>#N/A</v>
      </c>
      <c r="Y19" s="374" t="e">
        <f t="shared" si="25"/>
        <v>#N/A</v>
      </c>
      <c r="AB19" s="528" t="s">
        <v>777</v>
      </c>
      <c r="AC19" s="499">
        <f>IF(V3=A8,COUNTIF($AB$2:$AB$15,"多才多艺")+COUNTIF($AB$2:$AB$15,"敏锐感官")+COUNTIF($AB$2:$AB$15,"高等精灵武器训练")+COUNTIF($AB$2:$AB$15,"戏法"),0)</f>
        <v>0</v>
      </c>
      <c r="AD19" s="527">
        <f>IF(V3=A26,COUNTIF($AB$2:$AB$15,"蝠鲼滑翔")+COUNTIF($AB$2:$AB$15,"灵活攀登")+COUNTIF($AB$2:$AB$15,"水下适应"),0)</f>
        <v>0</v>
      </c>
      <c r="AE19" s="244" t="s">
        <v>767</v>
      </c>
      <c r="AF19" s="244"/>
      <c r="AG19" s="244">
        <v>6</v>
      </c>
      <c r="AH19" s="244">
        <v>6</v>
      </c>
      <c r="AI19" s="526" t="s">
        <v>778</v>
      </c>
      <c r="AJ19" s="520" t="s">
        <v>679</v>
      </c>
      <c r="AK19" s="520" t="str">
        <f t="shared" si="22"/>
        <v>小型</v>
      </c>
      <c r="AL19" s="520" t="str">
        <f t="shared" si="22"/>
        <v>基础步行速度为25尺</v>
      </c>
      <c r="AM19" s="521" t="str">
        <f t="shared" si="22"/>
        <v>和半身人语</v>
      </c>
    </row>
    <row r="20" customHeight="1" spans="1:39">
      <c r="A20" s="525" t="str">
        <f>IF(OR(综合数据!B6=TRUE,综合数据!B10=TRUE,综合数据!B11=TRUE,综合数据!B18=TRUE),"兽人","")</f>
        <v>兽人</v>
      </c>
      <c r="B20" s="372" t="str">
        <f t="shared" ref="B20:O20" si="28">""</f>
        <v/>
      </c>
      <c r="C20" s="372" t="str">
        <f t="shared" si="28"/>
        <v/>
      </c>
      <c r="D20" s="372" t="str">
        <f t="shared" si="28"/>
        <v/>
      </c>
      <c r="E20" s="372" t="str">
        <f t="shared" si="28"/>
        <v/>
      </c>
      <c r="F20" s="372" t="str">
        <f t="shared" si="28"/>
        <v/>
      </c>
      <c r="G20" s="372" t="str">
        <f t="shared" si="28"/>
        <v/>
      </c>
      <c r="H20" s="372" t="str">
        <f t="shared" si="28"/>
        <v/>
      </c>
      <c r="I20" s="372" t="str">
        <f t="shared" si="28"/>
        <v/>
      </c>
      <c r="J20" s="372" t="str">
        <f t="shared" si="28"/>
        <v/>
      </c>
      <c r="K20" s="372" t="str">
        <f t="shared" si="28"/>
        <v/>
      </c>
      <c r="L20" s="372" t="str">
        <f t="shared" si="28"/>
        <v/>
      </c>
      <c r="M20" s="372" t="str">
        <f t="shared" si="28"/>
        <v/>
      </c>
      <c r="N20" s="372" t="str">
        <f t="shared" si="28"/>
        <v/>
      </c>
      <c r="O20" s="372" t="str">
        <f t="shared" si="28"/>
        <v/>
      </c>
      <c r="Q20" s="376"/>
      <c r="S20" s="377" t="str">
        <f t="array" ref="S20">INDEX(A:A,SMALL(IF($A$2:$A$51&lt;&gt;"",ROW($2:$51),52),ROW(A19)))&amp;""</f>
        <v>兽人</v>
      </c>
      <c r="V20" s="384" t="e">
        <f t="shared" si="16"/>
        <v>#N/A</v>
      </c>
      <c r="W20" s="381" t="e">
        <f t="shared" si="12"/>
        <v>#N/A</v>
      </c>
      <c r="X20" s="381" t="e">
        <f t="shared" si="13"/>
        <v>#N/A</v>
      </c>
      <c r="Y20" s="490" t="e">
        <f t="shared" si="25"/>
        <v>#N/A</v>
      </c>
      <c r="AB20" s="528" t="s">
        <v>779</v>
      </c>
      <c r="AC20" s="499">
        <f>IF(V3=A8,COUNTIF($AB$2:$AB$15,"多才多艺")+COUNTIF($AB$2:$AB$15,"敏锐感官")+COUNTIF($AB$2:$AB$15,"卓尔魔法"),0)</f>
        <v>0</v>
      </c>
      <c r="AD20" s="518" t="s">
        <v>780</v>
      </c>
      <c r="AE20" s="267" t="s">
        <v>771</v>
      </c>
      <c r="AF20" s="267"/>
      <c r="AG20" s="267">
        <v>7</v>
      </c>
      <c r="AH20" s="267">
        <v>9</v>
      </c>
      <c r="AI20" s="516" t="s">
        <v>605</v>
      </c>
      <c r="AJ20" s="520" t="s">
        <v>781</v>
      </c>
      <c r="AK20" s="520" t="s">
        <v>487</v>
      </c>
      <c r="AL20" s="520" t="s">
        <v>569</v>
      </c>
      <c r="AM20" s="521" t="s">
        <v>570</v>
      </c>
    </row>
    <row r="21" customHeight="1" spans="1:39">
      <c r="A21" s="525" t="str">
        <f>IF(OR(综合数据!B6=TRUE,综合数据!B18=TRUE),"原体蛇人","")</f>
        <v>原体蛇人</v>
      </c>
      <c r="B21" s="372" t="str">
        <f t="shared" ref="B21:O21" si="29">""</f>
        <v/>
      </c>
      <c r="C21" s="372" t="str">
        <f t="shared" si="29"/>
        <v/>
      </c>
      <c r="D21" s="372" t="str">
        <f t="shared" si="29"/>
        <v/>
      </c>
      <c r="E21" s="372" t="str">
        <f t="shared" si="29"/>
        <v/>
      </c>
      <c r="F21" s="372" t="str">
        <f t="shared" si="29"/>
        <v/>
      </c>
      <c r="G21" s="372" t="str">
        <f t="shared" si="29"/>
        <v/>
      </c>
      <c r="H21" s="372" t="str">
        <f t="shared" si="29"/>
        <v/>
      </c>
      <c r="I21" s="372" t="str">
        <f t="shared" si="29"/>
        <v/>
      </c>
      <c r="J21" s="372" t="str">
        <f t="shared" si="29"/>
        <v/>
      </c>
      <c r="K21" s="372" t="str">
        <f t="shared" si="29"/>
        <v/>
      </c>
      <c r="L21" s="372" t="str">
        <f t="shared" si="29"/>
        <v/>
      </c>
      <c r="M21" s="372" t="str">
        <f t="shared" si="29"/>
        <v/>
      </c>
      <c r="N21" s="372" t="str">
        <f t="shared" si="29"/>
        <v/>
      </c>
      <c r="O21" s="372" t="str">
        <f t="shared" si="29"/>
        <v/>
      </c>
      <c r="Q21" s="376"/>
      <c r="S21" s="377" t="str">
        <f t="array" ref="S21">INDEX(A:A,SMALL(IF($A$2:$A$51&lt;&gt;"",ROW($2:$51),52),ROW(A20)))&amp;""</f>
        <v>原体蛇人</v>
      </c>
      <c r="W21" s="193"/>
      <c r="X21" s="193"/>
      <c r="AB21" s="528" t="s">
        <v>782</v>
      </c>
      <c r="AC21" s="499">
        <f>IF(V3=A8,COUNTIF($AB$2:$AB$15,"多才多艺")+COUNTIF($AB$2:$AB$15,"敏锐感官")+COUNTIF($AB$2:$AB$15,"游泳速度"),0)</f>
        <v>0</v>
      </c>
      <c r="AD21" s="527">
        <f>IF(V3=A26,COUNTIF($AB$2:$AB$15,"斗殴附件")+COUNTIF($AB$2:$AB$15,"甲壳")+COUNTIF($AB$2:$AB$15,"酸液喷吐"),0)</f>
        <v>0</v>
      </c>
      <c r="AE21" s="267" t="s">
        <v>776</v>
      </c>
      <c r="AF21" s="267"/>
      <c r="AG21" s="267">
        <v>10</v>
      </c>
      <c r="AH21" s="267">
        <v>12</v>
      </c>
      <c r="AI21" s="516" t="s">
        <v>606</v>
      </c>
      <c r="AJ21" s="520" t="s">
        <v>783</v>
      </c>
      <c r="AK21" s="520" t="str">
        <f>AK$20</f>
        <v>中型</v>
      </c>
      <c r="AL21" s="520" t="str">
        <f>AL$20</f>
        <v>基础步行速度为30尺</v>
      </c>
      <c r="AM21" s="521" t="str">
        <f>AM$20</f>
        <v>，以及任意一门自选语言</v>
      </c>
    </row>
    <row r="22" customHeight="1" spans="1:39">
      <c r="A22" s="285" t="str">
        <f>IF(OR(综合数据!B8=TRUE,综合数据!B18=TRUE),"吉斯人","")</f>
        <v>吉斯人</v>
      </c>
      <c r="B22" s="266" t="s">
        <v>784</v>
      </c>
      <c r="C22" s="266" t="s">
        <v>785</v>
      </c>
      <c r="D22" s="372" t="str">
        <f t="shared" ref="D22:O22" si="30">""</f>
        <v/>
      </c>
      <c r="E22" s="372" t="str">
        <f t="shared" si="30"/>
        <v/>
      </c>
      <c r="F22" s="372" t="str">
        <f t="shared" si="30"/>
        <v/>
      </c>
      <c r="G22" s="372" t="str">
        <f t="shared" si="30"/>
        <v/>
      </c>
      <c r="H22" s="372" t="str">
        <f t="shared" si="30"/>
        <v/>
      </c>
      <c r="I22" s="372" t="str">
        <f t="shared" si="30"/>
        <v/>
      </c>
      <c r="J22" s="372" t="str">
        <f t="shared" si="30"/>
        <v/>
      </c>
      <c r="K22" s="372" t="str">
        <f t="shared" si="30"/>
        <v/>
      </c>
      <c r="L22" s="372" t="str">
        <f t="shared" si="30"/>
        <v/>
      </c>
      <c r="M22" s="372" t="str">
        <f t="shared" si="30"/>
        <v/>
      </c>
      <c r="N22" s="372" t="str">
        <f t="shared" si="30"/>
        <v/>
      </c>
      <c r="O22" s="372" t="str">
        <f t="shared" si="30"/>
        <v/>
      </c>
      <c r="Q22" s="376"/>
      <c r="S22" s="377" t="str">
        <f t="array" ref="S22">INDEX(A:A,SMALL(IF($A$2:$A$51&lt;&gt;"",ROW($2:$51),52),ROW(A21)))&amp;""</f>
        <v>吉斯人</v>
      </c>
      <c r="W22" s="193"/>
      <c r="X22" s="193"/>
      <c r="AB22" s="528" t="s">
        <v>786</v>
      </c>
      <c r="AC22" s="499">
        <f>IF(V3=A10,COUNTIF($AB$2:$AB$15,"地狱遗赠")+COUNTIF($AB$2:$AB$15,"魔鬼之舌")+COUNTIF($AB$2:$AB$15,"地狱之火")+COUNTIF($AB$2:$AB$15,"飞翼"),0)</f>
        <v>0</v>
      </c>
      <c r="AD22" s="527"/>
      <c r="AE22" s="522" t="s">
        <v>778</v>
      </c>
      <c r="AF22" s="522"/>
      <c r="AG22" s="522">
        <v>13</v>
      </c>
      <c r="AH22" s="522">
        <v>14</v>
      </c>
      <c r="AI22" s="523" t="s">
        <v>787</v>
      </c>
      <c r="AJ22" s="520" t="s">
        <v>788</v>
      </c>
      <c r="AK22" s="520" t="str">
        <f t="shared" ref="AK22:AL30" si="31">AK$20</f>
        <v>中型</v>
      </c>
      <c r="AL22" s="520" t="str">
        <f t="shared" si="31"/>
        <v>基础步行速度为30尺</v>
      </c>
      <c r="AM22" s="521" t="str">
        <f>IF(V3=A9,"、兽人语和地精语","和地精语，以及任意一门自选语言")</f>
        <v>和地精语，以及任意一门自选语言</v>
      </c>
    </row>
    <row r="23" customHeight="1" spans="1:39">
      <c r="A23" s="531" t="str">
        <f>IF(OR(综合数据!B9=TRUE,综合数据!B18=TRUE),"人马","")</f>
        <v>人马</v>
      </c>
      <c r="B23" s="372" t="str">
        <f t="shared" ref="B23:O23" si="32">""</f>
        <v/>
      </c>
      <c r="C23" s="372" t="str">
        <f t="shared" si="32"/>
        <v/>
      </c>
      <c r="D23" s="372" t="str">
        <f t="shared" si="32"/>
        <v/>
      </c>
      <c r="E23" s="372" t="str">
        <f t="shared" si="32"/>
        <v/>
      </c>
      <c r="F23" s="372" t="str">
        <f t="shared" si="32"/>
        <v/>
      </c>
      <c r="G23" s="372" t="str">
        <f t="shared" si="32"/>
        <v/>
      </c>
      <c r="H23" s="372" t="str">
        <f t="shared" si="32"/>
        <v/>
      </c>
      <c r="I23" s="372" t="str">
        <f t="shared" si="32"/>
        <v/>
      </c>
      <c r="J23" s="372" t="str">
        <f t="shared" si="32"/>
        <v/>
      </c>
      <c r="K23" s="372" t="str">
        <f t="shared" si="32"/>
        <v/>
      </c>
      <c r="L23" s="372" t="str">
        <f t="shared" si="32"/>
        <v/>
      </c>
      <c r="M23" s="372" t="str">
        <f t="shared" si="32"/>
        <v/>
      </c>
      <c r="N23" s="372" t="str">
        <f t="shared" si="32"/>
        <v/>
      </c>
      <c r="O23" s="372" t="str">
        <f t="shared" si="32"/>
        <v/>
      </c>
      <c r="Q23" s="376"/>
      <c r="S23" s="377" t="str">
        <f t="array" ref="S23">INDEX(A:A,SMALL(IF($A$2:$A$51&lt;&gt;"",ROW($2:$51),52),ROW(A22)))&amp;""</f>
        <v>人马</v>
      </c>
      <c r="W23" s="193"/>
      <c r="X23" s="193"/>
      <c r="AB23" s="491" t="s">
        <v>789</v>
      </c>
      <c r="AC23" s="372">
        <f>IF(V3=A11,COUNTIF($AB$2:$AB$15,"死灵环绕")+COUNTIF($AB$2:$AB$15,"光辉焚化")+COUNTIF($AB$2:$AB$15,"光辉灵魂"),0)</f>
        <v>0</v>
      </c>
      <c r="AD23" s="376"/>
      <c r="AE23" s="519" t="s">
        <v>605</v>
      </c>
      <c r="AF23" s="519">
        <f>AF16+1</f>
        <v>4</v>
      </c>
      <c r="AG23" s="519">
        <v>1</v>
      </c>
      <c r="AH23" s="519">
        <v>0</v>
      </c>
      <c r="AI23" s="523" t="s">
        <v>790</v>
      </c>
      <c r="AJ23" s="520" t="s">
        <v>791</v>
      </c>
      <c r="AK23" s="520" t="str">
        <f t="shared" si="31"/>
        <v>中型</v>
      </c>
      <c r="AL23" s="520" t="str">
        <f t="shared" si="31"/>
        <v>基础步行速度为30尺</v>
      </c>
      <c r="AM23" s="521" t="str">
        <f>AM$20</f>
        <v>，以及任意一门自选语言</v>
      </c>
    </row>
    <row r="24" customHeight="1" spans="1:39">
      <c r="A24" s="531" t="str">
        <f>IF(OR(综合数据!B9=TRUE,综合数据!B18=TRUE),"牛头人","")</f>
        <v>牛头人</v>
      </c>
      <c r="B24" s="372" t="str">
        <f t="shared" ref="B24:O24" si="33">""</f>
        <v/>
      </c>
      <c r="C24" s="372" t="str">
        <f t="shared" si="33"/>
        <v/>
      </c>
      <c r="D24" s="372" t="str">
        <f t="shared" si="33"/>
        <v/>
      </c>
      <c r="E24" s="372" t="str">
        <f t="shared" si="33"/>
        <v/>
      </c>
      <c r="F24" s="372" t="str">
        <f t="shared" si="33"/>
        <v/>
      </c>
      <c r="G24" s="372" t="str">
        <f t="shared" si="33"/>
        <v/>
      </c>
      <c r="H24" s="372" t="str">
        <f t="shared" si="33"/>
        <v/>
      </c>
      <c r="I24" s="372" t="str">
        <f t="shared" si="33"/>
        <v/>
      </c>
      <c r="J24" s="372" t="str">
        <f t="shared" si="33"/>
        <v/>
      </c>
      <c r="K24" s="372" t="str">
        <f t="shared" si="33"/>
        <v/>
      </c>
      <c r="L24" s="372" t="str">
        <f t="shared" si="33"/>
        <v/>
      </c>
      <c r="M24" s="372" t="str">
        <f t="shared" si="33"/>
        <v/>
      </c>
      <c r="N24" s="372" t="str">
        <f t="shared" si="33"/>
        <v/>
      </c>
      <c r="O24" s="372" t="str">
        <f t="shared" si="33"/>
        <v/>
      </c>
      <c r="Q24" s="376"/>
      <c r="S24" s="377" t="str">
        <f t="array" ref="S24">INDEX(A:A,SMALL(IF($A$2:$A$51&lt;&gt;"",ROW($2:$51),52),ROW(A23)))&amp;""</f>
        <v>牛头人</v>
      </c>
      <c r="W24" s="193"/>
      <c r="X24" s="193"/>
      <c r="AB24" s="307" t="s">
        <v>792</v>
      </c>
      <c r="AC24" s="372">
        <f>IF(V3=A19,COUNTIF($AB$2:$AB$15,"狡猾")+COUNTIF($AB$2:$AB$15,"反抗")+COUNTIF($AB$2:$AB$15,"龙族术法"),0)</f>
        <v>0</v>
      </c>
      <c r="AD24" s="376"/>
      <c r="AE24" s="499" t="s">
        <v>606</v>
      </c>
      <c r="AF24" s="499"/>
      <c r="AG24" s="499">
        <v>1</v>
      </c>
      <c r="AH24" s="499">
        <v>2</v>
      </c>
      <c r="AI24" s="523" t="s">
        <v>793</v>
      </c>
      <c r="AJ24" s="520" t="s">
        <v>794</v>
      </c>
      <c r="AK24" s="520" t="str">
        <f t="shared" si="31"/>
        <v>中型</v>
      </c>
      <c r="AL24" s="520" t="str">
        <f t="shared" si="31"/>
        <v>基础步行速度为30尺</v>
      </c>
      <c r="AM24" s="521" t="str">
        <f t="shared" ref="AM24:AM30" si="34">AM$20</f>
        <v>，以及任意一门自选语言</v>
      </c>
    </row>
    <row r="25" customHeight="1" spans="1:39">
      <c r="A25" s="531" t="str">
        <f>IF(综合数据!B9=TRUE,"象族","")</f>
        <v>象族</v>
      </c>
      <c r="B25" s="372" t="str">
        <f t="shared" ref="B25:O25" si="35">""</f>
        <v/>
      </c>
      <c r="C25" s="372" t="str">
        <f t="shared" si="35"/>
        <v/>
      </c>
      <c r="D25" s="372" t="str">
        <f t="shared" si="35"/>
        <v/>
      </c>
      <c r="E25" s="372" t="str">
        <f t="shared" si="35"/>
        <v/>
      </c>
      <c r="F25" s="372" t="str">
        <f t="shared" si="35"/>
        <v/>
      </c>
      <c r="G25" s="372" t="str">
        <f t="shared" si="35"/>
        <v/>
      </c>
      <c r="H25" s="372" t="str">
        <f t="shared" si="35"/>
        <v/>
      </c>
      <c r="I25" s="372" t="str">
        <f t="shared" si="35"/>
        <v/>
      </c>
      <c r="J25" s="372" t="str">
        <f t="shared" si="35"/>
        <v/>
      </c>
      <c r="K25" s="372" t="str">
        <f t="shared" si="35"/>
        <v/>
      </c>
      <c r="L25" s="372" t="str">
        <f t="shared" si="35"/>
        <v/>
      </c>
      <c r="M25" s="372" t="str">
        <f t="shared" si="35"/>
        <v/>
      </c>
      <c r="N25" s="372" t="str">
        <f t="shared" si="35"/>
        <v/>
      </c>
      <c r="O25" s="372" t="str">
        <f t="shared" si="35"/>
        <v/>
      </c>
      <c r="Q25" s="376"/>
      <c r="S25" s="377" t="str">
        <f t="array" ref="S25">INDEX(A:A,SMALL(IF($A$2:$A$51&lt;&gt;"",ROW($2:$51),52),ROW(A24)))&amp;""</f>
        <v>象族</v>
      </c>
      <c r="W25" s="193"/>
      <c r="X25" s="193"/>
      <c r="AB25" s="384" t="s">
        <v>795</v>
      </c>
      <c r="AC25" s="382">
        <f>IF(V3=A30,COUNTIF($AB$2:$AB$15,"兽皮")+COUNTIF($AB$2:$AB$15,"长牙")+COUNTIF($AB$2:$AB$15,"迅捷")+COUNTIF($AB$2:$AB$15,"猎食"),0)</f>
        <v>0</v>
      </c>
      <c r="AD25" s="383"/>
      <c r="AE25" s="267" t="s">
        <v>787</v>
      </c>
      <c r="AF25" s="267"/>
      <c r="AG25" s="267">
        <f>IF(V3=A9,5,3)</f>
        <v>3</v>
      </c>
      <c r="AH25" s="267">
        <f>IF(V3=A9,8,6)</f>
        <v>6</v>
      </c>
      <c r="AI25" s="523" t="s">
        <v>796</v>
      </c>
      <c r="AJ25" s="520" t="s">
        <v>797</v>
      </c>
      <c r="AK25" s="520" t="str">
        <f t="shared" si="31"/>
        <v>中型</v>
      </c>
      <c r="AL25" s="520" t="str">
        <f t="shared" si="31"/>
        <v>基础步行速度为30尺</v>
      </c>
      <c r="AM25" s="521" t="str">
        <f t="shared" si="34"/>
        <v>，以及任意一门自选语言</v>
      </c>
    </row>
    <row r="26" customHeight="1" spans="1:39">
      <c r="A26" s="531" t="str">
        <f>IF(综合数据!B9=TRUE,"析米克混生体","")</f>
        <v>析米克混生体</v>
      </c>
      <c r="B26" s="372" t="str">
        <f t="shared" ref="B26:O26" si="36">""</f>
        <v/>
      </c>
      <c r="C26" s="372" t="str">
        <f t="shared" si="36"/>
        <v/>
      </c>
      <c r="D26" s="372" t="str">
        <f t="shared" si="36"/>
        <v/>
      </c>
      <c r="E26" s="372" t="str">
        <f t="shared" si="36"/>
        <v/>
      </c>
      <c r="F26" s="372" t="str">
        <f t="shared" si="36"/>
        <v/>
      </c>
      <c r="G26" s="372" t="str">
        <f t="shared" si="36"/>
        <v/>
      </c>
      <c r="H26" s="372" t="str">
        <f t="shared" si="36"/>
        <v/>
      </c>
      <c r="I26" s="372" t="str">
        <f t="shared" si="36"/>
        <v/>
      </c>
      <c r="J26" s="372" t="str">
        <f t="shared" si="36"/>
        <v/>
      </c>
      <c r="K26" s="372" t="str">
        <f t="shared" si="36"/>
        <v/>
      </c>
      <c r="L26" s="372" t="str">
        <f t="shared" si="36"/>
        <v/>
      </c>
      <c r="M26" s="372" t="str">
        <f t="shared" si="36"/>
        <v/>
      </c>
      <c r="N26" s="372" t="str">
        <f t="shared" si="36"/>
        <v/>
      </c>
      <c r="O26" s="372" t="str">
        <f t="shared" si="36"/>
        <v/>
      </c>
      <c r="Q26" s="376"/>
      <c r="S26" s="377" t="str">
        <f t="array" ref="S26">INDEX(A:A,SMALL(IF($A$2:$A$51&lt;&gt;"",ROW($2:$51),52),ROW(A25)))&amp;""</f>
        <v>析米克混生体</v>
      </c>
      <c r="W26" s="193"/>
      <c r="X26" s="193"/>
      <c r="AE26" s="523" t="s">
        <v>790</v>
      </c>
      <c r="AF26" s="267"/>
      <c r="AG26" s="267">
        <v>7</v>
      </c>
      <c r="AH26" s="267">
        <v>11</v>
      </c>
      <c r="AI26" s="523" t="s">
        <v>798</v>
      </c>
      <c r="AJ26" s="520" t="s">
        <v>486</v>
      </c>
      <c r="AK26" s="520" t="str">
        <f t="shared" si="31"/>
        <v>中型</v>
      </c>
      <c r="AL26" s="520" t="str">
        <f t="shared" si="31"/>
        <v>基础步行速度为30尺</v>
      </c>
      <c r="AM26" s="521" t="str">
        <f t="shared" si="34"/>
        <v>，以及任意一门自选语言</v>
      </c>
    </row>
    <row r="27" customHeight="1" spans="1:39">
      <c r="A27" s="531" t="str">
        <f>IF(综合数据!B9=TRUE,"维多肯","")</f>
        <v>维多肯</v>
      </c>
      <c r="B27" s="372" t="str">
        <f t="shared" ref="B27:O27" si="37">""</f>
        <v/>
      </c>
      <c r="C27" s="372" t="str">
        <f t="shared" si="37"/>
        <v/>
      </c>
      <c r="D27" s="372" t="str">
        <f t="shared" si="37"/>
        <v/>
      </c>
      <c r="E27" s="372" t="str">
        <f t="shared" si="37"/>
        <v/>
      </c>
      <c r="F27" s="372" t="str">
        <f t="shared" si="37"/>
        <v/>
      </c>
      <c r="G27" s="372" t="str">
        <f t="shared" si="37"/>
        <v/>
      </c>
      <c r="H27" s="372" t="str">
        <f t="shared" si="37"/>
        <v/>
      </c>
      <c r="I27" s="372" t="str">
        <f t="shared" si="37"/>
        <v/>
      </c>
      <c r="J27" s="372" t="str">
        <f t="shared" si="37"/>
        <v/>
      </c>
      <c r="K27" s="372" t="str">
        <f t="shared" si="37"/>
        <v/>
      </c>
      <c r="L27" s="372" t="str">
        <f t="shared" si="37"/>
        <v/>
      </c>
      <c r="M27" s="372" t="str">
        <f t="shared" si="37"/>
        <v/>
      </c>
      <c r="N27" s="372" t="str">
        <f t="shared" si="37"/>
        <v/>
      </c>
      <c r="O27" s="372" t="str">
        <f t="shared" si="37"/>
        <v/>
      </c>
      <c r="Q27" s="376"/>
      <c r="S27" s="377" t="str">
        <f t="array" ref="S27">INDEX(A:A,SMALL(IF($A$2:$A$51&lt;&gt;"",ROW($2:$51),52),ROW(A26)))&amp;""</f>
        <v>维多肯</v>
      </c>
      <c r="W27" s="193"/>
      <c r="X27" s="193"/>
      <c r="AE27" s="523" t="s">
        <v>793</v>
      </c>
      <c r="AF27" s="267"/>
      <c r="AG27" s="267">
        <v>12</v>
      </c>
      <c r="AH27" s="267">
        <v>15</v>
      </c>
      <c r="AI27" s="292" t="s">
        <v>799</v>
      </c>
      <c r="AJ27" s="520" t="str">
        <f>$AJ20</f>
        <v>全部属性+1</v>
      </c>
      <c r="AK27" s="520" t="str">
        <f t="shared" si="31"/>
        <v>中型</v>
      </c>
      <c r="AL27" s="520" t="str">
        <f t="shared" si="31"/>
        <v>基础步行速度为30尺</v>
      </c>
      <c r="AM27" s="521" t="str">
        <f t="shared" si="34"/>
        <v>，以及任意一门自选语言</v>
      </c>
    </row>
    <row r="28" customHeight="1" spans="1:39">
      <c r="A28" s="523" t="str">
        <f>IF(OR(综合数据!B10=TRUE,综合数据!B18=TRUE),"幻身灵","")</f>
        <v>幻身灵</v>
      </c>
      <c r="B28" s="372" t="str">
        <f t="shared" ref="B28:O28" si="38">""</f>
        <v/>
      </c>
      <c r="C28" s="372" t="str">
        <f t="shared" si="38"/>
        <v/>
      </c>
      <c r="D28" s="372" t="str">
        <f t="shared" si="38"/>
        <v/>
      </c>
      <c r="E28" s="372" t="str">
        <f t="shared" si="38"/>
        <v/>
      </c>
      <c r="F28" s="372" t="str">
        <f t="shared" si="38"/>
        <v/>
      </c>
      <c r="G28" s="372" t="str">
        <f t="shared" si="38"/>
        <v/>
      </c>
      <c r="H28" s="372" t="str">
        <f t="shared" si="38"/>
        <v/>
      </c>
      <c r="I28" s="372" t="str">
        <f t="shared" si="38"/>
        <v/>
      </c>
      <c r="J28" s="372" t="str">
        <f t="shared" si="38"/>
        <v/>
      </c>
      <c r="K28" s="372" t="str">
        <f t="shared" si="38"/>
        <v/>
      </c>
      <c r="L28" s="372" t="str">
        <f t="shared" si="38"/>
        <v/>
      </c>
      <c r="M28" s="372" t="str">
        <f t="shared" si="38"/>
        <v/>
      </c>
      <c r="N28" s="372" t="str">
        <f t="shared" si="38"/>
        <v/>
      </c>
      <c r="O28" s="372" t="str">
        <f t="shared" si="38"/>
        <v/>
      </c>
      <c r="Q28" s="376"/>
      <c r="S28" s="377" t="str">
        <f t="array" ref="S28">INDEX(A:A,SMALL(IF($A$2:$A$51&lt;&gt;"",ROW($2:$51),52),ROW(A27)))&amp;""</f>
        <v>幻身灵</v>
      </c>
      <c r="AA28" s="373"/>
      <c r="AE28" s="523" t="s">
        <v>796</v>
      </c>
      <c r="AF28" s="267"/>
      <c r="AG28" s="267">
        <v>16</v>
      </c>
      <c r="AH28" s="267">
        <v>19</v>
      </c>
      <c r="AI28" s="292" t="s">
        <v>800</v>
      </c>
      <c r="AJ28" s="520" t="s">
        <v>801</v>
      </c>
      <c r="AK28" s="520" t="str">
        <f t="shared" si="31"/>
        <v>中型</v>
      </c>
      <c r="AL28" s="520" t="str">
        <f t="shared" si="31"/>
        <v>基础步行速度为30尺</v>
      </c>
      <c r="AM28" s="521" t="str">
        <f t="shared" si="34"/>
        <v>，以及任意一门自选语言</v>
      </c>
    </row>
    <row r="29" customHeight="1" spans="1:39">
      <c r="A29" s="523" t="str">
        <f>IF(综合数据!B10=TRUE,"离梦人","")</f>
        <v>离梦人</v>
      </c>
      <c r="B29" s="372" t="str">
        <f t="shared" ref="B29:O29" si="39">""</f>
        <v/>
      </c>
      <c r="C29" s="372" t="str">
        <f t="shared" si="39"/>
        <v/>
      </c>
      <c r="D29" s="372" t="str">
        <f t="shared" si="39"/>
        <v/>
      </c>
      <c r="E29" s="372" t="str">
        <f t="shared" si="39"/>
        <v/>
      </c>
      <c r="F29" s="372" t="str">
        <f t="shared" si="39"/>
        <v/>
      </c>
      <c r="G29" s="372" t="str">
        <f t="shared" si="39"/>
        <v/>
      </c>
      <c r="H29" s="372" t="str">
        <f t="shared" si="39"/>
        <v/>
      </c>
      <c r="I29" s="372" t="str">
        <f t="shared" si="39"/>
        <v/>
      </c>
      <c r="J29" s="372" t="str">
        <f t="shared" si="39"/>
        <v/>
      </c>
      <c r="K29" s="372" t="str">
        <f t="shared" si="39"/>
        <v/>
      </c>
      <c r="L29" s="372" t="str">
        <f t="shared" si="39"/>
        <v/>
      </c>
      <c r="M29" s="372" t="str">
        <f t="shared" si="39"/>
        <v/>
      </c>
      <c r="N29" s="372" t="str">
        <f t="shared" si="39"/>
        <v/>
      </c>
      <c r="O29" s="372" t="str">
        <f t="shared" si="39"/>
        <v/>
      </c>
      <c r="Q29" s="376"/>
      <c r="S29" s="377" t="str">
        <f t="array" ref="S29">INDEX(A:A,SMALL(IF($A$2:$A$51&lt;&gt;"",ROW($2:$51),52),ROW(A28)))&amp;""</f>
        <v>离梦人</v>
      </c>
      <c r="AE29" s="523" t="s">
        <v>798</v>
      </c>
      <c r="AF29" s="267"/>
      <c r="AG29" s="267">
        <v>20</v>
      </c>
      <c r="AH29" s="267">
        <v>23</v>
      </c>
      <c r="AI29" s="292" t="s">
        <v>802</v>
      </c>
      <c r="AJ29" s="520" t="s">
        <v>803</v>
      </c>
      <c r="AK29" s="520" t="str">
        <f t="shared" si="31"/>
        <v>中型</v>
      </c>
      <c r="AL29" s="520" t="str">
        <f t="shared" si="31"/>
        <v>基础步行速度为30尺</v>
      </c>
      <c r="AM29" s="521" t="str">
        <f t="shared" si="34"/>
        <v>，以及任意一门自选语言</v>
      </c>
    </row>
    <row r="30" customHeight="1" spans="1:39">
      <c r="A30" s="523" t="str">
        <f>IF(OR(综合数据!B10=TRUE,综合数据!B18=TRUE),"化兽者","")</f>
        <v>化兽者</v>
      </c>
      <c r="B30" s="372" t="str">
        <f t="shared" ref="B30:O30" si="40">""</f>
        <v/>
      </c>
      <c r="C30" s="372" t="str">
        <f t="shared" si="40"/>
        <v/>
      </c>
      <c r="D30" s="372" t="str">
        <f t="shared" si="40"/>
        <v/>
      </c>
      <c r="E30" s="372" t="str">
        <f t="shared" si="40"/>
        <v/>
      </c>
      <c r="F30" s="372" t="str">
        <f t="shared" si="40"/>
        <v/>
      </c>
      <c r="G30" s="372" t="str">
        <f t="shared" si="40"/>
        <v/>
      </c>
      <c r="H30" s="372" t="str">
        <f t="shared" si="40"/>
        <v/>
      </c>
      <c r="I30" s="372" t="str">
        <f t="shared" si="40"/>
        <v/>
      </c>
      <c r="J30" s="372" t="str">
        <f t="shared" si="40"/>
        <v/>
      </c>
      <c r="K30" s="372" t="str">
        <f t="shared" si="40"/>
        <v/>
      </c>
      <c r="L30" s="372" t="str">
        <f t="shared" si="40"/>
        <v/>
      </c>
      <c r="M30" s="372" t="str">
        <f t="shared" si="40"/>
        <v/>
      </c>
      <c r="N30" s="372" t="str">
        <f t="shared" si="40"/>
        <v/>
      </c>
      <c r="O30" s="372" t="str">
        <f t="shared" si="40"/>
        <v/>
      </c>
      <c r="Q30" s="376"/>
      <c r="S30" s="377" t="str">
        <f t="array" ref="S30">INDEX(A:A,SMALL(IF($A$2:$A$51&lt;&gt;"",ROW($2:$51),52),ROW(A29)))&amp;""</f>
        <v>化兽者</v>
      </c>
      <c r="AE30" s="292" t="s">
        <v>799</v>
      </c>
      <c r="AF30" s="257"/>
      <c r="AG30" s="257">
        <v>24</v>
      </c>
      <c r="AH30" s="257">
        <v>0</v>
      </c>
      <c r="AI30" s="292" t="s">
        <v>804</v>
      </c>
      <c r="AJ30" s="520" t="s">
        <v>805</v>
      </c>
      <c r="AK30" s="520" t="str">
        <f t="shared" si="31"/>
        <v>中型</v>
      </c>
      <c r="AL30" s="520" t="str">
        <f t="shared" si="31"/>
        <v>基础步行速度为30尺</v>
      </c>
      <c r="AM30" s="521" t="str">
        <f t="shared" si="34"/>
        <v>，以及任意一门自选语言</v>
      </c>
    </row>
    <row r="31" customHeight="1" spans="1:39">
      <c r="A31" s="523" t="str">
        <f>IF(综合数据!B10=TRUE,"机关人","")</f>
        <v>机关人</v>
      </c>
      <c r="B31" s="372" t="str">
        <f t="shared" ref="B31:O31" si="41">""</f>
        <v/>
      </c>
      <c r="C31" s="372" t="str">
        <f t="shared" si="41"/>
        <v/>
      </c>
      <c r="D31" s="372" t="str">
        <f t="shared" si="41"/>
        <v/>
      </c>
      <c r="E31" s="372" t="str">
        <f t="shared" si="41"/>
        <v/>
      </c>
      <c r="F31" s="372" t="str">
        <f t="shared" si="41"/>
        <v/>
      </c>
      <c r="G31" s="372" t="str">
        <f t="shared" si="41"/>
        <v/>
      </c>
      <c r="H31" s="372" t="str">
        <f t="shared" si="41"/>
        <v/>
      </c>
      <c r="I31" s="372" t="str">
        <f t="shared" si="41"/>
        <v/>
      </c>
      <c r="J31" s="372" t="str">
        <f t="shared" si="41"/>
        <v/>
      </c>
      <c r="K31" s="372" t="str">
        <f t="shared" si="41"/>
        <v/>
      </c>
      <c r="L31" s="372" t="str">
        <f t="shared" si="41"/>
        <v/>
      </c>
      <c r="M31" s="372" t="str">
        <f t="shared" si="41"/>
        <v/>
      </c>
      <c r="N31" s="372" t="str">
        <f t="shared" si="41"/>
        <v/>
      </c>
      <c r="O31" s="372" t="str">
        <f t="shared" si="41"/>
        <v/>
      </c>
      <c r="Q31" s="376"/>
      <c r="S31" s="377" t="str">
        <f t="array" ref="S31">INDEX(A:A,SMALL(IF($A$2:$A$51&lt;&gt;"",ROW($2:$51),52),ROW(A30)))&amp;""</f>
        <v>机关人</v>
      </c>
      <c r="AE31" s="292" t="s">
        <v>800</v>
      </c>
      <c r="AF31" s="257"/>
      <c r="AG31" s="257">
        <v>24</v>
      </c>
      <c r="AH31" s="257">
        <v>27</v>
      </c>
      <c r="AI31" s="516" t="s">
        <v>646</v>
      </c>
      <c r="AJ31" s="520" t="s">
        <v>806</v>
      </c>
      <c r="AK31" s="520" t="s">
        <v>487</v>
      </c>
      <c r="AL31" s="520" t="s">
        <v>569</v>
      </c>
      <c r="AM31" s="521" t="s">
        <v>807</v>
      </c>
    </row>
    <row r="32" customHeight="1" spans="1:39">
      <c r="A32" s="526" t="str">
        <f>IF(OR(综合数据!B11=TRUE,综合数据!B18=TRUE),"阿兰寇拉鹰人","")</f>
        <v>阿兰寇拉鹰人</v>
      </c>
      <c r="B32" s="372" t="str">
        <f t="shared" ref="B32:O32" si="42">""</f>
        <v/>
      </c>
      <c r="C32" s="372" t="str">
        <f t="shared" si="42"/>
        <v/>
      </c>
      <c r="D32" s="372" t="str">
        <f t="shared" si="42"/>
        <v/>
      </c>
      <c r="E32" s="372" t="str">
        <f t="shared" si="42"/>
        <v/>
      </c>
      <c r="F32" s="372" t="str">
        <f t="shared" si="42"/>
        <v/>
      </c>
      <c r="G32" s="372" t="str">
        <f t="shared" si="42"/>
        <v/>
      </c>
      <c r="H32" s="372" t="str">
        <f t="shared" si="42"/>
        <v/>
      </c>
      <c r="I32" s="372" t="str">
        <f t="shared" si="42"/>
        <v/>
      </c>
      <c r="J32" s="372" t="str">
        <f t="shared" si="42"/>
        <v/>
      </c>
      <c r="K32" s="372" t="str">
        <f t="shared" si="42"/>
        <v/>
      </c>
      <c r="L32" s="372" t="str">
        <f t="shared" si="42"/>
        <v/>
      </c>
      <c r="M32" s="372" t="str">
        <f t="shared" si="42"/>
        <v/>
      </c>
      <c r="N32" s="372" t="str">
        <f t="shared" si="42"/>
        <v/>
      </c>
      <c r="O32" s="372" t="str">
        <f t="shared" si="42"/>
        <v/>
      </c>
      <c r="Q32" s="376"/>
      <c r="S32" s="377" t="str">
        <f t="array" ref="S32">INDEX(A:A,SMALL(IF($A$2:$A$51&lt;&gt;"",ROW($2:$51),52),ROW(A31)))&amp;""</f>
        <v>阿兰寇拉鹰人</v>
      </c>
      <c r="AE32" s="292" t="s">
        <v>802</v>
      </c>
      <c r="AF32" s="257"/>
      <c r="AG32" s="257">
        <v>28</v>
      </c>
      <c r="AH32" s="257">
        <v>28</v>
      </c>
      <c r="AI32" s="526" t="s">
        <v>808</v>
      </c>
      <c r="AJ32" s="520" t="s">
        <v>809</v>
      </c>
      <c r="AK32" s="520" t="str">
        <f>AK$31</f>
        <v>中型</v>
      </c>
      <c r="AL32" s="520" t="str">
        <f>AL$31</f>
        <v>基础步行速度为30尺</v>
      </c>
      <c r="AM32" s="521" t="str">
        <f t="shared" ref="AK32:AM33" si="43">AM$31</f>
        <v>和龙语</v>
      </c>
    </row>
    <row r="33" customHeight="1" spans="1:39">
      <c r="A33" s="526" t="str">
        <f>IF(OR(综合数据!B11=TRUE,综合数据!B18=TRUE),"元素裔","")</f>
        <v>元素裔</v>
      </c>
      <c r="B33" s="522" t="s">
        <v>810</v>
      </c>
      <c r="C33" s="522" t="s">
        <v>811</v>
      </c>
      <c r="D33" s="522" t="s">
        <v>812</v>
      </c>
      <c r="E33" s="522" t="s">
        <v>813</v>
      </c>
      <c r="F33" s="372" t="str">
        <f t="shared" ref="F33:O33" si="44">""</f>
        <v/>
      </c>
      <c r="G33" s="372" t="str">
        <f t="shared" si="44"/>
        <v/>
      </c>
      <c r="H33" s="372" t="str">
        <f t="shared" si="44"/>
        <v/>
      </c>
      <c r="I33" s="372" t="str">
        <f t="shared" si="44"/>
        <v/>
      </c>
      <c r="J33" s="372" t="str">
        <f t="shared" si="44"/>
        <v/>
      </c>
      <c r="K33" s="372" t="str">
        <f t="shared" si="44"/>
        <v/>
      </c>
      <c r="L33" s="372" t="str">
        <f t="shared" si="44"/>
        <v/>
      </c>
      <c r="M33" s="372" t="str">
        <f t="shared" si="44"/>
        <v/>
      </c>
      <c r="N33" s="372" t="str">
        <f t="shared" si="44"/>
        <v/>
      </c>
      <c r="O33" s="372" t="str">
        <f t="shared" si="44"/>
        <v/>
      </c>
      <c r="Q33" s="376"/>
      <c r="S33" s="377" t="str">
        <f t="array" ref="S33">INDEX(A:A,SMALL(IF($A$2:$A$51&lt;&gt;"",ROW($2:$51),52),ROW(A32)))&amp;""</f>
        <v>元素裔</v>
      </c>
      <c r="AE33" s="292" t="s">
        <v>804</v>
      </c>
      <c r="AF33" s="257"/>
      <c r="AG33" s="257">
        <v>29</v>
      </c>
      <c r="AH33" s="257">
        <v>30</v>
      </c>
      <c r="AI33" s="526" t="s">
        <v>814</v>
      </c>
      <c r="AJ33" s="520" t="s">
        <v>815</v>
      </c>
      <c r="AK33" s="520" t="str">
        <f t="shared" si="43"/>
        <v>中型</v>
      </c>
      <c r="AL33" s="520" t="str">
        <f t="shared" si="43"/>
        <v>基础步行速度为30尺</v>
      </c>
      <c r="AM33" s="521" t="str">
        <f t="shared" si="43"/>
        <v>和龙语</v>
      </c>
    </row>
    <row r="34" customHeight="1" spans="1:39">
      <c r="A34" s="526" t="str">
        <f>IF(OR(综合数据!B11=TRUE,综合数据!B18=TRUE),"龟人","")</f>
        <v>龟人</v>
      </c>
      <c r="B34" s="372" t="str">
        <f t="shared" ref="B34:O34" si="45">""</f>
        <v/>
      </c>
      <c r="C34" s="372" t="str">
        <f t="shared" si="45"/>
        <v/>
      </c>
      <c r="D34" s="372" t="str">
        <f t="shared" si="45"/>
        <v/>
      </c>
      <c r="E34" s="372" t="str">
        <f t="shared" si="45"/>
        <v/>
      </c>
      <c r="F34" s="372" t="str">
        <f t="shared" si="45"/>
        <v/>
      </c>
      <c r="G34" s="372" t="str">
        <f t="shared" si="45"/>
        <v/>
      </c>
      <c r="H34" s="372" t="str">
        <f t="shared" si="45"/>
        <v/>
      </c>
      <c r="I34" s="372" t="str">
        <f t="shared" si="45"/>
        <v/>
      </c>
      <c r="J34" s="372" t="str">
        <f t="shared" si="45"/>
        <v/>
      </c>
      <c r="K34" s="372" t="str">
        <f t="shared" si="45"/>
        <v/>
      </c>
      <c r="L34" s="372" t="str">
        <f t="shared" si="45"/>
        <v/>
      </c>
      <c r="M34" s="372" t="str">
        <f t="shared" si="45"/>
        <v/>
      </c>
      <c r="N34" s="372" t="str">
        <f t="shared" si="45"/>
        <v/>
      </c>
      <c r="O34" s="372" t="str">
        <f t="shared" si="45"/>
        <v/>
      </c>
      <c r="Q34" s="376"/>
      <c r="S34" s="377" t="str">
        <f t="array" ref="S34">INDEX(A:A,SMALL(IF($A$2:$A$51&lt;&gt;"",ROW($2:$51),52),ROW(A33)))&amp;""</f>
        <v>龟人</v>
      </c>
      <c r="AE34" s="532" t="s">
        <v>646</v>
      </c>
      <c r="AF34" s="519">
        <f>AF23+1</f>
        <v>5</v>
      </c>
      <c r="AG34" s="519">
        <v>1</v>
      </c>
      <c r="AH34" s="519">
        <f>IF(COUNTIF(D6:F6,V4),1,IF(COUNTIF(B6:C6,V4),2,3))</f>
        <v>3</v>
      </c>
      <c r="AI34" s="533" t="s">
        <v>816</v>
      </c>
      <c r="AJ34" s="520" t="s">
        <v>568</v>
      </c>
      <c r="AK34" s="520" t="str">
        <f t="shared" ref="AK34:AL36" si="46">AK$31</f>
        <v>中型</v>
      </c>
      <c r="AL34" s="520" t="str">
        <f t="shared" si="46"/>
        <v>基础步行速度为30尺</v>
      </c>
      <c r="AM34" s="521" t="str">
        <f>AM$20</f>
        <v>，以及任意一门自选语言</v>
      </c>
    </row>
    <row r="35" customHeight="1" spans="1:39">
      <c r="A35" s="477" t="str">
        <f>IF(综合数据!B12=TRUE,"佛丹人","")</f>
        <v>佛丹人</v>
      </c>
      <c r="B35" s="372" t="str">
        <f t="shared" ref="B35:O35" si="47">""</f>
        <v/>
      </c>
      <c r="C35" s="372" t="str">
        <f t="shared" si="47"/>
        <v/>
      </c>
      <c r="D35" s="372" t="str">
        <f t="shared" si="47"/>
        <v/>
      </c>
      <c r="E35" s="372" t="str">
        <f t="shared" si="47"/>
        <v/>
      </c>
      <c r="F35" s="372" t="str">
        <f t="shared" si="47"/>
        <v/>
      </c>
      <c r="G35" s="372" t="str">
        <f t="shared" si="47"/>
        <v/>
      </c>
      <c r="H35" s="372" t="str">
        <f t="shared" si="47"/>
        <v/>
      </c>
      <c r="I35" s="372" t="str">
        <f t="shared" si="47"/>
        <v/>
      </c>
      <c r="J35" s="372" t="str">
        <f t="shared" si="47"/>
        <v/>
      </c>
      <c r="K35" s="372" t="str">
        <f t="shared" si="47"/>
        <v/>
      </c>
      <c r="L35" s="372" t="str">
        <f t="shared" si="47"/>
        <v/>
      </c>
      <c r="M35" s="372" t="str">
        <f t="shared" si="47"/>
        <v/>
      </c>
      <c r="N35" s="372" t="str">
        <f t="shared" si="47"/>
        <v/>
      </c>
      <c r="O35" s="372" t="str">
        <f t="shared" si="47"/>
        <v/>
      </c>
      <c r="Q35" s="376"/>
      <c r="S35" s="377" t="str">
        <f t="array" ref="S35">INDEX(A:A,SMALL(IF($A$2:$A$51&lt;&gt;"",ROW($2:$51),52),ROW(A34)))&amp;""</f>
        <v>佛丹人</v>
      </c>
      <c r="T35" s="306"/>
      <c r="AE35" s="526" t="s">
        <v>808</v>
      </c>
      <c r="AF35" s="522"/>
      <c r="AG35" s="522">
        <v>4</v>
      </c>
      <c r="AH35" s="522">
        <v>5</v>
      </c>
      <c r="AI35" s="533" t="s">
        <v>817</v>
      </c>
      <c r="AJ35" s="520" t="str">
        <f>AJ34</f>
        <v>自选两项属性分别+2/+1或自选三项属性+1</v>
      </c>
      <c r="AK35" s="520" t="str">
        <f t="shared" si="46"/>
        <v>中型</v>
      </c>
      <c r="AL35" s="520" t="str">
        <f t="shared" si="46"/>
        <v>基础步行速度为30尺</v>
      </c>
      <c r="AM35" s="521" t="str">
        <f>AM$20</f>
        <v>，以及任意一门自选语言</v>
      </c>
    </row>
    <row r="36" customHeight="1" spans="1:39">
      <c r="A36" s="534" t="str">
        <f>IF(综合数据!B13=TRUE,"狮族","")</f>
        <v>狮族</v>
      </c>
      <c r="B36" s="372" t="str">
        <f t="shared" ref="B36:O36" si="48">""</f>
        <v/>
      </c>
      <c r="C36" s="372" t="str">
        <f t="shared" si="48"/>
        <v/>
      </c>
      <c r="D36" s="372" t="str">
        <f t="shared" si="48"/>
        <v/>
      </c>
      <c r="E36" s="372" t="str">
        <f t="shared" si="48"/>
        <v/>
      </c>
      <c r="F36" s="372" t="str">
        <f t="shared" si="48"/>
        <v/>
      </c>
      <c r="G36" s="372" t="str">
        <f t="shared" si="48"/>
        <v/>
      </c>
      <c r="H36" s="372" t="str">
        <f t="shared" si="48"/>
        <v/>
      </c>
      <c r="I36" s="372" t="str">
        <f t="shared" si="48"/>
        <v/>
      </c>
      <c r="J36" s="372" t="str">
        <f t="shared" si="48"/>
        <v/>
      </c>
      <c r="K36" s="372" t="str">
        <f t="shared" si="48"/>
        <v/>
      </c>
      <c r="L36" s="372" t="str">
        <f t="shared" si="48"/>
        <v/>
      </c>
      <c r="M36" s="372" t="str">
        <f t="shared" si="48"/>
        <v/>
      </c>
      <c r="N36" s="372" t="str">
        <f t="shared" si="48"/>
        <v/>
      </c>
      <c r="O36" s="372" t="str">
        <f t="shared" si="48"/>
        <v/>
      </c>
      <c r="Q36" s="376"/>
      <c r="S36" s="377" t="str">
        <f t="array" ref="S36">INDEX(A:A,SMALL(IF($A$2:$A$51&lt;&gt;"",ROW($2:$51),52),ROW(A35)))&amp;""</f>
        <v>狮族</v>
      </c>
      <c r="T36" s="306"/>
      <c r="AE36" s="526" t="s">
        <v>814</v>
      </c>
      <c r="AF36" s="522"/>
      <c r="AG36" s="522">
        <v>6</v>
      </c>
      <c r="AH36" s="522">
        <v>7</v>
      </c>
      <c r="AI36" s="533" t="s">
        <v>818</v>
      </c>
      <c r="AJ36" s="520" t="str">
        <f>AJ34</f>
        <v>自选两项属性分别+2/+1或自选三项属性+1</v>
      </c>
      <c r="AK36" s="520" t="str">
        <f t="shared" si="46"/>
        <v>中型</v>
      </c>
      <c r="AL36" s="520" t="str">
        <f t="shared" si="46"/>
        <v>基础步行速度为30尺</v>
      </c>
      <c r="AM36" s="521" t="str">
        <f>AM$20</f>
        <v>，以及任意一门自选语言</v>
      </c>
    </row>
    <row r="37" customHeight="1" spans="1:39">
      <c r="A37" s="534" t="str">
        <f>IF(OR(综合数据!B13=TRUE,综合数据!B18=TRUE),"半羊人","")</f>
        <v>半羊人</v>
      </c>
      <c r="B37" s="372" t="str">
        <f t="shared" ref="B37:O37" si="49">""</f>
        <v/>
      </c>
      <c r="C37" s="372" t="str">
        <f t="shared" si="49"/>
        <v/>
      </c>
      <c r="D37" s="372" t="str">
        <f t="shared" si="49"/>
        <v/>
      </c>
      <c r="E37" s="372" t="str">
        <f t="shared" si="49"/>
        <v/>
      </c>
      <c r="F37" s="372" t="str">
        <f t="shared" si="49"/>
        <v/>
      </c>
      <c r="G37" s="372" t="str">
        <f t="shared" si="49"/>
        <v/>
      </c>
      <c r="H37" s="372" t="str">
        <f t="shared" si="49"/>
        <v/>
      </c>
      <c r="I37" s="372" t="str">
        <f t="shared" si="49"/>
        <v/>
      </c>
      <c r="J37" s="372" t="str">
        <f t="shared" si="49"/>
        <v/>
      </c>
      <c r="K37" s="372" t="str">
        <f t="shared" si="49"/>
        <v/>
      </c>
      <c r="L37" s="372" t="str">
        <f t="shared" si="49"/>
        <v/>
      </c>
      <c r="M37" s="372" t="str">
        <f t="shared" si="49"/>
        <v/>
      </c>
      <c r="N37" s="372" t="str">
        <f t="shared" si="49"/>
        <v/>
      </c>
      <c r="O37" s="372" t="str">
        <f t="shared" si="49"/>
        <v/>
      </c>
      <c r="Q37" s="376"/>
      <c r="S37" s="377" t="str">
        <f t="array" ref="S37">INDEX(A:A,SMALL(IF($A$2:$A$51&lt;&gt;"",ROW($2:$51),52),ROW(A36)))&amp;""</f>
        <v>半羊人</v>
      </c>
      <c r="T37" s="306"/>
      <c r="AE37" s="533" t="s">
        <v>816</v>
      </c>
      <c r="AG37" s="372">
        <v>8</v>
      </c>
      <c r="AH37" s="499">
        <f>IF(V2&lt;5,9,10)</f>
        <v>9</v>
      </c>
      <c r="AI37" s="516" t="s">
        <v>676</v>
      </c>
      <c r="AJ37" s="520" t="s">
        <v>819</v>
      </c>
      <c r="AK37" s="520" t="s">
        <v>528</v>
      </c>
      <c r="AL37" s="520" t="s">
        <v>762</v>
      </c>
      <c r="AM37" s="521" t="s">
        <v>820</v>
      </c>
    </row>
    <row r="38" customHeight="1" spans="1:39">
      <c r="A38" s="535" t="str">
        <f>IF(综合数据!B17=TRUE,"枭人","")</f>
        <v>枭人</v>
      </c>
      <c r="B38" s="372" t="str">
        <f t="shared" ref="B38:O38" si="50">""</f>
        <v/>
      </c>
      <c r="C38" s="372" t="str">
        <f t="shared" si="50"/>
        <v/>
      </c>
      <c r="D38" s="372" t="str">
        <f t="shared" si="50"/>
        <v/>
      </c>
      <c r="E38" s="372" t="str">
        <f t="shared" si="50"/>
        <v/>
      </c>
      <c r="F38" s="372" t="str">
        <f t="shared" si="50"/>
        <v/>
      </c>
      <c r="G38" s="372" t="str">
        <f t="shared" si="50"/>
        <v/>
      </c>
      <c r="H38" s="372" t="str">
        <f t="shared" si="50"/>
        <v/>
      </c>
      <c r="I38" s="372" t="str">
        <f t="shared" si="50"/>
        <v/>
      </c>
      <c r="J38" s="372" t="str">
        <f t="shared" si="50"/>
        <v/>
      </c>
      <c r="K38" s="372" t="str">
        <f t="shared" si="50"/>
        <v/>
      </c>
      <c r="L38" s="372" t="str">
        <f t="shared" si="50"/>
        <v/>
      </c>
      <c r="M38" s="372" t="str">
        <f t="shared" si="50"/>
        <v/>
      </c>
      <c r="N38" s="372" t="str">
        <f t="shared" si="50"/>
        <v/>
      </c>
      <c r="O38" s="372" t="str">
        <f t="shared" si="50"/>
        <v/>
      </c>
      <c r="Q38" s="376"/>
      <c r="S38" s="377" t="str">
        <f t="array" ref="S38">INDEX(A:A,SMALL(IF($A$2:$A$51&lt;&gt;"",ROW($2:$51),52),ROW(A37)))&amp;""</f>
        <v>枭人</v>
      </c>
      <c r="T38" s="306"/>
      <c r="AE38" s="524" t="s">
        <v>817</v>
      </c>
      <c r="AF38" s="499"/>
      <c r="AG38" s="499">
        <v>11</v>
      </c>
      <c r="AH38" s="499">
        <f>IF(V2&lt;5,13,14)</f>
        <v>13</v>
      </c>
      <c r="AI38" s="516" t="s">
        <v>677</v>
      </c>
      <c r="AJ38" s="520" t="s">
        <v>821</v>
      </c>
      <c r="AK38" s="520" t="str">
        <f t="shared" ref="AK38:AM40" si="51">AK$37</f>
        <v>小型</v>
      </c>
      <c r="AL38" s="520" t="str">
        <f t="shared" si="51"/>
        <v>基础步行速度为25尺</v>
      </c>
      <c r="AM38" s="521" t="str">
        <f t="shared" si="51"/>
        <v>和侏儒语</v>
      </c>
    </row>
    <row r="39" customHeight="1" spans="1:39">
      <c r="A39" s="536" t="str">
        <f>IF(综合数据!B18=TRUE,"仙灵","")</f>
        <v>仙灵</v>
      </c>
      <c r="B39" s="372" t="str">
        <f t="shared" ref="B39:O39" si="52">""</f>
        <v/>
      </c>
      <c r="C39" s="372" t="str">
        <f t="shared" si="52"/>
        <v/>
      </c>
      <c r="D39" s="372" t="str">
        <f t="shared" si="52"/>
        <v/>
      </c>
      <c r="E39" s="372" t="str">
        <f t="shared" si="52"/>
        <v/>
      </c>
      <c r="F39" s="372" t="str">
        <f t="shared" si="52"/>
        <v/>
      </c>
      <c r="G39" s="372" t="str">
        <f t="shared" si="52"/>
        <v/>
      </c>
      <c r="H39" s="372" t="str">
        <f t="shared" si="52"/>
        <v/>
      </c>
      <c r="I39" s="372" t="str">
        <f t="shared" si="52"/>
        <v/>
      </c>
      <c r="J39" s="372" t="str">
        <f t="shared" si="52"/>
        <v/>
      </c>
      <c r="K39" s="372" t="str">
        <f t="shared" si="52"/>
        <v/>
      </c>
      <c r="L39" s="372" t="str">
        <f t="shared" si="52"/>
        <v/>
      </c>
      <c r="M39" s="372" t="str">
        <f t="shared" si="52"/>
        <v/>
      </c>
      <c r="N39" s="372" t="str">
        <f t="shared" si="52"/>
        <v/>
      </c>
      <c r="O39" s="372" t="str">
        <f t="shared" si="52"/>
        <v/>
      </c>
      <c r="Q39" s="376"/>
      <c r="S39" s="377" t="str">
        <f t="array" ref="S39">INDEX(A:A,SMALL(IF($A$2:$A$51&lt;&gt;"",ROW($2:$51),52),ROW(A38)))&amp;""</f>
        <v>仙灵</v>
      </c>
      <c r="T39" s="499"/>
      <c r="AE39" s="524" t="s">
        <v>818</v>
      </c>
      <c r="AF39" s="499"/>
      <c r="AG39" s="499">
        <v>15</v>
      </c>
      <c r="AH39" s="499">
        <f>IF(V2&lt;5,16,19)</f>
        <v>16</v>
      </c>
      <c r="AI39" s="285" t="s">
        <v>822</v>
      </c>
      <c r="AJ39" s="520" t="s">
        <v>568</v>
      </c>
      <c r="AK39" s="520" t="str">
        <f t="shared" si="51"/>
        <v>小型</v>
      </c>
      <c r="AL39" s="520" t="s">
        <v>569</v>
      </c>
      <c r="AM39" s="521" t="s">
        <v>570</v>
      </c>
    </row>
    <row r="40" customHeight="1" spans="1:39">
      <c r="A40" s="536" t="str">
        <f>IF(综合数据!B18=TRUE,"兔人","")</f>
        <v>兔人</v>
      </c>
      <c r="B40" s="372" t="str">
        <f t="shared" ref="B40:O40" si="53">""</f>
        <v/>
      </c>
      <c r="C40" s="372" t="str">
        <f t="shared" si="53"/>
        <v/>
      </c>
      <c r="D40" s="372" t="str">
        <f t="shared" si="53"/>
        <v/>
      </c>
      <c r="E40" s="372" t="str">
        <f t="shared" si="53"/>
        <v/>
      </c>
      <c r="F40" s="372" t="str">
        <f t="shared" si="53"/>
        <v/>
      </c>
      <c r="G40" s="372" t="str">
        <f t="shared" si="53"/>
        <v/>
      </c>
      <c r="H40" s="372" t="str">
        <f t="shared" si="53"/>
        <v/>
      </c>
      <c r="I40" s="372" t="str">
        <f t="shared" si="53"/>
        <v/>
      </c>
      <c r="J40" s="372" t="str">
        <f t="shared" si="53"/>
        <v/>
      </c>
      <c r="K40" s="372" t="str">
        <f t="shared" si="53"/>
        <v/>
      </c>
      <c r="L40" s="372" t="str">
        <f t="shared" si="53"/>
        <v/>
      </c>
      <c r="M40" s="372" t="str">
        <f t="shared" si="53"/>
        <v/>
      </c>
      <c r="N40" s="372" t="str">
        <f t="shared" si="53"/>
        <v/>
      </c>
      <c r="O40" s="372" t="str">
        <f t="shared" si="53"/>
        <v/>
      </c>
      <c r="Q40" s="376"/>
      <c r="S40" s="377" t="str">
        <f t="array" ref="S40">INDEX(A:A,SMALL(IF($A$2:$A$51&lt;&gt;"",ROW($2:$51),52),ROW(A39)))&amp;""</f>
        <v>兔人</v>
      </c>
      <c r="T40" s="306"/>
      <c r="AE40" s="532" t="s">
        <v>675</v>
      </c>
      <c r="AF40" s="519">
        <f>AF34+1</f>
        <v>6</v>
      </c>
      <c r="AG40" s="519">
        <v>1</v>
      </c>
      <c r="AH40" s="519">
        <v>2</v>
      </c>
      <c r="AI40" s="523" t="s">
        <v>823</v>
      </c>
      <c r="AJ40" s="520" t="s">
        <v>809</v>
      </c>
      <c r="AK40" s="520" t="str">
        <f t="shared" si="51"/>
        <v>小型</v>
      </c>
      <c r="AL40" s="520" t="str">
        <f t="shared" si="51"/>
        <v>基础步行速度为25尺</v>
      </c>
      <c r="AM40" s="521" t="str">
        <f t="shared" si="51"/>
        <v>和侏儒语</v>
      </c>
    </row>
    <row r="41" customHeight="1" spans="1:39">
      <c r="A41" s="537" t="str">
        <f>IF(综合数据!B19=TRUE,"星界精灵","")</f>
        <v>星界精灵</v>
      </c>
      <c r="B41" s="372" t="str">
        <f t="shared" ref="B41:O41" si="54">""</f>
        <v/>
      </c>
      <c r="C41" s="372" t="str">
        <f t="shared" si="54"/>
        <v/>
      </c>
      <c r="D41" s="372" t="str">
        <f t="shared" si="54"/>
        <v/>
      </c>
      <c r="E41" s="372" t="str">
        <f t="shared" si="54"/>
        <v/>
      </c>
      <c r="F41" s="372" t="str">
        <f t="shared" si="54"/>
        <v/>
      </c>
      <c r="G41" s="372" t="str">
        <f t="shared" si="54"/>
        <v/>
      </c>
      <c r="H41" s="372" t="str">
        <f t="shared" si="54"/>
        <v/>
      </c>
      <c r="I41" s="372" t="str">
        <f t="shared" si="54"/>
        <v/>
      </c>
      <c r="J41" s="372" t="str">
        <f t="shared" si="54"/>
        <v/>
      </c>
      <c r="K41" s="372" t="str">
        <f t="shared" si="54"/>
        <v/>
      </c>
      <c r="L41" s="372" t="str">
        <f t="shared" si="54"/>
        <v/>
      </c>
      <c r="M41" s="372" t="str">
        <f t="shared" si="54"/>
        <v/>
      </c>
      <c r="N41" s="372" t="str">
        <f t="shared" si="54"/>
        <v/>
      </c>
      <c r="O41" s="372" t="str">
        <f t="shared" si="54"/>
        <v/>
      </c>
      <c r="Q41" s="376"/>
      <c r="S41" s="377" t="str">
        <f t="array" ref="S41">INDEX(A:A,SMALL(IF($A$2:$A$51&lt;&gt;"",ROW($2:$51),52),ROW(A40)))&amp;""</f>
        <v>星界精灵</v>
      </c>
      <c r="T41" s="306"/>
      <c r="AE41" s="516" t="s">
        <v>676</v>
      </c>
      <c r="AF41" s="499"/>
      <c r="AG41" s="499">
        <v>3</v>
      </c>
      <c r="AH41" s="499">
        <v>4</v>
      </c>
      <c r="AI41" s="516" t="s">
        <v>705</v>
      </c>
      <c r="AJ41" s="520" t="s">
        <v>824</v>
      </c>
      <c r="AK41" s="520" t="s">
        <v>487</v>
      </c>
      <c r="AL41" s="520" t="s">
        <v>569</v>
      </c>
      <c r="AM41" s="521" t="s">
        <v>825</v>
      </c>
    </row>
    <row r="42" customHeight="1" spans="1:39">
      <c r="A42" s="537" t="str">
        <f>IF(综合数据!B19=TRUE,"自动侏儒","")</f>
        <v>自动侏儒</v>
      </c>
      <c r="B42" s="372" t="str">
        <f t="shared" ref="B42:O42" si="55">""</f>
        <v/>
      </c>
      <c r="C42" s="372" t="str">
        <f t="shared" si="55"/>
        <v/>
      </c>
      <c r="D42" s="372" t="str">
        <f t="shared" si="55"/>
        <v/>
      </c>
      <c r="E42" s="372" t="str">
        <f t="shared" si="55"/>
        <v/>
      </c>
      <c r="F42" s="372" t="str">
        <f t="shared" si="55"/>
        <v/>
      </c>
      <c r="G42" s="372" t="str">
        <f t="shared" si="55"/>
        <v/>
      </c>
      <c r="H42" s="372" t="str">
        <f t="shared" si="55"/>
        <v/>
      </c>
      <c r="I42" s="372" t="str">
        <f t="shared" si="55"/>
        <v/>
      </c>
      <c r="J42" s="372" t="str">
        <f t="shared" si="55"/>
        <v/>
      </c>
      <c r="K42" s="372" t="str">
        <f t="shared" si="55"/>
        <v/>
      </c>
      <c r="L42" s="372" t="str">
        <f t="shared" si="55"/>
        <v/>
      </c>
      <c r="M42" s="372" t="str">
        <f t="shared" si="55"/>
        <v/>
      </c>
      <c r="N42" s="372" t="str">
        <f t="shared" si="55"/>
        <v/>
      </c>
      <c r="O42" s="372" t="str">
        <f t="shared" si="55"/>
        <v/>
      </c>
      <c r="Q42" s="376"/>
      <c r="S42" s="377" t="str">
        <f t="array" ref="S42">INDEX(A:A,SMALL(IF($A$2:$A$51&lt;&gt;"",ROW($2:$51),52),ROW(A41)))&amp;""</f>
        <v>自动侏儒</v>
      </c>
      <c r="T42" s="306"/>
      <c r="AE42" s="516" t="s">
        <v>677</v>
      </c>
      <c r="AF42" s="499"/>
      <c r="AG42" s="499">
        <v>5</v>
      </c>
      <c r="AH42" s="499">
        <v>9</v>
      </c>
      <c r="AI42" s="528" t="s">
        <v>774</v>
      </c>
      <c r="AJ42" s="520" t="str">
        <f t="shared" ref="AJ42:AM43" si="56">AJ$41</f>
        <v>魅力+2，自选两项其他属性各+1</v>
      </c>
      <c r="AK42" s="520" t="str">
        <f t="shared" si="56"/>
        <v>中型</v>
      </c>
      <c r="AL42" s="520" t="str">
        <f t="shared" si="56"/>
        <v>基础步行速度为30尺</v>
      </c>
      <c r="AM42" s="521" t="str">
        <f t="shared" si="56"/>
        <v>和精灵语，以及任意一门自选语言</v>
      </c>
    </row>
    <row r="43" customHeight="1" spans="1:39">
      <c r="A43" s="537" t="str">
        <f>IF(综合数据!B19=TRUE,"诘弗河马人","")</f>
        <v>诘弗河马人</v>
      </c>
      <c r="B43" s="372" t="str">
        <f t="shared" ref="B43:O43" si="57">""</f>
        <v/>
      </c>
      <c r="C43" s="372" t="str">
        <f t="shared" si="57"/>
        <v/>
      </c>
      <c r="D43" s="372" t="str">
        <f t="shared" si="57"/>
        <v/>
      </c>
      <c r="E43" s="372" t="str">
        <f t="shared" si="57"/>
        <v/>
      </c>
      <c r="F43" s="372" t="str">
        <f t="shared" si="57"/>
        <v/>
      </c>
      <c r="G43" s="372" t="str">
        <f t="shared" si="57"/>
        <v/>
      </c>
      <c r="H43" s="372" t="str">
        <f t="shared" si="57"/>
        <v/>
      </c>
      <c r="I43" s="372" t="str">
        <f t="shared" si="57"/>
        <v/>
      </c>
      <c r="J43" s="372" t="str">
        <f t="shared" si="57"/>
        <v/>
      </c>
      <c r="K43" s="372" t="str">
        <f t="shared" si="57"/>
        <v/>
      </c>
      <c r="L43" s="372" t="str">
        <f t="shared" si="57"/>
        <v/>
      </c>
      <c r="M43" s="372" t="str">
        <f t="shared" si="57"/>
        <v/>
      </c>
      <c r="N43" s="372" t="str">
        <f t="shared" si="57"/>
        <v/>
      </c>
      <c r="O43" s="372" t="str">
        <f t="shared" si="57"/>
        <v/>
      </c>
      <c r="Q43" s="376"/>
      <c r="S43" s="377" t="str">
        <f t="array" ref="S43">INDEX(A:A,SMALL(IF($A$2:$A$51&lt;&gt;"",ROW($2:$51),52),ROW(A42)))&amp;""</f>
        <v>诘弗河马人</v>
      </c>
      <c r="V43" s="306"/>
      <c r="AE43" s="285" t="s">
        <v>822</v>
      </c>
      <c r="AF43" s="266"/>
      <c r="AG43" s="266">
        <v>10</v>
      </c>
      <c r="AH43" s="266">
        <f>IF(V2&lt;3,11,12)</f>
        <v>12</v>
      </c>
      <c r="AI43" s="528" t="s">
        <v>826</v>
      </c>
      <c r="AJ43" s="520" t="str">
        <f t="shared" si="56"/>
        <v>魅力+2，自选两项其他属性各+1</v>
      </c>
      <c r="AK43" s="520" t="str">
        <f t="shared" si="56"/>
        <v>中型</v>
      </c>
      <c r="AL43" s="520" t="str">
        <f t="shared" si="56"/>
        <v>基础步行速度为30尺</v>
      </c>
      <c r="AM43" s="521" t="str">
        <f t="shared" si="56"/>
        <v>和精灵语，以及任意一门自选语言</v>
      </c>
    </row>
    <row r="44" customHeight="1" spans="1:39">
      <c r="A44" s="537" t="str">
        <f>IF(综合数据!B19=TRUE,"哈多兹鼯猴人","")</f>
        <v>哈多兹鼯猴人</v>
      </c>
      <c r="B44" s="372" t="str">
        <f t="shared" ref="B44:O44" si="58">""</f>
        <v/>
      </c>
      <c r="C44" s="372" t="str">
        <f t="shared" si="58"/>
        <v/>
      </c>
      <c r="D44" s="372" t="str">
        <f t="shared" si="58"/>
        <v/>
      </c>
      <c r="E44" s="372" t="str">
        <f t="shared" si="58"/>
        <v/>
      </c>
      <c r="F44" s="372" t="str">
        <f t="shared" si="58"/>
        <v/>
      </c>
      <c r="G44" s="372" t="str">
        <f t="shared" si="58"/>
        <v/>
      </c>
      <c r="H44" s="372" t="str">
        <f t="shared" si="58"/>
        <v/>
      </c>
      <c r="I44" s="372" t="str">
        <f t="shared" si="58"/>
        <v/>
      </c>
      <c r="J44" s="372" t="str">
        <f t="shared" si="58"/>
        <v/>
      </c>
      <c r="K44" s="372" t="str">
        <f t="shared" si="58"/>
        <v/>
      </c>
      <c r="L44" s="372" t="str">
        <f t="shared" si="58"/>
        <v/>
      </c>
      <c r="M44" s="372" t="str">
        <f t="shared" si="58"/>
        <v/>
      </c>
      <c r="N44" s="372" t="str">
        <f t="shared" si="58"/>
        <v/>
      </c>
      <c r="O44" s="372" t="str">
        <f t="shared" si="58"/>
        <v/>
      </c>
      <c r="Q44" s="376"/>
      <c r="S44" s="377" t="str">
        <f t="array" ref="S44">INDEX(A:A,SMALL(IF($A$2:$A$51&lt;&gt;"",ROW($2:$51),52),ROW(A43)))&amp;""</f>
        <v>哈多兹鼯猴人</v>
      </c>
      <c r="AE44" s="523" t="s">
        <v>823</v>
      </c>
      <c r="AF44" s="267"/>
      <c r="AG44" s="267">
        <v>13</v>
      </c>
      <c r="AH44" s="267">
        <v>15</v>
      </c>
      <c r="AI44" s="528" t="s">
        <v>827</v>
      </c>
      <c r="AJ44" s="520" t="str">
        <f>AJ$43</f>
        <v>魅力+2，自选两项其他属性各+1</v>
      </c>
      <c r="AK44" s="520" t="str">
        <f>AK$43</f>
        <v>中型</v>
      </c>
      <c r="AL44" s="520" t="str">
        <f>AL$43</f>
        <v>基础步行速度为30尺</v>
      </c>
      <c r="AM44" s="521" t="str">
        <f>AM$43</f>
        <v>和精灵语，以及任意一门自选语言</v>
      </c>
    </row>
    <row r="45" customHeight="1" spans="1:39">
      <c r="A45" s="537" t="str">
        <f>IF(综合数据!B19=TRUE,"流浆体","")</f>
        <v>流浆体</v>
      </c>
      <c r="B45" s="372" t="str">
        <f t="shared" ref="B45:O45" si="59">""</f>
        <v/>
      </c>
      <c r="C45" s="372" t="str">
        <f t="shared" si="59"/>
        <v/>
      </c>
      <c r="D45" s="372" t="str">
        <f t="shared" si="59"/>
        <v/>
      </c>
      <c r="E45" s="372" t="str">
        <f t="shared" si="59"/>
        <v/>
      </c>
      <c r="F45" s="372" t="str">
        <f t="shared" si="59"/>
        <v/>
      </c>
      <c r="G45" s="372" t="str">
        <f t="shared" si="59"/>
        <v/>
      </c>
      <c r="H45" s="372" t="str">
        <f t="shared" si="59"/>
        <v/>
      </c>
      <c r="I45" s="372" t="str">
        <f t="shared" si="59"/>
        <v/>
      </c>
      <c r="J45" s="372" t="str">
        <f t="shared" si="59"/>
        <v/>
      </c>
      <c r="K45" s="372" t="str">
        <f t="shared" si="59"/>
        <v/>
      </c>
      <c r="L45" s="372" t="str">
        <f t="shared" si="59"/>
        <v/>
      </c>
      <c r="M45" s="372" t="str">
        <f t="shared" si="59"/>
        <v/>
      </c>
      <c r="N45" s="372" t="str">
        <f t="shared" si="59"/>
        <v/>
      </c>
      <c r="O45" s="372" t="str">
        <f t="shared" si="59"/>
        <v/>
      </c>
      <c r="Q45" s="376"/>
      <c r="S45" s="377" t="str">
        <f t="array" ref="S45">INDEX(A:A,SMALL(IF($A$2:$A$51&lt;&gt;"",ROW($2:$51),52),ROW(A44)))&amp;""</f>
        <v>流浆体</v>
      </c>
      <c r="AE45" s="532" t="s">
        <v>705</v>
      </c>
      <c r="AF45" s="519">
        <f>AF40+1</f>
        <v>7</v>
      </c>
      <c r="AG45" s="519">
        <v>1</v>
      </c>
      <c r="AH45" s="519">
        <f>IF(COUNTIF(G8:H8,V4),2,3)</f>
        <v>3</v>
      </c>
      <c r="AI45" s="528" t="s">
        <v>779</v>
      </c>
      <c r="AJ45" s="520" t="str">
        <f t="shared" ref="AJ45:AM46" si="60">AJ$41</f>
        <v>魅力+2，自选两项其他属性各+1</v>
      </c>
      <c r="AK45" s="520" t="str">
        <f t="shared" si="60"/>
        <v>中型</v>
      </c>
      <c r="AL45" s="520" t="str">
        <f t="shared" si="60"/>
        <v>基础步行速度为30尺</v>
      </c>
      <c r="AM45" s="521" t="str">
        <f t="shared" si="60"/>
        <v>和精灵语，以及任意一门自选语言</v>
      </c>
    </row>
    <row r="46" customHeight="1" spans="1:39">
      <c r="A46" s="537" t="str">
        <f>IF(综合数据!B19=TRUE,"斯莱克林螳螂人","")</f>
        <v>斯莱克林螳螂人</v>
      </c>
      <c r="B46" s="372" t="str">
        <f t="shared" ref="B46:O46" si="61">""</f>
        <v/>
      </c>
      <c r="C46" s="372" t="str">
        <f t="shared" si="61"/>
        <v/>
      </c>
      <c r="D46" s="372" t="str">
        <f t="shared" si="61"/>
        <v/>
      </c>
      <c r="E46" s="372" t="str">
        <f t="shared" si="61"/>
        <v/>
      </c>
      <c r="F46" s="372" t="str">
        <f t="shared" si="61"/>
        <v/>
      </c>
      <c r="G46" s="372" t="str">
        <f t="shared" si="61"/>
        <v/>
      </c>
      <c r="H46" s="372" t="str">
        <f t="shared" si="61"/>
        <v/>
      </c>
      <c r="I46" s="372" t="str">
        <f t="shared" si="61"/>
        <v/>
      </c>
      <c r="J46" s="372" t="str">
        <f t="shared" si="61"/>
        <v/>
      </c>
      <c r="K46" s="372" t="str">
        <f t="shared" si="61"/>
        <v/>
      </c>
      <c r="L46" s="372" t="str">
        <f t="shared" si="61"/>
        <v/>
      </c>
      <c r="M46" s="372" t="str">
        <f t="shared" si="61"/>
        <v/>
      </c>
      <c r="N46" s="372" t="str">
        <f t="shared" si="61"/>
        <v/>
      </c>
      <c r="O46" s="372" t="str">
        <f t="shared" si="61"/>
        <v/>
      </c>
      <c r="Q46" s="376"/>
      <c r="S46" s="377" t="str">
        <f t="array" ref="S46">INDEX(A:A,SMALL(IF($A$2:$A$51&lt;&gt;"",ROW($2:$51),52),ROW(A45)))&amp;""</f>
        <v>斯莱克林螳螂人</v>
      </c>
      <c r="AE46" s="528" t="s">
        <v>774</v>
      </c>
      <c r="AF46" s="244"/>
      <c r="AG46" s="244">
        <v>4</v>
      </c>
      <c r="AH46" s="244">
        <v>7</v>
      </c>
      <c r="AI46" s="528" t="s">
        <v>782</v>
      </c>
      <c r="AJ46" s="520" t="str">
        <f t="shared" si="60"/>
        <v>魅力+2，自选两项其他属性各+1</v>
      </c>
      <c r="AK46" s="520" t="str">
        <f t="shared" si="60"/>
        <v>中型</v>
      </c>
      <c r="AL46" s="520" t="str">
        <f t="shared" si="60"/>
        <v>基础步行速度为30尺</v>
      </c>
      <c r="AM46" s="521" t="str">
        <f t="shared" si="60"/>
        <v>和精灵语，以及任意一门自选语言</v>
      </c>
    </row>
    <row r="47" customHeight="1" spans="1:39">
      <c r="A47" s="292" t="str">
        <f>IF(综合数据!B23=TRUE,"洛卡鱼人","")</f>
        <v/>
      </c>
      <c r="B47" s="372" t="str">
        <f t="shared" ref="B47:O47" si="62">""</f>
        <v/>
      </c>
      <c r="C47" s="372" t="str">
        <f t="shared" si="62"/>
        <v/>
      </c>
      <c r="D47" s="372" t="str">
        <f t="shared" si="62"/>
        <v/>
      </c>
      <c r="E47" s="372" t="str">
        <f t="shared" si="62"/>
        <v/>
      </c>
      <c r="F47" s="372" t="str">
        <f t="shared" si="62"/>
        <v/>
      </c>
      <c r="G47" s="372" t="str">
        <f t="shared" si="62"/>
        <v/>
      </c>
      <c r="H47" s="372" t="str">
        <f t="shared" si="62"/>
        <v/>
      </c>
      <c r="I47" s="372" t="str">
        <f t="shared" si="62"/>
        <v/>
      </c>
      <c r="J47" s="372" t="str">
        <f t="shared" si="62"/>
        <v/>
      </c>
      <c r="K47" s="372" t="str">
        <f t="shared" si="62"/>
        <v/>
      </c>
      <c r="L47" s="372" t="str">
        <f t="shared" si="62"/>
        <v/>
      </c>
      <c r="M47" s="372" t="str">
        <f t="shared" si="62"/>
        <v/>
      </c>
      <c r="N47" s="372" t="str">
        <f t="shared" si="62"/>
        <v/>
      </c>
      <c r="O47" s="372" t="str">
        <f t="shared" si="62"/>
        <v/>
      </c>
      <c r="Q47" s="376"/>
      <c r="S47" s="377" t="str">
        <f t="array" ref="S47">INDEX(A:A,SMALL(IF($A$2:$A$51&lt;&gt;"",ROW($2:$51),52),ROW(A46)))&amp;""</f>
        <v/>
      </c>
      <c r="AE47" s="528" t="s">
        <v>826</v>
      </c>
      <c r="AF47" s="244"/>
      <c r="AG47" s="244">
        <v>8</v>
      </c>
      <c r="AH47" s="244">
        <v>10</v>
      </c>
      <c r="AI47" s="523" t="s">
        <v>828</v>
      </c>
      <c r="AJ47" s="520" t="s">
        <v>791</v>
      </c>
      <c r="AK47" s="520" t="str">
        <f t="shared" ref="AK47:AM48" si="63">AK$41</f>
        <v>中型</v>
      </c>
      <c r="AL47" s="520" t="str">
        <f t="shared" si="63"/>
        <v>基础步行速度为30尺</v>
      </c>
      <c r="AM47" s="521" t="str">
        <f t="shared" si="63"/>
        <v>和精灵语，以及任意一门自选语言</v>
      </c>
    </row>
    <row r="48" customHeight="1" spans="1:39">
      <c r="A48" s="292" t="str">
        <f>IF(综合数据!B23=TRUE,"阿芒凯那伽","")</f>
        <v/>
      </c>
      <c r="B48" s="372" t="str">
        <f t="shared" ref="B48:O48" si="64">""</f>
        <v/>
      </c>
      <c r="C48" s="372" t="str">
        <f t="shared" si="64"/>
        <v/>
      </c>
      <c r="D48" s="372" t="str">
        <f t="shared" si="64"/>
        <v/>
      </c>
      <c r="E48" s="372" t="str">
        <f t="shared" si="64"/>
        <v/>
      </c>
      <c r="F48" s="372" t="str">
        <f t="shared" si="64"/>
        <v/>
      </c>
      <c r="G48" s="372" t="str">
        <f t="shared" si="64"/>
        <v/>
      </c>
      <c r="H48" s="372" t="str">
        <f t="shared" si="64"/>
        <v/>
      </c>
      <c r="I48" s="372" t="str">
        <f t="shared" si="64"/>
        <v/>
      </c>
      <c r="J48" s="372" t="str">
        <f t="shared" si="64"/>
        <v/>
      </c>
      <c r="K48" s="372" t="str">
        <f t="shared" si="64"/>
        <v/>
      </c>
      <c r="L48" s="372" t="str">
        <f t="shared" si="64"/>
        <v/>
      </c>
      <c r="M48" s="372" t="str">
        <f t="shared" si="64"/>
        <v/>
      </c>
      <c r="N48" s="372" t="str">
        <f t="shared" si="64"/>
        <v/>
      </c>
      <c r="O48" s="372" t="str">
        <f t="shared" si="64"/>
        <v/>
      </c>
      <c r="Q48" s="376"/>
      <c r="S48" s="377" t="str">
        <f t="array" ref="S48">INDEX(A:A,SMALL(IF($A$2:$A$51&lt;&gt;"",ROW($2:$51),52),ROW(A47)))&amp;""</f>
        <v/>
      </c>
      <c r="AE48" s="528" t="s">
        <v>827</v>
      </c>
      <c r="AF48" s="244"/>
      <c r="AG48" s="244">
        <v>8</v>
      </c>
      <c r="AH48" s="244">
        <v>10</v>
      </c>
      <c r="AI48" s="523" t="s">
        <v>829</v>
      </c>
      <c r="AJ48" s="520" t="s">
        <v>830</v>
      </c>
      <c r="AK48" s="520" t="str">
        <f t="shared" si="63"/>
        <v>中型</v>
      </c>
      <c r="AL48" s="520" t="str">
        <f t="shared" si="63"/>
        <v>基础步行速度为30尺</v>
      </c>
      <c r="AM48" s="521" t="str">
        <f t="shared" si="63"/>
        <v>和精灵语，以及任意一门自选语言</v>
      </c>
    </row>
    <row r="49" customHeight="1" spans="1:39">
      <c r="A49" s="292" t="str">
        <f>IF(综合数据!B23=TRUE,"人鱼","")</f>
        <v/>
      </c>
      <c r="B49" s="257" t="s">
        <v>831</v>
      </c>
      <c r="C49" s="257" t="s">
        <v>832</v>
      </c>
      <c r="D49" s="372" t="str">
        <f t="shared" ref="D49:O49" si="65">""</f>
        <v/>
      </c>
      <c r="E49" s="372" t="str">
        <f t="shared" si="65"/>
        <v/>
      </c>
      <c r="F49" s="372" t="str">
        <f t="shared" si="65"/>
        <v/>
      </c>
      <c r="G49" s="372" t="str">
        <f t="shared" si="65"/>
        <v/>
      </c>
      <c r="H49" s="372" t="str">
        <f t="shared" si="65"/>
        <v/>
      </c>
      <c r="I49" s="372" t="str">
        <f t="shared" si="65"/>
        <v/>
      </c>
      <c r="J49" s="372" t="str">
        <f t="shared" si="65"/>
        <v/>
      </c>
      <c r="K49" s="372" t="str">
        <f t="shared" si="65"/>
        <v/>
      </c>
      <c r="L49" s="372" t="str">
        <f t="shared" si="65"/>
        <v/>
      </c>
      <c r="M49" s="372" t="str">
        <f t="shared" si="65"/>
        <v/>
      </c>
      <c r="N49" s="372" t="str">
        <f t="shared" si="65"/>
        <v/>
      </c>
      <c r="O49" s="372" t="str">
        <f t="shared" si="65"/>
        <v/>
      </c>
      <c r="Q49" s="376"/>
      <c r="S49" s="377" t="str">
        <f t="array" ref="S49">INDEX(A:A,SMALL(IF($A$2:$A$51&lt;&gt;"",ROW($2:$51),52),ROW(A48)))&amp;""</f>
        <v/>
      </c>
      <c r="AE49" s="528" t="s">
        <v>779</v>
      </c>
      <c r="AF49" s="244"/>
      <c r="AG49" s="244">
        <v>11</v>
      </c>
      <c r="AH49" s="244">
        <v>12</v>
      </c>
      <c r="AI49" s="516" t="s">
        <v>725</v>
      </c>
      <c r="AJ49" s="520" t="s">
        <v>815</v>
      </c>
      <c r="AK49" s="520" t="s">
        <v>487</v>
      </c>
      <c r="AL49" s="520" t="s">
        <v>569</v>
      </c>
      <c r="AM49" s="521" t="s">
        <v>833</v>
      </c>
    </row>
    <row r="50" customHeight="1" spans="1:39">
      <c r="A50" s="292" t="str">
        <f>IF(综合数据!B23=TRUE,"吸血鬼","")</f>
        <v/>
      </c>
      <c r="B50" s="257" t="s">
        <v>834</v>
      </c>
      <c r="C50" s="257" t="s">
        <v>835</v>
      </c>
      <c r="D50" s="372" t="str">
        <f t="shared" ref="D50:O50" si="66">""</f>
        <v/>
      </c>
      <c r="E50" s="372" t="str">
        <f t="shared" si="66"/>
        <v/>
      </c>
      <c r="F50" s="372" t="str">
        <f t="shared" si="66"/>
        <v/>
      </c>
      <c r="G50" s="372" t="str">
        <f t="shared" si="66"/>
        <v/>
      </c>
      <c r="H50" s="372" t="str">
        <f t="shared" si="66"/>
        <v/>
      </c>
      <c r="I50" s="372" t="str">
        <f t="shared" si="66"/>
        <v/>
      </c>
      <c r="J50" s="372" t="str">
        <f t="shared" si="66"/>
        <v/>
      </c>
      <c r="K50" s="372" t="str">
        <f t="shared" si="66"/>
        <v/>
      </c>
      <c r="L50" s="372" t="str">
        <f t="shared" si="66"/>
        <v/>
      </c>
      <c r="M50" s="372" t="str">
        <f t="shared" si="66"/>
        <v/>
      </c>
      <c r="N50" s="372" t="str">
        <f t="shared" si="66"/>
        <v/>
      </c>
      <c r="O50" s="372" t="str">
        <f t="shared" si="66"/>
        <v/>
      </c>
      <c r="Q50" s="376"/>
      <c r="S50" s="377" t="str">
        <f t="array" ref="S50">INDEX(A:A,SMALL(IF($A$2:$A$51&lt;&gt;"",ROW($2:$51),52),ROW(A49)))&amp;""</f>
        <v/>
      </c>
      <c r="T50" s="373"/>
      <c r="AE50" s="528" t="s">
        <v>782</v>
      </c>
      <c r="AF50" s="244"/>
      <c r="AG50" s="244">
        <v>13</v>
      </c>
      <c r="AH50" s="244">
        <v>14</v>
      </c>
      <c r="AI50" s="523" t="s">
        <v>787</v>
      </c>
      <c r="AJ50" s="520" t="str">
        <f>AJ$22</f>
        <v>感知+2，体质+1</v>
      </c>
      <c r="AK50" s="520" t="str">
        <f>AK$49</f>
        <v>中型</v>
      </c>
      <c r="AL50" s="520" t="str">
        <f>AL$49</f>
        <v>基础步行速度为30尺</v>
      </c>
      <c r="AM50" s="521" t="str">
        <f>IF(V3=A5,"、兽人语和地精语","和地精语，以及任意一门自选语言")</f>
        <v>和地精语，以及任意一门自选语言</v>
      </c>
    </row>
    <row r="51" customHeight="1" spans="1:39">
      <c r="A51" s="293" t="str">
        <f>IF(综合数据!B23=TRUE,"塞连","")</f>
        <v/>
      </c>
      <c r="B51" s="382" t="str">
        <f t="shared" ref="B51:O51" si="67">""</f>
        <v/>
      </c>
      <c r="C51" s="382" t="str">
        <f t="shared" si="67"/>
        <v/>
      </c>
      <c r="D51" s="382" t="str">
        <f t="shared" si="67"/>
        <v/>
      </c>
      <c r="E51" s="382" t="str">
        <f t="shared" si="67"/>
        <v/>
      </c>
      <c r="F51" s="382" t="str">
        <f t="shared" si="67"/>
        <v/>
      </c>
      <c r="G51" s="382" t="str">
        <f t="shared" si="67"/>
        <v/>
      </c>
      <c r="H51" s="382" t="str">
        <f t="shared" si="67"/>
        <v/>
      </c>
      <c r="I51" s="382" t="str">
        <f t="shared" si="67"/>
        <v/>
      </c>
      <c r="J51" s="382" t="str">
        <f t="shared" si="67"/>
        <v/>
      </c>
      <c r="K51" s="382" t="str">
        <f t="shared" si="67"/>
        <v/>
      </c>
      <c r="L51" s="382" t="str">
        <f t="shared" si="67"/>
        <v/>
      </c>
      <c r="M51" s="382" t="str">
        <f t="shared" si="67"/>
        <v/>
      </c>
      <c r="N51" s="382" t="str">
        <f t="shared" si="67"/>
        <v/>
      </c>
      <c r="O51" s="382" t="str">
        <f t="shared" si="67"/>
        <v/>
      </c>
      <c r="P51" s="382"/>
      <c r="Q51" s="383"/>
      <c r="S51" s="398" t="str">
        <f t="array" ref="S51">INDEX(A:A,SMALL(IF($A$2:$A$51&lt;&gt;"",ROW($2:$51),52),ROW(A50)))&amp;""</f>
        <v/>
      </c>
      <c r="AE51" s="267" t="s">
        <v>828</v>
      </c>
      <c r="AF51" s="267"/>
      <c r="AG51" s="267">
        <v>15</v>
      </c>
      <c r="AH51" s="267">
        <v>17</v>
      </c>
      <c r="AI51" s="292" t="s">
        <v>836</v>
      </c>
      <c r="AJ51" s="520" t="s">
        <v>815</v>
      </c>
      <c r="AK51" s="520" t="str">
        <f>AK$49</f>
        <v>中型</v>
      </c>
      <c r="AL51" s="520" t="str">
        <f>AL$49</f>
        <v>基础步行速度为30尺</v>
      </c>
      <c r="AM51" s="521" t="s">
        <v>837</v>
      </c>
    </row>
    <row r="52" customHeight="1" spans="1:39">
      <c r="AE52" s="267" t="s">
        <v>829</v>
      </c>
      <c r="AF52" s="267"/>
      <c r="AG52" s="267">
        <v>18</v>
      </c>
      <c r="AH52" s="267">
        <v>21</v>
      </c>
      <c r="AI52" s="516" t="s">
        <v>744</v>
      </c>
      <c r="AJ52" s="520" t="s">
        <v>838</v>
      </c>
      <c r="AK52" s="520" t="s">
        <v>487</v>
      </c>
      <c r="AL52" s="520" t="s">
        <v>569</v>
      </c>
      <c r="AM52" s="521" t="s">
        <v>839</v>
      </c>
    </row>
    <row r="53" customHeight="1" spans="1:39">
      <c r="A53" s="391"/>
      <c r="B53" s="389">
        <v>1</v>
      </c>
      <c r="C53" s="389">
        <v>2</v>
      </c>
      <c r="D53" s="389">
        <v>3</v>
      </c>
      <c r="E53" s="389">
        <v>4</v>
      </c>
      <c r="F53" s="389">
        <v>5</v>
      </c>
      <c r="G53" s="389">
        <v>6</v>
      </c>
      <c r="H53" s="389">
        <v>7</v>
      </c>
      <c r="I53" s="389">
        <v>8</v>
      </c>
      <c r="J53" s="389">
        <v>9</v>
      </c>
      <c r="K53" s="389">
        <v>10</v>
      </c>
      <c r="L53" s="389">
        <v>11</v>
      </c>
      <c r="M53" s="389">
        <v>12</v>
      </c>
      <c r="N53" s="389">
        <v>13</v>
      </c>
      <c r="O53" s="389">
        <v>14</v>
      </c>
      <c r="P53" s="389">
        <v>15</v>
      </c>
      <c r="Q53" s="389">
        <v>16</v>
      </c>
      <c r="R53" s="389">
        <v>17</v>
      </c>
      <c r="S53" s="389">
        <v>18</v>
      </c>
      <c r="T53" s="389">
        <v>19</v>
      </c>
      <c r="U53" s="389">
        <v>20</v>
      </c>
      <c r="V53" s="389">
        <v>21</v>
      </c>
      <c r="W53" s="389">
        <v>22</v>
      </c>
      <c r="X53" s="389">
        <v>23</v>
      </c>
      <c r="Y53" s="389">
        <v>24</v>
      </c>
      <c r="Z53" s="389">
        <v>25</v>
      </c>
      <c r="AA53" s="389">
        <v>26</v>
      </c>
      <c r="AB53" s="389">
        <v>27</v>
      </c>
      <c r="AC53" s="389">
        <v>28</v>
      </c>
      <c r="AD53" s="369">
        <v>29</v>
      </c>
      <c r="AE53" s="519" t="s">
        <v>725</v>
      </c>
      <c r="AF53" s="519">
        <f>AF45+1</f>
        <v>8</v>
      </c>
      <c r="AG53" s="519">
        <v>1</v>
      </c>
      <c r="AH53" s="519">
        <f>IF(COUNTIF(B9:C9,V4),0,4)</f>
        <v>4</v>
      </c>
      <c r="AI53" s="528" t="s">
        <v>786</v>
      </c>
      <c r="AJ53" s="520" t="s">
        <v>840</v>
      </c>
      <c r="AK53" s="520" t="str">
        <f t="shared" ref="AK53:AM61" si="68">AK$52</f>
        <v>中型</v>
      </c>
      <c r="AL53" s="520" t="str">
        <f t="shared" si="68"/>
        <v>基础步行速度为30尺</v>
      </c>
      <c r="AM53" s="521" t="str">
        <f t="shared" si="68"/>
        <v>和炼狱语</v>
      </c>
    </row>
    <row r="54" customHeight="1" spans="1:39">
      <c r="A54" s="517" t="s">
        <v>482</v>
      </c>
      <c r="B54" s="306" t="s">
        <v>841</v>
      </c>
      <c r="C54" s="306" t="s">
        <v>842</v>
      </c>
      <c r="D54" s="306" t="s">
        <v>843</v>
      </c>
      <c r="E54" s="306" t="s">
        <v>242</v>
      </c>
      <c r="F54" s="306" t="s">
        <v>844</v>
      </c>
      <c r="G54" s="308" t="s">
        <v>845</v>
      </c>
      <c r="H54" s="538" t="s">
        <v>846</v>
      </c>
      <c r="I54" s="539" t="s">
        <v>847</v>
      </c>
      <c r="J54" s="539" t="s">
        <v>848</v>
      </c>
      <c r="K54" s="539" t="s">
        <v>849</v>
      </c>
      <c r="L54" s="540" t="s">
        <v>850</v>
      </c>
      <c r="M54" s="540" t="s">
        <v>851</v>
      </c>
      <c r="N54" s="540" t="s">
        <v>852</v>
      </c>
      <c r="Q54" s="193"/>
      <c r="R54" s="193"/>
      <c r="S54" s="193"/>
      <c r="T54" s="193"/>
      <c r="U54" s="193"/>
      <c r="V54" s="193"/>
      <c r="W54" s="193"/>
      <c r="X54" s="193"/>
      <c r="Y54" s="193"/>
      <c r="Z54" s="193"/>
      <c r="AA54" s="193"/>
      <c r="AB54" s="193"/>
      <c r="AC54" s="193"/>
      <c r="AD54" s="200"/>
      <c r="AE54" s="267" t="s">
        <v>787</v>
      </c>
      <c r="AF54" s="267"/>
      <c r="AG54" s="267">
        <f>IF(V3=A5,3,5)</f>
        <v>5</v>
      </c>
      <c r="AH54" s="267">
        <f>IF(V3=A5,6,8)</f>
        <v>8</v>
      </c>
      <c r="AI54" s="285" t="s">
        <v>853</v>
      </c>
      <c r="AJ54" s="520" t="s">
        <v>854</v>
      </c>
      <c r="AK54" s="520" t="str">
        <f t="shared" si="68"/>
        <v>中型</v>
      </c>
      <c r="AL54" s="520" t="str">
        <f t="shared" si="68"/>
        <v>基础步行速度为30尺</v>
      </c>
      <c r="AM54" s="521" t="str">
        <f t="shared" si="68"/>
        <v>和炼狱语</v>
      </c>
    </row>
    <row r="55" customHeight="1" spans="1:39">
      <c r="A55" s="517"/>
      <c r="B55" s="306" t="s">
        <v>855</v>
      </c>
      <c r="C55" s="306" t="s">
        <v>856</v>
      </c>
      <c r="D55" s="306" t="s">
        <v>857</v>
      </c>
      <c r="E55" s="306" t="s">
        <v>858</v>
      </c>
      <c r="F55" s="306" t="s">
        <v>859</v>
      </c>
      <c r="G55" s="308" t="s">
        <v>860</v>
      </c>
      <c r="H55" s="538" t="s">
        <v>861</v>
      </c>
      <c r="I55" s="539" t="s">
        <v>862</v>
      </c>
      <c r="J55" s="539" t="s">
        <v>863</v>
      </c>
      <c r="K55" s="539" t="s">
        <v>864</v>
      </c>
      <c r="L55" s="540" t="s">
        <v>865</v>
      </c>
      <c r="M55" s="540" t="s">
        <v>866</v>
      </c>
      <c r="N55" s="540" t="s">
        <v>867</v>
      </c>
      <c r="Q55" s="193"/>
      <c r="R55" s="193"/>
      <c r="S55" s="193"/>
      <c r="T55" s="193"/>
      <c r="U55" s="193"/>
      <c r="V55" s="193"/>
      <c r="W55" s="193"/>
      <c r="X55" s="193"/>
      <c r="Y55" s="193"/>
      <c r="Z55" s="193"/>
      <c r="AA55" s="193"/>
      <c r="AB55" s="193"/>
      <c r="AC55" s="193"/>
      <c r="AD55" s="200"/>
      <c r="AE55" s="257" t="s">
        <v>836</v>
      </c>
      <c r="AF55" s="257"/>
      <c r="AG55" s="257">
        <v>9</v>
      </c>
      <c r="AH55" s="257">
        <v>12</v>
      </c>
      <c r="AI55" s="285" t="s">
        <v>868</v>
      </c>
      <c r="AJ55" s="520" t="s">
        <v>830</v>
      </c>
      <c r="AK55" s="520" t="str">
        <f t="shared" si="68"/>
        <v>中型</v>
      </c>
      <c r="AL55" s="520" t="str">
        <f t="shared" si="68"/>
        <v>基础步行速度为30尺</v>
      </c>
      <c r="AM55" s="521" t="str">
        <f t="shared" si="68"/>
        <v>和炼狱语</v>
      </c>
    </row>
    <row r="56" customHeight="1" spans="1:39">
      <c r="A56" s="517" t="s">
        <v>524</v>
      </c>
      <c r="B56" s="306" t="s">
        <v>841</v>
      </c>
      <c r="C56" s="306" t="s">
        <v>869</v>
      </c>
      <c r="D56" s="306" t="s">
        <v>870</v>
      </c>
      <c r="E56" s="306" t="s">
        <v>871</v>
      </c>
      <c r="F56" s="308" t="s">
        <v>872</v>
      </c>
      <c r="G56" s="308" t="s">
        <v>873</v>
      </c>
      <c r="H56" s="308" t="s">
        <v>874</v>
      </c>
      <c r="I56" s="538" t="s">
        <v>872</v>
      </c>
      <c r="J56" s="538" t="s">
        <v>875</v>
      </c>
      <c r="K56" s="538" t="s">
        <v>876</v>
      </c>
      <c r="L56" s="539" t="s">
        <v>847</v>
      </c>
      <c r="M56" s="539" t="s">
        <v>877</v>
      </c>
      <c r="N56" s="539" t="s">
        <v>878</v>
      </c>
      <c r="O56" s="539" t="s">
        <v>879</v>
      </c>
      <c r="P56" s="540" t="s">
        <v>880</v>
      </c>
      <c r="Q56" s="541" t="s">
        <v>881</v>
      </c>
      <c r="R56" s="541" t="s">
        <v>882</v>
      </c>
      <c r="S56" s="541" t="s">
        <v>883</v>
      </c>
      <c r="T56" s="542" t="s">
        <v>884</v>
      </c>
      <c r="U56" s="542" t="s">
        <v>885</v>
      </c>
      <c r="V56" s="543" t="s">
        <v>850</v>
      </c>
      <c r="W56" s="543" t="s">
        <v>886</v>
      </c>
      <c r="X56" s="543" t="s">
        <v>887</v>
      </c>
      <c r="Y56" s="308" t="s">
        <v>888</v>
      </c>
      <c r="Z56" s="308" t="s">
        <v>889</v>
      </c>
      <c r="AB56" s="193"/>
      <c r="AC56" s="193"/>
      <c r="AD56" s="200"/>
      <c r="AE56" s="519" t="s">
        <v>744</v>
      </c>
      <c r="AF56" s="519">
        <f>AF53+1</f>
        <v>9</v>
      </c>
      <c r="AG56" s="519">
        <v>1</v>
      </c>
      <c r="AH56" s="519">
        <f>IF(COUNTIF(C10:J10,V4),2,3)</f>
        <v>3</v>
      </c>
      <c r="AI56" s="285" t="s">
        <v>890</v>
      </c>
      <c r="AJ56" s="520" t="s">
        <v>891</v>
      </c>
      <c r="AK56" s="520" t="str">
        <f t="shared" si="68"/>
        <v>中型</v>
      </c>
      <c r="AL56" s="520" t="str">
        <f t="shared" si="68"/>
        <v>基础步行速度为30尺</v>
      </c>
      <c r="AM56" s="521" t="str">
        <f t="shared" si="68"/>
        <v>和炼狱语</v>
      </c>
    </row>
    <row r="57" customHeight="1" spans="1:39">
      <c r="A57" s="517"/>
      <c r="B57" s="306" t="str">
        <f>B55</f>
        <v>在微光光照下，你身边60尺内可以视为等同于明亮光照。而在黑暗中，该范围内可视为等同于微光光照。你无法在黑暗中分辨颜色，只能看到有灰度的黑白画面</v>
      </c>
      <c r="C57" s="306" t="s">
        <v>892</v>
      </c>
      <c r="D57" s="306" t="s">
        <v>893</v>
      </c>
      <c r="E57" s="306" t="str">
        <f>"你在需要休息时陷入持续4个小时的半清醒深度冥想中。冥想时精灵也会做梦。以这种方式休息后，你获得人类睡眠8小时的全部益处"&amp;IF(OR(V4=E3,V4=F3,V4=G3),"。
当你结束这段冥想时，你能够获得两项你未拥有的武器或工具熟练项直到你完成下次长休","")&amp;IF(V4=E3,"，并改变你的季节","")</f>
        <v>你在需要休息时陷入持续4个小时的半清醒深度冥想中。冥想时精灵也会做梦。以这种方式休息后，你获得人类睡眠8小时的全部益处</v>
      </c>
      <c r="F57" s="308" t="s">
        <v>894</v>
      </c>
      <c r="G57" s="308" t="s">
        <v>895</v>
      </c>
      <c r="H57" s="308" t="s">
        <v>896</v>
      </c>
      <c r="I57" s="538" t="str">
        <f>F57</f>
        <v>你具有长剑、短剑、短弓和长弓的武器熟练项</v>
      </c>
      <c r="J57" s="538" t="s">
        <v>897</v>
      </c>
      <c r="K57" s="538" t="s">
        <v>898</v>
      </c>
      <c r="L57" s="539" t="str">
        <f>I55</f>
        <v>你的黑暗视觉感官范围提升至120尺</v>
      </c>
      <c r="M57" s="539" t="s">
        <v>899</v>
      </c>
      <c r="N57" s="539" t="s">
        <v>900</v>
      </c>
      <c r="O57" s="539" t="s">
        <v>901</v>
      </c>
      <c r="P57" s="540" t="s">
        <v>902</v>
      </c>
      <c r="Q57" s="541" t="s">
        <v>903</v>
      </c>
      <c r="R57" s="541" t="s">
        <v>904</v>
      </c>
      <c r="S57" s="541" t="s">
        <v>905</v>
      </c>
      <c r="T57" s="542" t="s">
        <v>906</v>
      </c>
      <c r="U57" s="542" t="s">
        <v>907</v>
      </c>
      <c r="V57" s="543" t="s">
        <v>908</v>
      </c>
      <c r="W57" s="543" t="s">
        <v>909</v>
      </c>
      <c r="X57" s="543" t="s">
        <v>910</v>
      </c>
      <c r="Y57" s="308" t="s">
        <v>911</v>
      </c>
      <c r="Z57" s="308" t="s">
        <v>912</v>
      </c>
      <c r="AB57" s="193"/>
      <c r="AC57" s="193"/>
      <c r="AD57" s="200"/>
      <c r="AE57" s="244" t="s">
        <v>786</v>
      </c>
      <c r="AF57" s="244"/>
      <c r="AG57" s="244">
        <v>4</v>
      </c>
      <c r="AH57" s="244">
        <v>6</v>
      </c>
      <c r="AI57" s="285" t="s">
        <v>913</v>
      </c>
      <c r="AJ57" s="520" t="s">
        <v>830</v>
      </c>
      <c r="AK57" s="520" t="str">
        <f t="shared" si="68"/>
        <v>中型</v>
      </c>
      <c r="AL57" s="520" t="str">
        <f t="shared" si="68"/>
        <v>基础步行速度为30尺</v>
      </c>
      <c r="AM57" s="521" t="str">
        <f t="shared" si="68"/>
        <v>和炼狱语</v>
      </c>
    </row>
    <row r="58" customHeight="1" spans="1:39">
      <c r="A58" s="517" t="s">
        <v>564</v>
      </c>
      <c r="B58" s="306" t="s">
        <v>914</v>
      </c>
      <c r="C58" s="306" t="s">
        <v>915</v>
      </c>
      <c r="D58" s="306" t="s">
        <v>916</v>
      </c>
      <c r="E58" s="308" t="s">
        <v>917</v>
      </c>
      <c r="F58" s="538" t="s">
        <v>918</v>
      </c>
      <c r="G58" s="539" t="s">
        <v>919</v>
      </c>
      <c r="H58" s="540" t="s">
        <v>850</v>
      </c>
      <c r="I58" s="540" t="s">
        <v>920</v>
      </c>
      <c r="J58" s="540" t="s">
        <v>921</v>
      </c>
      <c r="K58" s="541" t="s">
        <v>850</v>
      </c>
      <c r="L58" s="541" t="s">
        <v>922</v>
      </c>
      <c r="M58" s="541" t="s">
        <v>923</v>
      </c>
      <c r="N58" s="542" t="s">
        <v>924</v>
      </c>
      <c r="O58" s="542" t="s">
        <v>925</v>
      </c>
      <c r="P58" s="193"/>
      <c r="Q58" s="193"/>
      <c r="R58" s="193"/>
      <c r="S58" s="193"/>
      <c r="T58" s="193"/>
      <c r="U58" s="193"/>
      <c r="V58" s="193"/>
      <c r="W58" s="193"/>
      <c r="X58" s="193"/>
      <c r="Y58" s="193"/>
      <c r="Z58" s="193"/>
      <c r="AA58" s="193"/>
      <c r="AB58" s="193"/>
      <c r="AC58" s="193"/>
      <c r="AD58" s="200"/>
      <c r="AE58" s="266" t="s">
        <v>853</v>
      </c>
      <c r="AF58" s="266"/>
      <c r="AG58" s="266">
        <v>7</v>
      </c>
      <c r="AH58" s="266">
        <v>7</v>
      </c>
      <c r="AI58" s="285" t="s">
        <v>926</v>
      </c>
      <c r="AJ58" s="520" t="s">
        <v>927</v>
      </c>
      <c r="AK58" s="520" t="str">
        <f t="shared" si="68"/>
        <v>中型</v>
      </c>
      <c r="AL58" s="520" t="str">
        <f t="shared" si="68"/>
        <v>基础步行速度为30尺</v>
      </c>
      <c r="AM58" s="521" t="str">
        <f t="shared" si="68"/>
        <v>和炼狱语</v>
      </c>
    </row>
    <row r="59" customHeight="1" spans="1:39">
      <c r="A59" s="517"/>
      <c r="B59" s="306" t="s">
        <v>928</v>
      </c>
      <c r="C59" s="306" t="s">
        <v>929</v>
      </c>
      <c r="D59" s="306" t="s">
        <v>930</v>
      </c>
      <c r="E59" s="308" t="s">
        <v>931</v>
      </c>
      <c r="F59" s="538" t="str">
        <f>C55</f>
        <v>你进行对抗中毒的豁免时具有优势，你对毒素伤害具有抗性</v>
      </c>
      <c r="G59" s="539" t="s">
        <v>932</v>
      </c>
      <c r="H59" s="540" t="s">
        <v>933</v>
      </c>
      <c r="I59" s="540" t="s">
        <v>934</v>
      </c>
      <c r="J59" s="540" t="s">
        <v>935</v>
      </c>
      <c r="K59" s="541" t="s">
        <v>936</v>
      </c>
      <c r="L59" s="541" t="s">
        <v>937</v>
      </c>
      <c r="M59" s="541" t="s">
        <v>938</v>
      </c>
      <c r="N59" s="542" t="s">
        <v>939</v>
      </c>
      <c r="O59" s="542" t="s">
        <v>940</v>
      </c>
      <c r="P59" s="193"/>
      <c r="Q59" s="193"/>
      <c r="R59" s="193"/>
      <c r="S59" s="193"/>
      <c r="T59" s="193"/>
      <c r="U59" s="193"/>
      <c r="V59" s="193"/>
      <c r="W59" s="193"/>
      <c r="X59" s="193"/>
      <c r="Y59" s="193"/>
      <c r="Z59" s="193"/>
      <c r="AA59" s="193"/>
      <c r="AB59" s="193"/>
      <c r="AC59" s="193"/>
      <c r="AD59" s="200"/>
      <c r="AE59" s="266" t="s">
        <v>868</v>
      </c>
      <c r="AF59" s="266"/>
      <c r="AG59" s="266">
        <v>8</v>
      </c>
      <c r="AH59" s="266">
        <v>8</v>
      </c>
      <c r="AI59" s="285" t="s">
        <v>941</v>
      </c>
      <c r="AJ59" s="520" t="s">
        <v>854</v>
      </c>
      <c r="AK59" s="520" t="str">
        <f t="shared" si="68"/>
        <v>中型</v>
      </c>
      <c r="AL59" s="520" t="str">
        <f t="shared" si="68"/>
        <v>基础步行速度为30尺</v>
      </c>
      <c r="AM59" s="521" t="str">
        <f t="shared" si="68"/>
        <v>和炼狱语</v>
      </c>
    </row>
    <row r="60" customHeight="1" spans="1:39">
      <c r="A60" s="517" t="s">
        <v>605</v>
      </c>
      <c r="B60" s="308" t="s">
        <v>108</v>
      </c>
      <c r="C60" s="308" t="s">
        <v>247</v>
      </c>
      <c r="D60" s="538" t="s">
        <v>850</v>
      </c>
      <c r="E60" s="538" t="s">
        <v>841</v>
      </c>
      <c r="F60" s="538" t="s">
        <v>942</v>
      </c>
      <c r="G60" s="538" t="s">
        <v>943</v>
      </c>
      <c r="H60" s="539" t="s">
        <v>850</v>
      </c>
      <c r="I60" s="539" t="s">
        <v>944</v>
      </c>
      <c r="J60" s="539" t="s">
        <v>945</v>
      </c>
      <c r="K60" s="539" t="s">
        <v>946</v>
      </c>
      <c r="L60" s="539" t="s">
        <v>947</v>
      </c>
      <c r="M60" s="540" t="s">
        <v>850</v>
      </c>
      <c r="N60" s="540" t="s">
        <v>948</v>
      </c>
      <c r="O60" s="540" t="s">
        <v>949</v>
      </c>
      <c r="P60" s="540" t="s">
        <v>950</v>
      </c>
      <c r="Q60" s="541" t="s">
        <v>850</v>
      </c>
      <c r="R60" s="541" t="s">
        <v>951</v>
      </c>
      <c r="S60" s="541" t="s">
        <v>952</v>
      </c>
      <c r="T60" s="541" t="s">
        <v>953</v>
      </c>
      <c r="U60" s="542" t="s">
        <v>850</v>
      </c>
      <c r="V60" s="542" t="s">
        <v>954</v>
      </c>
      <c r="W60" s="542" t="s">
        <v>955</v>
      </c>
      <c r="X60" s="542" t="s">
        <v>956</v>
      </c>
      <c r="Y60" s="543" t="s">
        <v>957</v>
      </c>
      <c r="Z60" s="543" t="s">
        <v>958</v>
      </c>
      <c r="AA60" s="543" t="s">
        <v>959</v>
      </c>
      <c r="AB60" s="543" t="s">
        <v>960</v>
      </c>
      <c r="AC60" s="308" t="s">
        <v>961</v>
      </c>
      <c r="AD60" s="544" t="s">
        <v>962</v>
      </c>
      <c r="AE60" s="266" t="s">
        <v>890</v>
      </c>
      <c r="AF60" s="266"/>
      <c r="AG60" s="266">
        <v>9</v>
      </c>
      <c r="AH60" s="266">
        <v>9</v>
      </c>
      <c r="AI60" s="285" t="s">
        <v>963</v>
      </c>
      <c r="AJ60" s="520" t="s">
        <v>854</v>
      </c>
      <c r="AK60" s="520" t="str">
        <f t="shared" si="68"/>
        <v>中型</v>
      </c>
      <c r="AL60" s="520" t="str">
        <f t="shared" si="68"/>
        <v>基础步行速度为30尺</v>
      </c>
      <c r="AM60" s="521" t="str">
        <f t="shared" si="68"/>
        <v>和炼狱语</v>
      </c>
    </row>
    <row r="61" customHeight="1" spans="1:39">
      <c r="A61" s="517"/>
      <c r="B61" s="308" t="s">
        <v>964</v>
      </c>
      <c r="C61" s="308" t="s">
        <v>965</v>
      </c>
      <c r="D61" s="538" t="s">
        <v>966</v>
      </c>
      <c r="E61" s="538" t="str">
        <f>B55</f>
        <v>在微光光照下，你身边60尺内可以视为等同于明亮光照。而在黑暗中，该范围内可视为等同于微光光照。你无法在黑暗中分辨颜色，只能看到有灰度的黑白画面</v>
      </c>
      <c r="F61" s="538" t="s">
        <v>967</v>
      </c>
      <c r="G61" s="538" t="s">
        <v>968</v>
      </c>
      <c r="H61" s="539" t="s">
        <v>969</v>
      </c>
      <c r="I61" s="539" t="s">
        <v>970</v>
      </c>
      <c r="J61" s="539" t="s">
        <v>971</v>
      </c>
      <c r="K61" s="539" t="s">
        <v>972</v>
      </c>
      <c r="L61" s="539" t="s">
        <v>973</v>
      </c>
      <c r="M61" s="540" t="s">
        <v>974</v>
      </c>
      <c r="N61" s="540" t="s">
        <v>975</v>
      </c>
      <c r="O61" s="540" t="s">
        <v>976</v>
      </c>
      <c r="P61" s="540" t="s">
        <v>977</v>
      </c>
      <c r="Q61" s="541" t="s">
        <v>978</v>
      </c>
      <c r="R61" s="541" t="str">
        <f>J57</f>
        <v>基础步行速度提升至35尺</v>
      </c>
      <c r="S61" s="541" t="s">
        <v>979</v>
      </c>
      <c r="T61" s="541" t="s">
        <v>980</v>
      </c>
      <c r="U61" s="542" t="s">
        <v>981</v>
      </c>
      <c r="V61" s="542" t="s">
        <v>982</v>
      </c>
      <c r="W61" s="542" t="s">
        <v>983</v>
      </c>
      <c r="X61" s="542" t="s">
        <v>984</v>
      </c>
      <c r="Y61" s="543" t="s">
        <v>985</v>
      </c>
      <c r="Z61" s="543" t="s">
        <v>986</v>
      </c>
      <c r="AA61" s="543" t="s">
        <v>987</v>
      </c>
      <c r="AB61" s="543" t="s">
        <v>988</v>
      </c>
      <c r="AC61" s="308" t="s">
        <v>989</v>
      </c>
      <c r="AD61" s="544" t="s">
        <v>990</v>
      </c>
      <c r="AE61" s="266" t="s">
        <v>913</v>
      </c>
      <c r="AF61" s="266"/>
      <c r="AG61" s="266">
        <v>10</v>
      </c>
      <c r="AH61" s="266">
        <v>10</v>
      </c>
      <c r="AI61" s="285" t="s">
        <v>991</v>
      </c>
      <c r="AJ61" s="520" t="s">
        <v>992</v>
      </c>
      <c r="AK61" s="520" t="str">
        <f t="shared" si="68"/>
        <v>中型</v>
      </c>
      <c r="AL61" s="520" t="str">
        <f t="shared" si="68"/>
        <v>基础步行速度为30尺</v>
      </c>
      <c r="AM61" s="521" t="str">
        <f t="shared" si="68"/>
        <v>和炼狱语</v>
      </c>
    </row>
    <row r="62" customHeight="1" spans="1:39">
      <c r="A62" s="517" t="s">
        <v>646</v>
      </c>
      <c r="B62" s="306" t="s">
        <v>993</v>
      </c>
      <c r="C62" s="306" t="s">
        <v>994</v>
      </c>
      <c r="D62" s="306" t="s">
        <v>995</v>
      </c>
      <c r="E62" s="538" t="s">
        <v>841</v>
      </c>
      <c r="F62" s="538" t="s">
        <v>996</v>
      </c>
      <c r="G62" s="539" t="s">
        <v>841</v>
      </c>
      <c r="H62" s="539" t="s">
        <v>997</v>
      </c>
      <c r="I62" s="540" t="s">
        <v>994</v>
      </c>
      <c r="J62" s="540" t="s">
        <v>998</v>
      </c>
      <c r="K62" s="540" t="s">
        <v>999</v>
      </c>
      <c r="L62" s="541" t="s">
        <v>994</v>
      </c>
      <c r="M62" s="541" t="s">
        <v>998</v>
      </c>
      <c r="N62" s="541" t="s">
        <v>1000</v>
      </c>
      <c r="O62" s="541" t="s">
        <v>1001</v>
      </c>
      <c r="P62" s="542" t="s">
        <v>994</v>
      </c>
      <c r="Q62" s="542" t="s">
        <v>998</v>
      </c>
      <c r="R62" s="542" t="s">
        <v>1002</v>
      </c>
      <c r="S62" s="542" t="s">
        <v>1003</v>
      </c>
      <c r="T62" s="542" t="s">
        <v>1004</v>
      </c>
      <c r="U62" s="193"/>
      <c r="V62" s="193"/>
      <c r="W62" s="193"/>
      <c r="X62" s="193"/>
      <c r="Y62" s="193"/>
      <c r="Z62" s="193"/>
      <c r="AA62" s="193"/>
      <c r="AB62" s="193"/>
      <c r="AC62" s="193"/>
      <c r="AD62" s="200"/>
      <c r="AE62" s="266" t="s">
        <v>926</v>
      </c>
      <c r="AF62" s="266"/>
      <c r="AG62" s="266">
        <v>11</v>
      </c>
      <c r="AH62" s="266">
        <v>11</v>
      </c>
      <c r="AI62" s="525" t="s">
        <v>789</v>
      </c>
      <c r="AJ62" s="520" t="s">
        <v>568</v>
      </c>
      <c r="AK62" s="520" t="s">
        <v>1005</v>
      </c>
      <c r="AL62" s="520" t="s">
        <v>569</v>
      </c>
      <c r="AM62" s="521" t="s">
        <v>570</v>
      </c>
    </row>
    <row r="63" customHeight="1" spans="1:39">
      <c r="A63" s="517"/>
      <c r="B63" s="306" t="s">
        <v>1006</v>
      </c>
      <c r="C63" s="306" t="s">
        <v>1007</v>
      </c>
      <c r="D63" s="306" t="s">
        <v>1008</v>
      </c>
      <c r="E63" s="538" t="str">
        <f>B55</f>
        <v>在微光光照下，你身边60尺内可以视为等同于明亮光照。而在黑暗中，该范围内可视为等同于微光光照。你无法在黑暗中分辨颜色，只能看到有灰度的黑白画面</v>
      </c>
      <c r="F63" s="538" t="s">
        <v>1009</v>
      </c>
      <c r="G63" s="539" t="str">
        <f>B55</f>
        <v>在微光光照下，你身边60尺内可以视为等同于明亮光照。而在黑暗中，该范围内可视为等同于微光光照。你无法在黑暗中分辨颜色，只能看到有灰度的黑白画面</v>
      </c>
      <c r="H63" s="539" t="s">
        <v>1010</v>
      </c>
      <c r="I63" s="540" t="s">
        <v>1011</v>
      </c>
      <c r="J63" s="540" t="s">
        <v>1012</v>
      </c>
      <c r="K63" s="540" t="s">
        <v>1013</v>
      </c>
      <c r="L63" s="541" t="s">
        <v>1014</v>
      </c>
      <c r="M63" s="541" t="s">
        <v>1015</v>
      </c>
      <c r="N63" s="541" t="s">
        <v>1016</v>
      </c>
      <c r="O63" s="541" t="s">
        <v>1017</v>
      </c>
      <c r="P63" s="542" t="s">
        <v>1018</v>
      </c>
      <c r="Q63" s="542" t="s">
        <v>1019</v>
      </c>
      <c r="R63" s="542" t="s">
        <v>1020</v>
      </c>
      <c r="S63" s="542" t="s">
        <v>1021</v>
      </c>
      <c r="T63" s="542" t="s">
        <v>1022</v>
      </c>
      <c r="U63" s="193"/>
      <c r="V63" s="193"/>
      <c r="W63" s="193"/>
      <c r="X63" s="193"/>
      <c r="Y63" s="193"/>
      <c r="Z63" s="193"/>
      <c r="AA63" s="193"/>
      <c r="AB63" s="193"/>
      <c r="AC63" s="193"/>
      <c r="AD63" s="200"/>
      <c r="AE63" s="266" t="s">
        <v>941</v>
      </c>
      <c r="AF63" s="266"/>
      <c r="AG63" s="266">
        <v>12</v>
      </c>
      <c r="AH63" s="266">
        <v>12</v>
      </c>
      <c r="AI63" s="525" t="s">
        <v>1023</v>
      </c>
      <c r="AJ63" s="520" t="s">
        <v>568</v>
      </c>
      <c r="AK63" s="520" t="s">
        <v>487</v>
      </c>
      <c r="AL63" s="520" t="s">
        <v>569</v>
      </c>
      <c r="AM63" s="521" t="s">
        <v>570</v>
      </c>
    </row>
    <row r="64" customHeight="1" spans="1:39">
      <c r="A64" s="517" t="s">
        <v>675</v>
      </c>
      <c r="B64" s="306" t="s">
        <v>841</v>
      </c>
      <c r="C64" s="306" t="s">
        <v>1024</v>
      </c>
      <c r="D64" s="308" t="s">
        <v>1025</v>
      </c>
      <c r="E64" s="308" t="s">
        <v>1026</v>
      </c>
      <c r="F64" s="538" t="s">
        <v>1027</v>
      </c>
      <c r="G64" s="538" t="s">
        <v>1028</v>
      </c>
      <c r="H64" s="545" t="s">
        <v>1029</v>
      </c>
      <c r="I64" s="545" t="s">
        <v>1030</v>
      </c>
      <c r="J64" s="545" t="s">
        <v>1031</v>
      </c>
      <c r="K64" s="539" t="s">
        <v>847</v>
      </c>
      <c r="L64" s="539" t="s">
        <v>1032</v>
      </c>
      <c r="M64" s="539" t="s">
        <v>1033</v>
      </c>
      <c r="N64" s="540" t="s">
        <v>850</v>
      </c>
      <c r="O64" s="540" t="s">
        <v>1034</v>
      </c>
      <c r="P64" s="540" t="s">
        <v>1035</v>
      </c>
      <c r="Q64" s="193"/>
      <c r="R64" s="193"/>
      <c r="S64" s="193"/>
      <c r="T64" s="193"/>
      <c r="U64" s="193"/>
      <c r="V64" s="193"/>
      <c r="W64" s="193"/>
      <c r="X64" s="193"/>
      <c r="Y64" s="193"/>
      <c r="Z64" s="193"/>
      <c r="AA64" s="193"/>
      <c r="AB64" s="193"/>
      <c r="AC64" s="193"/>
      <c r="AD64" s="200"/>
      <c r="AE64" s="266" t="s">
        <v>963</v>
      </c>
      <c r="AF64" s="266"/>
      <c r="AG64" s="266">
        <v>13</v>
      </c>
      <c r="AH64" s="266">
        <v>13</v>
      </c>
      <c r="AI64" s="525" t="s">
        <v>1036</v>
      </c>
      <c r="AJ64" s="520" t="s">
        <v>568</v>
      </c>
      <c r="AK64" s="520" t="s">
        <v>487</v>
      </c>
      <c r="AL64" s="520" t="s">
        <v>569</v>
      </c>
      <c r="AM64" s="521" t="s">
        <v>570</v>
      </c>
    </row>
    <row r="65" customHeight="1" spans="1:39">
      <c r="A65" s="517"/>
      <c r="B65" s="306" t="str">
        <f>B55</f>
        <v>在微光光照下，你身边60尺内可以视为等同于明亮光照。而在黑暗中，该范围内可视为等同于微光光照。你无法在黑暗中分辨颜色，只能看到有灰度的黑白画面</v>
      </c>
      <c r="C65" s="306" t="s">
        <v>1037</v>
      </c>
      <c r="D65" s="308" t="s">
        <v>1038</v>
      </c>
      <c r="E65" s="308" t="s">
        <v>1039</v>
      </c>
      <c r="F65" s="538" t="s">
        <v>1040</v>
      </c>
      <c r="G65" s="538" t="s">
        <v>1041</v>
      </c>
      <c r="H65" s="545" t="s">
        <v>1042</v>
      </c>
      <c r="I65" s="545" t="s">
        <v>1043</v>
      </c>
      <c r="J65" s="545" t="s">
        <v>1044</v>
      </c>
      <c r="K65" s="539" t="str">
        <f>I55</f>
        <v>你的黑暗视觉感官范围提升至120尺</v>
      </c>
      <c r="L65" s="539" t="s">
        <v>1045</v>
      </c>
      <c r="M65" s="539" t="s">
        <v>1046</v>
      </c>
      <c r="N65" s="540" t="s">
        <v>1047</v>
      </c>
      <c r="O65" s="540" t="s">
        <v>1048</v>
      </c>
      <c r="P65" s="540" t="s">
        <v>1049</v>
      </c>
      <c r="Q65" s="193"/>
      <c r="R65" s="193"/>
      <c r="S65" s="193"/>
      <c r="T65" s="193"/>
      <c r="U65" s="193"/>
      <c r="V65" s="193"/>
      <c r="W65" s="193"/>
      <c r="X65" s="193"/>
      <c r="Y65" s="193"/>
      <c r="Z65" s="193"/>
      <c r="AA65" s="193"/>
      <c r="AB65" s="193"/>
      <c r="AC65" s="193"/>
      <c r="AD65" s="200"/>
      <c r="AE65" s="266" t="s">
        <v>991</v>
      </c>
      <c r="AF65" s="266"/>
      <c r="AG65" s="266">
        <v>14</v>
      </c>
      <c r="AH65" s="266">
        <v>14</v>
      </c>
      <c r="AI65" s="525" t="s">
        <v>1050</v>
      </c>
      <c r="AJ65" s="520" t="s">
        <v>568</v>
      </c>
      <c r="AK65" s="520" t="s">
        <v>487</v>
      </c>
      <c r="AL65" s="520" t="s">
        <v>569</v>
      </c>
      <c r="AM65" s="521" t="s">
        <v>570</v>
      </c>
    </row>
    <row r="66" customHeight="1" spans="1:39">
      <c r="A66" s="517" t="s">
        <v>705</v>
      </c>
      <c r="B66" s="306" t="s">
        <v>841</v>
      </c>
      <c r="C66" s="306" t="s">
        <v>870</v>
      </c>
      <c r="D66" s="546" t="str">
        <f>IF(AND(COUNTIF(AC18:AC21,"&gt;=1"),COUNTIF($AB$2:$AB$15,"多才多艺")=0),"","多才多艺")</f>
        <v>多才多艺</v>
      </c>
      <c r="E66" s="447" t="str">
        <f>IF(OR(AC18&lt;1,COUNTIF($AB$2:$AB$15,"敏锐感官")),"敏锐感官","")</f>
        <v>敏锐感官</v>
      </c>
      <c r="F66" s="547" t="str">
        <f>IF(OR(AC18&lt;1,COUNTIF($AB$2:$AB$15,"木精灵武器训练")),"木精灵武器训练","")</f>
        <v>木精灵武器训练</v>
      </c>
      <c r="G66" s="447" t="str">
        <f>IF(OR(AC18&lt;1,COUNTIF($AB$2:$AB$15,"轻捷步伐")),"轻捷步伐","")</f>
        <v>轻捷步伐</v>
      </c>
      <c r="H66" s="447" t="str">
        <f>IF(OR(AC18&lt;1,COUNTIF($AB$2:$AB$15,"野性面具")),"野性面具","")</f>
        <v>野性面具</v>
      </c>
      <c r="I66" s="449" t="str">
        <f>IF(OR(AC19&lt;1,COUNTIF($AB$2:$AB$15,"敏锐感官")),"敏锐感官","")</f>
        <v>敏锐感官</v>
      </c>
      <c r="J66" s="449" t="str">
        <f>IF(OR(AC19&lt;1,COUNTIF($AB$2:$AB$15,"高等精灵武器训练")),"高等精灵武器训练","")</f>
        <v>高等精灵武器训练</v>
      </c>
      <c r="K66" s="449" t="str">
        <f>IF(OR(AC19&lt;1,COUNTIF($AB$2:$AB$15,"戏法")),"戏法","")</f>
        <v>戏法</v>
      </c>
      <c r="L66" s="548" t="str">
        <f>IF(OR(AC20&lt;1,COUNTIF($AB$2:$AB$15,"敏锐感官")),"敏锐感官","")</f>
        <v>敏锐感官</v>
      </c>
      <c r="M66" s="548" t="str">
        <f>IF(OR(AC20&lt;1,COUNTIF($AB$2:$AB$15,"卓尔魔法")),"卓尔魔法","")</f>
        <v>卓尔魔法</v>
      </c>
      <c r="N66" s="549" t="str">
        <f>IF(OR(AC20&lt;1,COUNTIF($AB$2:$AB$15,"敏锐感官")),"敏锐感官","")</f>
        <v>敏锐感官</v>
      </c>
      <c r="O66" s="549" t="str">
        <f>IF(OR(AC20&lt;1,COUNTIF($AB$2:$AB$15,"游泳速度")),"游泳速度","")</f>
        <v>游泳速度</v>
      </c>
      <c r="P66" s="541" t="s">
        <v>850</v>
      </c>
      <c r="Q66" s="541" t="s">
        <v>1051</v>
      </c>
      <c r="R66" s="541" t="s">
        <v>1052</v>
      </c>
      <c r="S66" s="542" t="s">
        <v>850</v>
      </c>
      <c r="T66" s="542" t="s">
        <v>1053</v>
      </c>
      <c r="U66" s="542" t="s">
        <v>1054</v>
      </c>
      <c r="V66" s="542" t="s">
        <v>1055</v>
      </c>
      <c r="W66" s="193"/>
      <c r="X66" s="193"/>
      <c r="Y66" s="193"/>
      <c r="Z66" s="193"/>
      <c r="AA66" s="193"/>
      <c r="AB66" s="193"/>
      <c r="AC66" s="193"/>
      <c r="AD66" s="200"/>
      <c r="AE66" s="550" t="s">
        <v>789</v>
      </c>
      <c r="AF66" s="550">
        <f>AF56+1</f>
        <v>10</v>
      </c>
      <c r="AG66" s="550">
        <v>1</v>
      </c>
      <c r="AH66" s="550">
        <f>IF(V2&lt;3,4,7)</f>
        <v>7</v>
      </c>
      <c r="AI66" s="525" t="s">
        <v>1056</v>
      </c>
      <c r="AJ66" s="520" t="s">
        <v>568</v>
      </c>
      <c r="AK66" s="520" t="s">
        <v>487</v>
      </c>
      <c r="AL66" s="520" t="s">
        <v>569</v>
      </c>
      <c r="AM66" s="521" t="s">
        <v>570</v>
      </c>
    </row>
    <row r="67" customHeight="1" spans="1:39">
      <c r="A67" s="517"/>
      <c r="B67" s="306" t="str">
        <f>B55</f>
        <v>在微光光照下，你身边60尺内可以视为等同于明亮光照。而在黑暗中，该范围内可视为等同于微光光照。你无法在黑暗中分辨颜色，只能看到有灰度的黑白画面</v>
      </c>
      <c r="C67" s="306" t="str">
        <f>D57</f>
        <v>你进行对抗魅惑的豁免时具有优势，并且不会因魔法效应而陷入睡眠</v>
      </c>
      <c r="D67" s="546" t="s">
        <v>1057</v>
      </c>
      <c r="E67" s="447" t="str">
        <f>C57</f>
        <v>你拥有察觉的技能熟练项</v>
      </c>
      <c r="F67" s="547" t="str">
        <f>F57</f>
        <v>你具有长剑、短剑、短弓和长弓的武器熟练项</v>
      </c>
      <c r="G67" s="447" t="str">
        <f>J57</f>
        <v>基础步行速度提升至35尺</v>
      </c>
      <c r="H67" s="447" t="str">
        <f>K57</f>
        <v>你从树丛，大雨，落雪，雾气或其他自然现象中获得轻度遮蔽时，就可以尝试执行躲藏</v>
      </c>
      <c r="I67" s="449" t="str">
        <f>C57</f>
        <v>你拥有察觉的技能熟练项</v>
      </c>
      <c r="J67" s="449" t="str">
        <f>F57</f>
        <v>你具有长剑、短剑、短弓和长弓的武器熟练项</v>
      </c>
      <c r="K67" s="449" t="str">
        <f>G57</f>
        <v>你掌握一个法师法术列表中自选戏法</v>
      </c>
      <c r="L67" s="548" t="str">
        <f>C57</f>
        <v>你拥有察觉的技能熟练项</v>
      </c>
      <c r="M67" s="548" t="str">
        <f>N57</f>
        <v>你习得戏法舞光术。达到3级后，你可以每日使用一次法术妖火。达到5级后，你可以每日使用一次法术黑暗术。这些每日施展一次的法术其施法关键属性是魅力。你必须完成一次长休才能再次以该特质施展这些法术</v>
      </c>
      <c r="N67" s="549" t="str">
        <f>C57</f>
        <v>你拥有察觉的技能熟练项</v>
      </c>
      <c r="O67" s="549" t="s">
        <v>1058</v>
      </c>
      <c r="P67" s="541" t="s">
        <v>1059</v>
      </c>
      <c r="Q67" s="541" t="s">
        <v>1060</v>
      </c>
      <c r="R67" s="541" t="s">
        <v>1061</v>
      </c>
      <c r="S67" s="542" t="s">
        <v>1062</v>
      </c>
      <c r="T67" s="542" t="s">
        <v>1063</v>
      </c>
      <c r="U67" s="542" t="s">
        <v>1064</v>
      </c>
      <c r="V67" s="542" t="s">
        <v>1065</v>
      </c>
      <c r="W67" s="193"/>
      <c r="X67" s="193"/>
      <c r="Y67" s="193"/>
      <c r="Z67" s="193"/>
      <c r="AA67" s="193"/>
      <c r="AB67" s="193"/>
      <c r="AC67" s="193"/>
      <c r="AD67" s="200"/>
      <c r="AE67" s="550" t="s">
        <v>1023</v>
      </c>
      <c r="AF67" s="550">
        <f>AF66+1</f>
        <v>11</v>
      </c>
      <c r="AG67" s="550">
        <v>1</v>
      </c>
      <c r="AH67" s="550">
        <v>4</v>
      </c>
      <c r="AI67" s="525" t="s">
        <v>1066</v>
      </c>
      <c r="AJ67" s="520" t="s">
        <v>568</v>
      </c>
      <c r="AK67" s="520" t="s">
        <v>1005</v>
      </c>
      <c r="AL67" s="520" t="s">
        <v>569</v>
      </c>
      <c r="AM67" s="521" t="s">
        <v>570</v>
      </c>
    </row>
    <row r="68" customHeight="1" spans="1:39">
      <c r="A68" s="517" t="s">
        <v>725</v>
      </c>
      <c r="B68" s="306" t="s">
        <v>841</v>
      </c>
      <c r="C68" s="306" t="s">
        <v>1067</v>
      </c>
      <c r="D68" s="306" t="s">
        <v>1068</v>
      </c>
      <c r="E68" s="306" t="s">
        <v>1069</v>
      </c>
      <c r="F68" s="308" t="s">
        <v>850</v>
      </c>
      <c r="G68" s="308" t="s">
        <v>841</v>
      </c>
      <c r="H68" s="308" t="s">
        <v>942</v>
      </c>
      <c r="I68" s="308" t="s">
        <v>943</v>
      </c>
      <c r="J68" s="538" t="s">
        <v>1070</v>
      </c>
      <c r="K68" s="538" t="s">
        <v>1067</v>
      </c>
      <c r="L68" s="538" t="s">
        <v>1068</v>
      </c>
      <c r="M68" s="538" t="s">
        <v>1069</v>
      </c>
      <c r="N68" s="193"/>
      <c r="O68" s="193"/>
      <c r="P68" s="193"/>
      <c r="Q68" s="193"/>
      <c r="R68" s="193"/>
      <c r="S68" s="193"/>
      <c r="T68" s="193"/>
      <c r="U68" s="193"/>
      <c r="V68" s="193"/>
      <c r="W68" s="193"/>
      <c r="X68" s="193"/>
      <c r="Y68" s="193"/>
      <c r="Z68" s="193"/>
      <c r="AA68" s="193"/>
      <c r="AB68" s="193"/>
      <c r="AC68" s="193"/>
      <c r="AD68" s="200"/>
      <c r="AE68" s="550" t="s">
        <v>1036</v>
      </c>
      <c r="AF68" s="550">
        <f t="shared" ref="AF68:AF73" si="69">AF67+1</f>
        <v>12</v>
      </c>
      <c r="AG68" s="550">
        <v>1</v>
      </c>
      <c r="AH68" s="550">
        <v>3</v>
      </c>
      <c r="AI68" s="525" t="s">
        <v>1071</v>
      </c>
      <c r="AJ68" s="520" t="s">
        <v>568</v>
      </c>
      <c r="AK68" s="520" t="s">
        <v>487</v>
      </c>
      <c r="AL68" s="520" t="s">
        <v>569</v>
      </c>
      <c r="AM68" s="521" t="s">
        <v>570</v>
      </c>
    </row>
    <row r="69" customHeight="1" spans="1:39">
      <c r="A69" s="517"/>
      <c r="B69" s="306" t="str">
        <f>B55</f>
        <v>在微光光照下，你身边60尺内可以视为等同于明亮光照。而在黑暗中，该范围内可视为等同于微光光照。你无法在黑暗中分辨颜色，只能看到有灰度的黑白画面</v>
      </c>
      <c r="C69" s="306" t="s">
        <v>990</v>
      </c>
      <c r="D69" s="306" t="s">
        <v>1072</v>
      </c>
      <c r="E69" s="306" t="s">
        <v>1073</v>
      </c>
      <c r="F69" s="308" t="str">
        <f>D61</f>
        <v>如果你拥有施法或契约魔法职业能力，将以下龙纹法术加入施法职业法术列表中：
1环：妖火，大步奔行
2环：动植物定位术，物件定位术
3环：鹰眼术，植物交谈
4环：预言术，生物定位术
5环：问道自然</v>
      </c>
      <c r="G69" s="308" t="str">
        <f>B55</f>
        <v>在微光光照下，你身边60尺内可以视为等同于明亮光照。而在黑暗中，该范围内可视为等同于微光光照。你无法在黑暗中分辨颜色，只能看到有灰度的黑白画面</v>
      </c>
      <c r="H69" s="308" t="str">
        <f>F61</f>
        <v>当你进行察觉或求生检定时，你能掷一个d4，并把结果加到属性检定的结果上</v>
      </c>
      <c r="I69" s="308" t="str">
        <f>G61</f>
        <v>你能通过此特性施展猎人印记法术。从第3级起，你还能施展物件定位术。一旦你使用此特性施展了前述法术，你将无法再次使用此特性，直到完成一次长休。感知是你在施展这些法术时的关键属性</v>
      </c>
      <c r="J69" s="538" t="s">
        <v>1074</v>
      </c>
      <c r="K69" s="538" t="str">
        <f>C69</f>
        <v>你拥有威吓的技能熟练项</v>
      </c>
      <c r="L69" s="538" t="str">
        <f>D69</f>
        <v>当你生命值降至0而没有立即死亡时，可以改为使生命值降至1。此特质生效后必须完成一次长休后才能再次生效</v>
      </c>
      <c r="M69" s="538" t="str">
        <f>E69</f>
        <v>使用近战武器攻击造成重击时，你可以额外掷一个该武器的伤害骰，并将其数值加入到重击的额外伤害中</v>
      </c>
      <c r="N69" s="193"/>
      <c r="O69" s="193"/>
      <c r="P69" s="193"/>
      <c r="Q69" s="193"/>
      <c r="R69" s="193"/>
      <c r="S69" s="499"/>
      <c r="T69" s="499"/>
      <c r="U69" s="193"/>
      <c r="V69" s="193"/>
      <c r="W69" s="193"/>
      <c r="X69" s="193"/>
      <c r="Y69" s="193"/>
      <c r="Z69" s="193"/>
      <c r="AA69" s="193"/>
      <c r="AB69" s="193"/>
      <c r="AC69" s="193"/>
      <c r="AD69" s="200"/>
      <c r="AE69" s="550" t="s">
        <v>1050</v>
      </c>
      <c r="AF69" s="550">
        <f t="shared" si="69"/>
        <v>13</v>
      </c>
      <c r="AG69" s="550">
        <v>1</v>
      </c>
      <c r="AH69" s="550">
        <v>3</v>
      </c>
      <c r="AI69" s="525" t="s">
        <v>1075</v>
      </c>
      <c r="AJ69" s="520" t="s">
        <v>568</v>
      </c>
      <c r="AK69" s="520" t="s">
        <v>528</v>
      </c>
      <c r="AL69" s="520" t="s">
        <v>569</v>
      </c>
      <c r="AM69" s="521" t="s">
        <v>570</v>
      </c>
    </row>
    <row r="70" customHeight="1" spans="1:39">
      <c r="A70" s="517" t="s">
        <v>744</v>
      </c>
      <c r="B70" s="306" t="s">
        <v>841</v>
      </c>
      <c r="C70" s="306" t="s">
        <v>1076</v>
      </c>
      <c r="D70" s="546" t="str">
        <f>IF(OR(AC22&lt;1,COUNTIF($AB$2:$AB$15,"地狱遗赠")),"地狱遗赠","")</f>
        <v>地狱遗赠</v>
      </c>
      <c r="E70" s="547" t="str">
        <f>IF(OR(AC22&lt;1,COUNTIF($AB$2:$AB$15,"魔鬼之舌")),"魔鬼之舌","")</f>
        <v>魔鬼之舌</v>
      </c>
      <c r="F70" s="547" t="str">
        <f>IF(OR(AC22&lt;1,COUNTIF($AB$2:$AB$15,"地狱之火")),"地狱之火","")</f>
        <v>地狱之火</v>
      </c>
      <c r="G70" s="547" t="str">
        <f>IF(OR(AC22&lt;1,COUNTIF($AB$2:$AB$15,"飞翼")),"飞翼","")</f>
        <v>飞翼</v>
      </c>
      <c r="H70" s="538" t="s">
        <v>1077</v>
      </c>
      <c r="I70" s="539" t="s">
        <v>1078</v>
      </c>
      <c r="J70" s="540" t="s">
        <v>1079</v>
      </c>
      <c r="K70" s="541" t="s">
        <v>1080</v>
      </c>
      <c r="L70" s="542" t="s">
        <v>1081</v>
      </c>
      <c r="M70" s="543" t="s">
        <v>1082</v>
      </c>
      <c r="N70" s="308" t="s">
        <v>1083</v>
      </c>
      <c r="O70" s="538" t="s">
        <v>1084</v>
      </c>
      <c r="P70" s="193"/>
      <c r="Q70" s="193"/>
      <c r="R70" s="193"/>
      <c r="U70" s="193"/>
      <c r="V70" s="193"/>
      <c r="W70" s="193"/>
      <c r="X70" s="193"/>
      <c r="Y70" s="193"/>
      <c r="Z70" s="193"/>
      <c r="AA70" s="193"/>
      <c r="AB70" s="193"/>
      <c r="AC70" s="193"/>
      <c r="AD70" s="200"/>
      <c r="AE70" s="550" t="s">
        <v>1056</v>
      </c>
      <c r="AF70" s="550">
        <f t="shared" si="69"/>
        <v>14</v>
      </c>
      <c r="AG70" s="550">
        <v>1</v>
      </c>
      <c r="AH70" s="550">
        <v>6</v>
      </c>
      <c r="AI70" s="525" t="s">
        <v>772</v>
      </c>
      <c r="AJ70" s="520" t="str">
        <f>AJ69</f>
        <v>自选两项属性分别+2/+1或自选三项属性+1</v>
      </c>
      <c r="AK70" s="520" t="s">
        <v>487</v>
      </c>
      <c r="AL70" s="520" t="str">
        <f>AL$69</f>
        <v>基础步行速度为30尺</v>
      </c>
      <c r="AM70" s="521" t="str">
        <f>AM69</f>
        <v>，以及任意一门自选语言</v>
      </c>
    </row>
    <row r="71" customHeight="1" spans="1:39">
      <c r="A71" s="517"/>
      <c r="B71" s="306" t="str">
        <f>B55</f>
        <v>在微光光照下，你身边60尺内可以视为等同于明亮光照。而在黑暗中，该范围内可视为等同于微光光照。你无法在黑暗中分辨颜色，只能看到有灰度的黑白画面</v>
      </c>
      <c r="C71" s="306" t="s">
        <v>1085</v>
      </c>
      <c r="D71" s="546" t="s">
        <v>1086</v>
      </c>
      <c r="E71" s="547" t="s">
        <v>1087</v>
      </c>
      <c r="F71" s="547" t="s">
        <v>1088</v>
      </c>
      <c r="G71" s="547" t="s">
        <v>1089</v>
      </c>
      <c r="H71" s="538" t="s">
        <v>1090</v>
      </c>
      <c r="I71" s="539" t="s">
        <v>1091</v>
      </c>
      <c r="J71" s="540" t="s">
        <v>1092</v>
      </c>
      <c r="K71" s="541" t="s">
        <v>1093</v>
      </c>
      <c r="L71" s="542" t="s">
        <v>1094</v>
      </c>
      <c r="M71" s="543" t="s">
        <v>1095</v>
      </c>
      <c r="N71" s="308" t="s">
        <v>1096</v>
      </c>
      <c r="O71" s="538" t="s">
        <v>1097</v>
      </c>
      <c r="P71" s="193"/>
      <c r="Q71" s="193"/>
      <c r="R71" s="193"/>
      <c r="S71" s="499"/>
      <c r="T71" s="499"/>
      <c r="U71" s="193"/>
      <c r="V71" s="193"/>
      <c r="W71" s="193"/>
      <c r="X71" s="193"/>
      <c r="Y71" s="193"/>
      <c r="Z71" s="193"/>
      <c r="AA71" s="193"/>
      <c r="AB71" s="193"/>
      <c r="AC71" s="193"/>
      <c r="AD71" s="200"/>
      <c r="AE71" s="550" t="s">
        <v>1066</v>
      </c>
      <c r="AF71" s="550">
        <f t="shared" si="69"/>
        <v>15</v>
      </c>
      <c r="AG71" s="550">
        <v>1</v>
      </c>
      <c r="AH71" s="550">
        <v>5</v>
      </c>
      <c r="AI71" s="525" t="s">
        <v>773</v>
      </c>
      <c r="AJ71" s="520" t="str">
        <f>AJ69</f>
        <v>自选两项属性分别+2/+1或自选三项属性+1</v>
      </c>
      <c r="AK71" s="520" t="str">
        <f>AK$70</f>
        <v>中型</v>
      </c>
      <c r="AL71" s="520" t="str">
        <f>AL$69</f>
        <v>基础步行速度为30尺</v>
      </c>
      <c r="AM71" s="521" t="str">
        <f>AM69</f>
        <v>，以及任意一门自选语言</v>
      </c>
    </row>
    <row r="72" customHeight="1" spans="1:39">
      <c r="A72" s="551" t="s">
        <v>789</v>
      </c>
      <c r="B72" s="306" t="s">
        <v>841</v>
      </c>
      <c r="C72" s="306" t="s">
        <v>1098</v>
      </c>
      <c r="D72" s="306" t="s">
        <v>1099</v>
      </c>
      <c r="E72" s="306" t="s">
        <v>1100</v>
      </c>
      <c r="F72" s="546" t="str">
        <f>IF(OR(AC23&lt;1,COUNTIF($AB$2:$AB$15,"光辉灵魂")),"光辉灵魂","")</f>
        <v>光辉灵魂</v>
      </c>
      <c r="G72" s="546" t="str">
        <f>IF(OR(AC23&lt;1,COUNTIF($AB$2:$AB$15,"光辉焚化")),"光辉焚化","")</f>
        <v>光辉焚化</v>
      </c>
      <c r="H72" s="546" t="str">
        <f>IF(OR(AC23&lt;1,COUNTIF($AB$2:$AB$15,"死灵环绕")),"死灵环绕","")</f>
        <v>死灵环绕</v>
      </c>
      <c r="I72" s="193"/>
      <c r="J72" s="193"/>
      <c r="K72" s="193"/>
      <c r="L72" s="193"/>
      <c r="M72" s="193"/>
      <c r="N72" s="193"/>
      <c r="O72" s="193"/>
      <c r="P72" s="193"/>
      <c r="Q72" s="193"/>
      <c r="R72" s="193"/>
      <c r="U72" s="193"/>
      <c r="V72" s="193"/>
      <c r="W72" s="193"/>
      <c r="X72" s="193"/>
      <c r="Y72" s="193"/>
      <c r="Z72" s="193"/>
      <c r="AA72" s="193"/>
      <c r="AB72" s="193"/>
      <c r="AC72" s="193"/>
      <c r="AD72" s="200"/>
      <c r="AE72" s="550" t="s">
        <v>1071</v>
      </c>
      <c r="AF72" s="550">
        <f t="shared" si="69"/>
        <v>16</v>
      </c>
      <c r="AG72" s="550">
        <v>1</v>
      </c>
      <c r="AH72" s="550">
        <v>6</v>
      </c>
      <c r="AI72" s="292" t="s">
        <v>834</v>
      </c>
      <c r="AJ72" s="520" t="str">
        <f>IF(V3=A50,"魅力+2，感知+1","敏捷+2")</f>
        <v>敏捷+2</v>
      </c>
      <c r="AK72" s="520" t="str">
        <f>IF(V3=A50,"中型","小型")</f>
        <v>小型</v>
      </c>
      <c r="AL72" s="520" t="str">
        <f>IF(V3=A50,"基础步行速度为30尺","基础步行速度为25尺")</f>
        <v>基础步行速度为25尺</v>
      </c>
      <c r="AM72" s="521" t="str">
        <f>IF(V3=A50,"和吸血鬼语","和地精语")</f>
        <v>和地精语</v>
      </c>
    </row>
    <row r="73" customHeight="1" spans="1:39">
      <c r="A73" s="551"/>
      <c r="B73" s="306" t="str">
        <f>B55</f>
        <v>在微光光照下，你身边60尺内可以视为等同于明亮光照。而在黑暗中，该范围内可视为等同于微光光照。你无法在黑暗中分辨颜色，只能看到有灰度的黑白画面</v>
      </c>
      <c r="C73" s="306" t="s">
        <v>1101</v>
      </c>
      <c r="D73" s="306" t="s">
        <v>1102</v>
      </c>
      <c r="E73" s="306" t="s">
        <v>1103</v>
      </c>
      <c r="F73" s="546" t="s">
        <v>1104</v>
      </c>
      <c r="G73" s="546" t="s">
        <v>1105</v>
      </c>
      <c r="H73" s="546" t="s">
        <v>1106</v>
      </c>
      <c r="I73" s="224"/>
      <c r="J73" s="193"/>
      <c r="K73" s="193"/>
      <c r="L73" s="193"/>
      <c r="M73" s="193"/>
      <c r="N73" s="193"/>
      <c r="O73" s="193"/>
      <c r="P73" s="193"/>
      <c r="Q73" s="193"/>
      <c r="R73" s="193"/>
      <c r="S73" s="499"/>
      <c r="T73" s="499"/>
      <c r="U73" s="193"/>
      <c r="V73" s="193"/>
      <c r="W73" s="193"/>
      <c r="X73" s="193"/>
      <c r="Y73" s="193"/>
      <c r="Z73" s="193"/>
      <c r="AA73" s="193"/>
      <c r="AB73" s="193"/>
      <c r="AC73" s="193"/>
      <c r="AD73" s="200"/>
      <c r="AE73" s="550" t="s">
        <v>1075</v>
      </c>
      <c r="AF73" s="550">
        <f t="shared" si="69"/>
        <v>17</v>
      </c>
      <c r="AG73" s="550">
        <v>1</v>
      </c>
      <c r="AH73" s="550">
        <f>IF(COUNTIF(B18:C18,V4),2,4)</f>
        <v>4</v>
      </c>
      <c r="AI73" s="292" t="s">
        <v>835</v>
      </c>
      <c r="AJ73" s="520" t="str">
        <f>IF(V3=A50,"魅力+2，智力+1","体质+2")</f>
        <v>体质+2</v>
      </c>
      <c r="AK73" s="520" t="str">
        <f>AK72</f>
        <v>小型</v>
      </c>
      <c r="AL73" s="520" t="str">
        <f>AL72</f>
        <v>基础步行速度为25尺</v>
      </c>
      <c r="AM73" s="521" t="str">
        <f>AM72</f>
        <v>和地精语</v>
      </c>
    </row>
    <row r="74" customHeight="1" spans="1:39">
      <c r="A74" s="551" t="s">
        <v>1023</v>
      </c>
      <c r="B74" s="306" t="s">
        <v>1107</v>
      </c>
      <c r="C74" s="306" t="s">
        <v>1108</v>
      </c>
      <c r="D74" s="306" t="s">
        <v>1109</v>
      </c>
      <c r="E74" s="306" t="s">
        <v>1110</v>
      </c>
      <c r="F74" s="193"/>
      <c r="G74" s="193"/>
      <c r="H74" s="193"/>
      <c r="I74" s="193"/>
      <c r="J74" s="193"/>
      <c r="K74" s="193"/>
      <c r="L74" s="193"/>
      <c r="M74" s="193"/>
      <c r="N74" s="193"/>
      <c r="O74" s="193"/>
      <c r="P74" s="193"/>
      <c r="Q74" s="193"/>
      <c r="R74" s="193"/>
      <c r="U74" s="193"/>
      <c r="V74" s="193"/>
      <c r="W74" s="193"/>
      <c r="X74" s="193"/>
      <c r="Y74" s="193"/>
      <c r="Z74" s="193"/>
      <c r="AA74" s="193"/>
      <c r="AB74" s="193"/>
      <c r="AC74" s="193"/>
      <c r="AD74" s="200"/>
      <c r="AE74" s="529" t="s">
        <v>772</v>
      </c>
      <c r="AF74" s="529"/>
      <c r="AG74" s="529">
        <v>5</v>
      </c>
      <c r="AH74" s="529">
        <v>8</v>
      </c>
      <c r="AI74" s="525" t="s">
        <v>792</v>
      </c>
      <c r="AJ74" s="520" t="s">
        <v>568</v>
      </c>
      <c r="AK74" s="520" t="s">
        <v>528</v>
      </c>
      <c r="AL74" s="520" t="s">
        <v>569</v>
      </c>
      <c r="AM74" s="521" t="s">
        <v>570</v>
      </c>
    </row>
    <row r="75" customHeight="1" spans="1:39">
      <c r="A75" s="551"/>
      <c r="B75" s="306" t="s">
        <v>1111</v>
      </c>
      <c r="C75" s="306" t="s">
        <v>1112</v>
      </c>
      <c r="D75" s="306" t="s">
        <v>1113</v>
      </c>
      <c r="E75" s="306" t="s">
        <v>1114</v>
      </c>
      <c r="F75" s="193"/>
      <c r="H75" s="193"/>
      <c r="I75" s="193"/>
      <c r="J75" s="193"/>
      <c r="K75" s="193"/>
      <c r="L75" s="193"/>
      <c r="M75" s="193"/>
      <c r="N75" s="193"/>
      <c r="O75" s="193"/>
      <c r="P75" s="193"/>
      <c r="Q75" s="193"/>
      <c r="R75" s="193"/>
      <c r="S75" s="499"/>
      <c r="T75" s="499"/>
      <c r="U75" s="193"/>
      <c r="V75" s="193"/>
      <c r="W75" s="193"/>
      <c r="X75" s="193"/>
      <c r="Y75" s="193"/>
      <c r="Z75" s="193"/>
      <c r="AA75" s="193"/>
      <c r="AB75" s="193"/>
      <c r="AC75" s="193"/>
      <c r="AD75" s="200"/>
      <c r="AE75" s="529" t="s">
        <v>773</v>
      </c>
      <c r="AF75" s="529"/>
      <c r="AG75" s="529">
        <v>9</v>
      </c>
      <c r="AH75" s="529">
        <v>10</v>
      </c>
      <c r="AI75" s="525" t="s">
        <v>1115</v>
      </c>
      <c r="AJ75" s="520" t="s">
        <v>568</v>
      </c>
      <c r="AK75" s="520" t="s">
        <v>487</v>
      </c>
      <c r="AL75" s="520" t="s">
        <v>569</v>
      </c>
      <c r="AM75" s="521" t="s">
        <v>570</v>
      </c>
    </row>
    <row r="76" customHeight="1" spans="1:39">
      <c r="A76" s="551" t="s">
        <v>1036</v>
      </c>
      <c r="B76" s="306" t="s">
        <v>1116</v>
      </c>
      <c r="C76" s="306" t="s">
        <v>1117</v>
      </c>
      <c r="D76" s="306" t="s">
        <v>1118</v>
      </c>
      <c r="F76" s="193"/>
      <c r="G76" s="193"/>
      <c r="H76" s="193"/>
      <c r="I76" s="193"/>
      <c r="J76" s="193"/>
      <c r="K76" s="193"/>
      <c r="L76" s="193"/>
      <c r="M76" s="193"/>
      <c r="N76" s="193"/>
      <c r="O76" s="193"/>
      <c r="P76" s="193"/>
      <c r="Q76" s="193"/>
      <c r="R76" s="193"/>
      <c r="U76" s="193"/>
      <c r="V76" s="193"/>
      <c r="W76" s="193"/>
      <c r="X76" s="193"/>
      <c r="Y76" s="193"/>
      <c r="Z76" s="193"/>
      <c r="AA76" s="193"/>
      <c r="AB76" s="193"/>
      <c r="AC76" s="193"/>
      <c r="AD76" s="200"/>
      <c r="AE76" s="257" t="s">
        <v>834</v>
      </c>
      <c r="AF76" s="257"/>
      <c r="AG76" s="257">
        <f>IF(V3=A50,4,11)</f>
        <v>11</v>
      </c>
      <c r="AH76" s="257">
        <f>IF(V3=A50,4,11)</f>
        <v>11</v>
      </c>
      <c r="AI76" s="525" t="s">
        <v>1119</v>
      </c>
      <c r="AJ76" s="520" t="s">
        <v>568</v>
      </c>
      <c r="AK76" s="520" t="s">
        <v>1005</v>
      </c>
      <c r="AL76" s="520" t="s">
        <v>569</v>
      </c>
      <c r="AM76" s="521" t="s">
        <v>570</v>
      </c>
    </row>
    <row r="77" customHeight="1" spans="1:39">
      <c r="A77" s="551"/>
      <c r="B77" s="306" t="s">
        <v>1120</v>
      </c>
      <c r="C77" s="306" t="s">
        <v>1121</v>
      </c>
      <c r="D77" s="306" t="s">
        <v>1122</v>
      </c>
      <c r="F77" s="193"/>
      <c r="G77" s="193"/>
      <c r="H77" s="193"/>
      <c r="I77" s="193"/>
      <c r="J77" s="193"/>
      <c r="K77" s="193"/>
      <c r="L77" s="193"/>
      <c r="M77" s="193"/>
      <c r="N77" s="193"/>
      <c r="O77" s="193"/>
      <c r="P77" s="193"/>
      <c r="Q77" s="193"/>
      <c r="R77" s="193"/>
      <c r="S77" s="499"/>
      <c r="T77" s="499"/>
      <c r="U77" s="193"/>
      <c r="V77" s="193"/>
      <c r="W77" s="193"/>
      <c r="X77" s="193"/>
      <c r="Y77" s="193"/>
      <c r="AD77" s="200"/>
      <c r="AE77" s="257" t="s">
        <v>835</v>
      </c>
      <c r="AF77" s="257"/>
      <c r="AG77" s="257">
        <f>IF(V3=A50,5,12)</f>
        <v>12</v>
      </c>
      <c r="AH77" s="257">
        <f>IF(V3=A50,5,12)</f>
        <v>12</v>
      </c>
      <c r="AI77" s="285" t="s">
        <v>784</v>
      </c>
      <c r="AJ77" s="520" t="s">
        <v>568</v>
      </c>
      <c r="AK77" s="520" t="s">
        <v>487</v>
      </c>
      <c r="AL77" s="520" t="s">
        <v>569</v>
      </c>
      <c r="AM77" s="521" t="s">
        <v>570</v>
      </c>
    </row>
    <row r="78" customHeight="1" spans="1:39">
      <c r="A78" s="551" t="s">
        <v>1050</v>
      </c>
      <c r="B78" s="306" t="s">
        <v>1123</v>
      </c>
      <c r="C78" s="306" t="s">
        <v>1124</v>
      </c>
      <c r="D78" s="306" t="s">
        <v>1125</v>
      </c>
      <c r="E78" s="193"/>
      <c r="F78" s="193"/>
      <c r="G78" s="193"/>
      <c r="H78" s="193"/>
      <c r="I78" s="193"/>
      <c r="J78" s="193"/>
      <c r="K78" s="193"/>
      <c r="L78" s="193"/>
      <c r="M78" s="193"/>
      <c r="N78" s="193"/>
      <c r="O78" s="193"/>
      <c r="P78" s="193"/>
      <c r="Q78" s="193"/>
      <c r="R78" s="193"/>
      <c r="U78" s="193"/>
      <c r="V78" s="193"/>
      <c r="W78" s="193"/>
      <c r="X78" s="193"/>
      <c r="Y78" s="193"/>
      <c r="AD78" s="200"/>
      <c r="AE78" s="550" t="s">
        <v>792</v>
      </c>
      <c r="AF78" s="550">
        <f>AF73+1</f>
        <v>18</v>
      </c>
      <c r="AG78" s="550">
        <v>1</v>
      </c>
      <c r="AH78" s="550">
        <v>5</v>
      </c>
      <c r="AI78" s="285" t="s">
        <v>785</v>
      </c>
      <c r="AJ78" s="520" t="s">
        <v>568</v>
      </c>
      <c r="AK78" s="520" t="str">
        <f>AK$77</f>
        <v>中型</v>
      </c>
      <c r="AL78" s="520" t="str">
        <f>AL$77</f>
        <v>基础步行速度为30尺</v>
      </c>
      <c r="AM78" s="521" t="str">
        <f>AM77</f>
        <v>，以及任意一门自选语言</v>
      </c>
    </row>
    <row r="79" customHeight="1" spans="1:39">
      <c r="A79" s="551"/>
      <c r="B79" s="306" t="s">
        <v>1126</v>
      </c>
      <c r="C79" s="306" t="s">
        <v>1127</v>
      </c>
      <c r="D79" s="306" t="s">
        <v>1128</v>
      </c>
      <c r="E79" s="193"/>
      <c r="F79" s="193"/>
      <c r="G79" s="193"/>
      <c r="H79" s="193"/>
      <c r="I79" s="193"/>
      <c r="J79" s="193"/>
      <c r="K79" s="193"/>
      <c r="L79" s="193"/>
      <c r="M79" s="193"/>
      <c r="N79" s="193"/>
      <c r="O79" s="193"/>
      <c r="P79" s="193"/>
      <c r="Q79" s="193"/>
      <c r="R79" s="193"/>
      <c r="S79" s="499"/>
      <c r="T79" s="499"/>
      <c r="U79" s="193"/>
      <c r="V79" s="193"/>
      <c r="W79" s="193"/>
      <c r="X79" s="193"/>
      <c r="Y79" s="193"/>
      <c r="Z79" s="193"/>
      <c r="AA79" s="193"/>
      <c r="AB79" s="193"/>
      <c r="AC79" s="193"/>
      <c r="AD79" s="200"/>
      <c r="AE79" s="550" t="s">
        <v>1115</v>
      </c>
      <c r="AF79" s="550">
        <f t="shared" ref="AF79:AF81" si="70">AF78+1</f>
        <v>19</v>
      </c>
      <c r="AG79" s="550">
        <v>1</v>
      </c>
      <c r="AH79" s="550">
        <v>4</v>
      </c>
      <c r="AI79" s="531" t="s">
        <v>1129</v>
      </c>
      <c r="AJ79" s="520" t="s">
        <v>568</v>
      </c>
      <c r="AK79" s="520" t="s">
        <v>487</v>
      </c>
      <c r="AL79" s="520" t="s">
        <v>1130</v>
      </c>
      <c r="AM79" s="521" t="s">
        <v>570</v>
      </c>
    </row>
    <row r="80" customHeight="1" spans="1:39">
      <c r="A80" s="551" t="s">
        <v>1056</v>
      </c>
      <c r="B80" s="306" t="s">
        <v>881</v>
      </c>
      <c r="C80" s="306" t="s">
        <v>1131</v>
      </c>
      <c r="D80" s="306" t="s">
        <v>1132</v>
      </c>
      <c r="E80" s="306" t="s">
        <v>1133</v>
      </c>
      <c r="F80" s="306" t="s">
        <v>1134</v>
      </c>
      <c r="G80" s="306" t="s">
        <v>1135</v>
      </c>
      <c r="I80" s="193"/>
      <c r="J80" s="193"/>
      <c r="K80" s="306"/>
      <c r="L80" s="193"/>
      <c r="M80" s="193"/>
      <c r="N80" s="193"/>
      <c r="O80" s="193"/>
      <c r="P80" s="193"/>
      <c r="Q80" s="193"/>
      <c r="R80" s="193"/>
      <c r="U80" s="193"/>
      <c r="V80" s="193"/>
      <c r="W80" s="193"/>
      <c r="X80" s="193"/>
      <c r="Y80" s="193"/>
      <c r="Z80" s="193"/>
      <c r="AA80" s="193"/>
      <c r="AB80" s="193"/>
      <c r="AC80" s="193"/>
      <c r="AD80" s="200"/>
      <c r="AE80" s="550" t="s">
        <v>1119</v>
      </c>
      <c r="AF80" s="550">
        <f t="shared" si="70"/>
        <v>20</v>
      </c>
      <c r="AG80" s="550">
        <v>1</v>
      </c>
      <c r="AH80" s="550">
        <v>4</v>
      </c>
      <c r="AI80" s="531" t="s">
        <v>1136</v>
      </c>
      <c r="AJ80" s="520" t="s">
        <v>568</v>
      </c>
      <c r="AK80" s="520" t="s">
        <v>487</v>
      </c>
      <c r="AL80" s="520" t="s">
        <v>569</v>
      </c>
      <c r="AM80" s="521" t="s">
        <v>570</v>
      </c>
    </row>
    <row r="81" customHeight="1" spans="1:39">
      <c r="A81" s="551"/>
      <c r="B81" s="306" t="str">
        <f>Q57</f>
        <v>你拥有等于步行速度的游泳速度</v>
      </c>
      <c r="C81" s="306" t="s">
        <v>1137</v>
      </c>
      <c r="D81" s="306" t="s">
        <v>1138</v>
      </c>
      <c r="E81" s="306" t="s">
        <v>1139</v>
      </c>
      <c r="F81" s="306" t="s">
        <v>1140</v>
      </c>
      <c r="G81" s="306" t="s">
        <v>1141</v>
      </c>
      <c r="I81" s="193"/>
      <c r="J81" s="193"/>
      <c r="K81" s="306"/>
      <c r="L81" s="193"/>
      <c r="M81" s="193"/>
      <c r="N81" s="193"/>
      <c r="O81" s="193"/>
      <c r="P81" s="193"/>
      <c r="Q81" s="193"/>
      <c r="R81" s="193"/>
      <c r="S81" s="499"/>
      <c r="T81" s="499"/>
      <c r="U81" s="193"/>
      <c r="V81" s="193"/>
      <c r="W81" s="193"/>
      <c r="X81" s="193"/>
      <c r="Y81" s="193"/>
      <c r="AD81" s="200"/>
      <c r="AE81" s="552" t="s">
        <v>1142</v>
      </c>
      <c r="AF81" s="552">
        <f t="shared" si="70"/>
        <v>21</v>
      </c>
      <c r="AG81" s="552">
        <v>1</v>
      </c>
      <c r="AH81" s="552">
        <v>1</v>
      </c>
      <c r="AI81" s="531" t="s">
        <v>1143</v>
      </c>
      <c r="AJ81" s="520" t="s">
        <v>486</v>
      </c>
      <c r="AK81" s="520" t="s">
        <v>487</v>
      </c>
      <c r="AL81" s="520" t="s">
        <v>569</v>
      </c>
      <c r="AM81" s="521" t="s">
        <v>1144</v>
      </c>
    </row>
    <row r="82" customHeight="1" spans="1:39">
      <c r="A82" s="551" t="s">
        <v>1066</v>
      </c>
      <c r="B82" s="306" t="s">
        <v>841</v>
      </c>
      <c r="C82" s="373" t="s">
        <v>1145</v>
      </c>
      <c r="D82" s="306" t="s">
        <v>1146</v>
      </c>
      <c r="E82" s="306" t="s">
        <v>1147</v>
      </c>
      <c r="F82" s="306" t="s">
        <v>1148</v>
      </c>
      <c r="G82" s="193"/>
      <c r="H82" s="193"/>
      <c r="I82" s="193"/>
      <c r="J82" s="193"/>
      <c r="K82" s="193"/>
      <c r="L82" s="193"/>
      <c r="M82" s="193"/>
      <c r="N82" s="193"/>
      <c r="O82" s="193"/>
      <c r="P82" s="193"/>
      <c r="Q82" s="193"/>
      <c r="R82" s="193"/>
      <c r="U82" s="193"/>
      <c r="V82" s="193"/>
      <c r="W82" s="193"/>
      <c r="X82" s="193"/>
      <c r="Y82" s="193"/>
      <c r="AD82" s="200"/>
      <c r="AE82" s="266" t="s">
        <v>784</v>
      </c>
      <c r="AF82" s="266"/>
      <c r="AG82" s="266">
        <v>2</v>
      </c>
      <c r="AH82" s="266">
        <v>3</v>
      </c>
      <c r="AI82" s="531" t="s">
        <v>1149</v>
      </c>
      <c r="AJ82" s="520" t="s">
        <v>1150</v>
      </c>
      <c r="AK82" s="520" t="s">
        <v>487</v>
      </c>
      <c r="AL82" s="520" t="s">
        <v>569</v>
      </c>
      <c r="AM82" s="521" t="s">
        <v>1151</v>
      </c>
    </row>
    <row r="83" customHeight="1" spans="1:39">
      <c r="A83" s="551"/>
      <c r="B83" s="306" t="str">
        <f>B55</f>
        <v>在微光光照下，你身边60尺内可以视为等同于明亮光照。而在黑暗中，该范围内可视为等同于微光光照。你无法在黑暗中分辨颜色，只能看到有灰度的黑白画面</v>
      </c>
      <c r="C83" s="373" t="s">
        <v>1152</v>
      </c>
      <c r="D83" s="306" t="s">
        <v>1153</v>
      </c>
      <c r="E83" s="306" t="s">
        <v>1154</v>
      </c>
      <c r="F83" s="306" t="s">
        <v>1155</v>
      </c>
      <c r="G83" s="193"/>
      <c r="H83" s="193"/>
      <c r="I83" s="193"/>
      <c r="J83" s="193"/>
      <c r="K83" s="193"/>
      <c r="L83" s="193"/>
      <c r="M83" s="193"/>
      <c r="N83" s="193"/>
      <c r="O83" s="193"/>
      <c r="P83" s="193"/>
      <c r="Q83" s="193"/>
      <c r="R83" s="193"/>
      <c r="S83" s="499"/>
      <c r="T83" s="499"/>
      <c r="U83" s="193"/>
      <c r="V83" s="193"/>
      <c r="W83" s="193"/>
      <c r="X83" s="193"/>
      <c r="Y83" s="193"/>
      <c r="Z83" s="193"/>
      <c r="AA83" s="193"/>
      <c r="AB83" s="193"/>
      <c r="AC83" s="193"/>
      <c r="AD83" s="200"/>
      <c r="AE83" s="266" t="s">
        <v>785</v>
      </c>
      <c r="AF83" s="266"/>
      <c r="AG83" s="266">
        <v>4</v>
      </c>
      <c r="AH83" s="266">
        <v>5</v>
      </c>
      <c r="AI83" s="531" t="s">
        <v>1156</v>
      </c>
      <c r="AJ83" s="520" t="s">
        <v>1157</v>
      </c>
      <c r="AK83" s="520" t="s">
        <v>487</v>
      </c>
      <c r="AL83" s="520" t="s">
        <v>569</v>
      </c>
      <c r="AM83" s="521" t="s">
        <v>1158</v>
      </c>
    </row>
    <row r="84" customHeight="1" spans="1:39">
      <c r="A84" s="551" t="s">
        <v>1071</v>
      </c>
      <c r="B84" s="306" t="s">
        <v>841</v>
      </c>
      <c r="C84" s="373" t="s">
        <v>881</v>
      </c>
      <c r="D84" s="306" t="s">
        <v>1159</v>
      </c>
      <c r="E84" s="306" t="s">
        <v>1160</v>
      </c>
      <c r="F84" s="306" t="s">
        <v>1161</v>
      </c>
      <c r="G84" s="306" t="s">
        <v>1162</v>
      </c>
      <c r="H84" s="193"/>
      <c r="I84" s="193"/>
      <c r="J84" s="193"/>
      <c r="K84" s="193"/>
      <c r="L84" s="193"/>
      <c r="M84" s="193"/>
      <c r="N84" s="193"/>
      <c r="O84" s="193"/>
      <c r="P84" s="193"/>
      <c r="Q84" s="193"/>
      <c r="R84" s="193"/>
      <c r="U84" s="193"/>
      <c r="V84" s="193"/>
      <c r="W84" s="193"/>
      <c r="X84" s="193"/>
      <c r="Y84" s="193"/>
      <c r="Z84" s="193"/>
      <c r="AA84" s="193"/>
      <c r="AB84" s="193"/>
      <c r="AC84" s="193"/>
      <c r="AD84" s="200"/>
      <c r="AE84" s="553" t="s">
        <v>1129</v>
      </c>
      <c r="AF84" s="553">
        <f>AF81+1</f>
        <v>22</v>
      </c>
      <c r="AG84" s="553">
        <v>1</v>
      </c>
      <c r="AH84" s="553">
        <v>5</v>
      </c>
      <c r="AI84" s="523" t="s">
        <v>42</v>
      </c>
      <c r="AJ84" s="520" t="s">
        <v>568</v>
      </c>
      <c r="AK84" s="520" t="s">
        <v>487</v>
      </c>
      <c r="AL84" s="520" t="s">
        <v>569</v>
      </c>
      <c r="AM84" s="521" t="s">
        <v>570</v>
      </c>
    </row>
    <row r="85" customHeight="1" spans="1:39">
      <c r="A85" s="551"/>
      <c r="B85" s="306" t="str">
        <f>B55</f>
        <v>在微光光照下，你身边60尺内可以视为等同于明亮光照。而在黑暗中，该范围内可视为等同于微光光照。你无法在黑暗中分辨颜色，只能看到有灰度的黑白画面</v>
      </c>
      <c r="C85" s="193" t="str">
        <f>Q57</f>
        <v>你拥有等于步行速度的游泳速度</v>
      </c>
      <c r="D85" s="306" t="s">
        <v>1163</v>
      </c>
      <c r="E85" s="306" t="s">
        <v>1164</v>
      </c>
      <c r="F85" s="306" t="s">
        <v>1165</v>
      </c>
      <c r="G85" s="306" t="s">
        <v>1122</v>
      </c>
      <c r="H85" s="193"/>
      <c r="I85" s="193"/>
      <c r="J85" s="193"/>
      <c r="K85" s="193"/>
      <c r="L85" s="193"/>
      <c r="M85" s="193"/>
      <c r="N85" s="193"/>
      <c r="O85" s="193"/>
      <c r="P85" s="193"/>
      <c r="Q85" s="193"/>
      <c r="R85" s="193"/>
      <c r="S85" s="499"/>
      <c r="T85" s="499"/>
      <c r="U85" s="499"/>
      <c r="V85" s="499"/>
      <c r="W85" s="193"/>
      <c r="X85" s="193"/>
      <c r="Y85" s="193"/>
      <c r="Z85" s="193"/>
      <c r="AA85" s="193"/>
      <c r="AB85" s="193"/>
      <c r="AC85" s="193"/>
      <c r="AD85" s="200"/>
      <c r="AE85" s="553" t="s">
        <v>1136</v>
      </c>
      <c r="AF85" s="553">
        <f>AF84+1</f>
        <v>23</v>
      </c>
      <c r="AG85" s="553">
        <v>1</v>
      </c>
      <c r="AH85" s="553">
        <v>4</v>
      </c>
      <c r="AI85" s="523" t="s">
        <v>1166</v>
      </c>
      <c r="AJ85" s="520" t="s">
        <v>1167</v>
      </c>
      <c r="AK85" s="520" t="s">
        <v>487</v>
      </c>
      <c r="AL85" s="520" t="s">
        <v>569</v>
      </c>
      <c r="AM85" s="521" t="s">
        <v>1168</v>
      </c>
    </row>
    <row r="86" customHeight="1" spans="1:39">
      <c r="A86" s="551" t="s">
        <v>1075</v>
      </c>
      <c r="B86" s="306" t="s">
        <v>841</v>
      </c>
      <c r="C86" s="373" t="s">
        <v>870</v>
      </c>
      <c r="D86" s="306" t="s">
        <v>1169</v>
      </c>
      <c r="E86" s="306" t="s">
        <v>1170</v>
      </c>
      <c r="F86" s="308" t="s">
        <v>1171</v>
      </c>
      <c r="G86" s="308" t="s">
        <v>1172</v>
      </c>
      <c r="H86" s="308" t="s">
        <v>1173</v>
      </c>
      <c r="I86" s="308" t="s">
        <v>1174</v>
      </c>
      <c r="J86" s="538" t="s">
        <v>1175</v>
      </c>
      <c r="K86" s="538" t="s">
        <v>1176</v>
      </c>
      <c r="L86" s="539" t="s">
        <v>1177</v>
      </c>
      <c r="M86" s="540" t="s">
        <v>1178</v>
      </c>
      <c r="P86" s="193"/>
      <c r="Q86" s="193"/>
      <c r="R86" s="193"/>
      <c r="W86" s="193"/>
      <c r="X86" s="193"/>
      <c r="Y86" s="193"/>
      <c r="Z86" s="193"/>
      <c r="AA86" s="193"/>
      <c r="AB86" s="193"/>
      <c r="AC86" s="193"/>
      <c r="AD86" s="200"/>
      <c r="AE86" s="553" t="s">
        <v>1143</v>
      </c>
      <c r="AF86" s="553">
        <f t="shared" ref="AF86:AF88" si="71">AF85+1</f>
        <v>24</v>
      </c>
      <c r="AG86" s="553">
        <v>1</v>
      </c>
      <c r="AH86" s="553">
        <v>5</v>
      </c>
      <c r="AI86" s="523" t="s">
        <v>795</v>
      </c>
      <c r="AJ86" s="520" t="s">
        <v>568</v>
      </c>
      <c r="AK86" s="520" t="s">
        <v>487</v>
      </c>
      <c r="AL86" s="520" t="s">
        <v>569</v>
      </c>
      <c r="AM86" s="521" t="s">
        <v>570</v>
      </c>
    </row>
    <row r="87" customHeight="1" spans="1:39">
      <c r="A87" s="551"/>
      <c r="B87" s="306" t="str">
        <f>B55</f>
        <v>在微光光照下，你身边60尺内可以视为等同于明亮光照。而在黑暗中，该范围内可视为等同于微光光照。你无法在黑暗中分辨颜色，只能看到有灰度的黑白画面</v>
      </c>
      <c r="C87" s="306" t="s">
        <v>1179</v>
      </c>
      <c r="D87" s="306" t="s">
        <v>1180</v>
      </c>
      <c r="E87" s="306" t="s">
        <v>1181</v>
      </c>
      <c r="F87" s="308" t="s">
        <v>1182</v>
      </c>
      <c r="G87" s="308" t="str">
        <f>D75</f>
        <v>你的负重、推动、拉动及抬起物品的能力视同为体型大一级的生物</v>
      </c>
      <c r="H87" s="308" t="s">
        <v>1183</v>
      </c>
      <c r="I87" s="308" t="s">
        <v>1184</v>
      </c>
      <c r="J87" s="538" t="s">
        <v>1185</v>
      </c>
      <c r="K87" s="538" t="s">
        <v>1186</v>
      </c>
      <c r="L87" s="539" t="s">
        <v>1187</v>
      </c>
      <c r="M87" s="540" t="s">
        <v>1188</v>
      </c>
      <c r="P87" s="193"/>
      <c r="Q87" s="193"/>
      <c r="R87" s="193"/>
      <c r="S87" s="499"/>
      <c r="T87" s="499"/>
      <c r="U87" s="499"/>
      <c r="V87" s="499"/>
      <c r="W87" s="193"/>
      <c r="X87" s="193"/>
      <c r="Y87" s="193"/>
      <c r="Z87" s="193"/>
      <c r="AA87" s="193"/>
      <c r="AB87" s="193"/>
      <c r="AC87" s="193"/>
      <c r="AD87" s="200"/>
      <c r="AE87" s="553" t="s">
        <v>1149</v>
      </c>
      <c r="AF87" s="553">
        <f t="shared" si="71"/>
        <v>25</v>
      </c>
      <c r="AG87" s="553">
        <v>1</v>
      </c>
      <c r="AH87" s="553">
        <f>IF(V2&lt;5,5,8)</f>
        <v>5</v>
      </c>
      <c r="AI87" s="523" t="s">
        <v>1189</v>
      </c>
      <c r="AJ87" s="520" t="s">
        <v>1150</v>
      </c>
      <c r="AK87" s="520" t="str">
        <f>AK$86</f>
        <v>中型</v>
      </c>
      <c r="AL87" s="520" t="str">
        <f>AL$86</f>
        <v>基础步行速度为30尺</v>
      </c>
      <c r="AM87" s="521" t="s">
        <v>570</v>
      </c>
    </row>
    <row r="88" customHeight="1" spans="1:39">
      <c r="A88" s="551" t="s">
        <v>792</v>
      </c>
      <c r="B88" s="306" t="s">
        <v>841</v>
      </c>
      <c r="C88" s="306" t="s">
        <v>1190</v>
      </c>
      <c r="D88" s="546" t="str">
        <f>IF(OR(AC24&lt;1,COUNTIF($AB$2:$AB$15,"狡猾")),"狡猾","")</f>
        <v>狡猾</v>
      </c>
      <c r="E88" s="546" t="str">
        <f>IF(OR(AC24&lt;1,COUNTIF($AB$2:$AB$15,"反抗")),"反抗","")</f>
        <v>反抗</v>
      </c>
      <c r="F88" s="546" t="str">
        <f>IF(OR(AC24&lt;1,COUNTIF($AB$2:$AB$15,"龙族术法")),"龙族术法","")</f>
        <v>龙族术法</v>
      </c>
      <c r="AD88" s="376"/>
      <c r="AE88" s="553" t="s">
        <v>1156</v>
      </c>
      <c r="AF88" s="553">
        <f t="shared" si="71"/>
        <v>26</v>
      </c>
      <c r="AG88" s="553">
        <v>1</v>
      </c>
      <c r="AH88" s="553">
        <v>3</v>
      </c>
      <c r="AI88" s="526" t="s">
        <v>1191</v>
      </c>
      <c r="AJ88" s="520" t="s">
        <v>568</v>
      </c>
      <c r="AK88" s="520" t="s">
        <v>487</v>
      </c>
      <c r="AL88" s="520" t="s">
        <v>569</v>
      </c>
      <c r="AM88" s="521" t="s">
        <v>570</v>
      </c>
    </row>
    <row r="89" customHeight="1" spans="1:39">
      <c r="A89" s="551"/>
      <c r="B89" s="306" t="str">
        <f>B55</f>
        <v>在微光光照下，你身边60尺内可以视为等同于明亮光照。而在黑暗中，该范围内可视为等同于微光光照。你无法在黑暗中分辨颜色，只能看到有灰度的黑白画面</v>
      </c>
      <c r="C89" s="306" t="s">
        <v>1192</v>
      </c>
      <c r="D89" s="546" t="s">
        <v>1193</v>
      </c>
      <c r="E89" s="546" t="s">
        <v>929</v>
      </c>
      <c r="F89" s="546" t="s">
        <v>1194</v>
      </c>
      <c r="AD89" s="376"/>
      <c r="AE89" s="554" t="s">
        <v>42</v>
      </c>
      <c r="AF89" s="554">
        <f t="shared" ref="AF89:AF94" si="72">AF88+1</f>
        <v>27</v>
      </c>
      <c r="AG89" s="554">
        <v>1</v>
      </c>
      <c r="AH89" s="554">
        <v>3</v>
      </c>
      <c r="AI89" s="526" t="s">
        <v>810</v>
      </c>
      <c r="AJ89" s="520" t="s">
        <v>568</v>
      </c>
      <c r="AK89" s="520" t="s">
        <v>1005</v>
      </c>
      <c r="AL89" s="520" t="s">
        <v>1195</v>
      </c>
      <c r="AM89" s="521" t="s">
        <v>570</v>
      </c>
    </row>
    <row r="90" customHeight="1" spans="1:39">
      <c r="A90" s="551" t="s">
        <v>1115</v>
      </c>
      <c r="B90" s="306" t="s">
        <v>841</v>
      </c>
      <c r="C90" s="306" t="s">
        <v>1196</v>
      </c>
      <c r="D90" s="306" t="s">
        <v>1109</v>
      </c>
      <c r="E90" s="306" t="s">
        <v>1068</v>
      </c>
      <c r="AD90" s="376"/>
      <c r="AE90" s="554" t="s">
        <v>1166</v>
      </c>
      <c r="AF90" s="554">
        <f t="shared" si="72"/>
        <v>28</v>
      </c>
      <c r="AG90" s="554">
        <v>1</v>
      </c>
      <c r="AH90" s="554">
        <v>4</v>
      </c>
      <c r="AI90" s="526" t="s">
        <v>811</v>
      </c>
      <c r="AJ90" s="520" t="str">
        <f>AJ89</f>
        <v>自选两项属性分别+2/+1或自选三项属性+1</v>
      </c>
      <c r="AK90" s="520" t="str">
        <f>AK89</f>
        <v>中型或小型。在你选择种族时选择体型</v>
      </c>
      <c r="AL90" s="520" t="s">
        <v>569</v>
      </c>
      <c r="AM90" s="521" t="str">
        <f>AM89</f>
        <v>，以及任意一门自选语言</v>
      </c>
    </row>
    <row r="91" customHeight="1" spans="1:39">
      <c r="A91" s="551"/>
      <c r="B91" s="306" t="str">
        <f>B55</f>
        <v>在微光光照下，你身边60尺内可以视为等同于明亮光照。而在黑暗中，该范围内可视为等同于微光光照。你无法在黑暗中分辨颜色，只能看到有灰度的黑白画面</v>
      </c>
      <c r="C91" s="306" t="s">
        <v>1197</v>
      </c>
      <c r="D91" s="306" t="str">
        <f>D75</f>
        <v>你的负重、推动、拉动及抬起物品的能力视同为体型大一级的生物</v>
      </c>
      <c r="E91" s="306" t="s">
        <v>1072</v>
      </c>
      <c r="AD91" s="376"/>
      <c r="AE91" s="554" t="s">
        <v>795</v>
      </c>
      <c r="AF91" s="554">
        <f t="shared" si="72"/>
        <v>29</v>
      </c>
      <c r="AG91" s="554">
        <v>1</v>
      </c>
      <c r="AH91" s="554">
        <v>7</v>
      </c>
      <c r="AI91" s="526" t="s">
        <v>812</v>
      </c>
      <c r="AJ91" s="520" t="str">
        <f>AJ89</f>
        <v>自选两项属性分别+2/+1或自选三项属性+1</v>
      </c>
      <c r="AK91" s="520" t="str">
        <f>AK89</f>
        <v>中型或小型。在你选择种族时选择体型</v>
      </c>
      <c r="AL91" s="520" t="str">
        <f>AL$90</f>
        <v>基础步行速度为30尺</v>
      </c>
      <c r="AM91" s="521" t="str">
        <f>AM89</f>
        <v>，以及任意一门自选语言</v>
      </c>
    </row>
    <row r="92" customHeight="1" spans="1:39">
      <c r="A92" s="551" t="s">
        <v>1119</v>
      </c>
      <c r="B92" s="306" t="s">
        <v>841</v>
      </c>
      <c r="C92" s="306" t="s">
        <v>1198</v>
      </c>
      <c r="D92" s="306" t="s">
        <v>1199</v>
      </c>
      <c r="E92" s="306" t="s">
        <v>1200</v>
      </c>
      <c r="G92" s="193"/>
      <c r="H92" s="193"/>
      <c r="I92" s="193"/>
      <c r="J92" s="193"/>
      <c r="K92" s="193"/>
      <c r="L92" s="193"/>
      <c r="M92" s="193"/>
      <c r="N92" s="193"/>
      <c r="O92" s="193"/>
      <c r="P92" s="193"/>
      <c r="Q92" s="193"/>
      <c r="R92" s="193"/>
      <c r="W92" s="193"/>
      <c r="X92" s="193"/>
      <c r="Y92" s="193"/>
      <c r="Z92" s="193"/>
      <c r="AA92" s="193"/>
      <c r="AB92" s="193"/>
      <c r="AC92" s="193"/>
      <c r="AD92" s="200"/>
      <c r="AE92" s="554" t="s">
        <v>1189</v>
      </c>
      <c r="AF92" s="554">
        <f t="shared" si="72"/>
        <v>30</v>
      </c>
      <c r="AG92" s="554">
        <v>1</v>
      </c>
      <c r="AH92" s="554">
        <v>4</v>
      </c>
      <c r="AI92" s="526" t="s">
        <v>813</v>
      </c>
      <c r="AJ92" s="520" t="str">
        <f>AJ89</f>
        <v>自选两项属性分别+2/+1或自选三项属性+1</v>
      </c>
      <c r="AK92" s="520" t="str">
        <f>AK89</f>
        <v>中型或小型。在你选择种族时选择体型</v>
      </c>
      <c r="AL92" s="520" t="str">
        <f>AL$90</f>
        <v>基础步行速度为30尺</v>
      </c>
      <c r="AM92" s="521" t="str">
        <f>AM89</f>
        <v>，以及任意一门自选语言</v>
      </c>
    </row>
    <row r="93" customHeight="1" spans="1:39">
      <c r="A93" s="551"/>
      <c r="B93" s="306" t="str">
        <f>B55</f>
        <v>在微光光照下，你身边60尺内可以视为等同于明亮光照。而在黑暗中，该范围内可视为等同于微光光照。你无法在黑暗中分辨颜色，只能看到有灰度的黑白画面</v>
      </c>
      <c r="C93" s="306" t="s">
        <v>1201</v>
      </c>
      <c r="D93" s="306" t="str">
        <f>C55</f>
        <v>你进行对抗中毒的豁免时具有优势，你对毒素伤害具有抗性</v>
      </c>
      <c r="E93" s="224" t="s">
        <v>1202</v>
      </c>
      <c r="F93" s="306"/>
      <c r="G93" s="193"/>
      <c r="H93" s="193"/>
      <c r="I93" s="193"/>
      <c r="J93" s="193"/>
      <c r="K93" s="193"/>
      <c r="L93" s="193"/>
      <c r="M93" s="193"/>
      <c r="N93" s="193"/>
      <c r="O93" s="193"/>
      <c r="P93" s="193"/>
      <c r="Q93" s="193"/>
      <c r="R93" s="193"/>
      <c r="S93" s="499"/>
      <c r="T93" s="499"/>
      <c r="U93" s="499"/>
      <c r="V93" s="499"/>
      <c r="W93" s="193"/>
      <c r="X93" s="193"/>
      <c r="Y93" s="193"/>
      <c r="Z93" s="193"/>
      <c r="AA93" s="193"/>
      <c r="AB93" s="193"/>
      <c r="AC93" s="193"/>
      <c r="AD93" s="200"/>
      <c r="AE93" s="555" t="s">
        <v>1191</v>
      </c>
      <c r="AF93" s="555">
        <f t="shared" si="72"/>
        <v>31</v>
      </c>
      <c r="AG93" s="555">
        <v>1</v>
      </c>
      <c r="AH93" s="555">
        <f>IF(V2&lt;3,2,3)</f>
        <v>3</v>
      </c>
      <c r="AI93" s="526" t="s">
        <v>1203</v>
      </c>
      <c r="AJ93" s="520" t="s">
        <v>568</v>
      </c>
      <c r="AK93" s="520" t="s">
        <v>487</v>
      </c>
      <c r="AL93" s="520" t="s">
        <v>569</v>
      </c>
      <c r="AM93" s="521" t="s">
        <v>570</v>
      </c>
    </row>
    <row r="94" customHeight="1" spans="1:39">
      <c r="A94" s="556" t="s">
        <v>1142</v>
      </c>
      <c r="B94" s="373" t="s">
        <v>1204</v>
      </c>
      <c r="C94" s="308" t="s">
        <v>1205</v>
      </c>
      <c r="D94" s="308" t="s">
        <v>1206</v>
      </c>
      <c r="E94" s="538" t="s">
        <v>1207</v>
      </c>
      <c r="F94" s="538" t="s">
        <v>1208</v>
      </c>
      <c r="H94" s="193"/>
      <c r="I94" s="193"/>
      <c r="J94" s="193"/>
      <c r="K94" s="193"/>
      <c r="L94" s="193"/>
      <c r="M94" s="193"/>
      <c r="N94" s="193"/>
      <c r="O94" s="193"/>
      <c r="P94" s="193"/>
      <c r="Q94" s="193"/>
      <c r="R94" s="193"/>
      <c r="W94" s="193"/>
      <c r="X94" s="193"/>
      <c r="Y94" s="193"/>
      <c r="Z94" s="193"/>
      <c r="AA94" s="193"/>
      <c r="AB94" s="193"/>
      <c r="AC94" s="193"/>
      <c r="AD94" s="200"/>
      <c r="AE94" s="555" t="s">
        <v>1209</v>
      </c>
      <c r="AF94" s="555">
        <f t="shared" si="72"/>
        <v>32</v>
      </c>
      <c r="AG94" s="555">
        <v>1</v>
      </c>
      <c r="AH94" s="555">
        <v>1</v>
      </c>
      <c r="AI94" s="477" t="s">
        <v>1210</v>
      </c>
      <c r="AJ94" s="520" t="s">
        <v>1211</v>
      </c>
      <c r="AK94" s="520" t="s">
        <v>1212</v>
      </c>
      <c r="AL94" s="520" t="s">
        <v>569</v>
      </c>
      <c r="AM94" s="521" t="s">
        <v>1213</v>
      </c>
    </row>
    <row r="95" customHeight="1" spans="1:39">
      <c r="A95" s="556"/>
      <c r="B95" s="306" t="s">
        <v>1214</v>
      </c>
      <c r="C95" s="308" t="s">
        <v>1215</v>
      </c>
      <c r="D95" s="308" t="s">
        <v>1216</v>
      </c>
      <c r="E95" s="538" t="s">
        <v>1217</v>
      </c>
      <c r="F95" s="538" t="s">
        <v>1218</v>
      </c>
      <c r="G95" s="224"/>
      <c r="H95" s="193"/>
      <c r="I95" s="193"/>
      <c r="J95" s="193"/>
      <c r="K95" s="193"/>
      <c r="L95" s="193"/>
      <c r="M95" s="193"/>
      <c r="N95" s="193"/>
      <c r="O95" s="193"/>
      <c r="P95" s="193"/>
      <c r="Q95" s="193"/>
      <c r="R95" s="193"/>
      <c r="S95" s="499"/>
      <c r="T95" s="499"/>
      <c r="U95" s="499"/>
      <c r="V95" s="499"/>
      <c r="W95" s="193"/>
      <c r="X95" s="193"/>
      <c r="Y95" s="193"/>
      <c r="Z95" s="193"/>
      <c r="AA95" s="193"/>
      <c r="AB95" s="193"/>
      <c r="AC95" s="193"/>
      <c r="AD95" s="200"/>
      <c r="AE95" s="522" t="s">
        <v>810</v>
      </c>
      <c r="AF95" s="522"/>
      <c r="AG95" s="522">
        <v>2</v>
      </c>
      <c r="AH95" s="522">
        <v>4</v>
      </c>
      <c r="AI95" s="534" t="s">
        <v>1219</v>
      </c>
      <c r="AJ95" s="520" t="s">
        <v>1220</v>
      </c>
      <c r="AK95" s="520" t="s">
        <v>487</v>
      </c>
      <c r="AL95" s="520" t="s">
        <v>1195</v>
      </c>
      <c r="AM95" s="521" t="s">
        <v>1221</v>
      </c>
    </row>
    <row r="96" customHeight="1" spans="1:39">
      <c r="A96" s="557" t="s">
        <v>1129</v>
      </c>
      <c r="B96" s="306" t="s">
        <v>1222</v>
      </c>
      <c r="C96" s="306" t="s">
        <v>1223</v>
      </c>
      <c r="D96" s="306" t="s">
        <v>1224</v>
      </c>
      <c r="E96" s="306" t="s">
        <v>1225</v>
      </c>
      <c r="F96" s="306" t="s">
        <v>1226</v>
      </c>
      <c r="G96" s="193"/>
      <c r="H96" s="193"/>
      <c r="I96" s="193"/>
      <c r="J96" s="193"/>
      <c r="K96" s="193"/>
      <c r="L96" s="193"/>
      <c r="M96" s="193"/>
      <c r="N96" s="193"/>
      <c r="O96" s="193"/>
      <c r="P96" s="193"/>
      <c r="Q96" s="193"/>
      <c r="R96" s="193"/>
      <c r="W96" s="193"/>
      <c r="X96" s="193"/>
      <c r="Y96" s="193"/>
      <c r="Z96" s="193"/>
      <c r="AA96" s="193"/>
      <c r="AB96" s="193"/>
      <c r="AC96" s="193"/>
      <c r="AD96" s="200"/>
      <c r="AE96" s="522" t="s">
        <v>811</v>
      </c>
      <c r="AF96" s="522"/>
      <c r="AG96" s="522">
        <v>5</v>
      </c>
      <c r="AH96" s="522">
        <v>6</v>
      </c>
      <c r="AI96" s="534" t="s">
        <v>1227</v>
      </c>
      <c r="AJ96" s="520" t="s">
        <v>568</v>
      </c>
      <c r="AK96" s="520" t="s">
        <v>487</v>
      </c>
      <c r="AL96" s="520" t="s">
        <v>1195</v>
      </c>
      <c r="AM96" s="521" t="s">
        <v>570</v>
      </c>
    </row>
    <row r="97" customHeight="1" spans="1:39">
      <c r="A97" s="557"/>
      <c r="B97" s="306" t="s">
        <v>1228</v>
      </c>
      <c r="C97" s="306" t="s">
        <v>1229</v>
      </c>
      <c r="D97" s="306" t="s">
        <v>1230</v>
      </c>
      <c r="E97" s="306" t="s">
        <v>1231</v>
      </c>
      <c r="F97" s="306" t="s">
        <v>1232</v>
      </c>
      <c r="G97" s="193"/>
      <c r="H97" s="193"/>
      <c r="I97" s="193"/>
      <c r="J97" s="193"/>
      <c r="K97" s="193"/>
      <c r="L97" s="193"/>
      <c r="M97" s="193"/>
      <c r="N97" s="193"/>
      <c r="O97" s="193"/>
      <c r="P97" s="499"/>
      <c r="Q97" s="499"/>
      <c r="R97" s="193"/>
      <c r="S97" s="499"/>
      <c r="T97" s="499"/>
      <c r="U97" s="499"/>
      <c r="V97" s="499"/>
      <c r="W97" s="193"/>
      <c r="X97" s="193"/>
      <c r="Y97" s="193"/>
      <c r="Z97" s="193"/>
      <c r="AA97" s="193"/>
      <c r="AB97" s="193"/>
      <c r="AC97" s="193"/>
      <c r="AD97" s="200"/>
      <c r="AE97" s="522" t="s">
        <v>812</v>
      </c>
      <c r="AF97" s="522"/>
      <c r="AG97" s="522">
        <v>7</v>
      </c>
      <c r="AH97" s="522">
        <v>8</v>
      </c>
      <c r="AI97" s="558" t="s">
        <v>1233</v>
      </c>
      <c r="AJ97" s="520" t="s">
        <v>568</v>
      </c>
      <c r="AK97" s="520" t="s">
        <v>1005</v>
      </c>
      <c r="AL97" s="520" t="s">
        <v>569</v>
      </c>
      <c r="AM97" s="521" t="str">
        <f>AM$20</f>
        <v>，以及任意一门自选语言</v>
      </c>
    </row>
    <row r="98" customHeight="1" spans="1:39">
      <c r="A98" s="557" t="s">
        <v>1136</v>
      </c>
      <c r="B98" s="306" t="s">
        <v>1234</v>
      </c>
      <c r="C98" s="306" t="s">
        <v>1235</v>
      </c>
      <c r="D98" s="306" t="s">
        <v>1236</v>
      </c>
      <c r="E98" s="306" t="s">
        <v>1237</v>
      </c>
      <c r="G98" s="193"/>
      <c r="H98" s="193"/>
      <c r="I98" s="193"/>
      <c r="J98" s="193"/>
      <c r="K98" s="193"/>
      <c r="L98" s="193"/>
      <c r="M98" s="193"/>
      <c r="N98" s="193"/>
      <c r="R98" s="193"/>
      <c r="W98" s="193"/>
      <c r="X98" s="193"/>
      <c r="Y98" s="193"/>
      <c r="Z98" s="193"/>
      <c r="AA98" s="193"/>
      <c r="AB98" s="193"/>
      <c r="AC98" s="193"/>
      <c r="AD98" s="200"/>
      <c r="AE98" s="522" t="s">
        <v>813</v>
      </c>
      <c r="AF98" s="522"/>
      <c r="AG98" s="522">
        <v>9</v>
      </c>
      <c r="AH98" s="522">
        <v>12</v>
      </c>
      <c r="AI98" s="559" t="s">
        <v>1238</v>
      </c>
      <c r="AJ98" s="520" t="s">
        <v>568</v>
      </c>
      <c r="AK98" s="499" t="s">
        <v>528</v>
      </c>
      <c r="AL98" s="520" t="s">
        <v>569</v>
      </c>
      <c r="AM98" s="521" t="str">
        <f>AM$20</f>
        <v>，以及任意一门自选语言</v>
      </c>
    </row>
    <row r="99" customHeight="1" spans="1:39">
      <c r="A99" s="557"/>
      <c r="B99" s="306" t="s">
        <v>1239</v>
      </c>
      <c r="C99" s="306" t="s">
        <v>1240</v>
      </c>
      <c r="D99" s="306" t="s">
        <v>1241</v>
      </c>
      <c r="E99" s="224" t="s">
        <v>1242</v>
      </c>
      <c r="F99" s="193"/>
      <c r="G99" s="193"/>
      <c r="H99" s="193"/>
      <c r="I99" s="193"/>
      <c r="J99" s="193"/>
      <c r="K99" s="193"/>
      <c r="L99" s="193"/>
      <c r="M99" s="193"/>
      <c r="N99" s="193"/>
      <c r="O99" s="499"/>
      <c r="P99" s="499"/>
      <c r="Q99" s="499"/>
      <c r="R99" s="193"/>
      <c r="S99" s="499"/>
      <c r="T99" s="499"/>
      <c r="U99" s="499"/>
      <c r="V99" s="499"/>
      <c r="W99" s="193"/>
      <c r="X99" s="193"/>
      <c r="Y99" s="193"/>
      <c r="Z99" s="193"/>
      <c r="AA99" s="193"/>
      <c r="AB99" s="193"/>
      <c r="AC99" s="193"/>
      <c r="AD99" s="200"/>
      <c r="AE99" s="555" t="s">
        <v>1203</v>
      </c>
      <c r="AF99" s="555">
        <f>AF94+1</f>
        <v>33</v>
      </c>
      <c r="AG99" s="555">
        <v>1</v>
      </c>
      <c r="AH99" s="555">
        <v>5</v>
      </c>
      <c r="AI99" s="559" t="s">
        <v>1243</v>
      </c>
      <c r="AJ99" s="520" t="s">
        <v>568</v>
      </c>
      <c r="AK99" s="520" t="s">
        <v>1005</v>
      </c>
      <c r="AL99" s="520" t="s">
        <v>569</v>
      </c>
      <c r="AM99" s="521" t="str">
        <f>AM$20</f>
        <v>，以及任意一门自选语言</v>
      </c>
    </row>
    <row r="100" customHeight="1" spans="1:39">
      <c r="A100" s="557" t="s">
        <v>1143</v>
      </c>
      <c r="B100" s="306" t="s">
        <v>1244</v>
      </c>
      <c r="C100" s="306" t="s">
        <v>1245</v>
      </c>
      <c r="D100" s="306" t="s">
        <v>1133</v>
      </c>
      <c r="E100" s="306" t="s">
        <v>1246</v>
      </c>
      <c r="F100" s="306" t="s">
        <v>1247</v>
      </c>
      <c r="G100" s="193"/>
      <c r="H100" s="193"/>
      <c r="I100" s="193"/>
      <c r="J100" s="193"/>
      <c r="K100" s="193"/>
      <c r="L100" s="193"/>
      <c r="M100" s="193"/>
      <c r="N100" s="193"/>
      <c r="R100" s="193"/>
      <c r="W100" s="193"/>
      <c r="X100" s="193"/>
      <c r="Y100" s="193"/>
      <c r="Z100" s="193"/>
      <c r="AA100" s="193"/>
      <c r="AB100" s="193"/>
      <c r="AC100" s="193"/>
      <c r="AD100" s="200"/>
      <c r="AE100" s="560" t="s">
        <v>1210</v>
      </c>
      <c r="AF100" s="560">
        <f t="shared" ref="AF100:AF106" si="73">AF99+1</f>
        <v>34</v>
      </c>
      <c r="AG100" s="560">
        <v>1</v>
      </c>
      <c r="AH100" s="560">
        <v>4</v>
      </c>
      <c r="AI100" s="561" t="s">
        <v>1248</v>
      </c>
      <c r="AJ100" s="520" t="s">
        <v>568</v>
      </c>
      <c r="AK100" s="499" t="s">
        <v>487</v>
      </c>
      <c r="AL100" s="520" t="s">
        <v>569</v>
      </c>
      <c r="AM100" s="527" t="str">
        <f>AM$20</f>
        <v>，以及任意一门自选语言</v>
      </c>
    </row>
    <row r="101" customHeight="1" spans="1:39">
      <c r="A101" s="557"/>
      <c r="B101" s="306" t="str">
        <f>D75</f>
        <v>你的负重、推动、拉动及抬起物品的能力视同为体型大一级的生物</v>
      </c>
      <c r="C101" s="306" t="s">
        <v>1249</v>
      </c>
      <c r="D101" s="306" t="s">
        <v>1250</v>
      </c>
      <c r="E101" s="306" t="s">
        <v>1251</v>
      </c>
      <c r="F101" s="306" t="s">
        <v>1252</v>
      </c>
      <c r="G101" s="193"/>
      <c r="H101" s="193"/>
      <c r="I101" s="193"/>
      <c r="J101" s="193"/>
      <c r="K101" s="193"/>
      <c r="L101" s="193"/>
      <c r="M101" s="193"/>
      <c r="N101" s="193"/>
      <c r="O101" s="499"/>
      <c r="P101" s="499"/>
      <c r="Q101" s="499"/>
      <c r="R101" s="193"/>
      <c r="S101" s="499"/>
      <c r="T101" s="499"/>
      <c r="U101" s="499"/>
      <c r="V101" s="499"/>
      <c r="W101" s="193"/>
      <c r="X101" s="193"/>
      <c r="Y101" s="193"/>
      <c r="Z101" s="193"/>
      <c r="AA101" s="193"/>
      <c r="AB101" s="193"/>
      <c r="AC101" s="193"/>
      <c r="AD101" s="200"/>
      <c r="AE101" s="562" t="s">
        <v>1219</v>
      </c>
      <c r="AF101" s="562">
        <f t="shared" si="73"/>
        <v>35</v>
      </c>
      <c r="AG101" s="562">
        <v>1</v>
      </c>
      <c r="AH101" s="562">
        <v>4</v>
      </c>
      <c r="AI101" s="561" t="s">
        <v>1253</v>
      </c>
      <c r="AJ101" s="520" t="s">
        <v>568</v>
      </c>
      <c r="AK101" s="499" t="s">
        <v>528</v>
      </c>
      <c r="AL101" s="520" t="s">
        <v>569</v>
      </c>
      <c r="AM101" s="527" t="str">
        <f t="shared" ref="AM101:AM105" si="74">AM$20</f>
        <v>，以及任意一门自选语言</v>
      </c>
    </row>
    <row r="102" customHeight="1" spans="1:39">
      <c r="A102" s="531" t="s">
        <v>1149</v>
      </c>
      <c r="B102" s="306" t="s">
        <v>841</v>
      </c>
      <c r="C102" s="306" t="s">
        <v>766</v>
      </c>
      <c r="D102" s="563" t="str">
        <f>IF(OR(AD19+AD21&lt;IF(V2&gt;=5,2,1),COUNTIF($AB$2:$AB$15,"蝠鲼滑翔")),"蝠鲼滑翔","")</f>
        <v>蝠鲼滑翔</v>
      </c>
      <c r="E102" s="563" t="str">
        <f>IF(OR(AD19+AD21&lt;IF(V2&gt;=5,2,1),COUNTIF($AB$2:$AB$15,"灵活攀登")),"灵活攀登","")</f>
        <v>灵活攀登</v>
      </c>
      <c r="F102" s="563" t="str">
        <f>IF(OR(AD19+AD21&lt;IF(V2&gt;=5,2,1),COUNTIF($AB$2:$AB$15,"水下适应")),"水下适应","")</f>
        <v>水下适应</v>
      </c>
      <c r="G102" s="564" t="str">
        <f>IF(OR(AND(AD21&lt;1,AD19+AD21&lt;2),COUNTIF($AB$2:$AB$15,"斗殴附件")),"斗殴附件","")</f>
        <v>斗殴附件</v>
      </c>
      <c r="H102" s="564" t="str">
        <f>IF(OR(AND(AD21&lt;1,AD19+AD21&lt;2),COUNTIF($AB$2:$AB$15,"甲壳")),"甲壳","")</f>
        <v>甲壳</v>
      </c>
      <c r="I102" s="564" t="str">
        <f>IF(OR(AND(AD21&lt;1,AD19+AD21&lt;2),COUNTIF($AB$2:$AB$15,"酸液喷吐")),"酸液喷吐","")</f>
        <v>酸液喷吐</v>
      </c>
      <c r="J102" s="193"/>
      <c r="K102" s="193"/>
      <c r="L102" s="193"/>
      <c r="M102" s="193"/>
      <c r="N102" s="193"/>
      <c r="R102" s="193"/>
      <c r="W102" s="193"/>
      <c r="X102" s="193"/>
      <c r="Y102" s="193"/>
      <c r="Z102" s="193"/>
      <c r="AA102" s="193"/>
      <c r="AB102" s="193"/>
      <c r="AC102" s="193"/>
      <c r="AD102" s="200"/>
      <c r="AE102" s="562" t="s">
        <v>1227</v>
      </c>
      <c r="AF102" s="562">
        <f t="shared" si="73"/>
        <v>36</v>
      </c>
      <c r="AG102" s="562">
        <v>1</v>
      </c>
      <c r="AH102" s="562">
        <v>5</v>
      </c>
      <c r="AI102" s="561" t="s">
        <v>1254</v>
      </c>
      <c r="AJ102" s="520" t="s">
        <v>568</v>
      </c>
      <c r="AK102" s="499" t="s">
        <v>487</v>
      </c>
      <c r="AL102" s="520" t="s">
        <v>569</v>
      </c>
      <c r="AM102" s="527" t="str">
        <f t="shared" si="74"/>
        <v>，以及任意一门自选语言</v>
      </c>
    </row>
    <row r="103" customHeight="1" spans="1:39">
      <c r="A103" s="531"/>
      <c r="B103" s="306" t="str">
        <f>B55</f>
        <v>在微光光照下，你身边60尺内可以视为等同于明亮光照。而在黑暗中，该范围内可视为等同于微光光照。你无法在黑暗中分辨颜色，只能看到有灰度的黑白画面</v>
      </c>
      <c r="C103" s="306" t="s">
        <v>1255</v>
      </c>
      <c r="D103" s="563" t="s">
        <v>1256</v>
      </c>
      <c r="E103" s="563" t="str">
        <f>C83</f>
        <v>你获得等于你步行速度的攀爬速度</v>
      </c>
      <c r="F103" s="563" t="s">
        <v>1257</v>
      </c>
      <c r="G103" s="564" t="s">
        <v>1258</v>
      </c>
      <c r="H103" s="564" t="s">
        <v>1259</v>
      </c>
      <c r="I103" s="564" t="s">
        <v>1260</v>
      </c>
      <c r="J103" s="193"/>
      <c r="K103" s="193"/>
      <c r="L103" s="193"/>
      <c r="M103" s="193"/>
      <c r="N103" s="193"/>
      <c r="O103" s="499"/>
      <c r="P103" s="499"/>
      <c r="Q103" s="499"/>
      <c r="R103" s="193"/>
      <c r="S103" s="499"/>
      <c r="T103" s="499"/>
      <c r="U103" s="499"/>
      <c r="V103" s="499"/>
      <c r="W103" s="193"/>
      <c r="X103" s="193"/>
      <c r="Y103" s="193"/>
      <c r="Z103" s="193"/>
      <c r="AA103" s="193"/>
      <c r="AB103" s="193"/>
      <c r="AC103" s="193"/>
      <c r="AD103" s="200"/>
      <c r="AE103" s="565" t="s">
        <v>1233</v>
      </c>
      <c r="AF103" s="565">
        <f t="shared" si="73"/>
        <v>37</v>
      </c>
      <c r="AG103" s="565">
        <v>1</v>
      </c>
      <c r="AH103" s="565">
        <v>3</v>
      </c>
      <c r="AI103" s="561" t="s">
        <v>1261</v>
      </c>
      <c r="AJ103" s="520" t="s">
        <v>568</v>
      </c>
      <c r="AK103" s="520" t="s">
        <v>1005</v>
      </c>
      <c r="AL103" s="520" t="s">
        <v>569</v>
      </c>
      <c r="AM103" s="527" t="str">
        <f t="shared" si="74"/>
        <v>，以及任意一门自选语言</v>
      </c>
    </row>
    <row r="104" customHeight="1" spans="1:39">
      <c r="A104" s="557" t="s">
        <v>1156</v>
      </c>
      <c r="B104" s="306" t="s">
        <v>1262</v>
      </c>
      <c r="C104" s="306" t="s">
        <v>1263</v>
      </c>
      <c r="D104" s="306" t="s">
        <v>1264</v>
      </c>
      <c r="J104" s="193"/>
      <c r="K104" s="193"/>
      <c r="L104" s="193"/>
      <c r="M104" s="193"/>
      <c r="N104" s="193"/>
      <c r="R104" s="193"/>
      <c r="W104" s="193"/>
      <c r="X104" s="193"/>
      <c r="Y104" s="193"/>
      <c r="Z104" s="193"/>
      <c r="AA104" s="193"/>
      <c r="AB104" s="193"/>
      <c r="AC104" s="193"/>
      <c r="AD104" s="200"/>
      <c r="AE104" s="566" t="s">
        <v>1238</v>
      </c>
      <c r="AF104" s="567">
        <f t="shared" si="73"/>
        <v>38</v>
      </c>
      <c r="AG104" s="566">
        <v>1</v>
      </c>
      <c r="AH104" s="566">
        <v>3</v>
      </c>
      <c r="AI104" s="561" t="s">
        <v>1265</v>
      </c>
      <c r="AJ104" s="520" t="s">
        <v>568</v>
      </c>
      <c r="AK104" s="520" t="s">
        <v>1005</v>
      </c>
      <c r="AL104" s="520" t="s">
        <v>569</v>
      </c>
      <c r="AM104" s="527" t="str">
        <f t="shared" si="74"/>
        <v>，以及任意一门自选语言</v>
      </c>
    </row>
    <row r="105" customHeight="1" spans="1:39">
      <c r="A105" s="557"/>
      <c r="B105" s="306" t="s">
        <v>1266</v>
      </c>
      <c r="C105" s="306" t="s">
        <v>1267</v>
      </c>
      <c r="D105" s="306" t="s">
        <v>1268</v>
      </c>
      <c r="J105" s="193"/>
      <c r="K105" s="193"/>
      <c r="L105" s="193"/>
      <c r="M105" s="193"/>
      <c r="N105" s="193"/>
      <c r="O105" s="499"/>
      <c r="P105" s="499"/>
      <c r="Q105" s="499"/>
      <c r="R105" s="193"/>
      <c r="S105" s="193"/>
      <c r="T105" s="499"/>
      <c r="U105" s="499"/>
      <c r="V105" s="499"/>
      <c r="W105" s="193"/>
      <c r="X105" s="193"/>
      <c r="Y105" s="193"/>
      <c r="Z105" s="193"/>
      <c r="AA105" s="193"/>
      <c r="AB105" s="193"/>
      <c r="AC105" s="193"/>
      <c r="AD105" s="200"/>
      <c r="AE105" s="566" t="s">
        <v>1243</v>
      </c>
      <c r="AF105" s="567">
        <f t="shared" si="73"/>
        <v>39</v>
      </c>
      <c r="AG105" s="566">
        <v>1</v>
      </c>
      <c r="AH105" s="566">
        <v>4</v>
      </c>
      <c r="AI105" s="561" t="s">
        <v>1269</v>
      </c>
      <c r="AJ105" s="520" t="s">
        <v>568</v>
      </c>
      <c r="AK105" s="520" t="s">
        <v>1005</v>
      </c>
      <c r="AL105" s="520" t="s">
        <v>569</v>
      </c>
      <c r="AM105" s="527" t="str">
        <f t="shared" si="74"/>
        <v>，以及任意一门自选语言</v>
      </c>
    </row>
    <row r="106" customHeight="1" spans="1:39">
      <c r="A106" s="568" t="s">
        <v>42</v>
      </c>
      <c r="B106" s="306" t="s">
        <v>1222</v>
      </c>
      <c r="C106" s="306" t="s">
        <v>1270</v>
      </c>
      <c r="D106" s="306" t="s">
        <v>1271</v>
      </c>
      <c r="J106" s="193"/>
      <c r="K106" s="193"/>
      <c r="L106" s="193"/>
      <c r="M106" s="193"/>
      <c r="N106" s="193"/>
      <c r="R106" s="193"/>
      <c r="S106" s="193"/>
      <c r="W106" s="193"/>
      <c r="X106" s="193"/>
      <c r="Y106" s="193"/>
      <c r="Z106" s="193"/>
      <c r="AA106" s="193"/>
      <c r="AB106" s="193"/>
      <c r="AC106" s="193"/>
      <c r="AD106" s="200"/>
      <c r="AE106" s="569" t="s">
        <v>1248</v>
      </c>
      <c r="AF106" s="570">
        <f t="shared" si="73"/>
        <v>40</v>
      </c>
      <c r="AG106" s="570">
        <v>1</v>
      </c>
      <c r="AH106" s="570">
        <v>6</v>
      </c>
      <c r="AI106" s="571" t="s">
        <v>1272</v>
      </c>
      <c r="AJ106" s="520" t="s">
        <v>568</v>
      </c>
      <c r="AK106" s="520" t="s">
        <v>1273</v>
      </c>
      <c r="AL106" s="520" t="s">
        <v>1195</v>
      </c>
      <c r="AM106" s="521" t="s">
        <v>570</v>
      </c>
    </row>
    <row r="107" customHeight="1" spans="1:39">
      <c r="A107" s="568"/>
      <c r="B107" s="372" t="str">
        <f>B97</f>
        <v>你的生物类型是精类，而非类人</v>
      </c>
      <c r="C107" s="306" t="s">
        <v>1274</v>
      </c>
      <c r="D107" s="306" t="s">
        <v>1275</v>
      </c>
      <c r="J107" s="193"/>
      <c r="K107" s="193"/>
      <c r="L107" s="193"/>
      <c r="M107" s="193"/>
      <c r="N107" s="193"/>
      <c r="O107" s="499"/>
      <c r="P107" s="499"/>
      <c r="Q107" s="499"/>
      <c r="R107" s="193"/>
      <c r="S107" s="193"/>
      <c r="T107" s="499"/>
      <c r="U107" s="499"/>
      <c r="V107" s="499"/>
      <c r="W107" s="193"/>
      <c r="X107" s="193"/>
      <c r="Y107" s="193"/>
      <c r="Z107" s="193"/>
      <c r="AA107" s="193"/>
      <c r="AB107" s="193"/>
      <c r="AC107" s="193"/>
      <c r="AD107" s="200"/>
      <c r="AE107" s="569" t="s">
        <v>1253</v>
      </c>
      <c r="AF107" s="570">
        <f t="shared" ref="AF107:AF112" si="75">AF106+1</f>
        <v>41</v>
      </c>
      <c r="AG107" s="570">
        <v>1</v>
      </c>
      <c r="AH107" s="570">
        <v>7</v>
      </c>
      <c r="AI107" s="571" t="s">
        <v>1276</v>
      </c>
      <c r="AJ107" s="520" t="s">
        <v>568</v>
      </c>
      <c r="AK107" s="520" t="s">
        <v>1273</v>
      </c>
      <c r="AL107" s="520" t="s">
        <v>569</v>
      </c>
      <c r="AM107" s="521" t="s">
        <v>570</v>
      </c>
    </row>
    <row r="108" customHeight="1" spans="1:39">
      <c r="A108" s="568" t="s">
        <v>1166</v>
      </c>
      <c r="B108" s="306" t="s">
        <v>1277</v>
      </c>
      <c r="C108" s="306" t="s">
        <v>1278</v>
      </c>
      <c r="D108" s="306" t="s">
        <v>1279</v>
      </c>
      <c r="E108" s="306" t="s">
        <v>1280</v>
      </c>
      <c r="F108" s="193"/>
      <c r="G108" s="193"/>
      <c r="H108" s="193"/>
      <c r="I108" s="193"/>
      <c r="J108" s="193"/>
      <c r="K108" s="193"/>
      <c r="L108" s="193"/>
      <c r="M108" s="193"/>
      <c r="N108" s="193"/>
      <c r="R108" s="193"/>
      <c r="S108" s="193"/>
      <c r="W108" s="193"/>
      <c r="X108" s="193"/>
      <c r="Y108" s="193"/>
      <c r="Z108" s="193"/>
      <c r="AA108" s="193"/>
      <c r="AB108" s="193"/>
      <c r="AC108" s="193"/>
      <c r="AD108" s="200"/>
      <c r="AE108" s="569" t="s">
        <v>1254</v>
      </c>
      <c r="AF108" s="570">
        <f t="shared" si="75"/>
        <v>42</v>
      </c>
      <c r="AG108" s="570">
        <v>1</v>
      </c>
      <c r="AH108" s="570">
        <v>4</v>
      </c>
      <c r="AI108" s="571" t="s">
        <v>1281</v>
      </c>
      <c r="AJ108" s="520" t="s">
        <v>568</v>
      </c>
      <c r="AK108" s="520" t="s">
        <v>1273</v>
      </c>
      <c r="AL108" s="520" t="s">
        <v>569</v>
      </c>
      <c r="AM108" s="521" t="s">
        <v>570</v>
      </c>
    </row>
    <row r="109" customHeight="1" spans="1:39">
      <c r="A109" s="568"/>
      <c r="B109" s="306" t="s">
        <v>1282</v>
      </c>
      <c r="C109" s="306" t="s">
        <v>1214</v>
      </c>
      <c r="D109" s="306" t="s">
        <v>1283</v>
      </c>
      <c r="E109" s="306" t="s">
        <v>1284</v>
      </c>
      <c r="F109" s="193"/>
      <c r="G109" s="193"/>
      <c r="H109" s="193"/>
      <c r="I109" s="193"/>
      <c r="J109" s="193"/>
      <c r="K109" s="193"/>
      <c r="L109" s="193"/>
      <c r="M109" s="193"/>
      <c r="N109" s="193"/>
      <c r="O109" s="499"/>
      <c r="P109" s="499"/>
      <c r="Q109" s="499"/>
      <c r="R109" s="193"/>
      <c r="S109" s="193"/>
      <c r="T109" s="499"/>
      <c r="U109" s="499"/>
      <c r="V109" s="499"/>
      <c r="W109" s="193"/>
      <c r="X109" s="193"/>
      <c r="Y109" s="193"/>
      <c r="Z109" s="193"/>
      <c r="AA109" s="193"/>
      <c r="AB109" s="193"/>
      <c r="AC109" s="193"/>
      <c r="AD109" s="200"/>
      <c r="AE109" s="569" t="s">
        <v>1261</v>
      </c>
      <c r="AF109" s="570">
        <f t="shared" si="75"/>
        <v>43</v>
      </c>
      <c r="AG109" s="570">
        <v>1</v>
      </c>
      <c r="AH109" s="570">
        <v>4</v>
      </c>
      <c r="AI109" s="292" t="s">
        <v>1285</v>
      </c>
      <c r="AJ109" s="520" t="s">
        <v>1286</v>
      </c>
      <c r="AK109" s="520" t="s">
        <v>487</v>
      </c>
      <c r="AL109" s="520" t="s">
        <v>1287</v>
      </c>
      <c r="AM109" s="521" t="s">
        <v>1288</v>
      </c>
    </row>
    <row r="110" customHeight="1" spans="1:39">
      <c r="A110" s="568" t="s">
        <v>795</v>
      </c>
      <c r="B110" s="306" t="s">
        <v>841</v>
      </c>
      <c r="C110" s="373" t="s">
        <v>1289</v>
      </c>
      <c r="D110" s="306" t="s">
        <v>1290</v>
      </c>
      <c r="E110" s="546" t="str">
        <f>IF(OR(AC25&lt;1,COUNTIF($AB$2:$AB$15,"兽皮")),"兽皮","")</f>
        <v>兽皮</v>
      </c>
      <c r="F110" s="546" t="str">
        <f>IF(OR(AC25&lt;1,COUNTIF($AB$2:$AB$15,"长牙")),"长牙","")</f>
        <v>长牙</v>
      </c>
      <c r="G110" s="546" t="str">
        <f>IF(OR(AC25&lt;1,COUNTIF($AB$2:$AB$15,"迅捷")),"迅捷","")</f>
        <v>迅捷</v>
      </c>
      <c r="H110" s="546" t="str">
        <f>IF(OR(AC25&lt;1,COUNTIF($AB$2:$AB$15,"猎食")),"猎食","")</f>
        <v>猎食</v>
      </c>
      <c r="W110" s="193"/>
      <c r="X110" s="193"/>
      <c r="Y110" s="193"/>
      <c r="Z110" s="193"/>
      <c r="AA110" s="193"/>
      <c r="AB110" s="193"/>
      <c r="AC110" s="193"/>
      <c r="AD110" s="200"/>
      <c r="AE110" s="569" t="s">
        <v>1265</v>
      </c>
      <c r="AF110" s="570">
        <f t="shared" si="75"/>
        <v>44</v>
      </c>
      <c r="AG110" s="570">
        <v>1</v>
      </c>
      <c r="AH110" s="570">
        <v>6</v>
      </c>
      <c r="AI110" s="292" t="s">
        <v>1291</v>
      </c>
      <c r="AJ110" s="520" t="s">
        <v>1292</v>
      </c>
      <c r="AK110" s="520" t="s">
        <v>487</v>
      </c>
      <c r="AL110" s="520" t="s">
        <v>569</v>
      </c>
      <c r="AM110" s="521" t="s">
        <v>1293</v>
      </c>
    </row>
    <row r="111" customHeight="1" spans="1:39">
      <c r="A111" s="568"/>
      <c r="B111" s="306" t="str">
        <f>B55</f>
        <v>在微光光照下，你身边60尺内可以视为等同于明亮光照。而在黑暗中，该范围内可视为等同于微光光照。你无法在黑暗中分辨颜色，只能看到有灰度的黑白画面</v>
      </c>
      <c r="C111" s="306" t="s">
        <v>1294</v>
      </c>
      <c r="D111" s="306" t="s">
        <v>1295</v>
      </c>
      <c r="E111" s="546" t="s">
        <v>1296</v>
      </c>
      <c r="F111" s="546" t="s">
        <v>1297</v>
      </c>
      <c r="G111" s="546" t="s">
        <v>1298</v>
      </c>
      <c r="H111" s="546" t="s">
        <v>1299</v>
      </c>
      <c r="U111" s="499"/>
      <c r="V111" s="499"/>
      <c r="W111" s="193"/>
      <c r="X111" s="193"/>
      <c r="Y111" s="193"/>
      <c r="Z111" s="193"/>
      <c r="AA111" s="193"/>
      <c r="AB111" s="193"/>
      <c r="AC111" s="193"/>
      <c r="AD111" s="200"/>
      <c r="AE111" s="569" t="s">
        <v>1269</v>
      </c>
      <c r="AF111" s="570">
        <f t="shared" si="75"/>
        <v>45</v>
      </c>
      <c r="AG111" s="570">
        <v>1</v>
      </c>
      <c r="AH111" s="570">
        <v>6</v>
      </c>
      <c r="AI111" s="292" t="s">
        <v>831</v>
      </c>
      <c r="AJ111" s="520" t="s">
        <v>1300</v>
      </c>
      <c r="AK111" s="520" t="s">
        <v>487</v>
      </c>
      <c r="AL111" s="520" t="s">
        <v>1287</v>
      </c>
      <c r="AM111" s="521" t="s">
        <v>1301</v>
      </c>
    </row>
    <row r="112" customHeight="1" spans="1:39">
      <c r="A112" s="568" t="s">
        <v>1189</v>
      </c>
      <c r="B112" s="306" t="s">
        <v>1302</v>
      </c>
      <c r="C112" s="306" t="s">
        <v>1303</v>
      </c>
      <c r="D112" s="306" t="s">
        <v>1304</v>
      </c>
      <c r="E112" s="306" t="s">
        <v>1305</v>
      </c>
      <c r="M112" s="193"/>
      <c r="N112" s="193"/>
      <c r="R112" s="193"/>
      <c r="S112" s="193"/>
      <c r="W112" s="193"/>
      <c r="X112" s="193"/>
      <c r="Y112" s="193"/>
      <c r="Z112" s="193"/>
      <c r="AA112" s="499"/>
      <c r="AB112" s="193"/>
      <c r="AC112" s="193"/>
      <c r="AD112" s="200"/>
      <c r="AE112" s="572" t="s">
        <v>1272</v>
      </c>
      <c r="AF112" s="572">
        <f t="shared" si="75"/>
        <v>46</v>
      </c>
      <c r="AG112" s="572">
        <v>1</v>
      </c>
      <c r="AH112" s="572">
        <v>5</v>
      </c>
      <c r="AI112" s="292" t="s">
        <v>832</v>
      </c>
      <c r="AJ112" s="520" t="s">
        <v>1306</v>
      </c>
      <c r="AK112" s="520" t="str">
        <f>AK$111</f>
        <v>中型</v>
      </c>
      <c r="AL112" s="520" t="str">
        <f>AL$111</f>
        <v>基础步行速度为30尺，基础游泳速度为30尺</v>
      </c>
      <c r="AM112" s="521" t="str">
        <f>AM$111</f>
        <v>和人鱼语，以及任意一门自选语言</v>
      </c>
    </row>
    <row r="113" customHeight="1" spans="1:39">
      <c r="A113" s="568"/>
      <c r="B113" s="306" t="str">
        <f>C55</f>
        <v>你进行对抗中毒的豁免时具有优势，你对毒素伤害具有抗性</v>
      </c>
      <c r="C113" s="306" t="s">
        <v>1307</v>
      </c>
      <c r="D113" s="306" t="s">
        <v>1308</v>
      </c>
      <c r="E113" s="306" t="s">
        <v>1309</v>
      </c>
      <c r="M113" s="193"/>
      <c r="N113" s="193"/>
      <c r="O113" s="499"/>
      <c r="P113" s="499"/>
      <c r="Q113" s="499"/>
      <c r="R113" s="193"/>
      <c r="S113" s="193"/>
      <c r="T113" s="499"/>
      <c r="U113" s="499"/>
      <c r="V113" s="499"/>
      <c r="W113" s="193"/>
      <c r="X113" s="193"/>
      <c r="Y113" s="193"/>
      <c r="Z113" s="193"/>
      <c r="AA113" s="193"/>
      <c r="AB113" s="193"/>
      <c r="AC113" s="499"/>
      <c r="AD113" s="527"/>
      <c r="AE113" s="572" t="s">
        <v>1276</v>
      </c>
      <c r="AF113" s="572">
        <f t="shared" ref="AF113:AF114" si="76">AF112+1</f>
        <v>47</v>
      </c>
      <c r="AG113" s="572">
        <v>1</v>
      </c>
      <c r="AH113" s="572">
        <v>7</v>
      </c>
      <c r="AI113" s="292" t="s">
        <v>834</v>
      </c>
      <c r="AJ113" s="520" t="str">
        <f>IF(V3=A18,"敏捷+2","魅力+2，感知+1")</f>
        <v>魅力+2，感知+1</v>
      </c>
      <c r="AK113" s="520" t="str">
        <f>IF(V3=A18,"小型","中型")</f>
        <v>中型</v>
      </c>
      <c r="AL113" s="520" t="str">
        <f>IF(V3=A18,"基础步行速度为30尺","基础步行速度为25尺")</f>
        <v>基础步行速度为25尺</v>
      </c>
      <c r="AM113" s="521" t="str">
        <f>IF(V3=A18,"和地精语","和吸血鬼语")</f>
        <v>和吸血鬼语</v>
      </c>
    </row>
    <row r="114" customHeight="1" spans="1:39">
      <c r="A114" s="195" t="s">
        <v>1191</v>
      </c>
      <c r="B114" s="306" t="s">
        <v>1310</v>
      </c>
      <c r="C114" s="306" t="s">
        <v>1311</v>
      </c>
      <c r="D114" s="373" t="s">
        <v>1312</v>
      </c>
      <c r="M114" s="193"/>
      <c r="N114" s="193"/>
      <c r="R114" s="193"/>
      <c r="S114" s="193"/>
      <c r="W114" s="193"/>
      <c r="X114" s="193"/>
      <c r="Y114" s="193"/>
      <c r="Z114" s="193"/>
      <c r="AA114" s="193"/>
      <c r="AB114" s="193"/>
      <c r="AD114" s="376"/>
      <c r="AE114" s="572" t="s">
        <v>1281</v>
      </c>
      <c r="AF114" s="572">
        <f t="shared" si="76"/>
        <v>48</v>
      </c>
      <c r="AG114" s="572">
        <v>1</v>
      </c>
      <c r="AH114" s="572">
        <v>3</v>
      </c>
      <c r="AI114" s="292" t="s">
        <v>835</v>
      </c>
      <c r="AJ114" s="520" t="str">
        <f>IF(V3=A18,"体质+2","魅力+2，智力+1")</f>
        <v>魅力+2，智力+1</v>
      </c>
      <c r="AK114" s="520" t="str">
        <f>AK113</f>
        <v>中型</v>
      </c>
      <c r="AL114" s="520" t="str">
        <f>AL$113</f>
        <v>基础步行速度为25尺</v>
      </c>
      <c r="AM114" s="521" t="str">
        <f>AM$113</f>
        <v>和吸血鬼语</v>
      </c>
    </row>
    <row r="115" customHeight="1" spans="1:39">
      <c r="A115" s="195"/>
      <c r="B115" s="306" t="s">
        <v>1313</v>
      </c>
      <c r="C115" s="306" t="s">
        <v>1314</v>
      </c>
      <c r="D115" s="224" t="s">
        <v>1315</v>
      </c>
      <c r="M115" s="193"/>
      <c r="N115" s="193"/>
      <c r="O115" s="499"/>
      <c r="P115" s="499"/>
      <c r="Q115" s="499"/>
      <c r="R115" s="193"/>
      <c r="S115" s="193"/>
      <c r="T115" s="499"/>
      <c r="U115" s="499"/>
      <c r="V115" s="499"/>
      <c r="W115" s="193"/>
      <c r="X115" s="193"/>
      <c r="Y115" s="193"/>
      <c r="Z115" s="193"/>
      <c r="AA115" s="193"/>
      <c r="AB115" s="193"/>
      <c r="AC115" s="499"/>
      <c r="AD115" s="527"/>
      <c r="AE115" s="573" t="s">
        <v>1285</v>
      </c>
      <c r="AF115" s="573">
        <f>AF111+1</f>
        <v>46</v>
      </c>
      <c r="AG115" s="573">
        <v>1</v>
      </c>
      <c r="AH115" s="573">
        <v>4</v>
      </c>
      <c r="AI115" s="293" t="s">
        <v>1316</v>
      </c>
      <c r="AJ115" s="574" t="s">
        <v>1317</v>
      </c>
      <c r="AK115" s="574" t="s">
        <v>487</v>
      </c>
      <c r="AL115" s="574" t="s">
        <v>762</v>
      </c>
      <c r="AM115" s="575" t="s">
        <v>1318</v>
      </c>
    </row>
    <row r="116" customHeight="1" spans="1:39">
      <c r="A116" s="195" t="s">
        <v>1209</v>
      </c>
      <c r="B116" s="306" t="s">
        <v>841</v>
      </c>
      <c r="C116" s="308" t="s">
        <v>1319</v>
      </c>
      <c r="D116" s="308" t="s">
        <v>1320</v>
      </c>
      <c r="E116" s="308" t="s">
        <v>1321</v>
      </c>
      <c r="F116" s="538" t="s">
        <v>1322</v>
      </c>
      <c r="G116" s="538" t="s">
        <v>1323</v>
      </c>
      <c r="H116" s="539" t="s">
        <v>1324</v>
      </c>
      <c r="I116" s="539" t="s">
        <v>1325</v>
      </c>
      <c r="J116" s="540" t="s">
        <v>1326</v>
      </c>
      <c r="K116" s="540" t="s">
        <v>1327</v>
      </c>
      <c r="L116" s="540" t="s">
        <v>881</v>
      </c>
      <c r="M116" s="540" t="s">
        <v>1328</v>
      </c>
      <c r="R116" s="193"/>
      <c r="S116" s="193"/>
      <c r="W116" s="193"/>
      <c r="X116" s="193"/>
      <c r="Y116" s="193"/>
      <c r="Z116" s="193"/>
      <c r="AA116" s="193"/>
      <c r="AB116" s="193"/>
      <c r="AD116" s="376"/>
      <c r="AE116" s="573" t="s">
        <v>1291</v>
      </c>
      <c r="AF116" s="573">
        <f t="shared" ref="AF116:AF117" si="77">AF115+1</f>
        <v>47</v>
      </c>
      <c r="AG116" s="573">
        <v>1</v>
      </c>
      <c r="AH116" s="576">
        <v>3</v>
      </c>
    </row>
    <row r="117" customHeight="1" spans="1:39">
      <c r="A117" s="195"/>
      <c r="B117" s="306" t="str">
        <f>B55</f>
        <v>在微光光照下，你身边60尺内可以视为等同于明亮光照。而在黑暗中，该范围内可视为等同于微光光照。你无法在黑暗中分辨颜色，只能看到有灰度的黑白画面</v>
      </c>
      <c r="C117" s="308" t="s">
        <v>1329</v>
      </c>
      <c r="D117" s="308" t="s">
        <v>1064</v>
      </c>
      <c r="E117" s="308" t="s">
        <v>1330</v>
      </c>
      <c r="F117" s="538" t="s">
        <v>1331</v>
      </c>
      <c r="G117" s="538" t="s">
        <v>1332</v>
      </c>
      <c r="H117" s="539" t="str">
        <f>C71</f>
        <v>你对火焰伤害具有抗性</v>
      </c>
      <c r="I117" s="539" t="s">
        <v>1333</v>
      </c>
      <c r="J117" s="540" t="s">
        <v>1334</v>
      </c>
      <c r="K117" s="540" t="str">
        <f>D85</f>
        <v>你能在空气中或水中呼吸</v>
      </c>
      <c r="L117" s="540" t="str">
        <f>Q57</f>
        <v>你拥有等于步行速度的游泳速度</v>
      </c>
      <c r="M117" s="540" t="s">
        <v>1335</v>
      </c>
      <c r="P117" s="499"/>
      <c r="Q117" s="499"/>
      <c r="R117" s="193"/>
      <c r="S117" s="193"/>
      <c r="T117" s="499"/>
      <c r="U117" s="499"/>
      <c r="V117" s="499"/>
      <c r="W117" s="193"/>
      <c r="X117" s="193"/>
      <c r="Y117" s="193"/>
      <c r="Z117" s="193"/>
      <c r="AA117" s="193"/>
      <c r="AB117" s="193"/>
      <c r="AC117" s="499"/>
      <c r="AD117" s="527"/>
      <c r="AE117" s="573" t="s">
        <v>1336</v>
      </c>
      <c r="AF117" s="573">
        <f t="shared" si="77"/>
        <v>48</v>
      </c>
      <c r="AG117" s="573">
        <v>1</v>
      </c>
      <c r="AH117" s="576">
        <v>1</v>
      </c>
    </row>
    <row r="118" customHeight="1" spans="1:39">
      <c r="A118" s="195" t="s">
        <v>1203</v>
      </c>
      <c r="B118" s="306" t="s">
        <v>1337</v>
      </c>
      <c r="C118" s="306" t="s">
        <v>1338</v>
      </c>
      <c r="D118" s="306" t="s">
        <v>1133</v>
      </c>
      <c r="E118" s="306" t="s">
        <v>1134</v>
      </c>
      <c r="F118" s="306" t="s">
        <v>1339</v>
      </c>
      <c r="I118" s="193"/>
      <c r="J118" s="193"/>
      <c r="K118" s="193"/>
      <c r="L118" s="193"/>
      <c r="M118" s="193"/>
      <c r="N118" s="193"/>
      <c r="R118" s="193"/>
      <c r="S118" s="193"/>
      <c r="W118" s="193"/>
      <c r="X118" s="193"/>
      <c r="Y118" s="193"/>
      <c r="Z118" s="193"/>
      <c r="AA118" s="193"/>
      <c r="AB118" s="193"/>
      <c r="AD118" s="376"/>
      <c r="AE118" s="257" t="s">
        <v>831</v>
      </c>
      <c r="AF118" s="257"/>
      <c r="AG118" s="257">
        <v>2</v>
      </c>
      <c r="AH118" s="416">
        <v>3</v>
      </c>
    </row>
    <row r="119" customHeight="1" spans="1:39">
      <c r="A119" s="195"/>
      <c r="B119" s="306" t="s">
        <v>1340</v>
      </c>
      <c r="C119" s="306" t="s">
        <v>1341</v>
      </c>
      <c r="D119" s="306" t="s">
        <v>1342</v>
      </c>
      <c r="E119" s="306" t="s">
        <v>1343</v>
      </c>
      <c r="F119" s="306" t="s">
        <v>1344</v>
      </c>
      <c r="H119" s="306"/>
      <c r="I119" s="193"/>
      <c r="J119" s="193"/>
      <c r="K119" s="224"/>
      <c r="M119" s="193"/>
      <c r="N119" s="193"/>
      <c r="O119" s="306"/>
      <c r="P119" s="499"/>
      <c r="Q119" s="499"/>
      <c r="R119" s="193"/>
      <c r="S119" s="193"/>
      <c r="T119" s="499"/>
      <c r="U119" s="499"/>
      <c r="V119" s="499"/>
      <c r="W119" s="193"/>
      <c r="X119" s="193"/>
      <c r="Y119" s="193"/>
      <c r="Z119" s="193"/>
      <c r="AA119" s="193"/>
      <c r="AB119" s="193"/>
      <c r="AC119" s="499"/>
      <c r="AD119" s="527"/>
      <c r="AE119" s="257" t="s">
        <v>832</v>
      </c>
      <c r="AF119" s="257"/>
      <c r="AG119" s="257">
        <v>4</v>
      </c>
      <c r="AH119" s="416">
        <v>5</v>
      </c>
    </row>
    <row r="120" customHeight="1" spans="1:39">
      <c r="A120" s="577" t="s">
        <v>1210</v>
      </c>
      <c r="B120" s="306" t="s">
        <v>1345</v>
      </c>
      <c r="C120" s="306" t="s">
        <v>1346</v>
      </c>
      <c r="D120" s="306" t="s">
        <v>1347</v>
      </c>
      <c r="E120" s="306" t="s">
        <v>1348</v>
      </c>
      <c r="M120" s="193"/>
      <c r="N120" s="193"/>
      <c r="R120" s="193"/>
      <c r="S120" s="193"/>
      <c r="W120" s="193"/>
      <c r="X120" s="193"/>
      <c r="Y120" s="193"/>
      <c r="Z120" s="193"/>
      <c r="AA120" s="193"/>
      <c r="AB120" s="193"/>
      <c r="AD120" s="376"/>
      <c r="AE120" s="573" t="s">
        <v>1349</v>
      </c>
      <c r="AF120" s="573">
        <f>AF117+1</f>
        <v>49</v>
      </c>
      <c r="AG120" s="573">
        <v>1</v>
      </c>
      <c r="AH120" s="576">
        <v>3</v>
      </c>
    </row>
    <row r="121" customHeight="1" spans="1:39">
      <c r="A121" s="577"/>
      <c r="B121" s="306" t="s">
        <v>1350</v>
      </c>
      <c r="C121" s="306" t="s">
        <v>1351</v>
      </c>
      <c r="D121" s="306" t="s">
        <v>1352</v>
      </c>
      <c r="E121" s="306" t="s">
        <v>1353</v>
      </c>
      <c r="M121" s="193"/>
      <c r="N121" s="193"/>
      <c r="O121" s="499"/>
      <c r="P121" s="499"/>
      <c r="Q121" s="499"/>
      <c r="R121" s="193"/>
      <c r="S121" s="193"/>
      <c r="T121" s="499"/>
      <c r="U121" s="499"/>
      <c r="V121" s="499"/>
      <c r="W121" s="193"/>
      <c r="X121" s="193"/>
      <c r="Y121" s="193"/>
      <c r="Z121" s="193"/>
      <c r="AA121" s="193"/>
      <c r="AB121" s="193"/>
      <c r="AC121" s="499"/>
      <c r="AD121" s="527"/>
      <c r="AE121" s="257" t="s">
        <v>834</v>
      </c>
      <c r="AF121" s="257"/>
      <c r="AG121" s="257">
        <f>IF(V3=A18,10,4)</f>
        <v>4</v>
      </c>
      <c r="AH121" s="416">
        <f>IF(V3=A18,10,4)</f>
        <v>4</v>
      </c>
    </row>
    <row r="122" customHeight="1" spans="1:39">
      <c r="A122" s="197" t="s">
        <v>1219</v>
      </c>
      <c r="B122" s="306" t="s">
        <v>841</v>
      </c>
      <c r="C122" s="306" t="s">
        <v>1354</v>
      </c>
      <c r="D122" s="306" t="s">
        <v>1355</v>
      </c>
      <c r="E122" s="306" t="s">
        <v>1356</v>
      </c>
      <c r="M122" s="193"/>
      <c r="N122" s="193"/>
      <c r="R122" s="193"/>
      <c r="S122" s="193"/>
      <c r="W122" s="193"/>
      <c r="X122" s="193"/>
      <c r="Y122" s="193"/>
      <c r="Z122" s="193"/>
      <c r="AA122" s="193"/>
      <c r="AB122" s="193"/>
      <c r="AD122" s="376"/>
      <c r="AE122" s="257" t="s">
        <v>835</v>
      </c>
      <c r="AF122" s="257"/>
      <c r="AG122" s="257">
        <f>IF(V3=A18,11,5)</f>
        <v>5</v>
      </c>
      <c r="AH122" s="416">
        <f>IF(V3=A18,11,5)</f>
        <v>5</v>
      </c>
    </row>
    <row r="123" customHeight="1" spans="1:39">
      <c r="A123" s="197"/>
      <c r="B123" s="306" t="str">
        <f>B55</f>
        <v>在微光光照下，你身边60尺内可以视为等同于明亮光照。而在黑暗中，该范围内可视为等同于微光光照。你无法在黑暗中分辨颜色，只能看到有灰度的黑白画面</v>
      </c>
      <c r="C123" s="306" t="s">
        <v>1357</v>
      </c>
      <c r="D123" s="306" t="s">
        <v>1358</v>
      </c>
      <c r="E123" s="306" t="s">
        <v>1359</v>
      </c>
      <c r="S123" s="193"/>
      <c r="T123" s="499"/>
      <c r="U123" s="499"/>
      <c r="V123" s="499"/>
      <c r="W123" s="193"/>
      <c r="X123" s="193"/>
      <c r="Y123" s="193"/>
      <c r="Z123" s="193"/>
      <c r="AA123" s="193"/>
      <c r="AB123" s="193"/>
      <c r="AC123" s="499"/>
      <c r="AD123" s="527"/>
      <c r="AE123" s="578" t="s">
        <v>1316</v>
      </c>
      <c r="AF123" s="578">
        <f>AF120+1</f>
        <v>50</v>
      </c>
      <c r="AG123" s="578">
        <v>1</v>
      </c>
      <c r="AH123" s="579">
        <v>2</v>
      </c>
    </row>
    <row r="124" customHeight="1" spans="1:39">
      <c r="A124" s="197" t="s">
        <v>1227</v>
      </c>
      <c r="B124" s="306" t="s">
        <v>342</v>
      </c>
      <c r="C124" s="306" t="s">
        <v>1360</v>
      </c>
      <c r="D124" s="306" t="s">
        <v>1198</v>
      </c>
      <c r="E124" s="306" t="s">
        <v>1361</v>
      </c>
      <c r="F124" s="306" t="s">
        <v>1362</v>
      </c>
      <c r="G124" s="193"/>
      <c r="H124" s="193"/>
      <c r="I124" s="193"/>
      <c r="J124" s="193"/>
      <c r="S124" s="193"/>
      <c r="W124" s="193"/>
      <c r="X124" s="193"/>
      <c r="Y124" s="193"/>
      <c r="Z124" s="193"/>
      <c r="AA124" s="193"/>
      <c r="AB124" s="193"/>
      <c r="AD124" s="376"/>
    </row>
    <row r="125" customHeight="1" spans="1:39">
      <c r="A125" s="197"/>
      <c r="B125" s="306" t="str">
        <f>B97</f>
        <v>你的生物类型是精类，而非类人</v>
      </c>
      <c r="C125" s="306" t="s">
        <v>1363</v>
      </c>
      <c r="D125" s="306" t="str">
        <f>C93</f>
        <v>你进行对抗法术的豁免时具有优势</v>
      </c>
      <c r="E125" s="306" t="s">
        <v>1364</v>
      </c>
      <c r="F125" s="306" t="s">
        <v>1365</v>
      </c>
      <c r="G125" s="193"/>
      <c r="H125" s="193"/>
      <c r="I125" s="193"/>
      <c r="J125" s="193"/>
      <c r="S125" s="193"/>
      <c r="T125" s="499"/>
      <c r="U125" s="499"/>
      <c r="V125" s="499"/>
      <c r="W125" s="193"/>
      <c r="X125" s="193"/>
      <c r="Y125" s="193"/>
      <c r="Z125" s="193"/>
      <c r="AA125" s="193"/>
      <c r="AB125" s="193"/>
      <c r="AC125" s="499"/>
      <c r="AD125" s="527"/>
    </row>
    <row r="126" customHeight="1" spans="1:39">
      <c r="A126" s="535" t="s">
        <v>1233</v>
      </c>
      <c r="B126" s="373" t="s">
        <v>841</v>
      </c>
      <c r="C126" s="373" t="s">
        <v>1310</v>
      </c>
      <c r="D126" s="373" t="s">
        <v>1366</v>
      </c>
      <c r="I126" s="193"/>
      <c r="J126" s="193"/>
      <c r="S126" s="193"/>
      <c r="W126" s="193"/>
      <c r="X126" s="193"/>
      <c r="Y126" s="193"/>
      <c r="Z126" s="193"/>
      <c r="AA126" s="193"/>
      <c r="AB126" s="193"/>
      <c r="AD126" s="376"/>
    </row>
    <row r="127" customHeight="1" spans="1:39">
      <c r="A127" s="580"/>
      <c r="B127" s="373" t="s">
        <v>855</v>
      </c>
      <c r="C127" s="373" t="s">
        <v>1367</v>
      </c>
      <c r="D127" s="373" t="s">
        <v>1368</v>
      </c>
      <c r="I127" s="193"/>
      <c r="J127" s="193"/>
      <c r="S127" s="193"/>
      <c r="T127" s="499"/>
      <c r="U127" s="499"/>
      <c r="V127" s="499"/>
      <c r="W127" s="193"/>
      <c r="X127" s="193"/>
      <c r="Y127" s="193"/>
      <c r="Z127" s="193"/>
      <c r="AA127" s="193"/>
      <c r="AB127" s="193"/>
      <c r="AC127" s="499"/>
      <c r="AD127" s="527"/>
    </row>
    <row r="128" customHeight="1" spans="1:39">
      <c r="A128" s="581" t="s">
        <v>1238</v>
      </c>
      <c r="B128" s="306" t="s">
        <v>1222</v>
      </c>
      <c r="C128" s="373" t="s">
        <v>1369</v>
      </c>
      <c r="D128" s="373" t="s">
        <v>1310</v>
      </c>
      <c r="I128" s="193"/>
      <c r="J128" s="193"/>
      <c r="S128" s="193"/>
      <c r="W128" s="193"/>
      <c r="X128" s="193"/>
      <c r="Y128" s="193"/>
      <c r="Z128" s="193"/>
      <c r="AA128" s="193"/>
      <c r="AB128" s="193"/>
      <c r="AD128" s="376"/>
    </row>
    <row r="129" customHeight="1" spans="1:30">
      <c r="A129" s="581"/>
      <c r="B129" s="193" t="str">
        <f>B97</f>
        <v>你的生物类型是精类，而非类人</v>
      </c>
      <c r="C129" s="306" t="s">
        <v>1370</v>
      </c>
      <c r="D129" s="306" t="s">
        <v>1313</v>
      </c>
      <c r="I129" s="193"/>
      <c r="J129" s="193"/>
      <c r="X129" s="193"/>
      <c r="Y129" s="193"/>
      <c r="Z129" s="193"/>
      <c r="AA129" s="193"/>
      <c r="AB129" s="193"/>
      <c r="AC129" s="499"/>
      <c r="AD129" s="527"/>
    </row>
    <row r="130" customHeight="1" spans="1:30">
      <c r="A130" s="581" t="s">
        <v>1243</v>
      </c>
      <c r="B130" s="373" t="s">
        <v>1371</v>
      </c>
      <c r="C130" s="373" t="s">
        <v>1372</v>
      </c>
      <c r="D130" s="373" t="s">
        <v>1373</v>
      </c>
      <c r="E130" s="373" t="s">
        <v>1374</v>
      </c>
      <c r="I130" s="193"/>
      <c r="J130" s="193"/>
      <c r="X130" s="193"/>
      <c r="Y130" s="193"/>
      <c r="Z130" s="193"/>
      <c r="AA130" s="193"/>
      <c r="AB130" s="193"/>
      <c r="AD130" s="376"/>
    </row>
    <row r="131" customHeight="1" spans="1:30">
      <c r="A131" s="581"/>
      <c r="B131" s="224" t="s">
        <v>1375</v>
      </c>
      <c r="C131" s="373" t="s">
        <v>892</v>
      </c>
      <c r="D131" s="224" t="s">
        <v>1376</v>
      </c>
      <c r="E131" s="224" t="s">
        <v>1377</v>
      </c>
      <c r="I131" s="193"/>
      <c r="J131" s="193"/>
      <c r="X131" s="193"/>
      <c r="Y131" s="193"/>
      <c r="Z131" s="193"/>
      <c r="AA131" s="193"/>
      <c r="AB131" s="193"/>
      <c r="AC131" s="499"/>
      <c r="AD131" s="527"/>
    </row>
    <row r="132" customHeight="1" spans="1:30">
      <c r="A132" s="582" t="s">
        <v>1248</v>
      </c>
      <c r="B132" s="224" t="s">
        <v>1378</v>
      </c>
      <c r="C132" s="224" t="s">
        <v>841</v>
      </c>
      <c r="D132" s="224" t="s">
        <v>870</v>
      </c>
      <c r="E132" s="224" t="s">
        <v>869</v>
      </c>
      <c r="F132" s="224" t="s">
        <v>1379</v>
      </c>
      <c r="G132" s="224" t="s">
        <v>1380</v>
      </c>
      <c r="H132" s="193"/>
      <c r="X132" s="193"/>
      <c r="Y132" s="193"/>
      <c r="Z132" s="193"/>
      <c r="AA132" s="193"/>
      <c r="AB132" s="193"/>
      <c r="AD132" s="376"/>
    </row>
    <row r="133" customHeight="1" spans="1:30">
      <c r="A133" s="537"/>
      <c r="B133" s="224" t="s">
        <v>1381</v>
      </c>
      <c r="C133" s="193" t="str">
        <f>B55</f>
        <v>在微光光照下，你身边60尺内可以视为等同于明亮光照。而在黑暗中，该范围内可视为等同于微光光照。你无法在黑暗中分辨颜色，只能看到有灰度的黑白画面</v>
      </c>
      <c r="D133" s="193" t="str">
        <f>C87</f>
        <v>你进行对抗魅惑的豁免时具有优势</v>
      </c>
      <c r="E133" s="193" t="str">
        <f>C57</f>
        <v>你拥有察觉的技能熟练项</v>
      </c>
      <c r="F133" s="224" t="s">
        <v>1382</v>
      </c>
      <c r="G133" s="224" t="s">
        <v>1383</v>
      </c>
      <c r="H133" s="193"/>
      <c r="X133" s="193"/>
      <c r="Y133" s="193"/>
      <c r="Z133" s="193"/>
      <c r="AA133" s="193"/>
      <c r="AB133" s="193"/>
      <c r="AC133" s="499"/>
      <c r="AD133" s="527"/>
    </row>
    <row r="134" customHeight="1" spans="1:30">
      <c r="A134" s="582" t="s">
        <v>1253</v>
      </c>
      <c r="B134" s="224" t="s">
        <v>321</v>
      </c>
      <c r="C134" s="224" t="s">
        <v>1384</v>
      </c>
      <c r="D134" s="224" t="s">
        <v>1385</v>
      </c>
      <c r="E134" s="224" t="s">
        <v>1386</v>
      </c>
      <c r="F134" s="224" t="s">
        <v>1387</v>
      </c>
      <c r="G134" s="224" t="s">
        <v>1303</v>
      </c>
      <c r="H134" s="224" t="s">
        <v>1305</v>
      </c>
      <c r="AD134" s="376"/>
    </row>
    <row r="135" customHeight="1" spans="1:30">
      <c r="A135" s="537"/>
      <c r="B135" s="224" t="s">
        <v>1388</v>
      </c>
      <c r="C135" s="224" t="s">
        <v>1389</v>
      </c>
      <c r="D135" s="224" t="s">
        <v>1390</v>
      </c>
      <c r="E135" s="224" t="s">
        <v>1391</v>
      </c>
      <c r="F135" s="224" t="s">
        <v>1392</v>
      </c>
      <c r="G135" s="224" t="s">
        <v>1393</v>
      </c>
      <c r="H135" s="224" t="s">
        <v>1394</v>
      </c>
      <c r="AD135" s="376"/>
    </row>
    <row r="136" customHeight="1" spans="1:30">
      <c r="A136" s="582" t="s">
        <v>1254</v>
      </c>
      <c r="B136" s="224" t="s">
        <v>881</v>
      </c>
      <c r="C136" s="224" t="s">
        <v>1395</v>
      </c>
      <c r="D136" s="224" t="s">
        <v>1396</v>
      </c>
      <c r="E136" s="224" t="s">
        <v>1397</v>
      </c>
      <c r="F136" s="193"/>
      <c r="G136" s="193"/>
      <c r="H136" s="193"/>
      <c r="AD136" s="376"/>
    </row>
    <row r="137" customHeight="1" spans="1:30">
      <c r="A137" s="537"/>
      <c r="B137" s="193" t="str">
        <f>Q57</f>
        <v>你拥有等于步行速度的游泳速度</v>
      </c>
      <c r="C137" s="224" t="s">
        <v>1398</v>
      </c>
      <c r="D137" s="224" t="s">
        <v>1399</v>
      </c>
      <c r="E137" s="224" t="s">
        <v>1400</v>
      </c>
      <c r="F137" s="193"/>
      <c r="G137" s="193"/>
      <c r="H137" s="193"/>
      <c r="AD137" s="376"/>
    </row>
    <row r="138" customHeight="1" spans="1:30">
      <c r="A138" s="582" t="s">
        <v>1261</v>
      </c>
      <c r="B138" s="224" t="s">
        <v>1145</v>
      </c>
      <c r="C138" s="224" t="s">
        <v>1401</v>
      </c>
      <c r="D138" s="224" t="s">
        <v>1402</v>
      </c>
      <c r="E138" s="224" t="s">
        <v>1403</v>
      </c>
      <c r="F138" s="193"/>
      <c r="G138" s="193"/>
      <c r="H138" s="193"/>
      <c r="X138" s="193"/>
      <c r="Y138" s="193"/>
      <c r="Z138" s="193"/>
      <c r="AA138" s="193"/>
      <c r="AB138" s="193"/>
      <c r="AD138" s="376"/>
    </row>
    <row r="139" customHeight="1" spans="1:30">
      <c r="A139" s="537"/>
      <c r="B139" s="193" t="str">
        <f>C83</f>
        <v>你获得等于你步行速度的攀爬速度</v>
      </c>
      <c r="C139" s="224" t="s">
        <v>1404</v>
      </c>
      <c r="D139" s="224" t="s">
        <v>1405</v>
      </c>
      <c r="E139" s="224" t="s">
        <v>1406</v>
      </c>
      <c r="F139" s="193"/>
      <c r="G139" s="193"/>
      <c r="H139" s="193"/>
      <c r="X139" s="193"/>
      <c r="Y139" s="193"/>
      <c r="Z139" s="193"/>
      <c r="AA139" s="193"/>
      <c r="AB139" s="193"/>
      <c r="AC139" s="499"/>
      <c r="AD139" s="527"/>
    </row>
    <row r="140" customHeight="1" spans="1:30">
      <c r="A140" s="582" t="s">
        <v>1265</v>
      </c>
      <c r="B140" s="224" t="s">
        <v>1407</v>
      </c>
      <c r="C140" s="224" t="s">
        <v>1408</v>
      </c>
      <c r="D140" s="224" t="s">
        <v>841</v>
      </c>
      <c r="E140" s="224" t="s">
        <v>1132</v>
      </c>
      <c r="F140" s="224" t="s">
        <v>1409</v>
      </c>
      <c r="G140" s="224" t="s">
        <v>1410</v>
      </c>
      <c r="H140" s="193"/>
      <c r="X140" s="193"/>
      <c r="Y140" s="193"/>
      <c r="Z140" s="193"/>
      <c r="AA140" s="193"/>
      <c r="AB140" s="193"/>
      <c r="AD140" s="376"/>
    </row>
    <row r="141" customHeight="1" spans="1:30">
      <c r="A141" s="537"/>
      <c r="B141" s="224" t="s">
        <v>1411</v>
      </c>
      <c r="C141" s="224" t="s">
        <v>1412</v>
      </c>
      <c r="D141" s="193" t="str">
        <f>B55</f>
        <v>在微光光照下，你身边60尺内可以视为等同于明亮光照。而在黑暗中，该范围内可视为等同于微光光照。你无法在黑暗中分辨颜色，只能看到有灰度的黑白画面</v>
      </c>
      <c r="E141" s="224" t="s">
        <v>1413</v>
      </c>
      <c r="F141" s="224" t="s">
        <v>1414</v>
      </c>
      <c r="G141" s="224" t="s">
        <v>1415</v>
      </c>
      <c r="H141" s="193"/>
      <c r="O141" s="499"/>
      <c r="X141" s="193"/>
      <c r="Y141" s="193"/>
      <c r="Z141" s="193"/>
      <c r="AA141" s="193"/>
      <c r="AB141" s="193"/>
      <c r="AC141" s="499"/>
      <c r="AD141" s="527"/>
    </row>
    <row r="142" customHeight="1" spans="1:30">
      <c r="A142" s="582" t="s">
        <v>1269</v>
      </c>
      <c r="B142" s="224" t="s">
        <v>1416</v>
      </c>
      <c r="C142" s="224" t="s">
        <v>1417</v>
      </c>
      <c r="D142" s="224" t="s">
        <v>841</v>
      </c>
      <c r="E142" s="224" t="s">
        <v>1418</v>
      </c>
      <c r="F142" s="224" t="s">
        <v>1419</v>
      </c>
      <c r="G142" s="224" t="s">
        <v>1420</v>
      </c>
      <c r="H142" s="193"/>
      <c r="X142" s="193"/>
      <c r="Y142" s="193"/>
      <c r="Z142" s="193"/>
      <c r="AA142" s="193"/>
      <c r="AB142" s="193"/>
      <c r="AD142" s="376"/>
    </row>
    <row r="143" customHeight="1" spans="1:30">
      <c r="A143" s="537"/>
      <c r="B143" s="224" t="s">
        <v>1421</v>
      </c>
      <c r="C143" s="224" t="s">
        <v>1422</v>
      </c>
      <c r="D143" s="193" t="str">
        <f>B55</f>
        <v>在微光光照下，你身边60尺内可以视为等同于明亮光照。而在黑暗中，该范围内可视为等同于微光光照。你无法在黑暗中分辨颜色，只能看到有灰度的黑白画面</v>
      </c>
      <c r="E143" s="224" t="s">
        <v>1423</v>
      </c>
      <c r="F143" s="224" t="s">
        <v>1424</v>
      </c>
      <c r="G143" s="224" t="s">
        <v>1425</v>
      </c>
      <c r="H143" s="193"/>
      <c r="X143" s="193"/>
      <c r="Y143" s="193"/>
      <c r="Z143" s="193"/>
      <c r="AA143" s="193"/>
      <c r="AB143" s="193"/>
      <c r="AD143" s="376"/>
    </row>
    <row r="144" customHeight="1" spans="1:30">
      <c r="A144" s="583" t="s">
        <v>1272</v>
      </c>
      <c r="B144" s="224" t="s">
        <v>1426</v>
      </c>
      <c r="C144" s="224" t="s">
        <v>841</v>
      </c>
      <c r="D144" s="224" t="s">
        <v>1427</v>
      </c>
      <c r="E144" s="224" t="s">
        <v>1428</v>
      </c>
      <c r="F144" s="224" t="s">
        <v>1429</v>
      </c>
      <c r="G144" s="193"/>
      <c r="H144" s="193"/>
      <c r="AD144" s="376"/>
    </row>
    <row r="145" customHeight="1" spans="1:30">
      <c r="A145" s="583"/>
      <c r="B145" s="224" t="s">
        <v>1430</v>
      </c>
      <c r="C145" s="224" t="str">
        <f>B55</f>
        <v>在微光光照下，你身边60尺内可以视为等同于明亮光照。而在黑暗中，该范围内可视为等同于微光光照。你无法在黑暗中分辨颜色，只能看到有灰度的黑白画面</v>
      </c>
      <c r="D145" s="224" t="s">
        <v>1431</v>
      </c>
      <c r="E145" s="224" t="s">
        <v>1432</v>
      </c>
      <c r="F145" s="224" t="s">
        <v>1433</v>
      </c>
      <c r="G145" s="193"/>
      <c r="H145" s="193"/>
      <c r="AD145" s="376"/>
    </row>
    <row r="146" customHeight="1" spans="1:30">
      <c r="A146" s="583" t="s">
        <v>1276</v>
      </c>
      <c r="B146" s="224" t="s">
        <v>1426</v>
      </c>
      <c r="C146" s="306" t="s">
        <v>1222</v>
      </c>
      <c r="D146" s="224" t="s">
        <v>841</v>
      </c>
      <c r="E146" s="224" t="s">
        <v>1434</v>
      </c>
      <c r="F146" s="224" t="s">
        <v>1435</v>
      </c>
      <c r="G146" s="224" t="s">
        <v>1436</v>
      </c>
      <c r="H146" s="224" t="s">
        <v>1437</v>
      </c>
      <c r="AD146" s="376"/>
    </row>
    <row r="147" customHeight="1" spans="1:30">
      <c r="A147" s="583"/>
      <c r="B147" s="193" t="str">
        <f>B145</f>
        <v>你获得两项自选的技能作为熟练项或保留原种族的技能熟练以及攀爬、飞行、游泳速度</v>
      </c>
      <c r="C147" s="193" t="str">
        <f>B97</f>
        <v>你的生物类型是精类，而非类人</v>
      </c>
      <c r="D147" s="193" t="str">
        <f>B55</f>
        <v>在微光光照下，你身边60尺内可以视为等同于明亮光照。而在黑暗中，该范围内可视为等同于微光光照。你无法在黑暗中分辨颜色，只能看到有灰度的黑白画面</v>
      </c>
      <c r="E147" s="224" t="s">
        <v>1438</v>
      </c>
      <c r="F147" s="224" t="s">
        <v>1439</v>
      </c>
      <c r="G147" s="224" t="s">
        <v>1440</v>
      </c>
      <c r="H147" s="224" t="s">
        <v>1441</v>
      </c>
      <c r="AD147" s="376"/>
    </row>
    <row r="148" customHeight="1" spans="1:30">
      <c r="A148" s="583" t="s">
        <v>1281</v>
      </c>
      <c r="B148" s="224" t="s">
        <v>1426</v>
      </c>
      <c r="C148" s="224" t="s">
        <v>1427</v>
      </c>
      <c r="D148" s="224" t="s">
        <v>1442</v>
      </c>
      <c r="E148" s="193"/>
      <c r="F148" s="193"/>
      <c r="G148" s="193"/>
      <c r="H148" s="193"/>
      <c r="AD148" s="376"/>
    </row>
    <row r="149" customHeight="1" spans="1:30">
      <c r="A149" s="583"/>
      <c r="B149" s="193" t="str">
        <f>B145</f>
        <v>你获得两项自选的技能作为熟练项或保留原种族的技能熟练以及攀爬、飞行、游泳速度</v>
      </c>
      <c r="C149" s="224" t="s">
        <v>1443</v>
      </c>
      <c r="D149" s="224" t="s">
        <v>1444</v>
      </c>
      <c r="E149" s="193"/>
      <c r="F149" s="193"/>
      <c r="G149" s="193"/>
      <c r="H149" s="193"/>
      <c r="AD149" s="376"/>
    </row>
    <row r="150" customHeight="1" spans="1:30">
      <c r="A150" s="584" t="s">
        <v>1285</v>
      </c>
      <c r="B150" s="306" t="s">
        <v>1133</v>
      </c>
      <c r="C150" s="306" t="s">
        <v>1445</v>
      </c>
      <c r="D150" s="306" t="s">
        <v>1446</v>
      </c>
      <c r="E150" s="306" t="s">
        <v>1447</v>
      </c>
      <c r="AD150" s="376"/>
    </row>
    <row r="151" customHeight="1" spans="1:30">
      <c r="A151" s="584"/>
      <c r="B151" s="306" t="s">
        <v>1448</v>
      </c>
      <c r="C151" s="306" t="s">
        <v>1449</v>
      </c>
      <c r="D151" s="306" t="s">
        <v>1450</v>
      </c>
      <c r="E151" s="306" t="s">
        <v>1451</v>
      </c>
      <c r="AD151" s="376"/>
    </row>
    <row r="152" customHeight="1" spans="1:30">
      <c r="A152" s="584" t="s">
        <v>1291</v>
      </c>
      <c r="B152" s="306" t="s">
        <v>1452</v>
      </c>
      <c r="C152" s="306" t="s">
        <v>1070</v>
      </c>
      <c r="D152" s="306" t="s">
        <v>1453</v>
      </c>
      <c r="E152" s="193"/>
      <c r="F152" s="193"/>
      <c r="AD152" s="376"/>
    </row>
    <row r="153" customHeight="1" spans="1:30">
      <c r="A153" s="584"/>
      <c r="B153" s="306" t="s">
        <v>1454</v>
      </c>
      <c r="C153" s="306" t="s">
        <v>1455</v>
      </c>
      <c r="D153" s="306" t="s">
        <v>1456</v>
      </c>
      <c r="E153" s="193"/>
      <c r="F153" s="193"/>
      <c r="AD153" s="376"/>
    </row>
    <row r="154" customHeight="1" spans="1:30">
      <c r="A154" s="584" t="s">
        <v>1336</v>
      </c>
      <c r="B154" s="306" t="s">
        <v>1327</v>
      </c>
      <c r="C154" s="308" t="s">
        <v>1457</v>
      </c>
      <c r="D154" s="308" t="s">
        <v>873</v>
      </c>
      <c r="E154" s="538" t="s">
        <v>1458</v>
      </c>
      <c r="F154" s="538" t="s">
        <v>873</v>
      </c>
      <c r="AD154" s="376"/>
    </row>
    <row r="155" customHeight="1" spans="1:30">
      <c r="A155" s="584"/>
      <c r="B155" s="306" t="str">
        <f>D85</f>
        <v>你能在空气中或水中呼吸</v>
      </c>
      <c r="C155" s="308" t="s">
        <v>1459</v>
      </c>
      <c r="D155" s="308" t="s">
        <v>1460</v>
      </c>
      <c r="E155" s="538" t="s">
        <v>1461</v>
      </c>
      <c r="F155" s="538" t="str">
        <f>G57</f>
        <v>你掌握一个法师法术列表中自选戏法</v>
      </c>
      <c r="AD155" s="376"/>
    </row>
    <row r="156" customHeight="1" spans="1:30">
      <c r="A156" s="584" t="s">
        <v>1349</v>
      </c>
      <c r="B156" s="306" t="s">
        <v>841</v>
      </c>
      <c r="C156" s="306" t="s">
        <v>1462</v>
      </c>
      <c r="D156" s="306" t="s">
        <v>1463</v>
      </c>
      <c r="E156" s="308" t="s">
        <v>1464</v>
      </c>
      <c r="F156" s="538" t="s">
        <v>1465</v>
      </c>
      <c r="AD156" s="376"/>
    </row>
    <row r="157" customHeight="1" spans="1:30">
      <c r="A157" s="584"/>
      <c r="B157" s="306" t="str">
        <f>B55</f>
        <v>在微光光照下，你身边60尺内可以视为等同于明亮光照。而在黑暗中，该范围内可视为等同于微光光照。你无法在黑暗中分辨颜色，只能看到有灰度的黑白画面</v>
      </c>
      <c r="C157" s="306" t="s">
        <v>906</v>
      </c>
      <c r="D157" s="306" t="s">
        <v>1466</v>
      </c>
      <c r="E157" s="308" t="s">
        <v>1467</v>
      </c>
      <c r="F157" s="538" t="s">
        <v>1468</v>
      </c>
      <c r="AD157" s="376"/>
    </row>
    <row r="158" customHeight="1" spans="1:30">
      <c r="A158" s="584" t="s">
        <v>1316</v>
      </c>
      <c r="B158" s="306" t="s">
        <v>1310</v>
      </c>
      <c r="C158" s="306" t="s">
        <v>1469</v>
      </c>
      <c r="D158" s="193"/>
      <c r="E158" s="193"/>
      <c r="F158" s="193"/>
      <c r="AD158" s="376"/>
    </row>
    <row r="159" customHeight="1" spans="1:30">
      <c r="A159" s="585"/>
      <c r="B159" s="235" t="s">
        <v>1470</v>
      </c>
      <c r="C159" s="586" t="s">
        <v>1471</v>
      </c>
      <c r="D159" s="235"/>
      <c r="E159" s="235"/>
      <c r="F159" s="235"/>
      <c r="G159" s="382"/>
      <c r="H159" s="382"/>
      <c r="I159" s="382"/>
      <c r="J159" s="382"/>
      <c r="K159" s="382"/>
      <c r="L159" s="382"/>
      <c r="M159" s="382"/>
      <c r="N159" s="382"/>
      <c r="O159" s="382"/>
      <c r="P159" s="382"/>
      <c r="Q159" s="382"/>
      <c r="R159" s="382"/>
      <c r="S159" s="382"/>
      <c r="T159" s="382"/>
      <c r="U159" s="382"/>
      <c r="V159" s="382"/>
      <c r="W159" s="382"/>
      <c r="X159" s="382"/>
      <c r="Y159" s="382"/>
      <c r="Z159" s="382"/>
      <c r="AA159" s="382"/>
      <c r="AB159" s="382"/>
      <c r="AC159" s="382"/>
      <c r="AD159" s="383"/>
    </row>
  </sheetData>
  <sheetProtection sheet="1" objects="1" scenarios="1"/>
  <mergeCells count="57">
    <mergeCell ref="T1:U1"/>
    <mergeCell ref="V1:Y1"/>
    <mergeCell ref="Z1:AA1"/>
    <mergeCell ref="AB1:AD1"/>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A98:A99"/>
    <mergeCell ref="A100:A101"/>
    <mergeCell ref="A102:A103"/>
    <mergeCell ref="A104:A105"/>
    <mergeCell ref="A106:A107"/>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A134:A135"/>
    <mergeCell ref="A136:A137"/>
    <mergeCell ref="A138:A139"/>
    <mergeCell ref="A140:A141"/>
    <mergeCell ref="A142:A143"/>
    <mergeCell ref="A144:A145"/>
    <mergeCell ref="A146:A147"/>
    <mergeCell ref="A148:A149"/>
    <mergeCell ref="A150:A151"/>
    <mergeCell ref="A152:A153"/>
    <mergeCell ref="A154:A155"/>
    <mergeCell ref="A156:A157"/>
    <mergeCell ref="A158:A159"/>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CB158"/>
  <sheetViews>
    <sheetView workbookViewId="0">
      <pane xSplit="1" topLeftCell="AB1" activePane="topRight" state="frozen"/>
      <selection/>
      <selection pane="topRight" activeCell="AE22" sqref="AE22"/>
    </sheetView>
  </sheetViews>
  <sheetFormatPr defaultColWidth="9" defaultRowHeight="14.4" customHeight="1"/>
  <cols>
    <col min="1" max="1" width="8.89090909090909" style="372"/>
    <col min="2" max="5" width="8.89090909090909" customWidth="1"/>
    <col min="14" max="15" width="8.89090909090909" customWidth="1"/>
    <col min="17" max="17" width="8.89090909090909" customWidth="1"/>
    <col min="39" max="42" width="8.89090909090909" style="372"/>
    <col min="43" max="43" width="11.6636363636364" customWidth="1"/>
    <col min="45" max="46" width="8.89090909090909" customWidth="1"/>
    <col min="52" max="52" width="8.89090909090909" customWidth="1"/>
    <col min="55" max="55" width="8.89090909090909" customWidth="1"/>
    <col min="57" max="57" width="8.89090909090909" customWidth="1"/>
    <col min="59" max="59" width="8.89090909090909" customWidth="1"/>
  </cols>
  <sheetData>
    <row r="1" customHeight="1" spans="1:80">
      <c r="A1" s="263"/>
      <c r="B1" s="264" t="s">
        <v>1472</v>
      </c>
      <c r="C1" s="264" t="s">
        <v>249</v>
      </c>
      <c r="D1" s="400" t="s">
        <v>250</v>
      </c>
      <c r="E1" s="401" t="s">
        <v>252</v>
      </c>
      <c r="F1" s="402" t="s">
        <v>254</v>
      </c>
      <c r="G1" s="403" t="s">
        <v>256</v>
      </c>
      <c r="H1" s="404" t="s">
        <v>258</v>
      </c>
      <c r="I1" s="405" t="s">
        <v>260</v>
      </c>
      <c r="J1" s="406" t="s">
        <v>261</v>
      </c>
      <c r="K1" s="407" t="s">
        <v>1473</v>
      </c>
      <c r="L1" s="408" t="s">
        <v>263</v>
      </c>
      <c r="M1" s="409" t="s">
        <v>267</v>
      </c>
      <c r="N1" s="410" t="s">
        <v>415</v>
      </c>
      <c r="O1" s="389"/>
      <c r="P1" s="389"/>
      <c r="Q1" s="389"/>
      <c r="R1" s="389"/>
      <c r="S1" s="265"/>
      <c r="U1" s="263" t="s">
        <v>447</v>
      </c>
      <c r="V1" s="264" t="s">
        <v>238</v>
      </c>
      <c r="W1" s="264" t="s">
        <v>240</v>
      </c>
      <c r="X1" s="264" t="s">
        <v>241</v>
      </c>
      <c r="Y1" s="264" t="s">
        <v>242</v>
      </c>
      <c r="Z1" s="264" t="s">
        <v>243</v>
      </c>
      <c r="AA1" s="264" t="s">
        <v>244</v>
      </c>
      <c r="AB1" s="264" t="s">
        <v>245</v>
      </c>
      <c r="AC1" s="264" t="s">
        <v>1474</v>
      </c>
      <c r="AD1" s="264" t="s">
        <v>1475</v>
      </c>
      <c r="AE1" s="264" t="s">
        <v>1476</v>
      </c>
      <c r="AF1" s="264" t="s">
        <v>1477</v>
      </c>
      <c r="AG1" s="264" t="s">
        <v>1478</v>
      </c>
      <c r="AH1" s="373" t="s">
        <v>1479</v>
      </c>
      <c r="AI1" s="264" t="s">
        <v>1480</v>
      </c>
      <c r="AJ1" s="264" t="s">
        <v>1481</v>
      </c>
      <c r="AK1" s="264" t="s">
        <v>1482</v>
      </c>
      <c r="AL1" s="368" t="s">
        <v>1483</v>
      </c>
      <c r="AM1" s="264" t="s">
        <v>172</v>
      </c>
      <c r="AN1" s="264" t="s">
        <v>1484</v>
      </c>
      <c r="AO1" s="264" t="s">
        <v>1485</v>
      </c>
      <c r="AP1" s="264" t="s">
        <v>1486</v>
      </c>
      <c r="AQ1" s="263" t="s">
        <v>1487</v>
      </c>
      <c r="AR1" s="264"/>
      <c r="AS1" s="264"/>
      <c r="AT1" s="265"/>
      <c r="AU1" s="263" t="s">
        <v>1488</v>
      </c>
      <c r="AV1" s="264"/>
      <c r="AW1" s="264"/>
      <c r="AX1" s="265"/>
      <c r="AY1" s="263" t="s">
        <v>1489</v>
      </c>
      <c r="AZ1" s="264"/>
      <c r="BA1" s="264"/>
      <c r="BB1" s="265"/>
      <c r="BC1" s="263" t="s">
        <v>1490</v>
      </c>
      <c r="BD1" s="265"/>
      <c r="BE1" s="183" t="s">
        <v>442</v>
      </c>
      <c r="BF1" s="220"/>
      <c r="BG1" s="263" t="s">
        <v>443</v>
      </c>
      <c r="BH1" s="264"/>
      <c r="BI1" s="265"/>
      <c r="BJ1" s="193" t="s">
        <v>1491</v>
      </c>
      <c r="BK1" s="193" t="s">
        <v>1492</v>
      </c>
      <c r="BL1" s="193" t="s">
        <v>1493</v>
      </c>
      <c r="BM1" s="224" t="s">
        <v>1494</v>
      </c>
      <c r="BN1" s="193" t="s">
        <v>1495</v>
      </c>
      <c r="BO1" s="193" t="s">
        <v>1496</v>
      </c>
      <c r="BP1" s="224" t="s">
        <v>1497</v>
      </c>
      <c r="BQ1" s="224" t="s">
        <v>1498</v>
      </c>
      <c r="BR1" s="224" t="s">
        <v>1499</v>
      </c>
      <c r="BS1" s="224" t="s">
        <v>1500</v>
      </c>
      <c r="BT1" s="224" t="s">
        <v>1501</v>
      </c>
      <c r="BU1" s="224" t="s">
        <v>1502</v>
      </c>
      <c r="BV1" s="224" t="s">
        <v>1503</v>
      </c>
      <c r="BW1" s="224" t="s">
        <v>1504</v>
      </c>
      <c r="BX1" s="224" t="s">
        <v>1505</v>
      </c>
      <c r="BY1" s="224" t="s">
        <v>1506</v>
      </c>
      <c r="BZ1" s="224" t="s">
        <v>1507</v>
      </c>
      <c r="CA1" s="224" t="s">
        <v>1508</v>
      </c>
      <c r="CB1" s="224" t="s">
        <v>1509</v>
      </c>
    </row>
    <row r="2" customHeight="1" spans="1:80">
      <c r="A2" s="358" t="s">
        <v>1510</v>
      </c>
      <c r="B2" s="373" t="s">
        <v>1511</v>
      </c>
      <c r="C2" s="373" t="s">
        <v>1512</v>
      </c>
      <c r="D2" s="244" t="str">
        <f>IF(综合数据!B5=TRUE,"战狂道途","")</f>
        <v>战狂道途</v>
      </c>
      <c r="E2" s="411" t="str">
        <f>IF(综合数据!B7=TRUE,"先祖守卫道途","")</f>
        <v>先祖守卫道途</v>
      </c>
      <c r="F2" s="411" t="str">
        <f>IF(综合数据!B7=TRUE,"风暴先驱道途","")</f>
        <v>风暴先驱道途</v>
      </c>
      <c r="G2" s="411" t="str">
        <f>IF(综合数据!B7=TRUE,"狂热者道途","")</f>
        <v>狂热者道途</v>
      </c>
      <c r="H2" s="250" t="str">
        <f>IF(综合数据!B14=TRUE,"狂野魔法道途","")</f>
        <v>狂野魔法道途</v>
      </c>
      <c r="I2" s="250" t="str">
        <f>IF(综合数据!B14=TRUE,"野兽道途","")</f>
        <v>野兽道途</v>
      </c>
      <c r="J2" s="271" t="str">
        <f>IF(综合数据!B20=TRUE,"巨人道途","")</f>
        <v>巨人道途</v>
      </c>
      <c r="K2" s="372"/>
      <c r="L2" s="372"/>
      <c r="M2" s="372"/>
      <c r="N2" s="372"/>
      <c r="O2" s="372"/>
      <c r="P2" s="372"/>
      <c r="Q2" s="372"/>
      <c r="R2" s="372"/>
      <c r="S2" s="376"/>
      <c r="U2" s="358" t="s">
        <v>1510</v>
      </c>
      <c r="V2" s="224" t="s">
        <v>1513</v>
      </c>
      <c r="W2" s="224" t="s">
        <v>1514</v>
      </c>
      <c r="X2" s="224" t="s">
        <v>1515</v>
      </c>
      <c r="Y2" s="224"/>
      <c r="Z2" s="224" t="s">
        <v>1516</v>
      </c>
      <c r="AA2" s="224" t="s">
        <v>1517</v>
      </c>
      <c r="AB2" s="224" t="s">
        <v>1518</v>
      </c>
      <c r="AC2" s="224" t="s">
        <v>1519</v>
      </c>
      <c r="AD2" s="224" t="s">
        <v>1515</v>
      </c>
      <c r="AE2" s="224"/>
      <c r="AF2" s="224"/>
      <c r="AG2" s="372">
        <f t="shared" ref="AG2:AG14" si="0">IFERROR(VLOOKUP(U2,$AC$16:$AE$18,3,0),0)</f>
        <v>0</v>
      </c>
      <c r="AH2" s="372"/>
      <c r="AI2" s="372" t="str">
        <f>IF(AND(SUM(主要!I14:M14)&gt;=13,$AC$16&lt;&gt;0,$AC$16&lt;&gt;$A2,主要!Y3-主要!Y4&gt;=1),$A2,"")</f>
        <v/>
      </c>
      <c r="AJ2" s="372" t="str">
        <f>IF(AND($AC$17&lt;&gt;0,$AC$17&lt;&gt;$A2,AI2&lt;&gt;"",主要!Y3-主要!Y4-主要!Y6&gt;=1),$A2,"")</f>
        <v/>
      </c>
      <c r="AK2" s="372" t="str">
        <f>IF(AG2&gt;=3,1,"")</f>
        <v/>
      </c>
      <c r="AL2" s="412" t="s">
        <v>1520</v>
      </c>
      <c r="AM2" s="413" t="s">
        <v>1510</v>
      </c>
      <c r="AN2" s="413">
        <v>1</v>
      </c>
      <c r="AO2" s="413">
        <v>1</v>
      </c>
      <c r="AP2" s="413">
        <f>_xlfn.IFS(AG2=20,15,AG2&gt;=18,14,AG2&gt;=15,13,AG2&gt;=11,12,AG2&gt;=9,11,AG2&gt;=7,10,AG2&gt;=5,8,AG2&gt;=3,6,AG2=2,4,AG2=1,2,1,0)</f>
        <v>0</v>
      </c>
      <c r="AQ2" s="375"/>
      <c r="AR2" s="373" t="s">
        <v>1484</v>
      </c>
      <c r="AS2" s="373" t="s">
        <v>1485</v>
      </c>
      <c r="AT2" s="374" t="s">
        <v>1486</v>
      </c>
      <c r="AU2" s="375"/>
      <c r="AV2" s="373" t="s">
        <v>1484</v>
      </c>
      <c r="AW2" s="373" t="s">
        <v>1485</v>
      </c>
      <c r="AX2" s="374" t="s">
        <v>1486</v>
      </c>
      <c r="AY2" s="375"/>
      <c r="AZ2" s="373" t="s">
        <v>1484</v>
      </c>
      <c r="BA2" s="373" t="s">
        <v>1485</v>
      </c>
      <c r="BB2" s="374" t="s">
        <v>1486</v>
      </c>
      <c r="BC2" s="375">
        <f>VLOOKUP(主要!$B$82,$AC$16:$AF$18,4,0)*4-2</f>
        <v>6</v>
      </c>
      <c r="BD2" s="372">
        <f>VLOOKUP(主要!$B$82,$AC$16:$AF$18,4,0)*4-1</f>
        <v>7</v>
      </c>
      <c r="BE2" s="192" t="str">
        <f t="shared" ref="BE2:BE8" si="1">IFERROR(IF(COUNTIF($BG$2:$BG$46,BC4),"",BC4),"")</f>
        <v/>
      </c>
      <c r="BF2" s="200" t="str">
        <f t="array" ref="BF2">INDEX(BE:BE,SMALL(IF($BE$2:$BE$143&lt;&gt;"",ROW($2:$143),144),ROW(BE1)))&amp;""</f>
        <v/>
      </c>
      <c r="BG2" s="375" t="str">
        <f>IF(主要!C84="",0,主要!C84)</f>
        <v>生命骰</v>
      </c>
      <c r="BH2" s="372" t="str">
        <f t="shared" ref="BH2:BH46" si="2">IFERROR(VLOOKUP($BG2,$BC$4:$BD$143,2,0),"")</f>
        <v>1×D8</v>
      </c>
      <c r="BI2" s="376">
        <f t="shared" ref="BI2:BI9" si="3">IF($BG2=0,"",COUNTIF($BG$2:$BG$46,$BG2))</f>
        <v>1</v>
      </c>
      <c r="BJ2" s="193" t="s">
        <v>1521</v>
      </c>
      <c r="BK2" s="193" t="s">
        <v>1522</v>
      </c>
      <c r="BL2" s="193" t="s">
        <v>1523</v>
      </c>
      <c r="BM2" s="193" t="s">
        <v>1524</v>
      </c>
      <c r="BN2" s="193" t="s">
        <v>1525</v>
      </c>
      <c r="BO2" s="193" t="s">
        <v>1526</v>
      </c>
      <c r="BP2" s="193" t="s">
        <v>1527</v>
      </c>
      <c r="BQ2" s="193" t="s">
        <v>1528</v>
      </c>
      <c r="BR2" s="193" t="s">
        <v>1529</v>
      </c>
      <c r="BS2" s="193" t="s">
        <v>1530</v>
      </c>
      <c r="BT2" s="193" t="s">
        <v>1531</v>
      </c>
      <c r="BU2" s="193" t="s">
        <v>1532</v>
      </c>
      <c r="BV2" s="193" t="s">
        <v>1533</v>
      </c>
      <c r="BW2" s="193" t="s">
        <v>1534</v>
      </c>
      <c r="BX2" s="193" t="s">
        <v>1535</v>
      </c>
      <c r="BY2" s="224" t="s">
        <v>1536</v>
      </c>
      <c r="BZ2" s="193" t="s">
        <v>1537</v>
      </c>
      <c r="CA2" s="193" t="s">
        <v>1538</v>
      </c>
      <c r="CB2" s="193" t="s">
        <v>1539</v>
      </c>
    </row>
    <row r="3" customHeight="1" spans="1:80">
      <c r="A3" s="358" t="s">
        <v>1540</v>
      </c>
      <c r="B3" s="373" t="s">
        <v>1541</v>
      </c>
      <c r="C3" s="373" t="s">
        <v>1542</v>
      </c>
      <c r="D3" s="245" t="str">
        <f>IF(综合数据!B7=TRUE,"迷惑学院","")</f>
        <v>迷惑学院</v>
      </c>
      <c r="E3" s="245" t="str">
        <f>IF(综合数据!B7=TRUE,"剑舞学院","")</f>
        <v>剑舞学院</v>
      </c>
      <c r="F3" s="245" t="str">
        <f>IF(综合数据!B7=TRUE,"低语学院","")</f>
        <v>低语学院</v>
      </c>
      <c r="G3" s="270" t="str">
        <f>IF(综合数据!B13=TRUE,"雄辩学院","")</f>
        <v>雄辩学院</v>
      </c>
      <c r="H3" s="268" t="str">
        <f>IF(综合数据!B14=TRUE,"创造学院","")</f>
        <v>创造学院</v>
      </c>
      <c r="I3" s="407" t="str">
        <f>IF(综合数据!B15=TRUE,"精魂学院","")</f>
        <v>精魂学院</v>
      </c>
      <c r="J3" s="372"/>
      <c r="K3" s="372"/>
      <c r="L3" s="372"/>
      <c r="M3" s="372"/>
      <c r="N3" s="372"/>
      <c r="O3" s="372"/>
      <c r="P3" s="372"/>
      <c r="Q3" s="372"/>
      <c r="R3" s="372"/>
      <c r="S3" s="376"/>
      <c r="U3" s="358" t="s">
        <v>1540</v>
      </c>
      <c r="V3" s="224" t="s">
        <v>1543</v>
      </c>
      <c r="W3" s="224" t="s">
        <v>1544</v>
      </c>
      <c r="X3" s="224" t="s">
        <v>1545</v>
      </c>
      <c r="Y3" s="224" t="s">
        <v>1546</v>
      </c>
      <c r="Z3" s="224" t="s">
        <v>1547</v>
      </c>
      <c r="AA3" s="224" t="s">
        <v>1548</v>
      </c>
      <c r="AB3" s="224" t="str">
        <f>AB2</f>
        <v>4、8、12、16、19</v>
      </c>
      <c r="AC3" s="224" t="s">
        <v>1544</v>
      </c>
      <c r="AD3" s="224"/>
      <c r="AE3" s="224" t="s">
        <v>1549</v>
      </c>
      <c r="AF3" s="224" t="s">
        <v>1550</v>
      </c>
      <c r="AG3" s="372">
        <f t="shared" si="0"/>
        <v>0</v>
      </c>
      <c r="AH3" s="372">
        <f>AG3</f>
        <v>0</v>
      </c>
      <c r="AI3" s="372" t="str">
        <f>IF(AND(SUM(主要!I19:M19)&gt;=13,$AC$16&lt;&gt;0,$AC$16&lt;&gt;$A3,主要!Y3-主要!Y4&gt;=1),$A3,"")</f>
        <v/>
      </c>
      <c r="AJ3" s="372" t="str">
        <f>IF(AND($AC$17&lt;&gt;0,$AC$17&lt;&gt;$A3,AI3&lt;&gt;"",主要!Y3-主要!Y4-主要!Y6&gt;=1),$A3,"")</f>
        <v/>
      </c>
      <c r="AK3" s="372" t="str">
        <f>IF(AG3&gt;=3,2,"")</f>
        <v/>
      </c>
      <c r="AL3" s="377" t="e">
        <f t="array" ref="AL3">INDEX(AI:AI,SMALL(IF($AI$18:$AI$35&lt;&gt;"",ROW($18:$35),36),ROW(AI1)))&amp;""</f>
        <v>#VALUE!</v>
      </c>
      <c r="AM3" s="373" t="s">
        <v>1511</v>
      </c>
      <c r="AN3" s="373"/>
      <c r="AO3" s="373">
        <v>16</v>
      </c>
      <c r="AP3" s="373">
        <f>_xlfn.IFS(AG2&gt;=14,19,AG2&gt;=10,18,AG2&gt;=6,17,AG2&gt;=3,16,1,0)</f>
        <v>0</v>
      </c>
      <c r="AQ3" s="414">
        <f>VLOOKUP(AC16,AM:AN,2,0)</f>
        <v>13</v>
      </c>
      <c r="AR3" s="373">
        <f>AQ3*2</f>
        <v>26</v>
      </c>
      <c r="AS3" s="373">
        <v>1</v>
      </c>
      <c r="AT3" s="374">
        <f>VLOOKUP(AC16,AM:AP,4,0)</f>
        <v>7</v>
      </c>
      <c r="AU3" s="414" t="e">
        <f>VLOOKUP(AC17,AM:AN,2,0)</f>
        <v>#N/A</v>
      </c>
      <c r="AV3" s="373" t="e">
        <f>AU3*2</f>
        <v>#N/A</v>
      </c>
      <c r="AW3" s="373">
        <v>1</v>
      </c>
      <c r="AX3" s="374" t="e">
        <f>VLOOKUP(AC17,AM:AP,4,0)</f>
        <v>#N/A</v>
      </c>
      <c r="AY3" s="414" t="e">
        <f>VLOOKUP(AC18,AM:AN,2,0)</f>
        <v>#N/A</v>
      </c>
      <c r="AZ3" s="373" t="e">
        <f>AY3*2</f>
        <v>#N/A</v>
      </c>
      <c r="BA3" s="373">
        <v>1</v>
      </c>
      <c r="BB3" s="374" t="e">
        <f>VLOOKUP(AC18,AM:AP,4,0)</f>
        <v>#N/A</v>
      </c>
      <c r="BC3" s="307" t="s">
        <v>114</v>
      </c>
      <c r="BD3" s="373" t="s">
        <v>176</v>
      </c>
      <c r="BE3" s="192" t="str">
        <f t="shared" si="1"/>
        <v/>
      </c>
      <c r="BF3" s="200" t="str">
        <f t="array" ref="BF3">INDEX(BE:BE,SMALL(IF($BE$2:$BE$143&lt;&gt;"",ROW($2:$143),144),ROW(BE2)))&amp;""</f>
        <v/>
      </c>
      <c r="BG3" s="375" t="str">
        <f>IF(主要!C85="",0,主要!C85)</f>
        <v>护甲熟练项</v>
      </c>
      <c r="BH3" s="372" t="str">
        <f t="shared" si="2"/>
        <v>轻甲、中甲、盾牌</v>
      </c>
      <c r="BI3" s="376">
        <f t="shared" si="3"/>
        <v>1</v>
      </c>
      <c r="BJ3" s="193" t="s">
        <v>1551</v>
      </c>
      <c r="BK3" s="193" t="s">
        <v>1552</v>
      </c>
      <c r="BL3" s="193" t="s">
        <v>1553</v>
      </c>
      <c r="BM3" s="193" t="s">
        <v>1554</v>
      </c>
      <c r="BN3" s="193" t="s">
        <v>1555</v>
      </c>
      <c r="BO3" s="193" t="s">
        <v>1556</v>
      </c>
      <c r="BP3" s="193" t="s">
        <v>1557</v>
      </c>
      <c r="BQ3" s="193" t="s">
        <v>1558</v>
      </c>
      <c r="BR3" s="193" t="s">
        <v>1559</v>
      </c>
      <c r="BS3" s="193" t="s">
        <v>1560</v>
      </c>
      <c r="BT3" s="193" t="s">
        <v>1561</v>
      </c>
      <c r="BU3" s="193" t="s">
        <v>1562</v>
      </c>
      <c r="BV3" s="193" t="s">
        <v>1563</v>
      </c>
      <c r="BW3" s="193" t="s">
        <v>1564</v>
      </c>
      <c r="BX3" s="193" t="s">
        <v>1565</v>
      </c>
      <c r="BY3" s="193" t="s">
        <v>1566</v>
      </c>
      <c r="BZ3" s="193" t="s">
        <v>1567</v>
      </c>
      <c r="CA3" s="193" t="s">
        <v>1568</v>
      </c>
      <c r="CB3" s="193" t="s">
        <v>1569</v>
      </c>
    </row>
    <row r="4" customHeight="1" spans="1:80">
      <c r="A4" s="358" t="s">
        <v>1570</v>
      </c>
      <c r="B4" s="373" t="s">
        <v>1571</v>
      </c>
      <c r="C4" s="373" t="s">
        <v>1572</v>
      </c>
      <c r="D4" s="373" t="s">
        <v>1573</v>
      </c>
      <c r="E4" s="373" t="s">
        <v>1574</v>
      </c>
      <c r="F4" s="373" t="s">
        <v>1575</v>
      </c>
      <c r="G4" s="373" t="s">
        <v>1576</v>
      </c>
      <c r="H4" s="373" t="s">
        <v>1577</v>
      </c>
      <c r="I4" s="400" t="str">
        <f>IF(综合数据!B3=TRUE,"死亡领域","")</f>
        <v>死亡领域</v>
      </c>
      <c r="J4" s="244" t="str">
        <f>IF(综合数据!B5=TRUE,"奥秘领域","")</f>
        <v>奥秘领域</v>
      </c>
      <c r="K4" s="411" t="str">
        <f>IF(综合数据!B7=TRUE,"锻造领域","")</f>
        <v>锻造领域</v>
      </c>
      <c r="L4" s="411" t="str">
        <f>IF(综合数据!B7=TRUE,"坟墓领域","")</f>
        <v>坟墓领域</v>
      </c>
      <c r="M4" s="415" t="str">
        <f>IF(综合数据!B9=TRUE,"秩序领域","")</f>
        <v>秩序领域</v>
      </c>
      <c r="N4" s="250" t="str">
        <f>IF(综合数据!B14=TRUE,"和平领域","")</f>
        <v>和平领域</v>
      </c>
      <c r="O4" s="250" t="str">
        <f>IF(综合数据!B14=TRUE,"暮光领域","")</f>
        <v>暮光领域</v>
      </c>
      <c r="P4" s="257" t="str">
        <f>IF(综合数据!B23=TRUE,"团结领域","")</f>
        <v/>
      </c>
      <c r="Q4" s="257" t="str">
        <f>IF(综合数据!B23=TRUE,"力量领域","")</f>
        <v/>
      </c>
      <c r="R4" s="257" t="str">
        <f>IF(综合数据!B23=TRUE,"野心领域","")</f>
        <v/>
      </c>
      <c r="S4" s="416" t="str">
        <f>IF(综合数据!B23=TRUE,"热忱领域","")</f>
        <v/>
      </c>
      <c r="U4" s="358" t="s">
        <v>1570</v>
      </c>
      <c r="V4" s="224" t="s">
        <v>1543</v>
      </c>
      <c r="W4" s="224" t="s">
        <v>1514</v>
      </c>
      <c r="X4" s="224" t="s">
        <v>1578</v>
      </c>
      <c r="Y4" s="224"/>
      <c r="Z4" s="224" t="s">
        <v>1579</v>
      </c>
      <c r="AA4" s="224" t="s">
        <v>1580</v>
      </c>
      <c r="AB4" s="224" t="str">
        <f>AB2</f>
        <v>4、8、12、16、19</v>
      </c>
      <c r="AC4" s="224" t="s">
        <v>1514</v>
      </c>
      <c r="AD4" s="224"/>
      <c r="AE4" s="224"/>
      <c r="AF4" s="224"/>
      <c r="AG4" s="372">
        <f t="shared" si="0"/>
        <v>0</v>
      </c>
      <c r="AH4" s="372">
        <f>AG4</f>
        <v>0</v>
      </c>
      <c r="AI4" s="372" t="str">
        <f>IF(AND(SUM(主要!I18:M18)&gt;=13,$AC$16&lt;&gt;0,$AC$16&lt;&gt;$A4,主要!Y3-主要!Y4&gt;=1),$A4,"")</f>
        <v/>
      </c>
      <c r="AJ4" s="372" t="str">
        <f>IF(AND($AC$17&lt;&gt;0,$AC$17&lt;&gt;$A4,AI4&lt;&gt;"",主要!Y3-主要!Y4-主要!Y6&gt;=1),$A4,"")</f>
        <v/>
      </c>
      <c r="AK4" s="372">
        <v>3</v>
      </c>
      <c r="AL4" s="377" t="e">
        <f t="array" ref="AL4">INDEX(AI:AI,SMALL(IF($AI$18:$AI$35&lt;&gt;"",ROW($18:$35),36),ROW(AI2)))&amp;""</f>
        <v>#VALUE!</v>
      </c>
      <c r="AM4" s="373" t="s">
        <v>1512</v>
      </c>
      <c r="AN4" s="373"/>
      <c r="AO4" s="373">
        <v>20</v>
      </c>
      <c r="AP4" s="373">
        <f>_xlfn.IFS(AG2&gt;=14,39,AG2&gt;=10,33,AG2&gt;=6,32,AG2&gt;=3,26,1,0)</f>
        <v>0</v>
      </c>
      <c r="AQ4" s="414"/>
      <c r="AR4" s="417">
        <f>AR3-1</f>
        <v>25</v>
      </c>
      <c r="AS4" s="373" t="e">
        <f>VLOOKUP(AD16,AM:AO,3,0)</f>
        <v>#N/A</v>
      </c>
      <c r="AT4" s="374" t="e">
        <f>IF(AD19=0,0,VLOOKUP(AD16,AM:AP,4,0))</f>
        <v>#N/A</v>
      </c>
      <c r="AU4" s="414"/>
      <c r="AV4" s="417" t="e">
        <f>AV3-1</f>
        <v>#N/A</v>
      </c>
      <c r="AW4" s="373" t="e">
        <f>VLOOKUP(AD17,AM:AO,3,0)</f>
        <v>#N/A</v>
      </c>
      <c r="AX4" s="374" t="e">
        <f>IF(AD20=0,0,VLOOKUP(AD17,AM:AP,4,0))</f>
        <v>#N/A</v>
      </c>
      <c r="AY4" s="414"/>
      <c r="AZ4" s="373" t="e">
        <f>AZ3-1</f>
        <v>#N/A</v>
      </c>
      <c r="BA4" s="373" t="e">
        <f>VLOOKUP(AD18,AM:AO,3,0)</f>
        <v>#N/A</v>
      </c>
      <c r="BB4" s="374" t="e">
        <f>IF(AD21=0,0,VLOOKUP(AD18,AM:AP,4,0))</f>
        <v>#N/A</v>
      </c>
      <c r="BC4" s="307" t="s">
        <v>238</v>
      </c>
      <c r="BD4" s="224" t="str">
        <f>IF(AC16&gt;0,AE16&amp;"×"&amp;AS6,"")&amp;IF(AC17&gt;0,"＋"&amp;AE17&amp;"×"&amp;AW6,"")&amp;IF(AC18&gt;0,"＋"&amp;AE18&amp;"×"&amp;BA6,"")</f>
        <v>1×D8</v>
      </c>
      <c r="BE4" s="192" t="str">
        <f t="shared" si="1"/>
        <v/>
      </c>
      <c r="BF4" s="200" t="str">
        <f t="array" ref="BF4">INDEX(BE:BE,SMALL(IF($BE$2:$BE$143&lt;&gt;"",ROW($2:$143),144),ROW(BE3)))&amp;""</f>
        <v/>
      </c>
      <c r="BG4" s="375" t="str">
        <f>IF(主要!C86="",0,主要!C86)</f>
        <v>武器熟练项</v>
      </c>
      <c r="BH4" s="372" t="str">
        <f t="shared" si="2"/>
        <v>简易武器、火器</v>
      </c>
      <c r="BI4" s="376">
        <f t="shared" si="3"/>
        <v>1</v>
      </c>
      <c r="BJ4" s="193" t="s">
        <v>1581</v>
      </c>
      <c r="BK4" s="193" t="s">
        <v>1582</v>
      </c>
      <c r="BL4" s="193" t="s">
        <v>1583</v>
      </c>
      <c r="BM4" s="193" t="s">
        <v>1584</v>
      </c>
      <c r="BN4" s="193" t="s">
        <v>1585</v>
      </c>
      <c r="BO4" s="193" t="s">
        <v>1586</v>
      </c>
      <c r="BP4" s="193" t="s">
        <v>1587</v>
      </c>
      <c r="BQ4" s="193" t="s">
        <v>1588</v>
      </c>
      <c r="BR4" s="193" t="s">
        <v>1589</v>
      </c>
      <c r="BS4" s="193" t="s">
        <v>1590</v>
      </c>
      <c r="BT4" s="193" t="s">
        <v>1591</v>
      </c>
      <c r="BU4" s="193" t="s">
        <v>1592</v>
      </c>
      <c r="BV4" s="193" t="s">
        <v>1593</v>
      </c>
      <c r="BW4" s="193" t="s">
        <v>1594</v>
      </c>
      <c r="BX4" s="193" t="s">
        <v>1595</v>
      </c>
      <c r="BY4" s="193" t="s">
        <v>1596</v>
      </c>
      <c r="BZ4" s="193" t="s">
        <v>1597</v>
      </c>
      <c r="CA4" s="193" t="s">
        <v>1598</v>
      </c>
      <c r="CB4" s="193" t="s">
        <v>1599</v>
      </c>
    </row>
    <row r="5" customHeight="1" spans="1:80">
      <c r="A5" s="358" t="s">
        <v>1600</v>
      </c>
      <c r="B5" s="373" t="s">
        <v>1601</v>
      </c>
      <c r="C5" s="373" t="s">
        <v>1602</v>
      </c>
      <c r="D5" s="245" t="str">
        <f>IF(综合数据!B7=TRUE,"梦境结社","")</f>
        <v>梦境结社</v>
      </c>
      <c r="E5" s="245" t="str">
        <f>IF(综合数据!B7=TRUE,"牧人结社","")</f>
        <v>牧人结社</v>
      </c>
      <c r="F5" s="418" t="str">
        <f>IF(综合数据!B9=TRUE,"孢子结社","")</f>
        <v>孢子结社</v>
      </c>
      <c r="G5" s="268" t="s">
        <v>1603</v>
      </c>
      <c r="H5" s="268" t="s">
        <v>1604</v>
      </c>
      <c r="I5" s="372"/>
      <c r="J5" s="372"/>
      <c r="K5" s="372"/>
      <c r="L5" s="372"/>
      <c r="M5" s="372"/>
      <c r="N5" s="372"/>
      <c r="O5" s="372"/>
      <c r="P5" s="372"/>
      <c r="Q5" s="372"/>
      <c r="R5" s="372"/>
      <c r="S5" s="376"/>
      <c r="U5" s="358" t="s">
        <v>1600</v>
      </c>
      <c r="V5" s="224" t="s">
        <v>1543</v>
      </c>
      <c r="W5" s="224" t="s">
        <v>1605</v>
      </c>
      <c r="X5" s="224" t="s">
        <v>1606</v>
      </c>
      <c r="Y5" s="224" t="s">
        <v>1607</v>
      </c>
      <c r="Z5" s="224" t="s">
        <v>1608</v>
      </c>
      <c r="AA5" s="224" t="s">
        <v>1609</v>
      </c>
      <c r="AB5" s="224" t="str">
        <f>AB2</f>
        <v>4、8、12、16、19</v>
      </c>
      <c r="AC5" s="224" t="s">
        <v>1610</v>
      </c>
      <c r="AD5" s="224"/>
      <c r="AE5" s="224"/>
      <c r="AF5" s="224"/>
      <c r="AG5" s="372">
        <f t="shared" si="0"/>
        <v>0</v>
      </c>
      <c r="AH5" s="372">
        <f>AG5</f>
        <v>0</v>
      </c>
      <c r="AI5" s="372" t="str">
        <f>IF(AND(SUM(主要!I18:M18)&gt;=13,$AC$16&lt;&gt;0,$AC$16&lt;&gt;$A5,主要!Y3-主要!Y4&gt;=1),$A5,"")</f>
        <v/>
      </c>
      <c r="AJ5" s="372" t="str">
        <f>IF(AND($AC$17&lt;&gt;0,$AC$17&lt;&gt;$A5,AI5&lt;&gt;"",主要!Y3-主要!Y4-主要!Y6&gt;=1),$A5,"")</f>
        <v/>
      </c>
      <c r="AK5" s="372" t="str">
        <f>IF(AG5&gt;=2,4,"")</f>
        <v/>
      </c>
      <c r="AL5" s="377" t="e">
        <f t="array" ref="AL5">INDEX(AI:AI,SMALL(IF($AI$18:$AI$35&lt;&gt;"",ROW($18:$35),36),ROW(AI3)))&amp;""</f>
        <v>#VALUE!</v>
      </c>
      <c r="AM5" s="244" t="s">
        <v>1611</v>
      </c>
      <c r="AN5" s="244"/>
      <c r="AO5" s="244">
        <v>40</v>
      </c>
      <c r="AP5" s="244">
        <f>_xlfn.IFS(AG2&gt;=14,43,AG2&gt;=10,42,AG2&gt;=6,41,AG2&gt;=3,40,1,0)</f>
        <v>0</v>
      </c>
      <c r="AQ5" s="307" t="s">
        <v>608</v>
      </c>
      <c r="AR5" s="373" t="s">
        <v>114</v>
      </c>
      <c r="AS5" s="373" t="s">
        <v>176</v>
      </c>
      <c r="AT5" s="374" t="s">
        <v>609</v>
      </c>
      <c r="AU5" s="307" t="s">
        <v>608</v>
      </c>
      <c r="AV5" s="373" t="s">
        <v>114</v>
      </c>
      <c r="AW5" s="373" t="s">
        <v>176</v>
      </c>
      <c r="AX5" s="374" t="s">
        <v>609</v>
      </c>
      <c r="AY5" s="307" t="s">
        <v>608</v>
      </c>
      <c r="AZ5" s="373" t="s">
        <v>114</v>
      </c>
      <c r="BA5" s="373" t="s">
        <v>176</v>
      </c>
      <c r="BB5" s="374" t="s">
        <v>609</v>
      </c>
      <c r="BC5" s="222" t="s">
        <v>240</v>
      </c>
      <c r="BD5" s="224" t="str">
        <f>IF(COUNTIF(AS7,"全部*"),"全部护甲",IF(COUNTIF(AS7:BA7,"*中甲*"),"轻甲、中甲",IF(COUNTIF(AS7:BA7,"*轻甲*"),"轻甲","")))&amp;IF(COUNTIF(AS7:BA7,"*盾牌*"),IF(COUNTIF(AS7:BA7,"*甲*"),"、","")&amp;"盾牌","")&amp;IF(COUNTIF(AS7:BA7,"*金属*"),"（不能装备或使用金属质的护甲和盾）","")</f>
        <v>轻甲、中甲、盾牌</v>
      </c>
      <c r="BE5" s="192" t="str">
        <f t="shared" si="1"/>
        <v/>
      </c>
      <c r="BF5" s="200" t="str">
        <f t="array" ref="BF5">INDEX(BE:BE,SMALL(IF($BE$2:$BE$143&lt;&gt;"",ROW($2:$143),144),ROW(BE4)))&amp;""</f>
        <v/>
      </c>
      <c r="BG5" s="375" t="str">
        <f>IF(主要!C87="",0,主要!C87)</f>
        <v>工具熟练项</v>
      </c>
      <c r="BH5" s="372" t="str">
        <f t="shared" si="2"/>
        <v>盗贼工具、修补工具、另外自选一种工匠工具</v>
      </c>
      <c r="BI5" s="376">
        <f t="shared" si="3"/>
        <v>1</v>
      </c>
      <c r="BJ5" s="193" t="s">
        <v>1612</v>
      </c>
      <c r="BK5" s="193" t="s">
        <v>1613</v>
      </c>
      <c r="BL5" s="193" t="s">
        <v>1614</v>
      </c>
      <c r="BM5" s="193" t="s">
        <v>1615</v>
      </c>
      <c r="BN5" s="193" t="s">
        <v>1616</v>
      </c>
      <c r="BO5" s="193" t="s">
        <v>1617</v>
      </c>
      <c r="BP5" s="193" t="s">
        <v>1618</v>
      </c>
      <c r="BQ5" s="193" t="s">
        <v>1619</v>
      </c>
      <c r="BR5" s="193" t="s">
        <v>1620</v>
      </c>
      <c r="BS5" s="193" t="s">
        <v>1621</v>
      </c>
      <c r="BT5" s="193" t="s">
        <v>1622</v>
      </c>
      <c r="BU5" s="193" t="s">
        <v>1623</v>
      </c>
      <c r="BV5" s="193" t="s">
        <v>1624</v>
      </c>
      <c r="BW5" s="193" t="s">
        <v>1625</v>
      </c>
      <c r="BX5" s="193" t="s">
        <v>1626</v>
      </c>
      <c r="BY5" s="193" t="s">
        <v>1627</v>
      </c>
      <c r="BZ5" s="193" t="s">
        <v>1628</v>
      </c>
      <c r="CA5" s="193" t="s">
        <v>1629</v>
      </c>
      <c r="CB5" s="193" t="s">
        <v>1630</v>
      </c>
    </row>
    <row r="6" customHeight="1" spans="1:80">
      <c r="A6" s="358" t="s">
        <v>1631</v>
      </c>
      <c r="B6" s="373" t="s">
        <v>1632</v>
      </c>
      <c r="C6" s="373" t="s">
        <v>1633</v>
      </c>
      <c r="D6" s="373" t="s">
        <v>1634</v>
      </c>
      <c r="E6" s="244" t="str">
        <f>IF(综合数据!B5=TRUE,"紫龙骑士","")</f>
        <v>紫龙骑士</v>
      </c>
      <c r="F6" s="411" t="str">
        <f>IF(综合数据!B7=TRUE,"魔射手","")</f>
        <v>魔射手</v>
      </c>
      <c r="G6" s="411" t="str">
        <f>IF(综合数据!B7=TRUE,"骑兵","")</f>
        <v>骑兵</v>
      </c>
      <c r="H6" s="411" t="str">
        <f>IF(综合数据!B7=TRUE,"武士","")</f>
        <v>武士</v>
      </c>
      <c r="I6" s="247" t="str">
        <f>IF(综合数据!B11=TRUE,"回音骑士","")</f>
        <v>回音骑士</v>
      </c>
      <c r="J6" s="250" t="str">
        <f>IF(综合数据!B14=TRUE,"符文骑士","")</f>
        <v>符文骑士</v>
      </c>
      <c r="K6" s="250" t="str">
        <f>IF(综合数据!B14=TRUE,"灵能武士","")</f>
        <v>灵能武士</v>
      </c>
      <c r="L6" s="372"/>
      <c r="M6" s="372"/>
      <c r="N6" s="372"/>
      <c r="O6" s="372"/>
      <c r="P6" s="372"/>
      <c r="Q6" s="372"/>
      <c r="R6" s="372"/>
      <c r="S6" s="376"/>
      <c r="U6" s="358" t="s">
        <v>1631</v>
      </c>
      <c r="V6" s="224" t="s">
        <v>1635</v>
      </c>
      <c r="W6" s="224" t="s">
        <v>1636</v>
      </c>
      <c r="X6" s="224" t="s">
        <v>1515</v>
      </c>
      <c r="Y6" s="224"/>
      <c r="Z6" s="224" t="s">
        <v>1516</v>
      </c>
      <c r="AA6" s="224" t="s">
        <v>1637</v>
      </c>
      <c r="AB6" s="224" t="s">
        <v>1638</v>
      </c>
      <c r="AC6" s="224" t="s">
        <v>1514</v>
      </c>
      <c r="AD6" s="224" t="s">
        <v>1515</v>
      </c>
      <c r="AE6" s="224"/>
      <c r="AF6" s="224"/>
      <c r="AG6" s="372">
        <f t="shared" si="0"/>
        <v>0</v>
      </c>
      <c r="AH6" s="372">
        <f>IF(AND(COUNTIF(AD16:AD18,D6),AG6&gt;=3),IF(SUM(AG3:AG5)+ROUNDDOWN(AG8/2,)+ROUNDDOWN(AG9/2,)+COUNTIF(AD16:AD18,D10)+AG11+SUM(AG13:AG14)=0,ROUNDUP(AG6/3,),ROUNDDOWN(AG6/3,)),0)</f>
        <v>0</v>
      </c>
      <c r="AI6" s="372" t="str">
        <f>IF(AND(OR(SUM(主要!I14:M14)&gt;=13,SUM(主要!I15:M15)&gt;=13),$AC$16&lt;&gt;0,$AC$16&lt;&gt;$A6,主要!Y3-主要!Y4&gt;=1),$A6,"")</f>
        <v/>
      </c>
      <c r="AJ6" s="372" t="str">
        <f>IF(AND($AC$17&lt;&gt;0,$AC$17&lt;&gt;$A6,AI6&lt;&gt;"",主要!Y3-主要!Y4-主要!Y6&gt;=1),$A6,"")</f>
        <v/>
      </c>
      <c r="AK6" s="372" t="str">
        <f>IF(AG6&gt;=3,5,"")</f>
        <v/>
      </c>
      <c r="AL6" s="377" t="e">
        <f t="array" ref="AL6">INDEX(AI:AI,SMALL(IF($AI$18:$AI$35&lt;&gt;"",ROW($18:$35),36),ROW(AI4)))&amp;""</f>
        <v>#VALUE!</v>
      </c>
      <c r="AM6" s="411" t="s">
        <v>1639</v>
      </c>
      <c r="AN6" s="411"/>
      <c r="AO6" s="411">
        <v>44</v>
      </c>
      <c r="AP6" s="411">
        <f>_xlfn.IFS(AG2&gt;=14,47,AG2&gt;=10,46,AG2&gt;=6,45,AG2&gt;=3,44,1,0)</f>
        <v>0</v>
      </c>
      <c r="AQ6" s="307" t="s">
        <v>243</v>
      </c>
      <c r="AR6" s="373" t="s">
        <v>238</v>
      </c>
      <c r="AS6" s="373" t="str">
        <f>IFERROR(INDEX(V2:AB14,$AQ$3,1),"")</f>
        <v>D8</v>
      </c>
      <c r="AT6" s="374"/>
      <c r="AU6" s="307"/>
      <c r="AV6" s="373" t="s">
        <v>238</v>
      </c>
      <c r="AW6" s="373" t="str">
        <f>IFERROR(INDEX(V2:AB14,$AU$3,1),"")</f>
        <v/>
      </c>
      <c r="AX6" s="374"/>
      <c r="AY6" s="307"/>
      <c r="AZ6" s="373" t="s">
        <v>238</v>
      </c>
      <c r="BA6" s="373" t="str">
        <f>IFERROR(INDEX(V2:AB14,$AY$3,1),"")</f>
        <v/>
      </c>
      <c r="BB6" s="374"/>
      <c r="BC6" s="222" t="s">
        <v>241</v>
      </c>
      <c r="BD6" s="224" t="str">
        <f>IF(COUNTIF(AS8:BA8,"简易*"),"简易武器",IF(COUNTIF(AS8,"*短棒*"),"短棒、匕首、飞镖、标枪、硬头锤、长棍、镰刀、投石索、矛",IF(COUNTIF(AS8,"*轻弩"),"匕首、飞镖、投石索、长棍、轻弩","")))&amp;IF(COUNTIF(AS8:BA8,"*军用*"),"、军用武器",IF(COUNTIF(AS8,"*手弩*"),"、手弩、长剑、刺剑",IF(COUNTIF(AS8,"*弯刀*"),"、弯刀",""))&amp;IF(COUNTIF(AS8:BA8,"*短剑"),"、短剑",""))&amp;IF(COUNTIF(AS8:BA8,"*火器"),"、火器","")</f>
        <v>简易武器、火器</v>
      </c>
      <c r="BE6" s="192" t="str">
        <f t="shared" si="1"/>
        <v/>
      </c>
      <c r="BF6" s="200" t="str">
        <f t="array" ref="BF6">INDEX(BE:BE,SMALL(IF($BE$2:$BE$143&lt;&gt;"",ROW($2:$143),144),ROW(BE5)))&amp;""</f>
        <v/>
      </c>
      <c r="BG6" s="375" t="str">
        <f>IF(主要!C88="",0,主要!C88)</f>
        <v>豁免熟练项</v>
      </c>
      <c r="BH6" s="372" t="str">
        <f t="shared" si="2"/>
        <v>体质、智力</v>
      </c>
      <c r="BI6" s="376">
        <f t="shared" si="3"/>
        <v>1</v>
      </c>
      <c r="BJ6" s="372"/>
      <c r="BK6" s="193" t="s">
        <v>1640</v>
      </c>
      <c r="BL6" s="193" t="s">
        <v>1641</v>
      </c>
      <c r="BM6" s="193" t="s">
        <v>1642</v>
      </c>
      <c r="BN6" s="193" t="s">
        <v>1643</v>
      </c>
      <c r="BO6" s="193" t="s">
        <v>1644</v>
      </c>
      <c r="BP6" s="193" t="s">
        <v>1645</v>
      </c>
      <c r="BQ6" s="193" t="s">
        <v>1646</v>
      </c>
      <c r="BR6" s="193" t="s">
        <v>1647</v>
      </c>
      <c r="BS6" s="372"/>
      <c r="BT6" s="193" t="s">
        <v>1648</v>
      </c>
      <c r="BU6" s="193" t="s">
        <v>1649</v>
      </c>
      <c r="BV6" s="193" t="s">
        <v>1650</v>
      </c>
      <c r="BW6" s="193" t="s">
        <v>1651</v>
      </c>
      <c r="BX6" s="193" t="s">
        <v>1652</v>
      </c>
      <c r="BY6" s="193" t="s">
        <v>1653</v>
      </c>
      <c r="BZ6" s="193" t="s">
        <v>1654</v>
      </c>
      <c r="CA6" s="193" t="s">
        <v>1655</v>
      </c>
      <c r="CB6" s="193" t="s">
        <v>1656</v>
      </c>
    </row>
    <row r="7" customHeight="1" spans="1:80">
      <c r="A7" s="358" t="s">
        <v>1657</v>
      </c>
      <c r="B7" s="373" t="s">
        <v>1658</v>
      </c>
      <c r="C7" s="373" t="s">
        <v>1659</v>
      </c>
      <c r="D7" s="373" t="s">
        <v>1660</v>
      </c>
      <c r="E7" s="419" t="str">
        <f>IF(综合数据!B5=TRUE,"永亡宗","")</f>
        <v>永亡宗</v>
      </c>
      <c r="F7" s="411" t="str">
        <f>IF(综合数据!B7=TRUE,"醉拳宗","")</f>
        <v>醉拳宗</v>
      </c>
      <c r="G7" s="411" t="str">
        <f>IF(综合数据!B7=TRUE,"剑圣宗","")</f>
        <v>剑圣宗</v>
      </c>
      <c r="H7" s="411" t="str">
        <f>IF(综合数据!B7=TRUE,"日魂宗","")</f>
        <v>日魂宗</v>
      </c>
      <c r="I7" s="250" t="str">
        <f>IF(综合数据!B14=TRUE,"命流宗","")</f>
        <v>命流宗</v>
      </c>
      <c r="J7" s="250" t="str">
        <f>IF(综合数据!B14=TRUE,"星我宗","")</f>
        <v>星我宗</v>
      </c>
      <c r="K7" s="372" t="str">
        <f>IF(综合数据!B16=TRUE,"神龙宗","")</f>
        <v>神龙宗</v>
      </c>
      <c r="L7" s="372"/>
      <c r="M7" s="372"/>
      <c r="N7" s="372"/>
      <c r="O7" s="372"/>
      <c r="P7" s="372"/>
      <c r="Q7" s="372"/>
      <c r="R7" s="372"/>
      <c r="S7" s="376"/>
      <c r="U7" s="358" t="s">
        <v>1657</v>
      </c>
      <c r="V7" s="224" t="s">
        <v>1543</v>
      </c>
      <c r="W7" s="224"/>
      <c r="X7" s="224" t="s">
        <v>1661</v>
      </c>
      <c r="Y7" s="224" t="s">
        <v>1662</v>
      </c>
      <c r="Z7" s="224" t="s">
        <v>1663</v>
      </c>
      <c r="AA7" s="224" t="s">
        <v>1664</v>
      </c>
      <c r="AB7" s="224" t="str">
        <f>AB2</f>
        <v>4、8、12、16、19</v>
      </c>
      <c r="AC7" s="224"/>
      <c r="AD7" s="224" t="s">
        <v>1661</v>
      </c>
      <c r="AE7" s="224"/>
      <c r="AF7" s="224"/>
      <c r="AG7" s="372">
        <f t="shared" si="0"/>
        <v>0</v>
      </c>
      <c r="AH7" s="372"/>
      <c r="AI7" s="372" t="str">
        <f>IF(AND(SUM(主要!I15:M15)&gt;=13,SUM(主要!I18:M18)&gt;=13,$AC$16&lt;&gt;0,$AC$16&lt;&gt;$A7,主要!Y3-主要!Y4&gt;=1),$A7,"")</f>
        <v/>
      </c>
      <c r="AJ7" s="372" t="str">
        <f>IF(AND($AC$17&lt;&gt;0,$AC$17&lt;&gt;$A7,AI7&lt;&gt;"",主要!Y3-主要!Y4-主要!Y6&gt;=1),$A7,"")</f>
        <v/>
      </c>
      <c r="AK7" s="372" t="str">
        <f>IF(AG7&gt;=3,6,"")</f>
        <v/>
      </c>
      <c r="AL7" s="377" t="e">
        <f t="array" ref="AL7">INDEX(AI:AI,SMALL(IF($AI$18:$AI$35&lt;&gt;"",ROW($18:$35),36),ROW(AI5)))&amp;""</f>
        <v>#VALUE!</v>
      </c>
      <c r="AM7" s="411" t="s">
        <v>1665</v>
      </c>
      <c r="AN7" s="411"/>
      <c r="AO7" s="411">
        <v>48</v>
      </c>
      <c r="AP7" s="411">
        <f>_xlfn.IFS(AG2&gt;=14,60,AG2&gt;=10,56,AG2&gt;=6,55,AG2&gt;=3,51,1,0)</f>
        <v>0</v>
      </c>
      <c r="AQ7" s="307" t="str">
        <f>IFERROR(INDEX(V2:AA14,$AQ$3,5),"")</f>
        <v>体质、智力</v>
      </c>
      <c r="AR7" s="224" t="s">
        <v>240</v>
      </c>
      <c r="AS7" s="224" t="str">
        <f>IFERROR(INDEX(V2:AB14,$AQ$3,2),0)</f>
        <v>轻甲、中甲、盾牌</v>
      </c>
      <c r="AT7" s="374"/>
      <c r="AU7" s="307"/>
      <c r="AV7" s="224" t="s">
        <v>1666</v>
      </c>
      <c r="AW7" s="224">
        <f>IFERROR(INDEX(AC2:AF14,$AU$3,1),0)</f>
        <v>0</v>
      </c>
      <c r="AX7" s="374"/>
      <c r="AY7" s="307"/>
      <c r="AZ7" s="224" t="s">
        <v>1666</v>
      </c>
      <c r="BA7" s="224">
        <f>IFERROR(INDEX(AC2:AF14,$AY$3,1),0)</f>
        <v>0</v>
      </c>
      <c r="BB7" s="374"/>
      <c r="BC7" s="222" t="s">
        <v>242</v>
      </c>
      <c r="BD7" s="224" t="str">
        <f>IF(AS9=0,"",AS9)&amp;IF(AW9=0,"",IF(AS9=0,"","、")&amp;AW9)&amp;IF(BA9=0,"",IF(AND(AS9=0,AW9=0),"","、")&amp;BA9)</f>
        <v>盗贼工具、修补工具、另外自选一种工匠工具</v>
      </c>
      <c r="BE7" s="192" t="str">
        <f t="shared" si="1"/>
        <v/>
      </c>
      <c r="BF7" s="200" t="str">
        <f t="array" ref="BF7">INDEX(BE:BE,SMALL(IF($BE$2:$BE$143&lt;&gt;"",ROW($2:$143),144),ROW(BE6)))&amp;""</f>
        <v/>
      </c>
      <c r="BG7" s="375" t="str">
        <f>IF(主要!C89="",0,主要!C89)</f>
        <v>技能熟练项</v>
      </c>
      <c r="BH7" s="372" t="str">
        <f t="shared" si="2"/>
        <v>从奥秘、历史、调查、医药、自然、察觉、巧手中选择两项</v>
      </c>
      <c r="BI7" s="376">
        <f t="shared" si="3"/>
        <v>1</v>
      </c>
      <c r="BJ7" s="372"/>
      <c r="BK7" s="193" t="s">
        <v>1667</v>
      </c>
      <c r="BL7" s="193" t="s">
        <v>1668</v>
      </c>
      <c r="BM7" s="193" t="s">
        <v>1669</v>
      </c>
      <c r="BN7" s="193" t="s">
        <v>1670</v>
      </c>
      <c r="BO7" s="193" t="s">
        <v>1671</v>
      </c>
      <c r="BP7" s="193" t="s">
        <v>1672</v>
      </c>
      <c r="BQ7" s="193" t="s">
        <v>1673</v>
      </c>
      <c r="BR7" s="193" t="s">
        <v>1674</v>
      </c>
      <c r="BS7" s="372"/>
      <c r="BT7" s="372"/>
      <c r="BU7" s="193" t="s">
        <v>1675</v>
      </c>
      <c r="BV7" s="193" t="s">
        <v>1676</v>
      </c>
      <c r="BW7" s="193" t="s">
        <v>1677</v>
      </c>
      <c r="BX7" s="193" t="s">
        <v>1678</v>
      </c>
      <c r="BY7" s="193" t="s">
        <v>1679</v>
      </c>
      <c r="BZ7" s="193" t="s">
        <v>1680</v>
      </c>
      <c r="CA7" s="193" t="s">
        <v>1681</v>
      </c>
      <c r="CB7" s="193" t="s">
        <v>1682</v>
      </c>
    </row>
    <row r="8" customHeight="1" spans="1:80">
      <c r="A8" s="358" t="s">
        <v>1683</v>
      </c>
      <c r="B8" s="373" t="s">
        <v>1684</v>
      </c>
      <c r="C8" s="373" t="s">
        <v>1685</v>
      </c>
      <c r="D8" s="373" t="s">
        <v>1686</v>
      </c>
      <c r="E8" s="400" t="str">
        <f>IF(综合数据!B3=TRUE,"破誓者","")</f>
        <v>破誓者</v>
      </c>
      <c r="F8" s="420" t="str">
        <f>IF(综合数据!B5=TRUE,"王冠之誓","")</f>
        <v>王冠之誓</v>
      </c>
      <c r="G8" s="245" t="str">
        <f>IF(综合数据!B7=TRUE,"征服之誓","")</f>
        <v>征服之誓</v>
      </c>
      <c r="H8" s="245" t="str">
        <f>IF(综合数据!B7=TRUE,"救赎之誓","")</f>
        <v>救赎之誓</v>
      </c>
      <c r="I8" s="270" t="str">
        <f>IF(综合数据!B13=TRUE,"荣耀之誓","")</f>
        <v>荣耀之誓</v>
      </c>
      <c r="J8" s="268" t="str">
        <f>IF(综合数据!B14=TRUE,"守望之誓","")</f>
        <v>守望之誓</v>
      </c>
      <c r="K8" s="372"/>
      <c r="L8" s="372"/>
      <c r="M8" s="372"/>
      <c r="N8" s="372"/>
      <c r="O8" s="372"/>
      <c r="P8" s="372"/>
      <c r="Q8" s="372"/>
      <c r="R8" s="372"/>
      <c r="S8" s="376"/>
      <c r="U8" s="358" t="s">
        <v>1683</v>
      </c>
      <c r="V8" s="224" t="s">
        <v>1635</v>
      </c>
      <c r="W8" s="224" t="s">
        <v>1636</v>
      </c>
      <c r="X8" s="224" t="s">
        <v>1515</v>
      </c>
      <c r="Y8" s="224"/>
      <c r="Z8" s="224" t="s">
        <v>1579</v>
      </c>
      <c r="AA8" s="224" t="s">
        <v>1687</v>
      </c>
      <c r="AB8" s="224" t="str">
        <f>AB2</f>
        <v>4、8、12、16、19</v>
      </c>
      <c r="AC8" s="224" t="s">
        <v>1514</v>
      </c>
      <c r="AD8" s="224" t="s">
        <v>1515</v>
      </c>
      <c r="AE8" s="224"/>
      <c r="AF8" s="224"/>
      <c r="AG8" s="372">
        <f t="shared" si="0"/>
        <v>0</v>
      </c>
      <c r="AH8" s="372">
        <f>IF(AG8&gt;=2,IF(SUM(AG3:AG5)+COUNTIF(AD16:AD18,D6)+ROUNDDOWN(AG9/2,)+COUNTIF(AD16:AD18,D10)+AG11+SUM(AG13:AG14)=0,ROUNDUP(AG8/2,),ROUNDDOWN(AG8/2,)),0)</f>
        <v>0</v>
      </c>
      <c r="AI8" s="372" t="str">
        <f>IF(AND(SUM(主要!I14:M14)&gt;=13,SUM(主要!I19:M19)&gt;=13,$AC$16&lt;&gt;0,$AC$16&lt;&gt;$A8,主要!Y3-主要!Y4&gt;=1),$A8,"")</f>
        <v/>
      </c>
      <c r="AJ8" s="372" t="str">
        <f>IF(AND($AC$17&lt;&gt;0,$AC$17&lt;&gt;$A8,AI8&lt;&gt;"",主要!Y3-主要!Y4-主要!Y6&gt;=1),$A8,"")</f>
        <v/>
      </c>
      <c r="AK8" s="372" t="str">
        <f>IF(AG8&gt;=3,7,"")</f>
        <v/>
      </c>
      <c r="AL8" s="377" t="e">
        <f t="array" ref="AL8">INDEX(AI:AI,SMALL(IF($AI$18:$AI$35&lt;&gt;"",ROW($18:$35),36),ROW(AI6)))&amp;""</f>
        <v>#VALUE!</v>
      </c>
      <c r="AM8" s="411" t="s">
        <v>1688</v>
      </c>
      <c r="AN8" s="411"/>
      <c r="AO8" s="411">
        <v>61</v>
      </c>
      <c r="AP8" s="411">
        <f>_xlfn.IFS(AG2&gt;=14,65,AG2&gt;=10,64,AG2&gt;=6,63,AG2&gt;=3,62,1,0)</f>
        <v>0</v>
      </c>
      <c r="AQ8" s="307"/>
      <c r="AR8" s="224" t="s">
        <v>241</v>
      </c>
      <c r="AS8" s="224" t="str">
        <f>IFERROR(INDEX(V2:AB14,$AQ$3,3),0)</f>
        <v>简易武器、火器</v>
      </c>
      <c r="AT8" s="374"/>
      <c r="AU8" s="307"/>
      <c r="AV8" s="224" t="s">
        <v>241</v>
      </c>
      <c r="AW8" s="224">
        <f>IFERROR(INDEX(AC2:AF14,$AU$3,2),0)</f>
        <v>0</v>
      </c>
      <c r="AX8" s="374"/>
      <c r="AY8" s="307"/>
      <c r="AZ8" s="224" t="s">
        <v>241</v>
      </c>
      <c r="BA8" s="224">
        <f>IFERROR(INDEX(AC2:AF14,$AY$3,2),0)</f>
        <v>0</v>
      </c>
      <c r="BB8" s="374"/>
      <c r="BC8" s="222" t="s">
        <v>243</v>
      </c>
      <c r="BD8" s="224" t="str">
        <f>AQ7</f>
        <v>体质、智力</v>
      </c>
      <c r="BE8" s="192" t="str">
        <f t="shared" si="1"/>
        <v/>
      </c>
      <c r="BF8" s="200" t="str">
        <f t="array" ref="BF8">INDEX(BE:BE,SMALL(IF($BE$2:$BE$143&lt;&gt;"",ROW($2:$143),144),ROW(BE7)))&amp;""</f>
        <v/>
      </c>
      <c r="BG8" s="375" t="str">
        <f>IF(主要!C90="",0,主要!C90)</f>
        <v>属性值提升</v>
      </c>
      <c r="BH8" s="372" t="str">
        <f t="shared" si="2"/>
        <v>当达到第0级时，你可以选择一项属性值提升2点，或是选择两项属性各提升1点。不过你不能通过此特性让属性值超过20</v>
      </c>
      <c r="BI8" s="376">
        <f t="shared" si="3"/>
        <v>1</v>
      </c>
      <c r="BJ8" s="372"/>
      <c r="BK8" s="193" t="s">
        <v>1689</v>
      </c>
      <c r="BL8" s="193" t="s">
        <v>1690</v>
      </c>
      <c r="BM8" s="372"/>
      <c r="BN8" s="372"/>
      <c r="BO8" s="193" t="s">
        <v>1691</v>
      </c>
      <c r="BP8" s="372"/>
      <c r="BQ8" s="372"/>
      <c r="BR8" s="372"/>
      <c r="BS8" s="372"/>
      <c r="BT8" s="372"/>
      <c r="BU8" s="372"/>
      <c r="BV8" s="372"/>
      <c r="BW8" s="372"/>
      <c r="BX8" s="372"/>
      <c r="BY8" s="372"/>
      <c r="BZ8" s="372"/>
    </row>
    <row r="9" customHeight="1" spans="1:80">
      <c r="A9" s="413" t="s">
        <v>1692</v>
      </c>
      <c r="B9" s="373" t="s">
        <v>1693</v>
      </c>
      <c r="C9" s="373" t="s">
        <v>1694</v>
      </c>
      <c r="D9" s="245" t="str">
        <f>IF(综合数据!B7=TRUE,"幽域追踪者","")</f>
        <v>幽域追踪者</v>
      </c>
      <c r="E9" s="245" t="str">
        <f>IF(综合数据!B7=TRUE,"边界行者","")</f>
        <v>边界行者</v>
      </c>
      <c r="F9" s="245" t="str">
        <f>IF(综合数据!B7=TRUE,"怪物杀手","")</f>
        <v>怪物杀手</v>
      </c>
      <c r="G9" s="268" t="str">
        <f>IF(综合数据!B14=TRUE,"集群守卫","")</f>
        <v>集群守卫</v>
      </c>
      <c r="H9" s="268" t="str">
        <f>IF(综合数据!B14=TRUE,"妖精漫游者","")</f>
        <v>妖精漫游者</v>
      </c>
      <c r="I9" s="421" t="str">
        <f>IF(综合数据!B16=TRUE,"龙兽守卫","")</f>
        <v>龙兽守卫</v>
      </c>
      <c r="J9" s="372"/>
      <c r="K9" s="372"/>
      <c r="L9" s="372"/>
      <c r="M9" s="372"/>
      <c r="N9" s="372"/>
      <c r="O9" s="372"/>
      <c r="P9" s="372"/>
      <c r="Q9" s="372"/>
      <c r="R9" s="372"/>
      <c r="S9" s="376"/>
      <c r="U9" s="358" t="s">
        <v>1692</v>
      </c>
      <c r="V9" s="224" t="s">
        <v>1635</v>
      </c>
      <c r="W9" s="224" t="s">
        <v>1514</v>
      </c>
      <c r="X9" s="224" t="s">
        <v>1515</v>
      </c>
      <c r="Y9" s="224"/>
      <c r="Z9" s="224" t="s">
        <v>1663</v>
      </c>
      <c r="AA9" s="224" t="s">
        <v>1695</v>
      </c>
      <c r="AB9" s="224" t="str">
        <f>AB2</f>
        <v>4、8、12、16、19</v>
      </c>
      <c r="AC9" s="224" t="s">
        <v>1514</v>
      </c>
      <c r="AD9" s="224" t="s">
        <v>1515</v>
      </c>
      <c r="AE9" s="224"/>
      <c r="AF9" s="224" t="s">
        <v>1696</v>
      </c>
      <c r="AG9" s="372">
        <f t="shared" si="0"/>
        <v>0</v>
      </c>
      <c r="AH9" s="372">
        <f>IF(AG9&gt;=2,IF(SUM(AG3:AG5)+COUNTIF(AD16:AD18,D6)+ROUNDDOWN(AG8/2,)+COUNTIF(AD16:AD18,D10)+AG11+SUM(AG13:AG14)=0,ROUNDUP(AG9/2,),ROUNDDOWN(AG9/2,)),0)</f>
        <v>0</v>
      </c>
      <c r="AI9" s="372" t="str">
        <f>IF(AND(SUM(主要!I15:M15)&gt;=13,SUM(主要!I18:M18)&gt;=13,$AC$16&lt;&gt;0,$AC$16&lt;&gt;$A9,主要!Y3-主要!Y4&gt;=1),$A9,"")</f>
        <v/>
      </c>
      <c r="AJ9" s="372" t="str">
        <f>IF(AND($AC$17&lt;&gt;0,$AC$17&lt;&gt;$A9,AI9&lt;&gt;"",主要!Y3-主要!Y4-主要!Y6&gt;=1),$A9,"")</f>
        <v/>
      </c>
      <c r="AK9" s="372" t="str">
        <f>IF(AG9&gt;=3,8,"")</f>
        <v/>
      </c>
      <c r="AL9" s="377" t="e">
        <f t="array" ref="AL9">INDEX(AI:AI,SMALL(IF($AI$18:$AI$35&lt;&gt;"",ROW($18:$35),36),ROW(AI7)))&amp;""</f>
        <v>#VALUE!</v>
      </c>
      <c r="AM9" s="250" t="s">
        <v>1697</v>
      </c>
      <c r="AN9" s="250"/>
      <c r="AO9" s="250">
        <v>66</v>
      </c>
      <c r="AP9" s="250">
        <f>_xlfn.IFS(AG2&gt;=14,70,AG2&gt;=10,69,AG2&gt;=6,68,AG2&gt;=3,67,1,0)</f>
        <v>0</v>
      </c>
      <c r="AQ9" s="307"/>
      <c r="AR9" s="224" t="s">
        <v>242</v>
      </c>
      <c r="AS9" s="224" t="str">
        <f>IFERROR(INDEX(V2:AB14,$AQ$3,4),0)</f>
        <v>盗贼工具、修补工具、另外自选一种工匠工具</v>
      </c>
      <c r="AT9" s="374"/>
      <c r="AU9" s="307"/>
      <c r="AV9" s="224" t="s">
        <v>242</v>
      </c>
      <c r="AW9" s="224">
        <f>IFERROR(INDEX(AC2:AF14,$AU$3,3),0)</f>
        <v>0</v>
      </c>
      <c r="AX9" s="374"/>
      <c r="AY9" s="307"/>
      <c r="AZ9" s="224" t="s">
        <v>242</v>
      </c>
      <c r="BA9" s="224">
        <f>IFERROR(INDEX(AC2:AF14,$AY$3,3),0)</f>
        <v>0</v>
      </c>
      <c r="BB9" s="374"/>
      <c r="BC9" s="222" t="s">
        <v>244</v>
      </c>
      <c r="BD9" s="224" t="str">
        <f>AS10&amp;IF(AW10=0,"",AW10)&amp;IF(BA10=0,"",BA10)</f>
        <v>从奥秘、历史、调查、医药、自然、察觉、巧手中选择两项</v>
      </c>
      <c r="BE9" s="192" t="str">
        <f t="shared" ref="BE9:BE24" si="4">IFERROR(IF(OR(BC11="",COUNTIF($BG$2:$BG$46,BC11)),"",BC11),"")</f>
        <v/>
      </c>
      <c r="BF9" s="200" t="str">
        <f t="array" ref="BF9">INDEX(BE:BE,SMALL(IF($BE$2:$BE$143&lt;&gt;"",ROW($2:$143),144),ROW(BE8)))&amp;""</f>
        <v/>
      </c>
      <c r="BG9" s="375">
        <f>IF(主要!C91="",0,主要!C91)</f>
        <v>0</v>
      </c>
      <c r="BH9" s="372" t="str">
        <f t="shared" si="2"/>
        <v/>
      </c>
      <c r="BI9" s="376" t="str">
        <f t="shared" si="3"/>
        <v/>
      </c>
      <c r="BJ9" s="372"/>
      <c r="BK9" s="193" t="s">
        <v>1698</v>
      </c>
      <c r="BL9" s="193" t="s">
        <v>1699</v>
      </c>
      <c r="BM9" s="372"/>
      <c r="BN9" s="372"/>
      <c r="BO9" s="193" t="s">
        <v>1700</v>
      </c>
      <c r="BP9" s="372"/>
      <c r="BQ9" s="372"/>
      <c r="BR9" s="372"/>
      <c r="BS9" s="372"/>
      <c r="BT9" s="372"/>
      <c r="BU9" s="372"/>
      <c r="BV9" s="372"/>
      <c r="BW9" s="372"/>
      <c r="BX9" s="372"/>
      <c r="BY9" s="372"/>
      <c r="BZ9" s="372"/>
    </row>
    <row r="10" customHeight="1" spans="1:80">
      <c r="A10" s="358" t="s">
        <v>1701</v>
      </c>
      <c r="B10" s="373" t="s">
        <v>1702</v>
      </c>
      <c r="C10" s="373" t="s">
        <v>1703</v>
      </c>
      <c r="D10" s="373" t="s">
        <v>1704</v>
      </c>
      <c r="E10" s="245" t="str">
        <f>IF(综合数据!B7=TRUE,"审判官","")</f>
        <v>审判官</v>
      </c>
      <c r="F10" s="245" t="str">
        <f>IF(综合数据!B7=TRUE,"策士","")</f>
        <v>策士</v>
      </c>
      <c r="G10" s="245" t="str">
        <f>IF(综合数据!B7=TRUE,"斥候","")</f>
        <v>斥候</v>
      </c>
      <c r="H10" s="245" t="str">
        <f>IF(综合数据!B7=TRUE,"游荡剑客","")</f>
        <v>游荡剑客</v>
      </c>
      <c r="I10" s="268" t="str">
        <f>IF(综合数据!B14=TRUE,"鬼魅","")</f>
        <v>鬼魅</v>
      </c>
      <c r="J10" s="268" t="str">
        <f>IF(综合数据!B14=TRUE,"魂刃","")</f>
        <v>魂刃</v>
      </c>
      <c r="K10" s="372"/>
      <c r="L10" s="372"/>
      <c r="M10" s="372"/>
      <c r="N10" s="372"/>
      <c r="O10" s="372"/>
      <c r="P10" s="372"/>
      <c r="Q10" s="372"/>
      <c r="R10" s="372"/>
      <c r="S10" s="376"/>
      <c r="U10" s="358" t="s">
        <v>1701</v>
      </c>
      <c r="V10" s="224" t="s">
        <v>1543</v>
      </c>
      <c r="W10" s="224" t="s">
        <v>1544</v>
      </c>
      <c r="X10" s="224" t="s">
        <v>1545</v>
      </c>
      <c r="Y10" s="224">
        <f>IF(COUNTIF(AC16:AC18,A14),0,"盗贼工具")</f>
        <v>0</v>
      </c>
      <c r="Z10" s="224" t="s">
        <v>1705</v>
      </c>
      <c r="AA10" s="224" t="s">
        <v>1706</v>
      </c>
      <c r="AB10" s="224" t="s">
        <v>1707</v>
      </c>
      <c r="AC10" s="224" t="s">
        <v>1544</v>
      </c>
      <c r="AD10" s="224"/>
      <c r="AE10" s="224">
        <f>IF(COUNTIF(AC16:AC18,A14),0,"盗贼工具")</f>
        <v>0</v>
      </c>
      <c r="AF10" s="224" t="s">
        <v>1708</v>
      </c>
      <c r="AG10" s="372">
        <f t="shared" si="0"/>
        <v>0</v>
      </c>
      <c r="AH10" s="372">
        <f>IF(AND(COUNTIF(AD16:AD18,D10),AG10&gt;=3),IF(SUM(AG3:AG5)+COUNTIF(AD16:AD18,D6)+ROUNDDOWN(AG8/2,)+ROUNDDOWN(AG9/2,)+AG11+SUM(AG13:AG14)=0,ROUNDUP(AG10/3,),ROUNDDOWN(AG10/3,)),0)</f>
        <v>0</v>
      </c>
      <c r="AI10" s="372" t="str">
        <f>IF(AND(SUM(主要!I15:M15)&gt;=13,$AC$16&lt;&gt;0,$AC$16&lt;&gt;$A10,主要!Y3-主要!Y4&gt;=1),$A10,"")</f>
        <v/>
      </c>
      <c r="AJ10" s="372" t="str">
        <f>IF(AND($AC$17&lt;&gt;0,$AC$17&lt;&gt;$A10,AI10&lt;&gt;"",主要!Y3-主要!Y4-主要!Y6&gt;=1),$A10,"")</f>
        <v/>
      </c>
      <c r="AK10" s="372" t="str">
        <f>IF(AG10&gt;=3,9,"")</f>
        <v/>
      </c>
      <c r="AL10" s="377" t="e">
        <f t="array" ref="AL10">INDEX(AI:AI,SMALL(IF($AI$18:$AI$35&lt;&gt;"",ROW($18:$35),36),ROW(AI8)))&amp;""</f>
        <v>#VALUE!</v>
      </c>
      <c r="AM10" s="250" t="s">
        <v>1709</v>
      </c>
      <c r="AN10" s="250"/>
      <c r="AO10" s="250">
        <v>71</v>
      </c>
      <c r="AP10" s="250">
        <f>_xlfn.IFS(AG2&gt;=14,77,AG2&gt;=10,76,AG2&gt;=6,75,AG2&gt;=3,71,1,0)</f>
        <v>0</v>
      </c>
      <c r="AQ10" s="307"/>
      <c r="AR10" s="224" t="s">
        <v>244</v>
      </c>
      <c r="AS10" s="224" t="str">
        <f>IFERROR(INDEX(V2:AB14,$AQ$3,6),"")</f>
        <v>从奥秘、历史、调查、医药、自然、察觉、巧手中选择两项</v>
      </c>
      <c r="AT10" s="374"/>
      <c r="AU10" s="307"/>
      <c r="AV10" s="224" t="s">
        <v>244</v>
      </c>
      <c r="AW10" s="224">
        <f>IFERROR(INDEX(AC2:AF14,$AU$3,4),0)</f>
        <v>0</v>
      </c>
      <c r="AX10" s="374"/>
      <c r="AY10" s="307"/>
      <c r="AZ10" s="224" t="s">
        <v>244</v>
      </c>
      <c r="BA10" s="224">
        <f>IFERROR(INDEX(AC2:AF14,$AY$3,4),0)</f>
        <v>0</v>
      </c>
      <c r="BB10" s="374"/>
      <c r="BC10" s="222" t="s">
        <v>245</v>
      </c>
      <c r="BD10" s="224" t="str">
        <f>IF(AC16&gt;0,"当达到第"&amp;IFERROR(INDEX(AQ11:BB11,1,$BD$2),"")&amp;"级时，你可以选择一项属性值提升2点，或是选择两项属性各提升1点。不过你不能通过此特性让属性值超过20","")</f>
        <v>当达到第0级时，你可以选择一项属性值提升2点，或是选择两项属性各提升1点。不过你不能通过此特性让属性值超过20</v>
      </c>
      <c r="BE10" s="192" t="str">
        <f t="shared" si="4"/>
        <v/>
      </c>
      <c r="BF10" s="200" t="str">
        <f t="array" ref="BF10">INDEX(BE:BE,SMALL(IF($BE$2:$BE$143&lt;&gt;"",ROW($2:$143),144),ROW(BE9)))&amp;""</f>
        <v/>
      </c>
      <c r="BG10" s="375">
        <f>IF(主要!C92="",0,主要!C92)</f>
        <v>0</v>
      </c>
      <c r="BH10" s="372" t="str">
        <f t="shared" si="2"/>
        <v/>
      </c>
      <c r="BI10" s="376" t="str">
        <f t="shared" ref="BI10:BI46" si="5">IF($BG10=0,"",COUNTIF($BG$2:$BG$46,$BG10))</f>
        <v/>
      </c>
      <c r="BJ10" s="372"/>
      <c r="BK10" s="372"/>
      <c r="BL10" s="193" t="s">
        <v>1710</v>
      </c>
      <c r="BM10" s="372"/>
      <c r="BN10" s="372"/>
      <c r="BO10" s="372"/>
      <c r="BP10" s="372"/>
      <c r="BQ10" s="372"/>
      <c r="BR10" s="372"/>
      <c r="BS10" s="372"/>
      <c r="BT10" s="372"/>
      <c r="BU10" s="372"/>
      <c r="BV10" s="372"/>
      <c r="BW10" s="372"/>
      <c r="BX10" s="372"/>
      <c r="BY10" s="372"/>
      <c r="BZ10" s="422"/>
      <c r="CA10" s="423"/>
    </row>
    <row r="11" customHeight="1" spans="1:80">
      <c r="A11" s="358" t="s">
        <v>1711</v>
      </c>
      <c r="B11" s="373" t="s">
        <v>1712</v>
      </c>
      <c r="C11" s="373" t="s">
        <v>1713</v>
      </c>
      <c r="D11" s="245" t="str">
        <f>IF(综合数据!B7=TRUE,"神性之魂","")</f>
        <v>神性之魂</v>
      </c>
      <c r="E11" s="245" t="str">
        <f>IF(综合数据!B7=TRUE,"幽影魔法","")</f>
        <v>幽影魔法</v>
      </c>
      <c r="F11" s="245" t="str">
        <f>IF(综合数据!B7=TRUE,"风暴术法","")</f>
        <v>风暴术法</v>
      </c>
      <c r="G11" s="268" t="str">
        <f>IF(综合数据!B14=TRUE,"畸变心智","")</f>
        <v>畸变心智</v>
      </c>
      <c r="H11" s="268" t="str">
        <f>IF(综合数据!B14=TRUE,"时械之魂","")</f>
        <v>时械之魂</v>
      </c>
      <c r="I11" s="372"/>
      <c r="J11" s="372"/>
      <c r="K11" s="372"/>
      <c r="L11" s="372"/>
      <c r="M11" s="372"/>
      <c r="N11" s="372"/>
      <c r="O11" s="372"/>
      <c r="P11" s="372"/>
      <c r="Q11" s="372"/>
      <c r="R11" s="372"/>
      <c r="S11" s="376"/>
      <c r="U11" s="358" t="s">
        <v>1711</v>
      </c>
      <c r="V11" s="224" t="s">
        <v>1714</v>
      </c>
      <c r="W11" s="224"/>
      <c r="X11" s="224" t="s">
        <v>1715</v>
      </c>
      <c r="Y11" s="224"/>
      <c r="Z11" s="224" t="s">
        <v>1716</v>
      </c>
      <c r="AA11" s="224" t="s">
        <v>1717</v>
      </c>
      <c r="AB11" s="224" t="str">
        <f>AB2</f>
        <v>4、8、12、16、19</v>
      </c>
      <c r="AC11" s="224"/>
      <c r="AD11" s="224"/>
      <c r="AE11" s="224"/>
      <c r="AF11" s="224"/>
      <c r="AG11" s="372">
        <f t="shared" si="0"/>
        <v>0</v>
      </c>
      <c r="AH11" s="372">
        <f>AG11</f>
        <v>0</v>
      </c>
      <c r="AI11" s="372" t="str">
        <f>IF(AND(SUM(主要!I19:M19)&gt;=13,$AC$16&lt;&gt;0,$AC$16&lt;&gt;$A11,主要!Y3-主要!Y4&gt;=1),$A11,"")</f>
        <v/>
      </c>
      <c r="AJ11" s="372" t="str">
        <f>IF(AND($AC$17&lt;&gt;0,$AC$17&lt;&gt;$A11,AI11&lt;&gt;"",主要!Y3-主要!Y4-主要!Y6&gt;=1),$A11,"")</f>
        <v/>
      </c>
      <c r="AK11" s="372">
        <v>10</v>
      </c>
      <c r="AL11" s="377" t="e">
        <f t="array" ref="AL11">INDEX(AI:AI,SMALL(IF($AI$18:$AI$35&lt;&gt;"",ROW($18:$35),36),ROW(AI9)))&amp;""</f>
        <v>#VALUE!</v>
      </c>
      <c r="AM11" s="271" t="s">
        <v>1718</v>
      </c>
      <c r="AN11" s="424"/>
      <c r="AO11" s="424">
        <v>78</v>
      </c>
      <c r="AP11" s="424">
        <f>_xlfn.IFS(AG2&gt;=14,82,AG2&gt;=10,81,AG2&gt;=6,80,AG2&gt;=3,79,1,0)</f>
        <v>0</v>
      </c>
      <c r="AQ11" s="307"/>
      <c r="AR11" s="224" t="s">
        <v>245</v>
      </c>
      <c r="AS11" s="372" t="str">
        <f>IFERROR(INDEX(V2:AB14,$AQ$3,7),0)</f>
        <v>4、8、12、16、19</v>
      </c>
      <c r="AT11" s="374"/>
      <c r="AU11" s="307"/>
      <c r="AV11" s="373" t="s">
        <v>245</v>
      </c>
      <c r="AW11" s="372">
        <f>IFERROR(INDEX(V2:AB14,$AU$3,7),0)</f>
        <v>0</v>
      </c>
      <c r="AX11" s="376"/>
      <c r="AY11" s="307"/>
      <c r="AZ11" s="373" t="s">
        <v>245</v>
      </c>
      <c r="BA11" s="372">
        <f>IFERROR(INDEX(V2:AB14,$AY$3,7),0)</f>
        <v>0</v>
      </c>
      <c r="BB11" s="376"/>
      <c r="BC11" s="222" t="str">
        <f>IFERROR(INDEX($AQ$12:$BF$87,1,$BC$2),"")</f>
        <v/>
      </c>
      <c r="BD11" s="224" t="str">
        <f>IFERROR(INDEX($AQ$12:$BF$87,1,$BD$2),"")</f>
        <v/>
      </c>
      <c r="BE11" s="192" t="str">
        <f t="shared" si="4"/>
        <v/>
      </c>
      <c r="BF11" s="200" t="str">
        <f t="array" ref="BF11">INDEX(BE:BE,SMALL(IF($BE$2:$BE$143&lt;&gt;"",ROW($2:$143),144),ROW(BE10)))&amp;""</f>
        <v/>
      </c>
      <c r="BG11" s="375">
        <f>IF(主要!C93="",0,主要!C93)</f>
        <v>0</v>
      </c>
      <c r="BH11" s="372" t="str">
        <f t="shared" si="2"/>
        <v/>
      </c>
      <c r="BI11" s="376" t="str">
        <f t="shared" si="5"/>
        <v/>
      </c>
      <c r="BJ11" s="372"/>
      <c r="BK11" s="372"/>
      <c r="BL11" s="193" t="s">
        <v>1719</v>
      </c>
      <c r="BM11" s="372"/>
      <c r="BN11" s="372"/>
      <c r="BO11" s="372"/>
      <c r="BP11" s="372"/>
      <c r="BQ11" s="372"/>
      <c r="BR11" s="372"/>
      <c r="BS11" s="372"/>
      <c r="BT11" s="372"/>
      <c r="BU11" s="193"/>
      <c r="BV11" s="193"/>
      <c r="BW11" s="372"/>
      <c r="BX11" s="372"/>
      <c r="BY11" s="372"/>
      <c r="BZ11" s="422"/>
      <c r="CA11" s="423"/>
    </row>
    <row r="12" customHeight="1" spans="1:80">
      <c r="A12" s="358" t="s">
        <v>1720</v>
      </c>
      <c r="B12" s="373" t="s">
        <v>1721</v>
      </c>
      <c r="C12" s="373" t="s">
        <v>349</v>
      </c>
      <c r="D12" s="373" t="s">
        <v>1722</v>
      </c>
      <c r="E12" s="420" t="str">
        <f>IF(综合数据!B5=TRUE,"不朽者","")</f>
        <v>不朽者</v>
      </c>
      <c r="F12" s="245" t="str">
        <f>IF(综合数据!B7=TRUE,"天界宗主","")</f>
        <v>天界宗主</v>
      </c>
      <c r="G12" s="245" t="str">
        <f>IF(综合数据!B7=TRUE,"咒剑士","")</f>
        <v>咒剑士</v>
      </c>
      <c r="H12" s="268" t="str">
        <f>IF(综合数据!B14=TRUE,"巨灵宗主","")</f>
        <v>巨灵宗主</v>
      </c>
      <c r="I12" s="268" t="str">
        <f>IF(综合数据!B14=TRUE,"深海意志","")</f>
        <v>深海意志</v>
      </c>
      <c r="J12" s="425" t="str">
        <f>IF(综合数据!B15=TRUE,"死灵宗主","")</f>
        <v>死灵宗主</v>
      </c>
      <c r="K12" s="372"/>
      <c r="L12" s="372"/>
      <c r="M12" s="372"/>
      <c r="N12" s="372"/>
      <c r="O12" s="372"/>
      <c r="P12" s="372"/>
      <c r="Q12" s="372"/>
      <c r="R12" s="372"/>
      <c r="S12" s="376"/>
      <c r="U12" s="358" t="s">
        <v>1720</v>
      </c>
      <c r="V12" s="224" t="s">
        <v>1543</v>
      </c>
      <c r="W12" s="224" t="s">
        <v>1544</v>
      </c>
      <c r="X12" s="224" t="s">
        <v>1578</v>
      </c>
      <c r="Y12" s="224"/>
      <c r="Z12" s="224" t="s">
        <v>1723</v>
      </c>
      <c r="AA12" s="224" t="s">
        <v>1724</v>
      </c>
      <c r="AB12" s="224" t="str">
        <f>AB2</f>
        <v>4、8、12、16、19</v>
      </c>
      <c r="AC12" s="224" t="s">
        <v>1544</v>
      </c>
      <c r="AD12" s="224" t="s">
        <v>1578</v>
      </c>
      <c r="AE12" s="224"/>
      <c r="AF12" s="224"/>
      <c r="AG12" s="372">
        <f t="shared" si="0"/>
        <v>0</v>
      </c>
      <c r="AH12" s="372"/>
      <c r="AI12" s="372" t="str">
        <f>IF(AND(SUM(主要!I19:M19)&gt;=13,$AC$16&lt;&gt;0,$AC$16&lt;&gt;$A12,主要!Y3-主要!Y4&gt;=1),$A12,"")</f>
        <v/>
      </c>
      <c r="AJ12" s="372" t="str">
        <f>IF(AND($AC$17&lt;&gt;0,$AC$17&lt;&gt;$A12,AI12&lt;&gt;"",主要!Y3-主要!Y4-主要!Y6&gt;=1),$A12,"")</f>
        <v/>
      </c>
      <c r="AK12" s="372">
        <v>11</v>
      </c>
      <c r="AL12" s="377" t="e">
        <f t="array" ref="AL12">INDEX(AI:AI,SMALL(IF($AI$18:$AI$35&lt;&gt;"",ROW($18:$35),36),ROW(AI10)))&amp;""</f>
        <v>#VALUE!</v>
      </c>
      <c r="AM12" s="413" t="s">
        <v>1540</v>
      </c>
      <c r="AN12" s="413">
        <v>2</v>
      </c>
      <c r="AO12" s="413">
        <v>1</v>
      </c>
      <c r="AP12" s="413">
        <f>_xlfn.IFS(AG3=20,18,AG3&gt;=10,17,AG3&gt;=6,16,AG3=5,15,AG3=4,14,AG3=3,13,AG3=2,11,AG3=1,8,1,0)</f>
        <v>0</v>
      </c>
      <c r="AQ12" s="307">
        <f>IF(AQ11+1&gt;$AT$3,IF($AS$4+AT11&gt;$AT$4,"",$AS$4+AT11),AQ11+1)</f>
        <v>1</v>
      </c>
      <c r="AR12" s="224" t="str">
        <f>INDEX($B$17:$AA$154,AQ12,$AR$4)</f>
        <v>魔法工艺</v>
      </c>
      <c r="AS12" s="224" t="str">
        <f t="shared" ref="AS12:AS43" si="6">INDEX($B$17:$AA$154,AQ12,$AR$3)</f>
        <v>第1级起，当你手持修补工具，或其他工匠工具。然后花费一个动作触摸一个微小的非魔法物体，从以下魔法属性中选择一个赋予它：
该物体提供5尺半径的明亮照明，以及该范围外5尺范围的微光照明
无论何时，只要该物品被生物触碰，就会发出可在10尺外听到的录音信息。录入的信息在你将此属性赋予对象时决定，且时长不可超过6秒
物品不断地发出一种气味或一种非语言的声音。这一现象最多能传播10尺远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你能够使用该特性影响的物品的最大数量等于你的智力调整值（最少一个物品）。如果你试图超过最大值，最老的魔法属性将立即结束，然后新的魔法属性生效</v>
      </c>
      <c r="AT12" s="374">
        <f t="shared" ref="AT12:AT43" si="7">IF(AQ11+1&gt;$AT$3,AT11+1,0)</f>
        <v>0</v>
      </c>
      <c r="AU12" s="307" t="e">
        <f>IF($AU11+1&gt;$AX$3,IF($AW$4+AX11&gt;$AX$4,"",$AW$4+AX11),$AU11+1)</f>
        <v>#N/A</v>
      </c>
      <c r="AV12" s="224" t="e">
        <f t="shared" ref="AV12:AV43" si="8">INDEX($B$17:$AA$154,AU12,$AV$4)</f>
        <v>#N/A</v>
      </c>
      <c r="AW12" s="224" t="e">
        <f t="shared" ref="AW12:AW43" si="9">INDEX($B$17:$AA$154,AU12,$AV$3)</f>
        <v>#N/A</v>
      </c>
      <c r="AX12" s="374" t="e">
        <f t="shared" ref="AX12:AX43" si="10">IF($AU11+1&gt;$AX$3,$AX11+1,0)</f>
        <v>#N/A</v>
      </c>
      <c r="AY12" s="307" t="e">
        <f>IF($AY11+1&gt;$BB$3,IF($BA$4+BB11&gt;$BB$4,"",$BA$4+BB11),$AY11+1)</f>
        <v>#N/A</v>
      </c>
      <c r="AZ12" s="224" t="e">
        <f t="shared" ref="AZ12:AZ43" si="11">INDEX($B$17:$AA$154,AY12,$AZ$4)</f>
        <v>#N/A</v>
      </c>
      <c r="BA12" s="224" t="e">
        <f t="shared" ref="BA12:BA43" si="12">INDEX($B$17:$AA$154,AY12,$AZ$3)</f>
        <v>#N/A</v>
      </c>
      <c r="BB12" s="374" t="e">
        <f t="shared" ref="BB12:BB43" si="13">IF($AY11+1&gt;$BB$3,$BB11+1,0)</f>
        <v>#N/A</v>
      </c>
      <c r="BC12" s="222" t="str">
        <f>IFERROR(INDEX($AQ$12:$BF$87,2,$BC$2),"")</f>
        <v/>
      </c>
      <c r="BD12" s="224" t="str">
        <f>IFERROR(INDEX($AQ$12:$BF$87,2,$BD$2),"")</f>
        <v/>
      </c>
      <c r="BE12" s="192" t="str">
        <f t="shared" si="4"/>
        <v/>
      </c>
      <c r="BF12" s="200" t="str">
        <f t="array" ref="BF12">INDEX(BE:BE,SMALL(IF($BE$2:$BE$143&lt;&gt;"",ROW($2:$143),144),ROW(BE11)))&amp;""</f>
        <v/>
      </c>
      <c r="BG12" s="375">
        <f>IF(主要!C94="",0,主要!C94)</f>
        <v>0</v>
      </c>
      <c r="BH12" s="372" t="str">
        <f t="shared" si="2"/>
        <v/>
      </c>
      <c r="BI12" s="376" t="str">
        <f t="shared" si="5"/>
        <v/>
      </c>
      <c r="BJ12" s="372"/>
      <c r="BK12" s="372"/>
      <c r="BL12" s="372"/>
      <c r="BM12" s="372"/>
      <c r="BN12" s="372"/>
      <c r="BO12" s="372"/>
      <c r="BP12" s="372"/>
      <c r="BQ12" s="372"/>
      <c r="BR12" s="372"/>
      <c r="BS12" s="372"/>
      <c r="BT12" s="372"/>
      <c r="BU12" s="372"/>
      <c r="BV12" s="372"/>
      <c r="BW12" s="372"/>
      <c r="BX12" s="372"/>
      <c r="BY12" s="372"/>
      <c r="BZ12" s="422"/>
      <c r="CA12" s="423"/>
    </row>
    <row r="13" customHeight="1" spans="1:80">
      <c r="A13" s="358" t="s">
        <v>1725</v>
      </c>
      <c r="B13" s="373" t="s">
        <v>1726</v>
      </c>
      <c r="C13" s="373" t="s">
        <v>1727</v>
      </c>
      <c r="D13" s="373" t="s">
        <v>1728</v>
      </c>
      <c r="E13" s="373" t="s">
        <v>1729</v>
      </c>
      <c r="F13" s="373" t="s">
        <v>1730</v>
      </c>
      <c r="G13" s="373" t="s">
        <v>1731</v>
      </c>
      <c r="H13" s="373" t="s">
        <v>1732</v>
      </c>
      <c r="I13" s="373" t="s">
        <v>1733</v>
      </c>
      <c r="J13" s="420" t="str">
        <f>IF(综合数据!B5=TRUE,"剑咏者","")</f>
        <v>剑咏者</v>
      </c>
      <c r="K13" s="245" t="str">
        <f>IF(综合数据!B7=TRUE,"战法师","")</f>
        <v>战法师</v>
      </c>
      <c r="L13" s="426" t="str">
        <f>IF(综合数据!B11=TRUE,"时间魔法","")</f>
        <v>时间魔法</v>
      </c>
      <c r="M13" s="426" t="str">
        <f>IF(综合数据!B11=TRUE,"重力魔法","")</f>
        <v>重力魔法</v>
      </c>
      <c r="N13" s="268" t="str">
        <f>IF(综合数据!B14=TRUE,"书士会","")</f>
        <v>书士会</v>
      </c>
      <c r="O13" s="372"/>
      <c r="P13" s="372"/>
      <c r="Q13" s="372"/>
      <c r="R13" s="372"/>
      <c r="S13" s="376"/>
      <c r="U13" s="358" t="s">
        <v>1725</v>
      </c>
      <c r="V13" s="224" t="s">
        <v>1714</v>
      </c>
      <c r="W13" s="224"/>
      <c r="X13" s="224" t="s">
        <v>1715</v>
      </c>
      <c r="Y13" s="224"/>
      <c r="Z13" s="224" t="s">
        <v>1608</v>
      </c>
      <c r="AA13" s="224" t="s">
        <v>1734</v>
      </c>
      <c r="AB13" s="224" t="str">
        <f>AB2</f>
        <v>4、8、12、16、19</v>
      </c>
      <c r="AC13" s="224"/>
      <c r="AD13" s="224"/>
      <c r="AE13" s="224"/>
      <c r="AF13" s="224"/>
      <c r="AG13" s="372">
        <f t="shared" si="0"/>
        <v>0</v>
      </c>
      <c r="AH13" s="372">
        <f>AG13</f>
        <v>0</v>
      </c>
      <c r="AI13" s="372" t="str">
        <f>IF(AND(SUM(主要!I17:M17)&gt;=13,$AC$16&lt;&gt;0,$AC$16&lt;&gt;$A13,主要!Y3-主要!Y4&gt;=1),$A13,"")</f>
        <v/>
      </c>
      <c r="AJ13" s="372" t="str">
        <f>IF(AND($AC$17&lt;&gt;0,$AC$17&lt;&gt;$A13,AI13&lt;&gt;"",主要!Y3-主要!Y4-主要!Y6&gt;=1),$A13,"")</f>
        <v/>
      </c>
      <c r="AK13" s="372" t="str">
        <f>IF(AG13&gt;=2,12,"")</f>
        <v/>
      </c>
      <c r="AL13" s="377" t="e">
        <f t="array" ref="AL13">INDEX(AI:AI,SMALL(IF($AI$18:$AI$35&lt;&gt;"",ROW($18:$35),36),ROW(AI11)))&amp;""</f>
        <v>#VALUE!</v>
      </c>
      <c r="AM13" s="373" t="s">
        <v>1541</v>
      </c>
      <c r="AN13" s="373"/>
      <c r="AO13" s="373">
        <v>19</v>
      </c>
      <c r="AP13" s="373">
        <f>_xlfn.IFS(AG3&gt;=14,22,AG3&gt;=6,21,AG3&gt;=3,20,1,0)</f>
        <v>0</v>
      </c>
      <c r="AQ13" s="307">
        <f>IF(AQ12+1&gt;$AT$3,IF($AS$4+AT12&gt;$AT$4,"",$AS$4+AT12),AQ12+1)</f>
        <v>2</v>
      </c>
      <c r="AR13" s="224" t="str">
        <f>INDEX($B$17:$AA$154,AQ13,$AR$4)</f>
        <v>施法-奇械师</v>
      </c>
      <c r="AS13" s="224" t="str">
        <f t="shared" si="6"/>
        <v>你已经学习了魔法的工作原理，知道如何引导魔法进入物体，以及如何唤醒魔法</v>
      </c>
      <c r="AT13" s="374">
        <f t="shared" si="7"/>
        <v>0</v>
      </c>
      <c r="AU13" s="307" t="e">
        <f t="shared" ref="AU13:AU76" si="14">IF($AU12+1&gt;$AX$3,IF($AW$4+AX12&gt;$AX$4,"",$AW$4+AX12),$AU12+1)</f>
        <v>#N/A</v>
      </c>
      <c r="AV13" s="224" t="e">
        <f t="shared" si="8"/>
        <v>#N/A</v>
      </c>
      <c r="AW13" s="224" t="e">
        <f t="shared" si="9"/>
        <v>#N/A</v>
      </c>
      <c r="AX13" s="374" t="e">
        <f t="shared" si="10"/>
        <v>#N/A</v>
      </c>
      <c r="AY13" s="307" t="e">
        <f t="shared" ref="AY13:AY76" si="15">IF($AY12+1&gt;$BB$3,IF($BA$4+BB12&gt;$BB$4,"",$BA$4+BB12),$AY12+1)</f>
        <v>#N/A</v>
      </c>
      <c r="AZ13" s="224" t="e">
        <f t="shared" si="11"/>
        <v>#N/A</v>
      </c>
      <c r="BA13" s="224" t="e">
        <f t="shared" si="12"/>
        <v>#N/A</v>
      </c>
      <c r="BB13" s="374" t="e">
        <f t="shared" si="13"/>
        <v>#N/A</v>
      </c>
      <c r="BC13" s="222" t="str">
        <f>IFERROR(INDEX($AQ$12:$BF$87,3,$BC$2),"")</f>
        <v/>
      </c>
      <c r="BD13" s="224" t="str">
        <f>IFERROR(INDEX($AQ$12:$BF$87,3,$BD$2),"")</f>
        <v/>
      </c>
      <c r="BE13" s="192" t="str">
        <f t="shared" si="4"/>
        <v/>
      </c>
      <c r="BF13" s="200" t="str">
        <f t="array" ref="BF13">INDEX(BE:BE,SMALL(IF($BE$2:$BE$143&lt;&gt;"",ROW($2:$143),144),ROW(BE12)))&amp;""</f>
        <v/>
      </c>
      <c r="BG13" s="375">
        <f>IF(主要!C95="",0,主要!C95)</f>
        <v>0</v>
      </c>
      <c r="BH13" s="372" t="str">
        <f t="shared" si="2"/>
        <v/>
      </c>
      <c r="BI13" s="376" t="str">
        <f t="shared" si="5"/>
        <v/>
      </c>
      <c r="BJ13" s="372"/>
      <c r="BK13" s="372"/>
      <c r="BL13" s="372"/>
      <c r="BM13" s="372"/>
      <c r="BN13" s="372"/>
      <c r="BO13" s="372"/>
      <c r="BP13" s="372"/>
      <c r="BQ13" s="372"/>
      <c r="BR13" s="372"/>
      <c r="BS13" s="372"/>
      <c r="BT13" s="372"/>
      <c r="BU13" s="372"/>
      <c r="BV13" s="372"/>
      <c r="BW13" s="372"/>
      <c r="BX13" s="372"/>
      <c r="BY13" s="372"/>
      <c r="BZ13" s="422"/>
      <c r="CA13" s="423"/>
    </row>
    <row r="14" customHeight="1" spans="1:80">
      <c r="A14" s="362" t="str">
        <f>IF(OR(综合数据!B10=TRUE,综合数据!B14=TRUE),"奇械师","")</f>
        <v>奇械师</v>
      </c>
      <c r="B14" s="381" t="s">
        <v>1735</v>
      </c>
      <c r="C14" s="381" t="s">
        <v>1736</v>
      </c>
      <c r="D14" s="381" t="s">
        <v>1737</v>
      </c>
      <c r="E14" s="427" t="str">
        <f>IF(综合数据!B14=TRUE,"装甲师","")</f>
        <v>装甲师</v>
      </c>
      <c r="F14" s="382"/>
      <c r="G14" s="382"/>
      <c r="H14" s="382"/>
      <c r="I14" s="382"/>
      <c r="J14" s="382"/>
      <c r="K14" s="382"/>
      <c r="L14" s="382"/>
      <c r="M14" s="382"/>
      <c r="N14" s="382"/>
      <c r="O14" s="382"/>
      <c r="P14" s="382"/>
      <c r="Q14" s="382"/>
      <c r="R14" s="382"/>
      <c r="S14" s="383"/>
      <c r="U14" s="362" t="s">
        <v>39</v>
      </c>
      <c r="V14" s="234" t="s">
        <v>1543</v>
      </c>
      <c r="W14" s="234" t="s">
        <v>1514</v>
      </c>
      <c r="X14" s="234" t="str">
        <f>"简易武器"&amp;IF(综合数据!B3=TRUE,"、火器","")</f>
        <v>简易武器、火器</v>
      </c>
      <c r="Y14" s="234" t="s">
        <v>1738</v>
      </c>
      <c r="Z14" s="234" t="s">
        <v>1739</v>
      </c>
      <c r="AA14" s="234" t="s">
        <v>1740</v>
      </c>
      <c r="AB14" s="234" t="str">
        <f>AB2</f>
        <v>4、8、12、16、19</v>
      </c>
      <c r="AC14" s="234" t="s">
        <v>1741</v>
      </c>
      <c r="AD14" s="234" t="str">
        <f>IF(综合数据!B3=TRUE,"火器","")</f>
        <v>火器</v>
      </c>
      <c r="AE14" s="234" t="s">
        <v>1742</v>
      </c>
      <c r="AF14" s="234"/>
      <c r="AG14" s="382">
        <f t="shared" si="0"/>
        <v>1</v>
      </c>
      <c r="AH14" s="382">
        <f>ROUNDUP(AG14/2,)</f>
        <v>1</v>
      </c>
      <c r="AI14" s="382" t="str">
        <f>IF(AND(SUM(主要!I17:M17)&gt;=13,$AC$16&lt;&gt;0,$AC$16&lt;&gt;$A14,主要!Y3-主要!Y4&gt;=1),$A14,"")</f>
        <v/>
      </c>
      <c r="AJ14" s="382" t="str">
        <f>IF(AND($AC$17&lt;&gt;0,$AC$17&lt;&gt;$A14,AI14&lt;&gt;"",主要!Y3-主要!Y4-主要!Y6&gt;=1),$A14,"")</f>
        <v/>
      </c>
      <c r="AK14" s="382" t="str">
        <f>IF(AG14&gt;=3,13,"")</f>
        <v/>
      </c>
      <c r="AL14" s="377" t="e">
        <f t="array" ref="AL14">INDEX(AI:AI,SMALL(IF($AI$18:$AI$35&lt;&gt;"",ROW($18:$35),36),ROW(AI12)))&amp;""</f>
        <v>#VALUE!</v>
      </c>
      <c r="AM14" s="373" t="s">
        <v>1542</v>
      </c>
      <c r="AN14" s="373"/>
      <c r="AO14" s="373">
        <v>23</v>
      </c>
      <c r="AP14" s="373">
        <f>_xlfn.IFS(AG3&gt;=14,26,AG3&gt;=6,25,AG3&gt;=3,24,1,0)</f>
        <v>0</v>
      </c>
      <c r="AQ14" s="307">
        <f t="shared" ref="AQ14:AQ76" si="16">IF(AQ13+1&gt;$AT$3,IF($AS$4+AT13&gt;$AT$4,"",$AS$4+AT13),AQ13+1)</f>
        <v>3</v>
      </c>
      <c r="AR14" s="224" t="str">
        <f t="shared" ref="AR14:AR43" si="17">INDEX($B$17:$AA$154,AQ14,$AR$4)</f>
        <v>必备工具</v>
      </c>
      <c r="AS14" s="224" t="str">
        <f t="shared" si="6"/>
        <v>当你使用施法特性来施展法术时，必须手持盗贼工具或工匠工具作为法器。你必须熟练这一工具才能将它作为法器使用
第2级起，你也能使用任何你进行过物品注法的物品来作为法器使用</v>
      </c>
      <c r="AT14" s="374">
        <f t="shared" si="7"/>
        <v>0</v>
      </c>
      <c r="AU14" s="307" t="e">
        <f t="shared" si="14"/>
        <v>#N/A</v>
      </c>
      <c r="AV14" s="224" t="e">
        <f t="shared" si="8"/>
        <v>#N/A</v>
      </c>
      <c r="AW14" s="224" t="e">
        <f t="shared" si="9"/>
        <v>#N/A</v>
      </c>
      <c r="AX14" s="374" t="e">
        <f t="shared" si="10"/>
        <v>#N/A</v>
      </c>
      <c r="AY14" s="307" t="e">
        <f t="shared" si="15"/>
        <v>#N/A</v>
      </c>
      <c r="AZ14" s="224" t="e">
        <f t="shared" si="11"/>
        <v>#N/A</v>
      </c>
      <c r="BA14" s="224" t="e">
        <f t="shared" si="12"/>
        <v>#N/A</v>
      </c>
      <c r="BB14" s="374" t="e">
        <f t="shared" si="13"/>
        <v>#N/A</v>
      </c>
      <c r="BC14" s="222" t="str">
        <f>IFERROR(INDEX($AQ$12:$BF$87,4,$BC$2),"")</f>
        <v/>
      </c>
      <c r="BD14" s="224" t="str">
        <f>IFERROR(INDEX($AQ$12:$BF$87,4,$BD$2),"")</f>
        <v/>
      </c>
      <c r="BE14" s="192" t="str">
        <f t="shared" si="4"/>
        <v/>
      </c>
      <c r="BF14" s="200" t="str">
        <f t="array" ref="BF14">INDEX(BE:BE,SMALL(IF($BE$2:$BE$143&lt;&gt;"",ROW($2:$143),144),ROW(BE13)))&amp;""</f>
        <v/>
      </c>
      <c r="BG14" s="375">
        <f>IF(主要!C96="",0,主要!C96)</f>
        <v>0</v>
      </c>
      <c r="BH14" s="372" t="str">
        <f t="shared" si="2"/>
        <v/>
      </c>
      <c r="BI14" s="376" t="str">
        <f t="shared" si="5"/>
        <v/>
      </c>
      <c r="BJ14" s="372"/>
      <c r="BK14" s="372"/>
      <c r="BL14" s="372"/>
      <c r="BM14" s="372"/>
      <c r="BN14" s="372"/>
      <c r="BO14" s="372"/>
      <c r="BP14" s="372"/>
      <c r="BQ14" s="372"/>
      <c r="BR14" s="372"/>
      <c r="BS14" s="372"/>
      <c r="BT14" s="372"/>
      <c r="BU14" s="372"/>
      <c r="BV14" s="372"/>
      <c r="BW14" s="372"/>
      <c r="BX14" s="372"/>
      <c r="BY14" s="372"/>
      <c r="BZ14" s="422"/>
      <c r="CA14" s="423"/>
    </row>
    <row r="15" customHeight="1" spans="1:80">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377" t="e">
        <f t="array" ref="AL15">INDEX(AI:AI,SMALL(IF($AI$18:$AI$35&lt;&gt;"",ROW($18:$35),36),ROW(AI13)))&amp;""</f>
        <v>#VALUE!</v>
      </c>
      <c r="AM15" s="245" t="s">
        <v>1743</v>
      </c>
      <c r="AN15" s="245"/>
      <c r="AO15" s="245">
        <v>27</v>
      </c>
      <c r="AP15" s="245">
        <f>_xlfn.IFS(AG3&gt;=14,30,AG3&gt;=6,29,AG3&gt;=3,28,1,0)</f>
        <v>0</v>
      </c>
      <c r="AQ15" s="307">
        <f t="shared" si="16"/>
        <v>4</v>
      </c>
      <c r="AR15" s="224" t="str">
        <f t="shared" si="17"/>
        <v>戏法-奇械师</v>
      </c>
      <c r="AS15" s="224" t="str">
        <f t="shared" si="6"/>
        <v>第1级时，你从奇械师法术列表中选择两个戏法作为已知法术。在获得更高奇械师等级后你还可以习得其它的戏法，具体数量见“奇械师职业表”中“已知戏法”一栏
当你提升一个奇械师等级时，可以从奇械师戏法列表表中选择一个你未习得的戏法，替换一个你已经习得的戏法</v>
      </c>
      <c r="AT15" s="374">
        <f t="shared" si="7"/>
        <v>0</v>
      </c>
      <c r="AU15" s="307" t="e">
        <f t="shared" si="14"/>
        <v>#N/A</v>
      </c>
      <c r="AV15" s="224" t="e">
        <f t="shared" si="8"/>
        <v>#N/A</v>
      </c>
      <c r="AW15" s="224" t="e">
        <f t="shared" si="9"/>
        <v>#N/A</v>
      </c>
      <c r="AX15" s="374" t="e">
        <f t="shared" si="10"/>
        <v>#N/A</v>
      </c>
      <c r="AY15" s="307" t="e">
        <f t="shared" si="15"/>
        <v>#N/A</v>
      </c>
      <c r="AZ15" s="224" t="e">
        <f t="shared" si="11"/>
        <v>#N/A</v>
      </c>
      <c r="BA15" s="224" t="e">
        <f t="shared" si="12"/>
        <v>#N/A</v>
      </c>
      <c r="BB15" s="374" t="e">
        <f t="shared" si="13"/>
        <v>#N/A</v>
      </c>
      <c r="BC15" s="222" t="str">
        <f>IFERROR(INDEX($AQ$12:$BF$87,5,$BC$2),"")</f>
        <v/>
      </c>
      <c r="BD15" s="224" t="str">
        <f>IFERROR(INDEX($AQ$12:$BF$87,5,$BD$2),"")</f>
        <v/>
      </c>
      <c r="BE15" s="192" t="str">
        <f t="shared" si="4"/>
        <v/>
      </c>
      <c r="BF15" s="200" t="str">
        <f t="array" ref="BF15">INDEX(BE:BE,SMALL(IF($BE$2:$BE$143&lt;&gt;"",ROW($2:$143),144),ROW(BE14)))&amp;""</f>
        <v/>
      </c>
      <c r="BG15" s="375">
        <f>IF(主要!C97="",0,主要!C97)</f>
        <v>0</v>
      </c>
      <c r="BH15" s="372" t="str">
        <f t="shared" si="2"/>
        <v/>
      </c>
      <c r="BI15" s="376" t="str">
        <f t="shared" si="5"/>
        <v/>
      </c>
      <c r="BJ15" s="372"/>
      <c r="BK15" s="372"/>
      <c r="BL15" s="372"/>
      <c r="BM15" s="372"/>
      <c r="BN15" s="372"/>
      <c r="BO15" s="372"/>
      <c r="BP15" s="372"/>
      <c r="BQ15" s="372"/>
      <c r="BR15" s="372"/>
      <c r="BS15" s="372"/>
      <c r="BT15" s="372"/>
      <c r="BU15" s="372"/>
      <c r="BV15" s="372"/>
      <c r="BW15" s="372"/>
      <c r="BX15" s="372"/>
      <c r="BY15" s="372"/>
      <c r="BZ15" s="422"/>
      <c r="CA15" s="423"/>
    </row>
    <row r="16" customHeight="1" spans="1:80">
      <c r="A16" s="391"/>
      <c r="B16" s="264" t="s">
        <v>1510</v>
      </c>
      <c r="C16" s="264"/>
      <c r="D16" s="264" t="s">
        <v>1540</v>
      </c>
      <c r="E16" s="264"/>
      <c r="F16" s="264" t="s">
        <v>1570</v>
      </c>
      <c r="G16" s="264"/>
      <c r="H16" s="264" t="s">
        <v>1600</v>
      </c>
      <c r="I16" s="264"/>
      <c r="J16" s="264" t="s">
        <v>1631</v>
      </c>
      <c r="K16" s="264"/>
      <c r="L16" s="264" t="s">
        <v>1657</v>
      </c>
      <c r="M16" s="264"/>
      <c r="N16" s="264" t="s">
        <v>1683</v>
      </c>
      <c r="O16" s="264"/>
      <c r="P16" s="264" t="s">
        <v>1692</v>
      </c>
      <c r="Q16" s="264"/>
      <c r="R16" s="264" t="s">
        <v>1701</v>
      </c>
      <c r="S16" s="264"/>
      <c r="T16" s="264" t="s">
        <v>1711</v>
      </c>
      <c r="U16" s="264"/>
      <c r="V16" s="264" t="s">
        <v>1720</v>
      </c>
      <c r="W16" s="264"/>
      <c r="X16" s="264" t="s">
        <v>1725</v>
      </c>
      <c r="Y16" s="264"/>
      <c r="Z16" s="428" t="s">
        <v>39</v>
      </c>
      <c r="AA16" s="429"/>
      <c r="AB16" s="391"/>
      <c r="AC16" s="430" t="str">
        <f>IF(主要!R4="",0,主要!R4)</f>
        <v>奇械师</v>
      </c>
      <c r="AD16" s="430">
        <f>IF(主要!V4="",0,主要!V4)</f>
        <v>0</v>
      </c>
      <c r="AE16" s="430">
        <f>主要!Y4</f>
        <v>1</v>
      </c>
      <c r="AF16" s="369">
        <v>1</v>
      </c>
      <c r="AG16" s="263" t="s">
        <v>1744</v>
      </c>
      <c r="AH16" s="265"/>
      <c r="AI16" s="391" t="s">
        <v>1520</v>
      </c>
      <c r="AJ16" s="264" t="s">
        <v>1745</v>
      </c>
      <c r="AK16" s="264" t="s">
        <v>1746</v>
      </c>
      <c r="AL16" s="377" t="e">
        <f t="array" ref="AL16">INDEX(AI:AI,SMALL(IF($AI$18:$AI$35&lt;&gt;"",ROW($18:$35),36),ROW(AI14)))&amp;""</f>
        <v>#VALUE!</v>
      </c>
      <c r="AM16" s="245" t="s">
        <v>1747</v>
      </c>
      <c r="AN16" s="245"/>
      <c r="AO16" s="245">
        <v>31</v>
      </c>
      <c r="AP16" s="431">
        <f>_xlfn.IFS(AG3&gt;=14,37,AG3&gt;=6,36,AG3&gt;=3,35,1,0)</f>
        <v>0</v>
      </c>
      <c r="AQ16" s="307">
        <f t="shared" si="16"/>
        <v>5</v>
      </c>
      <c r="AR16" s="224" t="str">
        <f t="shared" si="17"/>
        <v>法术的准备和施展</v>
      </c>
      <c r="AS16" s="224" t="str">
        <f t="shared" si="6"/>
        <v>“奇械师职业表”里记录了你用以施展法师法术的一环及更高环阶法术位数量。施展某个奇械师法术时，你必须同时消耗其对应环阶的法术位。已消耗的法术位可在完成长休后恢复
你可以准备奇械师法术列表中所有符合当前施展条件的法术。准备法术时，你所准备法术的总数等于你的智力调整值＋你的奇械师职业等级的一半（最少可以准备一个）。另外，你只能准备已经获得相应环阶法术位的法术
你可以在完成长休后改变你的准备法术列表。如需准备新的奇械师法术，你需要花时间来调整你的法器。准备法术时，法术的每个环阶平均要花费至少1分钟的准备时间</v>
      </c>
      <c r="AT16" s="374">
        <f t="shared" si="7"/>
        <v>0</v>
      </c>
      <c r="AU16" s="307" t="e">
        <f t="shared" si="14"/>
        <v>#N/A</v>
      </c>
      <c r="AV16" s="224" t="e">
        <f t="shared" si="8"/>
        <v>#N/A</v>
      </c>
      <c r="AW16" s="224" t="e">
        <f t="shared" si="9"/>
        <v>#N/A</v>
      </c>
      <c r="AX16" s="374" t="e">
        <f t="shared" si="10"/>
        <v>#N/A</v>
      </c>
      <c r="AY16" s="307" t="e">
        <f t="shared" si="15"/>
        <v>#N/A</v>
      </c>
      <c r="AZ16" s="224" t="e">
        <f t="shared" si="11"/>
        <v>#N/A</v>
      </c>
      <c r="BA16" s="224" t="e">
        <f t="shared" si="12"/>
        <v>#N/A</v>
      </c>
      <c r="BB16" s="374" t="e">
        <f t="shared" si="13"/>
        <v>#N/A</v>
      </c>
      <c r="BC16" s="222" t="str">
        <f>IFERROR(INDEX($AQ$12:$BF$87,6,$BC$2),"")</f>
        <v/>
      </c>
      <c r="BD16" s="224" t="str">
        <f>IFERROR(INDEX($AQ$12:$BF$87,6,$BD$2),"")</f>
        <v/>
      </c>
      <c r="BE16" s="192" t="str">
        <f t="shared" si="4"/>
        <v/>
      </c>
      <c r="BF16" s="200" t="str">
        <f t="array" ref="BF16">INDEX(BE:BE,SMALL(IF($BE$2:$BE$143&lt;&gt;"",ROW($2:$143),144),ROW(BE15)))&amp;""</f>
        <v/>
      </c>
      <c r="BG16" s="375">
        <f>IF(主要!C98="",0,主要!C98)</f>
        <v>0</v>
      </c>
      <c r="BH16" s="372" t="str">
        <f t="shared" si="2"/>
        <v/>
      </c>
      <c r="BI16" s="376" t="str">
        <f t="shared" si="5"/>
        <v/>
      </c>
      <c r="BJ16" s="372"/>
      <c r="BK16" s="372"/>
      <c r="BL16" s="372"/>
      <c r="BM16" s="372"/>
      <c r="BN16" s="372"/>
      <c r="BO16" s="372"/>
      <c r="BP16" s="372"/>
      <c r="BQ16" s="372"/>
      <c r="BR16" s="372"/>
      <c r="BS16" s="372"/>
      <c r="BT16" s="372"/>
      <c r="BU16" s="372"/>
      <c r="BV16" s="372"/>
      <c r="BW16" s="372"/>
      <c r="BX16" s="372"/>
      <c r="BY16" s="372"/>
      <c r="BZ16" s="372"/>
    </row>
    <row r="17" customHeight="1" spans="1:78">
      <c r="A17" s="375">
        <v>1</v>
      </c>
      <c r="B17" s="373" t="s">
        <v>1748</v>
      </c>
      <c r="C17" s="224" t="s">
        <v>1749</v>
      </c>
      <c r="D17" s="373" t="s">
        <v>1750</v>
      </c>
      <c r="E17" s="224" t="s">
        <v>1751</v>
      </c>
      <c r="F17" s="224" t="s">
        <v>1752</v>
      </c>
      <c r="G17" s="224" t="s">
        <v>1753</v>
      </c>
      <c r="H17" s="224" t="s">
        <v>1754</v>
      </c>
      <c r="I17" s="224" t="s">
        <v>1755</v>
      </c>
      <c r="J17" s="224" t="s">
        <v>1756</v>
      </c>
      <c r="K17" s="224" t="s">
        <v>1757</v>
      </c>
      <c r="L17" s="224" t="str">
        <f>IF(AND(COUNTIF(AC17:AC18,A7),COUNTIF(AC16:AC17,A2)),"","无甲防御")</f>
        <v>无甲防御</v>
      </c>
      <c r="M17" s="224" t="s">
        <v>1758</v>
      </c>
      <c r="N17" s="224" t="s">
        <v>1759</v>
      </c>
      <c r="O17" s="224" t="s">
        <v>1760</v>
      </c>
      <c r="P17" s="432" t="str">
        <f>IF(OR(BH57&lt;1,COUNTIF($BG$2:$BG$46,"宿敌")),"宿敌","")</f>
        <v>宿敌</v>
      </c>
      <c r="Q17" s="432" t="s">
        <v>1761</v>
      </c>
      <c r="R17" s="224" t="s">
        <v>1762</v>
      </c>
      <c r="S17" s="224" t="s">
        <v>1763</v>
      </c>
      <c r="T17" s="373" t="s">
        <v>1764</v>
      </c>
      <c r="U17" s="224" t="s">
        <v>1765</v>
      </c>
      <c r="V17" s="224" t="s">
        <v>1766</v>
      </c>
      <c r="W17" s="224" t="s">
        <v>1767</v>
      </c>
      <c r="X17" s="373" t="s">
        <v>1768</v>
      </c>
      <c r="Y17" s="224" t="s">
        <v>1769</v>
      </c>
      <c r="Z17" s="224" t="s">
        <v>1770</v>
      </c>
      <c r="AA17" s="223" t="s">
        <v>1771</v>
      </c>
      <c r="AB17" s="375" t="str">
        <f>IF(AC17=0,"",COUNTIF(AC16:AC18,AC17))</f>
        <v/>
      </c>
      <c r="AC17" s="294">
        <f>IF(主要!R6="",0,主要!R6)</f>
        <v>0</v>
      </c>
      <c r="AD17" s="294">
        <f>IF(主要!V6="",0,主要!V6)</f>
        <v>0</v>
      </c>
      <c r="AE17" s="433">
        <f>主要!Y6</f>
        <v>0</v>
      </c>
      <c r="AF17" s="376">
        <v>2</v>
      </c>
      <c r="AG17" s="375" t="str">
        <f t="array" ref="AG17">INDEX(AI:AI,SMALL(IF($AI$2:$AI$14&lt;&gt;"",ROW($2:$14),15),ROW(AI1)))&amp;""</f>
        <v/>
      </c>
      <c r="AH17" s="200" t="str">
        <f t="array" ref="AH17">INDEX(AJ:AJ,SMALL(IF($AJ$2:$AJ$14&lt;&gt;"",ROW($2:$14),15),ROW(AJ1)))&amp;""</f>
        <v/>
      </c>
      <c r="AI17" s="375" t="str">
        <f>VLOOKUP(AC16,U2:AK14,17,0)</f>
        <v/>
      </c>
      <c r="AJ17" s="372" t="e">
        <f>VLOOKUP(AC17,U2:AK14,17,0)</f>
        <v>#N/A</v>
      </c>
      <c r="AK17" s="372" t="e">
        <f>VLOOKUP(AC18,U2:AK14,17,0)</f>
        <v>#N/A</v>
      </c>
      <c r="AL17" s="377" t="e">
        <f t="array" ref="AL17">INDEX(AI:AI,SMALL(IF($AI$18:$AI$35&lt;&gt;"",ROW($18:$35),36),ROW(AI15)))&amp;""</f>
        <v>#VALUE!</v>
      </c>
      <c r="AM17" s="245" t="s">
        <v>1772</v>
      </c>
      <c r="AN17" s="245"/>
      <c r="AO17" s="245">
        <v>38</v>
      </c>
      <c r="AP17" s="431">
        <f>_xlfn.IFS(AG3&gt;=14,41,AG3&gt;=6,40,AG3&gt;=3,39,1,0)</f>
        <v>0</v>
      </c>
      <c r="AQ17" s="307">
        <f t="shared" si="16"/>
        <v>6</v>
      </c>
      <c r="AR17" s="224" t="str">
        <f t="shared" si="17"/>
        <v>施法关键属性-奇械师</v>
      </c>
      <c r="AS17" s="224" t="str">
        <f t="shared" si="6"/>
        <v>当你的奇械师法术需要施法关键属性时均指向你的智力值。而你奇械师法术的豁免DC和攻击检定，则使用你的智力调整值
法术豁免DC＝8＋你的熟练加值＋你的智力调整值
法术攻击调整值＝你的熟练加值＋你的智力调整值</v>
      </c>
      <c r="AT17" s="374">
        <f t="shared" si="7"/>
        <v>0</v>
      </c>
      <c r="AU17" s="307" t="e">
        <f t="shared" si="14"/>
        <v>#N/A</v>
      </c>
      <c r="AV17" s="224" t="e">
        <f t="shared" si="8"/>
        <v>#N/A</v>
      </c>
      <c r="AW17" s="224" t="e">
        <f t="shared" si="9"/>
        <v>#N/A</v>
      </c>
      <c r="AX17" s="374" t="e">
        <f t="shared" si="10"/>
        <v>#N/A</v>
      </c>
      <c r="AY17" s="307" t="e">
        <f t="shared" si="15"/>
        <v>#N/A</v>
      </c>
      <c r="AZ17" s="224" t="e">
        <f t="shared" si="11"/>
        <v>#N/A</v>
      </c>
      <c r="BA17" s="224" t="e">
        <f t="shared" si="12"/>
        <v>#N/A</v>
      </c>
      <c r="BB17" s="374" t="e">
        <f t="shared" si="13"/>
        <v>#N/A</v>
      </c>
      <c r="BC17" s="222" t="str">
        <f>IFERROR(INDEX($AQ$12:$BF$87,7,$BC$2),"")</f>
        <v/>
      </c>
      <c r="BD17" s="224" t="str">
        <f>IFERROR(INDEX($AQ$12:$BF$87,7,$BD$2),"")</f>
        <v/>
      </c>
      <c r="BE17" s="192" t="str">
        <f t="shared" si="4"/>
        <v/>
      </c>
      <c r="BF17" s="200" t="str">
        <f t="array" ref="BF17">INDEX(BE:BE,SMALL(IF($BE$2:$BE$143&lt;&gt;"",ROW($2:$143),144),ROW(BE16)))&amp;""</f>
        <v/>
      </c>
      <c r="BG17" s="375">
        <f>IF(主要!C99="",0,主要!C99)</f>
        <v>0</v>
      </c>
      <c r="BH17" s="372" t="str">
        <f t="shared" si="2"/>
        <v/>
      </c>
      <c r="BI17" s="376" t="str">
        <f t="shared" si="5"/>
        <v/>
      </c>
      <c r="BJ17" s="372"/>
      <c r="BK17" s="372"/>
      <c r="BL17" s="372"/>
      <c r="BM17" s="372"/>
      <c r="BN17" s="372"/>
      <c r="BO17" s="372"/>
      <c r="BP17" s="372"/>
      <c r="BQ17" s="372"/>
      <c r="BR17" s="372"/>
      <c r="BS17" s="372"/>
      <c r="BT17" s="372"/>
      <c r="BU17" s="372"/>
      <c r="BV17" s="372"/>
      <c r="BW17" s="372"/>
      <c r="BX17" s="372"/>
      <c r="BY17" s="372"/>
      <c r="BZ17" s="372"/>
    </row>
    <row r="18" customHeight="1" spans="1:78">
      <c r="A18" s="375">
        <v>2</v>
      </c>
      <c r="B18" s="224" t="str">
        <f>IF(AND(COUNTIF(AC17:AC18,A2),COUNTIF(AC16:AC17,A7)),"","无甲防御")</f>
        <v>无甲防御</v>
      </c>
      <c r="C18" s="224" t="s">
        <v>1773</v>
      </c>
      <c r="D18" s="224" t="s">
        <v>1774</v>
      </c>
      <c r="E18" s="224" t="s">
        <v>1775</v>
      </c>
      <c r="F18" s="224" t="s">
        <v>1776</v>
      </c>
      <c r="G18" s="224" t="s">
        <v>1777</v>
      </c>
      <c r="H18" s="224" t="s">
        <v>1778</v>
      </c>
      <c r="I18" s="224" t="s">
        <v>1779</v>
      </c>
      <c r="J18" s="434" t="str">
        <f>IF(OR(BI53&gt;0,COUNTIF($BG$2:$BG$46,"战斗风格-箭术")),"战斗风格-箭术","")</f>
        <v/>
      </c>
      <c r="K18" s="434" t="s">
        <v>1780</v>
      </c>
      <c r="L18" s="224" t="s">
        <v>1781</v>
      </c>
      <c r="M18" s="224" t="s">
        <v>1782</v>
      </c>
      <c r="N18" s="224" t="s">
        <v>1783</v>
      </c>
      <c r="O18" s="224" t="s">
        <v>1784</v>
      </c>
      <c r="P18" s="435" t="str">
        <f>IF(AND(综合数据!B14=TRUE,OR(BH57&lt;1,COUNTIF($BG$2:$BG$46,"夙敌"))),"夙敌","")</f>
        <v>夙敌</v>
      </c>
      <c r="Q18" s="432" t="s">
        <v>1785</v>
      </c>
      <c r="R18" s="224" t="s">
        <v>1786</v>
      </c>
      <c r="S18" s="224" t="s">
        <v>1787</v>
      </c>
      <c r="T18" s="224" t="s">
        <v>1788</v>
      </c>
      <c r="U18" s="224" t="s">
        <v>1789</v>
      </c>
      <c r="V18" s="224" t="s">
        <v>1790</v>
      </c>
      <c r="W18" s="224" t="s">
        <v>1791</v>
      </c>
      <c r="X18" s="224" t="s">
        <v>1792</v>
      </c>
      <c r="Y18" s="224" t="s">
        <v>1793</v>
      </c>
      <c r="Z18" s="224" t="s">
        <v>1794</v>
      </c>
      <c r="AA18" s="223" t="s">
        <v>1795</v>
      </c>
      <c r="AB18" s="375" t="str">
        <f>IF(AC18=0,"",COUNTIF(AC16:AC18,AC18))</f>
        <v/>
      </c>
      <c r="AC18" s="294">
        <f>IF(主要!R7="",0,主要!R7)</f>
        <v>0</v>
      </c>
      <c r="AD18" s="294">
        <f>IF(主要!V7="",0,主要!V7)</f>
        <v>0</v>
      </c>
      <c r="AE18" s="433">
        <f>主要!Y7</f>
        <v>0</v>
      </c>
      <c r="AF18" s="376">
        <v>3</v>
      </c>
      <c r="AG18" s="375" t="str">
        <f t="array" ref="AG18">INDEX(AI:AI,SMALL(IF($AI$2:$AI$14&lt;&gt;"",ROW($2:$14),15),ROW(AI2)))&amp;""</f>
        <v/>
      </c>
      <c r="AH18" s="200" t="str">
        <f t="array" ref="AH18">INDEX(AJ:AJ,SMALL(IF($AJ$2:$AJ$14&lt;&gt;"",ROW($2:$14),15),ROW(AJ2)))&amp;""</f>
        <v/>
      </c>
      <c r="AI18" s="375" t="e">
        <f>INDEX($B$2:$S$14,AI$17,1)</f>
        <v>#VALUE!</v>
      </c>
      <c r="AJ18" s="372" t="e">
        <f>INDEX($B$2:$S$14,AJ$17,1)</f>
        <v>#N/A</v>
      </c>
      <c r="AK18" s="372" t="e">
        <f>INDEX($B$2:$S$14,AK$17,1)</f>
        <v>#N/A</v>
      </c>
      <c r="AL18" s="377" t="e">
        <f t="array" ref="AL18">INDEX(AI:AI,SMALL(IF($AI$18:$AI$35&lt;&gt;"",ROW($18:$35),36),ROW(AI16)))&amp;""</f>
        <v>#VALUE!</v>
      </c>
      <c r="AM18" s="270" t="s">
        <v>1796</v>
      </c>
      <c r="AN18" s="270"/>
      <c r="AO18" s="270">
        <v>42</v>
      </c>
      <c r="AP18" s="436">
        <f>_xlfn.IFS(AG3&gt;=14,46,AG3&gt;=6,45,AG3&gt;=3,43,1,0)</f>
        <v>0</v>
      </c>
      <c r="AQ18" s="307">
        <f t="shared" si="16"/>
        <v>7</v>
      </c>
      <c r="AR18" s="224" t="str">
        <f t="shared" si="17"/>
        <v>仪式施法-奇械师</v>
      </c>
      <c r="AS18" s="224" t="str">
        <f t="shared" si="6"/>
        <v>如果你所准备奇械师法术中的某法术有带仪式标签，则你可以用这些法术进行仪式施法</v>
      </c>
      <c r="AT18" s="374">
        <f t="shared" si="7"/>
        <v>0</v>
      </c>
      <c r="AU18" s="307" t="e">
        <f t="shared" si="14"/>
        <v>#N/A</v>
      </c>
      <c r="AV18" s="224" t="e">
        <f t="shared" si="8"/>
        <v>#N/A</v>
      </c>
      <c r="AW18" s="224" t="e">
        <f t="shared" si="9"/>
        <v>#N/A</v>
      </c>
      <c r="AX18" s="374" t="e">
        <f t="shared" si="10"/>
        <v>#N/A</v>
      </c>
      <c r="AY18" s="307" t="e">
        <f t="shared" si="15"/>
        <v>#N/A</v>
      </c>
      <c r="AZ18" s="224" t="e">
        <f t="shared" si="11"/>
        <v>#N/A</v>
      </c>
      <c r="BA18" s="224" t="e">
        <f t="shared" si="12"/>
        <v>#N/A</v>
      </c>
      <c r="BB18" s="374" t="e">
        <f t="shared" si="13"/>
        <v>#N/A</v>
      </c>
      <c r="BC18" s="222" t="str">
        <f>IFERROR(INDEX($AQ$12:$BF$87,8,$BC$2),"")</f>
        <v/>
      </c>
      <c r="BD18" s="224" t="str">
        <f>IFERROR(INDEX($AQ$12:$BF$87,8,$BD$2),"")</f>
        <v/>
      </c>
      <c r="BE18" s="192" t="str">
        <f t="shared" si="4"/>
        <v/>
      </c>
      <c r="BF18" s="200" t="str">
        <f t="array" ref="BF18">INDEX(BE:BE,SMALL(IF($BE$2:$BE$143&lt;&gt;"",ROW($2:$143),144),ROW(BE17)))&amp;""</f>
        <v/>
      </c>
      <c r="BG18" s="375">
        <f>IF(主要!C100="",0,主要!C100)</f>
        <v>0</v>
      </c>
      <c r="BH18" s="372" t="str">
        <f t="shared" si="2"/>
        <v/>
      </c>
      <c r="BI18" s="376" t="str">
        <f t="shared" si="5"/>
        <v/>
      </c>
      <c r="BJ18" s="372"/>
      <c r="BK18" s="372"/>
      <c r="BL18" s="372"/>
      <c r="BM18" s="372"/>
      <c r="BN18" s="372"/>
      <c r="BO18" s="372"/>
      <c r="BP18" s="372"/>
      <c r="BQ18" s="372"/>
      <c r="BR18" s="372"/>
      <c r="BS18" s="372"/>
      <c r="BT18" s="372"/>
      <c r="BU18" s="372"/>
      <c r="BV18" s="423"/>
      <c r="BW18" s="423"/>
      <c r="BX18" s="372"/>
      <c r="BY18" s="372"/>
      <c r="BZ18" s="372"/>
    </row>
    <row r="19" customHeight="1" spans="1:78">
      <c r="A19" s="375">
        <v>3</v>
      </c>
      <c r="B19" s="224" t="s">
        <v>1797</v>
      </c>
      <c r="C19" s="224" t="s">
        <v>1798</v>
      </c>
      <c r="D19" s="224" t="s">
        <v>1799</v>
      </c>
      <c r="E19" s="224" t="s">
        <v>1800</v>
      </c>
      <c r="F19" s="224" t="s">
        <v>1801</v>
      </c>
      <c r="G19" s="224" t="s">
        <v>1802</v>
      </c>
      <c r="H19" s="224" t="s">
        <v>1803</v>
      </c>
      <c r="I19" s="224" t="s">
        <v>1804</v>
      </c>
      <c r="J19" s="434" t="str">
        <f>IF(OR(BI53&gt;0,COUNTIF($BG$2:$BG$46,"战斗风格-防御")),"战斗风格-防御","")</f>
        <v/>
      </c>
      <c r="K19" s="434" t="s">
        <v>1805</v>
      </c>
      <c r="L19" s="224" t="s">
        <v>1806</v>
      </c>
      <c r="M19" s="224" t="s">
        <v>1807</v>
      </c>
      <c r="N19" s="224" t="s">
        <v>1808</v>
      </c>
      <c r="O19" s="224" t="s">
        <v>1809</v>
      </c>
      <c r="P19" s="432" t="str">
        <f>IF(OR(BH58&lt;1,COUNTIF($BG$2:$BG$46,"自然探索者")),"自然探索者","")</f>
        <v>自然探索者</v>
      </c>
      <c r="Q19" s="432" t="s">
        <v>1810</v>
      </c>
      <c r="R19" s="373" t="s">
        <v>1811</v>
      </c>
      <c r="S19" s="224" t="s">
        <v>1812</v>
      </c>
      <c r="T19" s="224" t="s">
        <v>1813</v>
      </c>
      <c r="U19" s="224" t="s">
        <v>1814</v>
      </c>
      <c r="V19" s="224" t="s">
        <v>1815</v>
      </c>
      <c r="W19" s="224" t="s">
        <v>1816</v>
      </c>
      <c r="X19" s="224" t="s">
        <v>1817</v>
      </c>
      <c r="Y19" s="224" t="s">
        <v>1818</v>
      </c>
      <c r="Z19" s="224" t="s">
        <v>1819</v>
      </c>
      <c r="AA19" s="223" t="s">
        <v>1820</v>
      </c>
      <c r="AB19" s="307" t="s">
        <v>1821</v>
      </c>
      <c r="AC19" s="373" t="s">
        <v>1822</v>
      </c>
      <c r="AD19" s="372" t="str">
        <f>IF($AD16=0,"",(COUNTIF($AI$18:$AI$35,$AD16)))</f>
        <v/>
      </c>
      <c r="AE19" s="372">
        <f>IF(AND(AD16=0,AI17&lt;&gt;""),1,0)</f>
        <v>0</v>
      </c>
      <c r="AF19" s="376">
        <f>IF(AND(AC16&lt;&gt;0,AE16=0),1,0)</f>
        <v>0</v>
      </c>
      <c r="AG19" s="375" t="str">
        <f t="array" ref="AG19">INDEX(AI:AI,SMALL(IF($AI$2:$AI$14&lt;&gt;"",ROW($2:$14),15),ROW(AI3)))&amp;""</f>
        <v/>
      </c>
      <c r="AH19" s="200" t="str">
        <f t="array" ref="AH19">INDEX(AJ:AJ,SMALL(IF($AJ$2:$AJ$14&lt;&gt;"",ROW($2:$14),15),ROW(AJ3)))&amp;""</f>
        <v/>
      </c>
      <c r="AI19" s="375" t="e">
        <f>INDEX($B$2:$S$14,AI$17,2)</f>
        <v>#VALUE!</v>
      </c>
      <c r="AJ19" s="372" t="e">
        <f>INDEX($B$2:$S$14,AJ$17,2)</f>
        <v>#N/A</v>
      </c>
      <c r="AK19" s="372" t="e">
        <f>INDEX($B$2:$S$14,AK$17,2)</f>
        <v>#N/A</v>
      </c>
      <c r="AL19" s="377" t="e">
        <f t="array" ref="AL19">INDEX(AI:AI,SMALL(IF($AI$18:$AI$35&lt;&gt;"",ROW($18:$35),36),ROW(AI17)))&amp;""</f>
        <v>#VALUE!</v>
      </c>
      <c r="AM19" s="268" t="s">
        <v>1823</v>
      </c>
      <c r="AN19" s="268"/>
      <c r="AO19" s="268">
        <v>47</v>
      </c>
      <c r="AP19" s="437">
        <f>_xlfn.IFS(AG3&gt;=14,50,AG3&gt;=6,49,AG3&gt;=3,48,1,0)</f>
        <v>0</v>
      </c>
      <c r="AQ19" s="307" t="e">
        <f t="shared" si="16"/>
        <v>#N/A</v>
      </c>
      <c r="AR19" s="224" t="e">
        <f t="shared" si="17"/>
        <v>#N/A</v>
      </c>
      <c r="AS19" s="224" t="e">
        <f t="shared" si="6"/>
        <v>#N/A</v>
      </c>
      <c r="AT19" s="374">
        <f t="shared" si="7"/>
        <v>1</v>
      </c>
      <c r="AU19" s="307" t="e">
        <f t="shared" si="14"/>
        <v>#N/A</v>
      </c>
      <c r="AV19" s="224" t="e">
        <f t="shared" si="8"/>
        <v>#N/A</v>
      </c>
      <c r="AW19" s="224" t="e">
        <f t="shared" si="9"/>
        <v>#N/A</v>
      </c>
      <c r="AX19" s="374" t="e">
        <f t="shared" si="10"/>
        <v>#N/A</v>
      </c>
      <c r="AY19" s="307" t="e">
        <f t="shared" si="15"/>
        <v>#N/A</v>
      </c>
      <c r="AZ19" s="224" t="e">
        <f t="shared" si="11"/>
        <v>#N/A</v>
      </c>
      <c r="BA19" s="224" t="e">
        <f t="shared" si="12"/>
        <v>#N/A</v>
      </c>
      <c r="BB19" s="374" t="e">
        <f t="shared" si="13"/>
        <v>#N/A</v>
      </c>
      <c r="BC19" s="222" t="str">
        <f>IFERROR(INDEX($AQ$12:$BF$87,9,$BC$2),"")</f>
        <v/>
      </c>
      <c r="BD19" s="224" t="str">
        <f>IFERROR(INDEX($AQ$12:$BF$87,9,$BD$2),"")</f>
        <v/>
      </c>
      <c r="BE19" s="192" t="str">
        <f t="shared" si="4"/>
        <v/>
      </c>
      <c r="BF19" s="200" t="str">
        <f t="array" ref="BF19">INDEX(BE:BE,SMALL(IF($BE$2:$BE$143&lt;&gt;"",ROW($2:$143),144),ROW(BE18)))&amp;""</f>
        <v/>
      </c>
      <c r="BG19" s="375">
        <f>IF(主要!C101="",0,主要!C101)</f>
        <v>0</v>
      </c>
      <c r="BH19" s="372" t="str">
        <f t="shared" si="2"/>
        <v/>
      </c>
      <c r="BI19" s="376" t="str">
        <f t="shared" si="5"/>
        <v/>
      </c>
      <c r="BJ19" s="372"/>
      <c r="BK19" s="372"/>
      <c r="BL19" s="372"/>
      <c r="BM19" s="373"/>
      <c r="BN19" s="372"/>
      <c r="BO19" s="372"/>
      <c r="BP19" s="372"/>
      <c r="BQ19" s="372"/>
      <c r="BR19" s="372"/>
      <c r="BS19" s="372"/>
      <c r="BT19" s="372"/>
      <c r="BU19" s="372"/>
      <c r="BV19" s="423"/>
      <c r="BW19" s="423"/>
      <c r="BX19" s="372"/>
      <c r="BY19" s="372"/>
      <c r="BZ19" s="372"/>
    </row>
    <row r="20" customHeight="1" spans="1:78">
      <c r="A20" s="375">
        <v>4</v>
      </c>
      <c r="B20" s="224" t="s">
        <v>1824</v>
      </c>
      <c r="C20" s="224" t="s">
        <v>1825</v>
      </c>
      <c r="D20" s="224" t="s">
        <v>1826</v>
      </c>
      <c r="E20" s="224" t="s">
        <v>1827</v>
      </c>
      <c r="F20" s="224" t="s">
        <v>1828</v>
      </c>
      <c r="G20" s="224" t="s">
        <v>1829</v>
      </c>
      <c r="H20" s="224" t="s">
        <v>1830</v>
      </c>
      <c r="I20" s="224" t="s">
        <v>1831</v>
      </c>
      <c r="J20" s="434" t="str">
        <f>IF(OR(BI53&gt;0,COUNTIF($BG$2:$BG$46,"战斗风格-对决")),"战斗风格-对决","")</f>
        <v/>
      </c>
      <c r="K20" s="434" t="s">
        <v>1832</v>
      </c>
      <c r="L20" s="224" t="s">
        <v>1833</v>
      </c>
      <c r="M20" s="224" t="s">
        <v>1834</v>
      </c>
      <c r="N20" s="434" t="str">
        <f>IF(OR(BI53&gt;0,COUNTIF($BG$2:$BG$46,"战斗风格-防御")),"战斗风格-防御","")</f>
        <v/>
      </c>
      <c r="O20" s="434" t="s">
        <v>1805</v>
      </c>
      <c r="P20" s="435" t="str">
        <f>IF(AND(综合数据!B14=TRUE,OR(BH58&lt;1,COUNTIF($BG$2:$BG$46,"熟练探险家"))),"熟练探险家","")</f>
        <v>熟练探险家</v>
      </c>
      <c r="Q20" s="432" t="s">
        <v>1835</v>
      </c>
      <c r="R20" s="373" t="s">
        <v>1836</v>
      </c>
      <c r="S20" s="224" t="s">
        <v>1837</v>
      </c>
      <c r="T20" s="224" t="s">
        <v>1838</v>
      </c>
      <c r="U20" s="224" t="s">
        <v>1839</v>
      </c>
      <c r="V20" s="224" t="s">
        <v>1840</v>
      </c>
      <c r="W20" s="224" t="s">
        <v>1841</v>
      </c>
      <c r="X20" s="224" t="s">
        <v>283</v>
      </c>
      <c r="Y20" s="224" t="s">
        <v>1842</v>
      </c>
      <c r="Z20" s="224" t="s">
        <v>1843</v>
      </c>
      <c r="AA20" s="223" t="s">
        <v>1844</v>
      </c>
      <c r="AB20" s="375">
        <f>COUNTIF(AB17:AB18,"&gt;1")</f>
        <v>0</v>
      </c>
      <c r="AC20" s="372">
        <f>COUNTIF(AD19:AD21,"=0")</f>
        <v>0</v>
      </c>
      <c r="AD20" s="372" t="str">
        <f>IF($AD17=0,"",COUNTIF($AJ$18:$AJ$35,$AD17))</f>
        <v/>
      </c>
      <c r="AE20" s="372" t="e">
        <f>IF(AND(AD17=0,AJ17&lt;&gt;""),1,0)</f>
        <v>#N/A</v>
      </c>
      <c r="AF20" s="376">
        <f>IF(AND(AC17&lt;&gt;0,AE17=0),1,0)</f>
        <v>0</v>
      </c>
      <c r="AG20" s="375" t="str">
        <f t="array" ref="AG20">INDEX(AI:AI,SMALL(IF($AI$2:$AI$14&lt;&gt;"",ROW($2:$14),15),ROW(AI4)))&amp;""</f>
        <v/>
      </c>
      <c r="AH20" s="200" t="str">
        <f t="array" ref="AH20">INDEX(AJ:AJ,SMALL(IF($AJ$2:$AJ$14&lt;&gt;"",ROW($2:$14),15),ROW(AJ4)))&amp;""</f>
        <v/>
      </c>
      <c r="AI20" s="375" t="e">
        <f>INDEX($B$2:$S$14,AI$17,3)</f>
        <v>#VALUE!</v>
      </c>
      <c r="AJ20" s="372" t="e">
        <f>INDEX($B$2:$S$14,AJ$17,3)</f>
        <v>#N/A</v>
      </c>
      <c r="AK20" s="372" t="e">
        <f>INDEX($B$2:$S$14,AK$17,3)</f>
        <v>#N/A</v>
      </c>
      <c r="AL20" s="377" t="e">
        <f t="array" ref="AL20">INDEX(AI:AI,SMALL(IF($AI$18:$AI$35&lt;&gt;"",ROW($18:$35),36),ROW(AI18)))&amp;""</f>
        <v>#VALUE!</v>
      </c>
      <c r="AM20" s="407" t="s">
        <v>1845</v>
      </c>
      <c r="AN20" s="425"/>
      <c r="AO20" s="425">
        <v>51</v>
      </c>
      <c r="AP20" s="425">
        <f>_xlfn.IFS(AG3&gt;=14,55,AG3&gt;=6,54,AG3&gt;=3,53,1,0)</f>
        <v>0</v>
      </c>
      <c r="AQ20" s="307" t="e">
        <f t="shared" si="16"/>
        <v>#N/A</v>
      </c>
      <c r="AR20" s="224" t="e">
        <f t="shared" si="17"/>
        <v>#N/A</v>
      </c>
      <c r="AS20" s="224" t="e">
        <f t="shared" si="6"/>
        <v>#N/A</v>
      </c>
      <c r="AT20" s="374" t="e">
        <f t="shared" si="7"/>
        <v>#N/A</v>
      </c>
      <c r="AU20" s="307" t="e">
        <f t="shared" si="14"/>
        <v>#N/A</v>
      </c>
      <c r="AV20" s="224" t="e">
        <f t="shared" si="8"/>
        <v>#N/A</v>
      </c>
      <c r="AW20" s="224" t="e">
        <f t="shared" si="9"/>
        <v>#N/A</v>
      </c>
      <c r="AX20" s="374" t="e">
        <f t="shared" si="10"/>
        <v>#N/A</v>
      </c>
      <c r="AY20" s="307" t="e">
        <f t="shared" si="15"/>
        <v>#N/A</v>
      </c>
      <c r="AZ20" s="224" t="e">
        <f t="shared" si="11"/>
        <v>#N/A</v>
      </c>
      <c r="BA20" s="224" t="e">
        <f t="shared" si="12"/>
        <v>#N/A</v>
      </c>
      <c r="BB20" s="374" t="e">
        <f t="shared" si="13"/>
        <v>#N/A</v>
      </c>
      <c r="BC20" s="222" t="str">
        <f>IFERROR(INDEX($AQ$12:$BF$87,10,$BC$2),"")</f>
        <v/>
      </c>
      <c r="BD20" s="224" t="str">
        <f>IFERROR(INDEX($AQ$12:$BF$87,10,$BD$2),"")</f>
        <v/>
      </c>
      <c r="BE20" s="192" t="str">
        <f t="shared" si="4"/>
        <v/>
      </c>
      <c r="BF20" s="200" t="str">
        <f t="array" ref="BF20">INDEX(BE:BE,SMALL(IF($BE$2:$BE$143&lt;&gt;"",ROW($2:$143),144),ROW(BE19)))&amp;""</f>
        <v/>
      </c>
      <c r="BG20" s="375">
        <f>IF(主要!C102="",0,主要!C102)</f>
        <v>0</v>
      </c>
      <c r="BH20" s="372" t="str">
        <f t="shared" si="2"/>
        <v/>
      </c>
      <c r="BI20" s="376" t="str">
        <f t="shared" si="5"/>
        <v/>
      </c>
      <c r="BJ20" s="372"/>
      <c r="BK20" s="372"/>
      <c r="BL20" s="372"/>
      <c r="BM20" s="372"/>
      <c r="BN20" s="372"/>
      <c r="BO20" s="372"/>
      <c r="BP20" s="372"/>
      <c r="BQ20" s="372"/>
      <c r="BR20" s="372"/>
      <c r="BS20" s="372"/>
      <c r="BT20" s="372"/>
      <c r="BU20" s="372"/>
      <c r="BV20" s="423"/>
      <c r="BW20" s="423"/>
      <c r="BX20" s="372"/>
      <c r="BY20" s="372"/>
      <c r="BZ20" s="372"/>
    </row>
    <row r="21" customHeight="1" spans="1:78">
      <c r="A21" s="375">
        <v>5</v>
      </c>
      <c r="B21" s="224" t="s">
        <v>1846</v>
      </c>
      <c r="C21" s="224" t="s">
        <v>1847</v>
      </c>
      <c r="D21" s="224" t="s">
        <v>1848</v>
      </c>
      <c r="E21" s="224" t="s">
        <v>1849</v>
      </c>
      <c r="F21" s="224" t="s">
        <v>1850</v>
      </c>
      <c r="G21" s="224" t="s">
        <v>1851</v>
      </c>
      <c r="H21" s="224" t="s">
        <v>1852</v>
      </c>
      <c r="I21" s="224" t="s">
        <v>1853</v>
      </c>
      <c r="J21" s="434" t="str">
        <f>IF(OR(BI53&gt;0,COUNTIF($BG$2:$BG$46,"战斗风格-巨武器战斗")),"战斗风格-巨武器战斗","")</f>
        <v/>
      </c>
      <c r="K21" s="434" t="s">
        <v>1854</v>
      </c>
      <c r="L21" s="224" t="s">
        <v>1855</v>
      </c>
      <c r="M21" s="224" t="s">
        <v>1856</v>
      </c>
      <c r="N21" s="434" t="str">
        <f>IF(OR(BI53&gt;0,COUNTIF($BG$2:$BG$46,"战斗风格-对决")),"战斗风格-对决","")</f>
        <v/>
      </c>
      <c r="O21" s="434" t="s">
        <v>1857</v>
      </c>
      <c r="P21" s="224" t="s">
        <v>1858</v>
      </c>
      <c r="Q21" s="224" t="s">
        <v>1809</v>
      </c>
      <c r="R21" s="373" t="s">
        <v>1859</v>
      </c>
      <c r="S21" s="224" t="s">
        <v>1860</v>
      </c>
      <c r="T21" s="224" t="s">
        <v>1861</v>
      </c>
      <c r="U21" s="224" t="s">
        <v>1862</v>
      </c>
      <c r="V21" s="224" t="s">
        <v>1863</v>
      </c>
      <c r="W21" s="224" t="s">
        <v>1864</v>
      </c>
      <c r="X21" s="224" t="s">
        <v>1865</v>
      </c>
      <c r="Y21" s="224" t="s">
        <v>1866</v>
      </c>
      <c r="Z21" s="224" t="s">
        <v>1867</v>
      </c>
      <c r="AA21" s="223" t="s">
        <v>1868</v>
      </c>
      <c r="AB21" s="307" t="s">
        <v>1869</v>
      </c>
      <c r="AC21" s="372">
        <f>COUNTIF(AE19:AE21,"=1")</f>
        <v>0</v>
      </c>
      <c r="AD21" s="372" t="str">
        <f>IF($AD18=0,"",COUNTIF($AK$18:$AK$35,$AD18))</f>
        <v/>
      </c>
      <c r="AE21" s="372" t="e">
        <f>IF(AND(AD18=0,AK17&lt;&gt;""),1,0)</f>
        <v>#N/A</v>
      </c>
      <c r="AF21" s="376">
        <f>IF(AND(AC18&lt;&gt;0,AE18=0),1,0)</f>
        <v>0</v>
      </c>
      <c r="AG21" s="375" t="str">
        <f t="array" ref="AG21">INDEX(AI:AI,SMALL(IF($AI$2:$AI$14&lt;&gt;"",ROW($2:$14),15),ROW(AI5)))&amp;""</f>
        <v/>
      </c>
      <c r="AH21" s="200" t="str">
        <f t="array" ref="AH21">INDEX(AJ:AJ,SMALL(IF($AJ$2:$AJ$14&lt;&gt;"",ROW($2:$14),15),ROW(AJ5)))&amp;""</f>
        <v/>
      </c>
      <c r="AI21" s="375" t="e">
        <f>INDEX($B$2:$S$14,AI$17,4)</f>
        <v>#VALUE!</v>
      </c>
      <c r="AJ21" s="372" t="e">
        <f>INDEX($B$2:$S$14,AJ$17,4)</f>
        <v>#N/A</v>
      </c>
      <c r="AK21" s="372" t="e">
        <f>INDEX($B$2:$S$14,AK$17,4)</f>
        <v>#N/A</v>
      </c>
      <c r="AL21" s="412" t="s">
        <v>1745</v>
      </c>
      <c r="AM21" s="413" t="s">
        <v>1570</v>
      </c>
      <c r="AN21" s="413">
        <v>3</v>
      </c>
      <c r="AO21" s="413">
        <v>1</v>
      </c>
      <c r="AP21" s="438">
        <f>_xlfn.IFS(AG4&gt;=10,15,AG4&gt;=8,14,AG4&gt;=5,13,AG4=4,12,AG4&gt;=2,11,AG4=1,8,1,0)</f>
        <v>0</v>
      </c>
      <c r="AQ21" s="307" t="e">
        <f t="shared" si="16"/>
        <v>#N/A</v>
      </c>
      <c r="AR21" s="224" t="e">
        <f t="shared" si="17"/>
        <v>#N/A</v>
      </c>
      <c r="AS21" s="224" t="e">
        <f t="shared" si="6"/>
        <v>#N/A</v>
      </c>
      <c r="AT21" s="374" t="e">
        <f t="shared" si="7"/>
        <v>#N/A</v>
      </c>
      <c r="AU21" s="307" t="e">
        <f t="shared" si="14"/>
        <v>#N/A</v>
      </c>
      <c r="AV21" s="224" t="e">
        <f t="shared" si="8"/>
        <v>#N/A</v>
      </c>
      <c r="AW21" s="224" t="e">
        <f t="shared" si="9"/>
        <v>#N/A</v>
      </c>
      <c r="AX21" s="374" t="e">
        <f t="shared" si="10"/>
        <v>#N/A</v>
      </c>
      <c r="AY21" s="307" t="e">
        <f t="shared" si="15"/>
        <v>#N/A</v>
      </c>
      <c r="AZ21" s="224" t="e">
        <f t="shared" si="11"/>
        <v>#N/A</v>
      </c>
      <c r="BA21" s="224" t="e">
        <f t="shared" si="12"/>
        <v>#N/A</v>
      </c>
      <c r="BB21" s="374" t="e">
        <f t="shared" si="13"/>
        <v>#N/A</v>
      </c>
      <c r="BC21" s="222" t="str">
        <f>IFERROR(INDEX($AQ$12:$BF$87,11,$BC$2),"")</f>
        <v/>
      </c>
      <c r="BD21" s="224" t="str">
        <f>IFERROR(INDEX($AQ$12:$BF$87,11,$BD$2),"")</f>
        <v/>
      </c>
      <c r="BE21" s="192" t="str">
        <f t="shared" si="4"/>
        <v/>
      </c>
      <c r="BF21" s="200" t="str">
        <f t="array" ref="BF21">INDEX(BE:BE,SMALL(IF($BE$2:$BE$143&lt;&gt;"",ROW($2:$143),144),ROW(BE20)))&amp;""</f>
        <v/>
      </c>
      <c r="BG21" s="375">
        <f>IF(主要!C103="",0,主要!C103)</f>
        <v>0</v>
      </c>
      <c r="BH21" s="372" t="str">
        <f t="shared" si="2"/>
        <v/>
      </c>
      <c r="BI21" s="376" t="str">
        <f t="shared" si="5"/>
        <v/>
      </c>
      <c r="BJ21" s="372"/>
      <c r="BK21" s="372"/>
      <c r="BL21" s="372"/>
      <c r="BM21" s="372"/>
      <c r="BN21" s="373"/>
      <c r="BO21" s="372"/>
      <c r="BP21" s="372"/>
      <c r="BQ21" s="372"/>
      <c r="BR21" s="372"/>
      <c r="BS21" s="372"/>
      <c r="BT21" s="372"/>
      <c r="BU21" s="372"/>
      <c r="BV21" s="423"/>
      <c r="BW21" s="423"/>
      <c r="BX21" s="372"/>
      <c r="BY21" s="372"/>
      <c r="BZ21" s="372"/>
    </row>
    <row r="22" customHeight="1" spans="1:78">
      <c r="A22" s="375">
        <v>6</v>
      </c>
      <c r="B22" s="435" t="str">
        <f>IF(综合数据!B14=TRUE,"原初学识","")</f>
        <v>原初学识</v>
      </c>
      <c r="C22" s="435" t="s">
        <v>1870</v>
      </c>
      <c r="D22" s="224" t="s">
        <v>1871</v>
      </c>
      <c r="E22" s="224" t="s">
        <v>1872</v>
      </c>
      <c r="F22" s="224" t="s">
        <v>1873</v>
      </c>
      <c r="G22" s="224" t="s">
        <v>1874</v>
      </c>
      <c r="H22" s="224" t="s">
        <v>1875</v>
      </c>
      <c r="I22" s="224" t="s">
        <v>1876</v>
      </c>
      <c r="J22" s="434" t="str">
        <f>IF(OR(BI53&gt;0,COUNTIF($BG$2:$BG$46,"战斗风格-守护")),"战斗风格-守护","")</f>
        <v/>
      </c>
      <c r="K22" s="434" t="s">
        <v>1877</v>
      </c>
      <c r="L22" s="224" t="s">
        <v>1878</v>
      </c>
      <c r="M22" s="224" t="s">
        <v>1879</v>
      </c>
      <c r="N22" s="434" t="str">
        <f>IF(OR(BI53&gt;0,COUNTIF($BG$2:$BG$46,"战斗风格-巨武器战斗")),"战斗风格-巨武器战斗","")</f>
        <v/>
      </c>
      <c r="O22" s="434" t="s">
        <v>1880</v>
      </c>
      <c r="P22" s="434" t="str">
        <f>IF(OR(BI53&gt;0,COUNTIF($BG$2:$BG$46,"战斗风格-箭术")),"战斗风格-箭术","")</f>
        <v/>
      </c>
      <c r="Q22" s="434" t="s">
        <v>1881</v>
      </c>
      <c r="R22" s="435" t="str">
        <f>IF(综合数据!B14=TRUE,"手稳就准","")</f>
        <v>手稳就准</v>
      </c>
      <c r="S22" s="435" t="s">
        <v>1882</v>
      </c>
      <c r="T22" s="224" t="s">
        <v>1883</v>
      </c>
      <c r="U22" s="224" t="s">
        <v>1884</v>
      </c>
      <c r="V22" s="224" t="s">
        <v>1885</v>
      </c>
      <c r="W22" s="224" t="s">
        <v>1886</v>
      </c>
      <c r="X22" s="224" t="s">
        <v>1887</v>
      </c>
      <c r="Y22" s="224" t="s">
        <v>1888</v>
      </c>
      <c r="Z22" s="224" t="s">
        <v>1889</v>
      </c>
      <c r="AA22" s="223" t="s">
        <v>1890</v>
      </c>
      <c r="AB22" s="384" t="s">
        <v>1891</v>
      </c>
      <c r="AC22" s="382">
        <f>COUNTIF(AF19:AF21,"&gt;=1")</f>
        <v>0</v>
      </c>
      <c r="AD22" s="381" t="s">
        <v>1479</v>
      </c>
      <c r="AE22" s="381">
        <f>SUM(AH2:AH14)</f>
        <v>1</v>
      </c>
      <c r="AF22" s="383"/>
      <c r="AG22" s="375" t="str">
        <f t="array" ref="AG22">INDEX(AI:AI,SMALL(IF($AI$2:$AI$14&lt;&gt;"",ROW($2:$14),15),ROW(AI6)))&amp;""</f>
        <v/>
      </c>
      <c r="AH22" s="200" t="str">
        <f t="array" ref="AH22">INDEX(AJ:AJ,SMALL(IF($AJ$2:$AJ$14&lt;&gt;"",ROW($2:$14),15),ROW(AJ6)))&amp;""</f>
        <v/>
      </c>
      <c r="AI22" s="375" t="e">
        <f>INDEX($B$2:$S$14,AI$17,5)</f>
        <v>#VALUE!</v>
      </c>
      <c r="AJ22" s="372" t="e">
        <f>INDEX($B$2:$S$14,AJ$17,5)</f>
        <v>#N/A</v>
      </c>
      <c r="AK22" s="372" t="e">
        <f>INDEX($B$2:$S$14,AK$17,5)</f>
        <v>#N/A</v>
      </c>
      <c r="AL22" s="377" t="e">
        <f t="array" ref="AL22">INDEX(AJ:AJ,SMALL(IF($AJ$18:$AJ$35&lt;&gt;"",ROW($18:$35),36),ROW(AJ1)))&amp;""</f>
        <v>#N/A</v>
      </c>
      <c r="AM22" s="373" t="s">
        <v>1571</v>
      </c>
      <c r="AN22" s="373"/>
      <c r="AO22" s="373">
        <v>16</v>
      </c>
      <c r="AP22" s="374">
        <f>_xlfn.IFS(AG4&gt;=17,21,AG4&gt;=8,20,AG4&gt;=6,19,AG4&gt;=2,18,AG4=1,17,1,0)</f>
        <v>0</v>
      </c>
      <c r="AQ22" s="307" t="e">
        <f t="shared" si="16"/>
        <v>#N/A</v>
      </c>
      <c r="AR22" s="224" t="e">
        <f t="shared" si="17"/>
        <v>#N/A</v>
      </c>
      <c r="AS22" s="224" t="e">
        <f t="shared" si="6"/>
        <v>#N/A</v>
      </c>
      <c r="AT22" s="374" t="e">
        <f t="shared" si="7"/>
        <v>#N/A</v>
      </c>
      <c r="AU22" s="307" t="e">
        <f t="shared" si="14"/>
        <v>#N/A</v>
      </c>
      <c r="AV22" s="224" t="e">
        <f t="shared" si="8"/>
        <v>#N/A</v>
      </c>
      <c r="AW22" s="224" t="e">
        <f t="shared" si="9"/>
        <v>#N/A</v>
      </c>
      <c r="AX22" s="374" t="e">
        <f t="shared" si="10"/>
        <v>#N/A</v>
      </c>
      <c r="AY22" s="307" t="e">
        <f t="shared" si="15"/>
        <v>#N/A</v>
      </c>
      <c r="AZ22" s="224" t="e">
        <f t="shared" si="11"/>
        <v>#N/A</v>
      </c>
      <c r="BA22" s="224" t="e">
        <f t="shared" si="12"/>
        <v>#N/A</v>
      </c>
      <c r="BB22" s="374" t="e">
        <f t="shared" si="13"/>
        <v>#N/A</v>
      </c>
      <c r="BC22" s="222" t="str">
        <f>IFERROR(INDEX($AQ$12:$BF$87,12,$BC$2),"")</f>
        <v/>
      </c>
      <c r="BD22" s="224" t="str">
        <f>IFERROR(INDEX($AQ$12:$BF$87,12,$BD$2),"")</f>
        <v/>
      </c>
      <c r="BE22" s="192" t="str">
        <f t="shared" si="4"/>
        <v/>
      </c>
      <c r="BF22" s="200" t="str">
        <f t="array" ref="BF22">INDEX(BE:BE,SMALL(IF($BE$2:$BE$143&lt;&gt;"",ROW($2:$143),144),ROW(BE21)))&amp;""</f>
        <v/>
      </c>
      <c r="BG22" s="375">
        <f>IF(主要!C104="",0,主要!C104)</f>
        <v>0</v>
      </c>
      <c r="BH22" s="372" t="str">
        <f t="shared" si="2"/>
        <v/>
      </c>
      <c r="BI22" s="376" t="str">
        <f t="shared" si="5"/>
        <v/>
      </c>
      <c r="BJ22" s="372"/>
      <c r="BK22" s="372"/>
      <c r="BL22" s="372"/>
      <c r="BM22" s="372"/>
      <c r="BN22" s="373"/>
      <c r="BO22" s="372"/>
      <c r="BP22" s="372"/>
      <c r="BQ22" s="372"/>
      <c r="BR22" s="372"/>
      <c r="BS22" s="372"/>
      <c r="BT22" s="372"/>
      <c r="BU22" s="372"/>
      <c r="BV22" s="423"/>
      <c r="BW22" s="423"/>
      <c r="BX22" s="372"/>
      <c r="BY22" s="372"/>
      <c r="BZ22" s="372"/>
    </row>
    <row r="23" customHeight="1" spans="1:78">
      <c r="A23" s="375">
        <v>7</v>
      </c>
      <c r="B23" s="224" t="str">
        <f>IF(COUNTIF($BG$2:$BG$46,"额外攻击-*"),"","额外攻击")</f>
        <v>额外攻击</v>
      </c>
      <c r="C23" s="224" t="s">
        <v>1892</v>
      </c>
      <c r="D23" s="224" t="s">
        <v>1893</v>
      </c>
      <c r="E23" s="224" t="s">
        <v>1894</v>
      </c>
      <c r="F23" s="193" t="s">
        <v>1895</v>
      </c>
      <c r="G23" s="224" t="s">
        <v>1896</v>
      </c>
      <c r="H23" s="224" t="s">
        <v>1897</v>
      </c>
      <c r="I23" s="224" t="s">
        <v>1898</v>
      </c>
      <c r="J23" s="434" t="str">
        <f>IF(OR(BI53&gt;0,COUNTIF($BG$2:$BG$46,"战斗风格-双武器战斗")),"战斗风格-双武器战斗","")</f>
        <v/>
      </c>
      <c r="K23" s="434" t="s">
        <v>1899</v>
      </c>
      <c r="L23" s="224" t="s">
        <v>1900</v>
      </c>
      <c r="M23" s="224" t="s">
        <v>1901</v>
      </c>
      <c r="N23" s="434" t="str">
        <f>IF(OR(BI53&gt;0,COUNTIF($BG$2:$BG$46,"战斗风格-守护")),"战斗风格-守护","")</f>
        <v/>
      </c>
      <c r="O23" s="434" t="s">
        <v>1877</v>
      </c>
      <c r="P23" s="434" t="str">
        <f>IF(OR(BI53&gt;0,COUNTIF($BG$2:$BG$46,"战斗风格-防御")),"战斗风格-防御","")</f>
        <v/>
      </c>
      <c r="Q23" s="434" t="s">
        <v>1805</v>
      </c>
      <c r="R23" s="373" t="s">
        <v>1902</v>
      </c>
      <c r="S23" s="224" t="s">
        <v>1903</v>
      </c>
      <c r="T23" s="193" t="s">
        <v>1904</v>
      </c>
      <c r="U23" s="224" t="s">
        <v>1905</v>
      </c>
      <c r="V23" s="224" t="s">
        <v>1906</v>
      </c>
      <c r="W23" s="224" t="s">
        <v>1907</v>
      </c>
      <c r="X23" s="224" t="s">
        <v>1908</v>
      </c>
      <c r="Y23" s="224" t="s">
        <v>1909</v>
      </c>
      <c r="Z23" s="224" t="s">
        <v>1910</v>
      </c>
      <c r="AA23" s="223" t="s">
        <v>1911</v>
      </c>
      <c r="AB23" s="183" t="s">
        <v>1478</v>
      </c>
      <c r="AC23" s="218"/>
      <c r="AD23" s="220"/>
      <c r="AE23" s="224"/>
      <c r="AF23" s="368" t="s">
        <v>91</v>
      </c>
      <c r="AG23" s="375" t="str">
        <f t="array" ref="AG23">INDEX(AI:AI,SMALL(IF($AI$2:$AI$14&lt;&gt;"",ROW($2:$14),15),ROW(AI7)))&amp;""</f>
        <v/>
      </c>
      <c r="AH23" s="200" t="str">
        <f t="array" ref="AH23">INDEX(AJ:AJ,SMALL(IF($AJ$2:$AJ$14&lt;&gt;"",ROW($2:$14),15),ROW(AJ7)))&amp;""</f>
        <v/>
      </c>
      <c r="AI23" s="375" t="e">
        <f>INDEX($B$2:$S$14,AI$17,6)</f>
        <v>#VALUE!</v>
      </c>
      <c r="AJ23" s="372" t="e">
        <f>INDEX($B$2:$S$14,AJ$17,6)</f>
        <v>#N/A</v>
      </c>
      <c r="AK23" s="372" t="e">
        <f>INDEX($B$2:$S$14,AK$17,6)</f>
        <v>#N/A</v>
      </c>
      <c r="AL23" s="377" t="e">
        <f t="array" ref="AL23">INDEX(AJ:AJ,SMALL(IF($AJ$18:$AJ$35&lt;&gt;"",ROW($18:$35),36),ROW(AJ2)))&amp;""</f>
        <v>#N/A</v>
      </c>
      <c r="AM23" s="373" t="s">
        <v>1572</v>
      </c>
      <c r="AN23" s="373"/>
      <c r="AO23" s="373">
        <v>22</v>
      </c>
      <c r="AP23" s="374">
        <f>_xlfn.IFS(AG4&gt;=17,28,AG4&gt;=8,27,AG4&gt;=6,26,AG4&gt;=2,25,AG4=1,24,1,0)</f>
        <v>0</v>
      </c>
      <c r="AQ23" s="307" t="e">
        <f t="shared" si="16"/>
        <v>#N/A</v>
      </c>
      <c r="AR23" s="224" t="e">
        <f t="shared" si="17"/>
        <v>#N/A</v>
      </c>
      <c r="AS23" s="224" t="e">
        <f t="shared" si="6"/>
        <v>#N/A</v>
      </c>
      <c r="AT23" s="374" t="e">
        <f t="shared" si="7"/>
        <v>#N/A</v>
      </c>
      <c r="AU23" s="307" t="e">
        <f t="shared" si="14"/>
        <v>#N/A</v>
      </c>
      <c r="AV23" s="224" t="e">
        <f t="shared" si="8"/>
        <v>#N/A</v>
      </c>
      <c r="AW23" s="224" t="e">
        <f t="shared" si="9"/>
        <v>#N/A</v>
      </c>
      <c r="AX23" s="374" t="e">
        <f t="shared" si="10"/>
        <v>#N/A</v>
      </c>
      <c r="AY23" s="307" t="e">
        <f t="shared" si="15"/>
        <v>#N/A</v>
      </c>
      <c r="AZ23" s="224" t="e">
        <f t="shared" si="11"/>
        <v>#N/A</v>
      </c>
      <c r="BA23" s="224" t="e">
        <f t="shared" si="12"/>
        <v>#N/A</v>
      </c>
      <c r="BB23" s="374" t="e">
        <f t="shared" si="13"/>
        <v>#N/A</v>
      </c>
      <c r="BC23" s="222" t="str">
        <f>IFERROR(INDEX($AQ$12:$BF$87,13,$BC$2),"")</f>
        <v/>
      </c>
      <c r="BD23" s="224" t="str">
        <f>IFERROR(INDEX($AQ$12:$BF$87,13,$BD$2),"")</f>
        <v/>
      </c>
      <c r="BE23" s="192" t="str">
        <f t="shared" si="4"/>
        <v/>
      </c>
      <c r="BF23" s="200" t="str">
        <f t="array" ref="BF23">INDEX(BE:BE,SMALL(IF($BE$2:$BE$143&lt;&gt;"",ROW($2:$143),144),ROW(BE22)))&amp;""</f>
        <v/>
      </c>
      <c r="BG23" s="375">
        <f>IF(主要!C105="",0,主要!C105)</f>
        <v>0</v>
      </c>
      <c r="BH23" s="372" t="str">
        <f t="shared" si="2"/>
        <v/>
      </c>
      <c r="BI23" s="376" t="str">
        <f t="shared" si="5"/>
        <v/>
      </c>
      <c r="BJ23" s="372"/>
      <c r="BK23" s="372"/>
      <c r="BL23" s="372"/>
      <c r="BM23" s="372"/>
      <c r="BN23" s="372"/>
      <c r="BO23" s="372"/>
      <c r="BP23" s="372"/>
      <c r="BQ23" s="372"/>
      <c r="BR23" s="372"/>
      <c r="BS23" s="372"/>
      <c r="BT23" s="372"/>
      <c r="BU23" s="372"/>
      <c r="BV23" s="423"/>
      <c r="BW23" s="423"/>
      <c r="BX23" s="372"/>
      <c r="BY23" s="372"/>
      <c r="BZ23" s="372"/>
    </row>
    <row r="24" customHeight="1" spans="1:78">
      <c r="A24" s="375">
        <v>8</v>
      </c>
      <c r="B24" s="224" t="s">
        <v>1912</v>
      </c>
      <c r="C24" s="224" t="s">
        <v>1913</v>
      </c>
      <c r="D24" s="193" t="s">
        <v>1914</v>
      </c>
      <c r="E24" s="224" t="s">
        <v>1915</v>
      </c>
      <c r="F24" s="193" t="s">
        <v>1916</v>
      </c>
      <c r="G24" s="224" t="s">
        <v>1917</v>
      </c>
      <c r="H24" s="224" t="s">
        <v>1918</v>
      </c>
      <c r="I24" s="224" t="s">
        <v>1919</v>
      </c>
      <c r="J24" s="435" t="str">
        <f>IF(AND(综合数据!B14=TRUE,OR(BI53&gt;0,COUNTIF($BG$2:$BG$46,"战斗风格-盲斗"))),"战斗风格-盲斗","")</f>
        <v/>
      </c>
      <c r="K24" s="434" t="s">
        <v>1920</v>
      </c>
      <c r="L24" s="435" t="str">
        <f>IF(综合数据!B14=TRUE,"专用武器","")</f>
        <v>专用武器</v>
      </c>
      <c r="M24" s="435" t="s">
        <v>1921</v>
      </c>
      <c r="N24" s="435" t="str">
        <f>IF(AND(综合数据!B14=TRUE,OR(BI53&gt;0,COUNTIF($BG$2:$BG$46,"战斗风格-受祝福的勇士"))),"战斗风格-受祝福的勇士","")</f>
        <v/>
      </c>
      <c r="O24" s="434" t="s">
        <v>1922</v>
      </c>
      <c r="P24" s="434" t="str">
        <f>IF(OR(BI53&gt;0,COUNTIF($BG$2:$BG$46,"战斗风格-对决")),"战斗风格-对决","")</f>
        <v/>
      </c>
      <c r="Q24" s="434" t="s">
        <v>1832</v>
      </c>
      <c r="R24" s="373" t="s">
        <v>1923</v>
      </c>
      <c r="S24" s="224" t="s">
        <v>1924</v>
      </c>
      <c r="T24" s="193" t="s">
        <v>1925</v>
      </c>
      <c r="U24" s="224" t="s">
        <v>1926</v>
      </c>
      <c r="V24" s="224" t="s">
        <v>1927</v>
      </c>
      <c r="W24" s="224" t="s">
        <v>1928</v>
      </c>
      <c r="X24" s="224" t="s">
        <v>1929</v>
      </c>
      <c r="Y24" s="224" t="s">
        <v>1930</v>
      </c>
      <c r="Z24" s="224" t="s">
        <v>1931</v>
      </c>
      <c r="AA24" s="223" t="s">
        <v>1932</v>
      </c>
      <c r="AB24" s="222">
        <f>IF(AND(主要!$R$4&lt;&gt;"",主要!$Y$3-主要!$Y$6-主要!$Y$7&gt;=1),1,"")</f>
        <v>1</v>
      </c>
      <c r="AC24" s="224" t="str">
        <f>IF(AND(主要!$R$6&lt;&gt;"",主要!$Y$3-主要!$Y$4-主要!$Y$7&gt;=1),1,"")</f>
        <v/>
      </c>
      <c r="AD24" s="223" t="str">
        <f>IF(AND(主要!$R$7&lt;&gt;"",主要!$Y$3-主要!$Y$4-主要!$Y$6&gt;=1),1,"")</f>
        <v/>
      </c>
      <c r="AE24" s="224"/>
      <c r="AF24" s="412" t="s">
        <v>1714</v>
      </c>
      <c r="AG24" s="375" t="str">
        <f t="array" ref="AG24">INDEX(AI:AI,SMALL(IF($AI$2:$AI$14&lt;&gt;"",ROW($2:$14),15),ROW(AI8)))&amp;""</f>
        <v/>
      </c>
      <c r="AH24" s="200" t="str">
        <f t="array" ref="AH24">INDEX(AJ:AJ,SMALL(IF($AJ$2:$AJ$14&lt;&gt;"",ROW($2:$14),15),ROW(AJ8)))&amp;""</f>
        <v/>
      </c>
      <c r="AI24" s="375" t="e">
        <f>INDEX($B$2:$S$14,AI$17,7)</f>
        <v>#VALUE!</v>
      </c>
      <c r="AJ24" s="372" t="e">
        <f>INDEX($B$2:$S$14,AJ$17,7)</f>
        <v>#N/A</v>
      </c>
      <c r="AK24" s="372" t="e">
        <f>INDEX($B$2:$S$14,AK$17,7)</f>
        <v>#N/A</v>
      </c>
      <c r="AL24" s="377" t="e">
        <f t="array" ref="AL24">INDEX(AJ:AJ,SMALL(IF($AJ$18:$AJ$35&lt;&gt;"",ROW($18:$35),36),ROW(AJ3)))&amp;""</f>
        <v>#N/A</v>
      </c>
      <c r="AM24" s="373" t="s">
        <v>1573</v>
      </c>
      <c r="AN24" s="373"/>
      <c r="AO24" s="373">
        <v>29</v>
      </c>
      <c r="AP24" s="374">
        <f>_xlfn.IFS(AG4&gt;=17,35,AG4&gt;=8,34,AG4&gt;=6,33,AG4&gt;=2,32,AG4=1,31,1,0)</f>
        <v>0</v>
      </c>
      <c r="AQ24" s="307" t="e">
        <f t="shared" si="16"/>
        <v>#N/A</v>
      </c>
      <c r="AR24" s="224" t="e">
        <f t="shared" si="17"/>
        <v>#N/A</v>
      </c>
      <c r="AS24" s="224" t="e">
        <f t="shared" si="6"/>
        <v>#N/A</v>
      </c>
      <c r="AT24" s="374" t="e">
        <f t="shared" si="7"/>
        <v>#N/A</v>
      </c>
      <c r="AU24" s="307" t="e">
        <f t="shared" si="14"/>
        <v>#N/A</v>
      </c>
      <c r="AV24" s="224" t="e">
        <f t="shared" si="8"/>
        <v>#N/A</v>
      </c>
      <c r="AW24" s="224" t="e">
        <f t="shared" si="9"/>
        <v>#N/A</v>
      </c>
      <c r="AX24" s="374" t="e">
        <f t="shared" si="10"/>
        <v>#N/A</v>
      </c>
      <c r="AY24" s="307" t="e">
        <f t="shared" si="15"/>
        <v>#N/A</v>
      </c>
      <c r="AZ24" s="224" t="e">
        <f t="shared" si="11"/>
        <v>#N/A</v>
      </c>
      <c r="BA24" s="224" t="e">
        <f t="shared" si="12"/>
        <v>#N/A</v>
      </c>
      <c r="BB24" s="374" t="e">
        <f t="shared" si="13"/>
        <v>#N/A</v>
      </c>
      <c r="BC24" s="222" t="str">
        <f>IFERROR(INDEX($AQ$12:$BF$87,14,$BC$2),"")</f>
        <v/>
      </c>
      <c r="BD24" s="224" t="str">
        <f>IFERROR(INDEX($AQ$12:$BF$87,14,$BD$2),"")</f>
        <v/>
      </c>
      <c r="BE24" s="192" t="str">
        <f t="shared" si="4"/>
        <v/>
      </c>
      <c r="BF24" s="200" t="str">
        <f t="array" ref="BF24">INDEX(BE:BE,SMALL(IF($BE$2:$BE$143&lt;&gt;"",ROW($2:$143),144),ROW(BE23)))&amp;""</f>
        <v/>
      </c>
      <c r="BG24" s="375">
        <f>IF(主要!C106="",0,主要!C106)</f>
        <v>0</v>
      </c>
      <c r="BH24" s="372" t="str">
        <f t="shared" si="2"/>
        <v/>
      </c>
      <c r="BI24" s="376" t="str">
        <f t="shared" si="5"/>
        <v/>
      </c>
      <c r="BJ24" s="372"/>
      <c r="BK24" s="372"/>
      <c r="BL24" s="372"/>
      <c r="BM24" s="372"/>
      <c r="BN24" s="372"/>
      <c r="BO24" s="372"/>
      <c r="BP24" s="372"/>
      <c r="BQ24" s="372"/>
      <c r="BR24" s="372"/>
      <c r="BS24" s="372"/>
      <c r="BT24" s="372"/>
      <c r="BU24" s="372"/>
      <c r="BV24" s="372"/>
      <c r="BW24" s="372"/>
      <c r="BX24" s="372"/>
      <c r="BY24" s="372"/>
      <c r="BZ24" s="372"/>
    </row>
    <row r="25" customHeight="1" spans="1:78">
      <c r="A25" s="375">
        <v>9</v>
      </c>
      <c r="B25" s="224" t="s">
        <v>944</v>
      </c>
      <c r="C25" s="224" t="s">
        <v>1933</v>
      </c>
      <c r="D25" s="193" t="s">
        <v>1934</v>
      </c>
      <c r="E25" s="224" t="s">
        <v>1935</v>
      </c>
      <c r="F25" s="224" t="s">
        <v>1936</v>
      </c>
      <c r="G25" s="224" t="s">
        <v>1937</v>
      </c>
      <c r="H25" s="224" t="s">
        <v>1938</v>
      </c>
      <c r="I25" s="224" t="s">
        <v>1939</v>
      </c>
      <c r="J25" s="435" t="str">
        <f>IF(AND(综合数据!B14=TRUE,OR(BI53&gt;0,COUNTIF($BG$2:$BG$46,"战斗风格-拦截"))),"战斗风格-拦截","")</f>
        <v/>
      </c>
      <c r="K25" s="434" t="s">
        <v>1940</v>
      </c>
      <c r="L25" s="224" t="s">
        <v>1941</v>
      </c>
      <c r="M25" s="224" t="s">
        <v>1942</v>
      </c>
      <c r="N25" s="435" t="str">
        <f>IF(AND(综合数据!B14=TRUE,OR(BI53&gt;0,COUNTIF($BG$2:$BG$46,"战斗风格-盲斗"))),"战斗风格-盲斗","")</f>
        <v/>
      </c>
      <c r="O25" s="434" t="s">
        <v>1943</v>
      </c>
      <c r="P25" s="434" t="str">
        <f>IF(OR(BI53&gt;0,COUNTIF($BG$2:$BG$46,"战斗风格-双武器战斗")),"战斗风格-双武器战斗","")</f>
        <v/>
      </c>
      <c r="Q25" s="434" t="s">
        <v>1899</v>
      </c>
      <c r="R25" s="373" t="s">
        <v>1944</v>
      </c>
      <c r="S25" s="224" t="s">
        <v>1945</v>
      </c>
      <c r="T25" s="193" t="s">
        <v>1946</v>
      </c>
      <c r="U25" s="224" t="s">
        <v>1947</v>
      </c>
      <c r="V25" s="434" t="str">
        <f>IF(AND(COUNTIF(法术数据!AK2:AK301,法术数据!B8)&gt;=1,OR(BI65&gt;0,COUNTIF($BG$2:$BG$46,"魔能祈唤-苦痛魔爆"))),"魔能祈唤-苦痛魔爆","")</f>
        <v/>
      </c>
      <c r="W25" s="439" t="s">
        <v>1948</v>
      </c>
      <c r="X25" s="224" t="s">
        <v>1949</v>
      </c>
      <c r="Y25" s="224" t="s">
        <v>1950</v>
      </c>
      <c r="Z25" s="224" t="s">
        <v>1951</v>
      </c>
      <c r="AA25" s="223" t="s">
        <v>1952</v>
      </c>
      <c r="AB25" s="222">
        <f>IF(AND(主要!$R$4&lt;&gt;"",主要!$Y$3-主要!$Y$6-主要!$Y$7&gt;=2),2,"")</f>
        <v>2</v>
      </c>
      <c r="AC25" s="224" t="str">
        <f>IF(AND(主要!$R$6&lt;&gt;"",主要!$Y$3-主要!$Y$4-主要!$Y$7&gt;=2),2,"")</f>
        <v/>
      </c>
      <c r="AD25" s="223" t="str">
        <f>IF(AND(主要!$R$7&lt;&gt;"",主要!$Y$3-主要!$Y$4-主要!$Y$6&gt;=2),2,"")</f>
        <v/>
      </c>
      <c r="AE25" s="224"/>
      <c r="AF25" s="412" t="s">
        <v>1543</v>
      </c>
      <c r="AG25" s="375" t="str">
        <f t="array" ref="AG25">INDEX(AI:AI,SMALL(IF($AI$2:$AI$14&lt;&gt;"",ROW($2:$14),15),ROW(AI9)))&amp;""</f>
        <v/>
      </c>
      <c r="AH25" s="200" t="str">
        <f t="array" ref="AH25">INDEX(AJ:AJ,SMALL(IF($AJ$2:$AJ$14&lt;&gt;"",ROW($2:$14),15),ROW(AJ9)))&amp;""</f>
        <v/>
      </c>
      <c r="AI25" s="375" t="e">
        <f>INDEX($B$2:$S$14,AI$17,8)</f>
        <v>#VALUE!</v>
      </c>
      <c r="AJ25" s="372" t="e">
        <f>INDEX($B$2:$S$14,AJ$17,8)</f>
        <v>#N/A</v>
      </c>
      <c r="AK25" s="372" t="e">
        <f>INDEX($B$2:$S$14,AK$17,8)</f>
        <v>#N/A</v>
      </c>
      <c r="AL25" s="377" t="e">
        <f t="array" ref="AL25">INDEX(AJ:AJ,SMALL(IF($AJ$18:$AJ$35&lt;&gt;"",ROW($18:$35),36),ROW(AJ4)))&amp;""</f>
        <v>#N/A</v>
      </c>
      <c r="AM25" s="373" t="s">
        <v>1574</v>
      </c>
      <c r="AN25" s="373"/>
      <c r="AO25" s="373">
        <v>36</v>
      </c>
      <c r="AP25" s="374">
        <f>_xlfn.IFS(AG4&gt;=17,42,AG4&gt;=8,41,AG4&gt;=6,40,AG4&gt;=2,39,AG4=1,38,1,0)</f>
        <v>0</v>
      </c>
      <c r="AQ25" s="307" t="e">
        <f t="shared" si="16"/>
        <v>#N/A</v>
      </c>
      <c r="AR25" s="224" t="e">
        <f t="shared" si="17"/>
        <v>#N/A</v>
      </c>
      <c r="AS25" s="224" t="e">
        <f t="shared" si="6"/>
        <v>#N/A</v>
      </c>
      <c r="AT25" s="374" t="e">
        <f t="shared" si="7"/>
        <v>#N/A</v>
      </c>
      <c r="AU25" s="307" t="e">
        <f t="shared" si="14"/>
        <v>#N/A</v>
      </c>
      <c r="AV25" s="224" t="e">
        <f t="shared" si="8"/>
        <v>#N/A</v>
      </c>
      <c r="AW25" s="224" t="e">
        <f t="shared" si="9"/>
        <v>#N/A</v>
      </c>
      <c r="AX25" s="374" t="e">
        <f t="shared" si="10"/>
        <v>#N/A</v>
      </c>
      <c r="AY25" s="307" t="e">
        <f t="shared" si="15"/>
        <v>#N/A</v>
      </c>
      <c r="AZ25" s="224" t="e">
        <f t="shared" si="11"/>
        <v>#N/A</v>
      </c>
      <c r="BA25" s="224" t="e">
        <f t="shared" si="12"/>
        <v>#N/A</v>
      </c>
      <c r="BB25" s="374" t="e">
        <f t="shared" si="13"/>
        <v>#N/A</v>
      </c>
      <c r="BC25" s="222" t="str">
        <f>IFERROR(INDEX($AQ$12:$BF$87,15,$BC$2),"")</f>
        <v/>
      </c>
      <c r="BD25" s="224" t="str">
        <f>IFERROR(INDEX($AQ$12:$BF$87,15,$BD$2),"")</f>
        <v/>
      </c>
      <c r="BE25" s="192" t="str">
        <f>IFERROR(IF(AND(NOT(BC27="注法-复制魔法物品"),OR(BC27="",COUNTIF($BG$2:$BG$46,BC27))),"",BC27),"")</f>
        <v/>
      </c>
      <c r="BF25" s="200" t="str">
        <f t="array" ref="BF25">INDEX(BE:BE,SMALL(IF($BE$2:$BE$143&lt;&gt;"",ROW($2:$143),144),ROW(BE24)))&amp;""</f>
        <v/>
      </c>
      <c r="BG25" s="375">
        <f>IF(主要!C107="",0,主要!C107)</f>
        <v>0</v>
      </c>
      <c r="BH25" s="372" t="str">
        <f t="shared" si="2"/>
        <v/>
      </c>
      <c r="BI25" s="376" t="str">
        <f t="shared" si="5"/>
        <v/>
      </c>
      <c r="BJ25" s="372"/>
      <c r="BK25" s="372"/>
      <c r="BL25" s="372"/>
      <c r="BM25" s="372"/>
      <c r="BN25" s="372"/>
      <c r="BO25" s="372"/>
      <c r="BP25" s="372"/>
      <c r="BQ25" s="372"/>
      <c r="BR25" s="372"/>
      <c r="BS25" s="372"/>
      <c r="BT25" s="372"/>
      <c r="BU25" s="372"/>
      <c r="BV25" s="372"/>
      <c r="BW25" s="372"/>
      <c r="BX25" s="372"/>
      <c r="BY25" s="372"/>
      <c r="BZ25" s="372"/>
    </row>
    <row r="26" customHeight="1" spans="1:78">
      <c r="A26" s="375">
        <v>10</v>
      </c>
      <c r="B26" s="435" t="str">
        <f>IF(综合数据!B14=TRUE,"直觉猛扑","")</f>
        <v>直觉猛扑</v>
      </c>
      <c r="C26" s="435" t="s">
        <v>1953</v>
      </c>
      <c r="D26" s="193" t="s">
        <v>1954</v>
      </c>
      <c r="E26" s="224" t="s">
        <v>1955</v>
      </c>
      <c r="F26" s="434" t="s">
        <v>1956</v>
      </c>
      <c r="G26" s="434" t="s">
        <v>1957</v>
      </c>
      <c r="H26" s="435" t="str">
        <f>IF(综合数据!B14=TRUE,"荒野伙伴","")</f>
        <v>荒野伙伴</v>
      </c>
      <c r="I26" s="435" t="s">
        <v>1958</v>
      </c>
      <c r="J26" s="435" t="str">
        <f>IF(AND(综合数据!B14=TRUE,OR(BI53&gt;0,COUNTIF($BG$2:$BG$46,"战斗风格-卓越技巧"))),"战斗风格-卓越技巧","")</f>
        <v/>
      </c>
      <c r="K26" s="434" t="s">
        <v>1959</v>
      </c>
      <c r="L26" s="224" t="s">
        <v>1960</v>
      </c>
      <c r="M26" s="224" t="s">
        <v>1961</v>
      </c>
      <c r="N26" s="435" t="str">
        <f>IF(AND(综合数据!B14=TRUE,OR(BI53&gt;0,COUNTIF($BG$2:$BG$46,"战斗风格-拦截"))),"战斗风格-拦截","")</f>
        <v/>
      </c>
      <c r="O26" s="434" t="s">
        <v>1962</v>
      </c>
      <c r="P26" s="435" t="str">
        <f>IF(AND(综合数据!B14=TRUE,OR(BI53&gt;0,COUNTIF($BG$2:$BG$46,"战斗风格-盲斗"))),"战斗风格-盲斗","")</f>
        <v/>
      </c>
      <c r="Q26" s="434" t="s">
        <v>1963</v>
      </c>
      <c r="R26" s="373" t="s">
        <v>1964</v>
      </c>
      <c r="S26" s="224" t="s">
        <v>1965</v>
      </c>
      <c r="T26" s="193" t="s">
        <v>1966</v>
      </c>
      <c r="U26" s="224" t="s">
        <v>1967</v>
      </c>
      <c r="V26" s="434" t="str">
        <f>IF(OR(BI65&gt;0,COUNTIF($BG$2:$BG$46,"魔能祈唤-幽影护甲")),"魔能祈唤-幽影护甲","")</f>
        <v/>
      </c>
      <c r="W26" s="434" t="s">
        <v>1968</v>
      </c>
      <c r="X26" s="224" t="s">
        <v>1969</v>
      </c>
      <c r="Y26" s="224" t="s">
        <v>1970</v>
      </c>
      <c r="Z26" s="434" t="str">
        <f>IF(OR(BI67&gt;0,COUNTIF($BG$2:$BG$46,"注法-增强奥术法器")),"注法-增强奥术法器","")</f>
        <v/>
      </c>
      <c r="AA26" s="440" t="s">
        <v>1971</v>
      </c>
      <c r="AB26" s="222">
        <f>IF(AND(主要!$R$4&lt;&gt;"",主要!$Y$3-主要!$Y$6-主要!$Y$7&gt;=3),3,"")</f>
        <v>3</v>
      </c>
      <c r="AC26" s="224" t="str">
        <f>IF(AND(主要!$R$6&lt;&gt;"",主要!$Y$3-主要!$Y$4-主要!$Y$7&gt;=3),3,"")</f>
        <v/>
      </c>
      <c r="AD26" s="223" t="str">
        <f>IF(AND(主要!$R$7&lt;&gt;"",主要!$Y$3-主要!$Y$4-主要!$Y$6&gt;=3),3,"")</f>
        <v/>
      </c>
      <c r="AE26" s="434"/>
      <c r="AF26" s="412" t="s">
        <v>1635</v>
      </c>
      <c r="AG26" s="375" t="str">
        <f t="array" ref="AG26">INDEX(AI:AI,SMALL(IF($AI$2:$AI$14&lt;&gt;"",ROW($2:$14),15),ROW(AI10)))&amp;""</f>
        <v/>
      </c>
      <c r="AH26" s="200" t="str">
        <f t="array" ref="AH26">INDEX(AJ:AJ,SMALL(IF($AJ$2:$AJ$14&lt;&gt;"",ROW($2:$14),15),ROW(AJ10)))&amp;""</f>
        <v/>
      </c>
      <c r="AI26" s="375" t="e">
        <f>INDEX($B$2:$S$14,AI$17,9)</f>
        <v>#VALUE!</v>
      </c>
      <c r="AJ26" s="372" t="e">
        <f>INDEX($B$2:$S$14,AJ$17,9)</f>
        <v>#N/A</v>
      </c>
      <c r="AK26" s="372" t="e">
        <f>INDEX($B$2:$S$14,AK$17,9)</f>
        <v>#N/A</v>
      </c>
      <c r="AL26" s="377" t="e">
        <f t="array" ref="AL26">INDEX(AJ:AJ,SMALL(IF($AJ$18:$AJ$35&lt;&gt;"",ROW($18:$35),36),ROW(AJ5)))&amp;""</f>
        <v>#N/A</v>
      </c>
      <c r="AM26" s="373" t="s">
        <v>1575</v>
      </c>
      <c r="AN26" s="373"/>
      <c r="AO26" s="373">
        <v>43</v>
      </c>
      <c r="AP26" s="374">
        <f>_xlfn.IFS(AG4&gt;=17,49,AG4&gt;=8,48,AG4&gt;=6,47,AG4&gt;=2,46,AG4=1,45,1,0)</f>
        <v>0</v>
      </c>
      <c r="AQ26" s="307" t="e">
        <f t="shared" si="16"/>
        <v>#N/A</v>
      </c>
      <c r="AR26" s="224" t="e">
        <f t="shared" si="17"/>
        <v>#N/A</v>
      </c>
      <c r="AS26" s="224" t="e">
        <f t="shared" si="6"/>
        <v>#N/A</v>
      </c>
      <c r="AT26" s="374" t="e">
        <f t="shared" si="7"/>
        <v>#N/A</v>
      </c>
      <c r="AU26" s="307" t="e">
        <f t="shared" si="14"/>
        <v>#N/A</v>
      </c>
      <c r="AV26" s="224" t="e">
        <f t="shared" si="8"/>
        <v>#N/A</v>
      </c>
      <c r="AW26" s="224" t="e">
        <f t="shared" si="9"/>
        <v>#N/A</v>
      </c>
      <c r="AX26" s="374" t="e">
        <f t="shared" si="10"/>
        <v>#N/A</v>
      </c>
      <c r="AY26" s="307" t="e">
        <f t="shared" si="15"/>
        <v>#N/A</v>
      </c>
      <c r="AZ26" s="224" t="e">
        <f t="shared" si="11"/>
        <v>#N/A</v>
      </c>
      <c r="BA26" s="224" t="e">
        <f t="shared" si="12"/>
        <v>#N/A</v>
      </c>
      <c r="BB26" s="374" t="e">
        <f t="shared" si="13"/>
        <v>#N/A</v>
      </c>
      <c r="BC26" s="222" t="str">
        <f>IFERROR(INDEX($AQ$12:$BF$87,16,$BC$2),"")</f>
        <v/>
      </c>
      <c r="BD26" s="224" t="str">
        <f>IFERROR(INDEX($AQ$12:$BF$87,16,$BD$2),"")</f>
        <v/>
      </c>
      <c r="BE26" s="192" t="str">
        <f t="shared" ref="BE26:BE57" si="18">IFERROR(IF(OR(BC28="",COUNTIF($BG$2:$BG$46,BC28)),"",BC28),"")</f>
        <v/>
      </c>
      <c r="BF26" s="200" t="str">
        <f t="array" ref="BF26">INDEX(BE:BE,SMALL(IF($BE$2:$BE$143&lt;&gt;"",ROW($2:$143),144),ROW(BE25)))&amp;""</f>
        <v/>
      </c>
      <c r="BG26" s="375">
        <f>IF(主要!C108="",0,主要!C108)</f>
        <v>0</v>
      </c>
      <c r="BH26" s="372" t="str">
        <f t="shared" si="2"/>
        <v/>
      </c>
      <c r="BI26" s="376" t="str">
        <f t="shared" si="5"/>
        <v/>
      </c>
      <c r="BJ26" s="372"/>
      <c r="BK26" s="372"/>
      <c r="BL26" s="372"/>
      <c r="BM26" s="372"/>
      <c r="BN26" s="372"/>
      <c r="BO26" s="372"/>
      <c r="BP26" s="372"/>
      <c r="BQ26" s="372"/>
      <c r="BR26" s="372"/>
      <c r="BS26" s="372"/>
      <c r="BT26" s="372"/>
      <c r="BU26" s="372"/>
      <c r="BV26" s="372"/>
      <c r="BW26" s="372"/>
      <c r="BX26" s="372"/>
      <c r="BY26" s="372"/>
      <c r="BZ26" s="372"/>
    </row>
    <row r="27" customHeight="1" spans="1:78">
      <c r="A27" s="375">
        <v>11</v>
      </c>
      <c r="B27" s="224" t="s">
        <v>1972</v>
      </c>
      <c r="C27" s="224" t="s">
        <v>1973</v>
      </c>
      <c r="D27" s="435" t="str">
        <f>IF(综合数据!B14=TRUE,"魔法激励","")</f>
        <v>魔法激励</v>
      </c>
      <c r="E27" s="435" t="s">
        <v>1974</v>
      </c>
      <c r="F27" s="435" t="str">
        <f>IF(综合数据!B14=TRUE,"神力掌控","")</f>
        <v>神力掌控</v>
      </c>
      <c r="G27" s="435" t="s">
        <v>1975</v>
      </c>
      <c r="H27" s="435" t="str">
        <f>IF(综合数据!B14=TRUE,"替换戏法-德鲁伊","")</f>
        <v>替换戏法-德鲁伊</v>
      </c>
      <c r="I27" s="435" t="s">
        <v>1976</v>
      </c>
      <c r="J27" s="435" t="str">
        <f>IF(AND(综合数据!B14=TRUE,OR(BI53&gt;0,COUNTIF($BG$2:$BG$46,"战斗风格-投掷武器战斗"))),"战斗风格-投掷武器战斗","")</f>
        <v/>
      </c>
      <c r="K27" s="434" t="s">
        <v>1977</v>
      </c>
      <c r="L27" s="435" t="str">
        <f>IF(综合数据!B14=TRUE,"驭气以击","")</f>
        <v>驭气以击</v>
      </c>
      <c r="M27" s="435" t="s">
        <v>1978</v>
      </c>
      <c r="N27" s="224" t="s">
        <v>1979</v>
      </c>
      <c r="O27" s="224" t="s">
        <v>1980</v>
      </c>
      <c r="P27" s="435" t="str">
        <f>IF(AND(综合数据!B14=TRUE,OR(BI53&gt;0,COUNTIF($BG$2:$BG$46,"战斗风格-德鲁伊教战士"))),"战斗风格-德鲁伊教战士","")</f>
        <v/>
      </c>
      <c r="Q27" s="434" t="s">
        <v>1981</v>
      </c>
      <c r="R27" s="373" t="s">
        <v>1982</v>
      </c>
      <c r="S27" s="224" t="s">
        <v>1983</v>
      </c>
      <c r="T27" s="193" t="s">
        <v>1984</v>
      </c>
      <c r="U27" s="224" t="s">
        <v>1985</v>
      </c>
      <c r="V27" s="434" t="str">
        <f>IF(OR(BI65&gt;0,COUNTIF($BG$2:$BG$46,"魔能祈唤-野兽之语")),"魔能祈唤-野兽之语","")</f>
        <v/>
      </c>
      <c r="W27" s="434" t="s">
        <v>1986</v>
      </c>
      <c r="X27" s="224" t="s">
        <v>1987</v>
      </c>
      <c r="Y27" s="224" t="s">
        <v>1988</v>
      </c>
      <c r="Z27" s="434" t="str">
        <f>IF(OR(BI67&gt;0,COUNTIF($BG$2:$BG$46,"注法-增强防御")),"注法-增强防御","")</f>
        <v/>
      </c>
      <c r="AA27" s="440" t="s">
        <v>1989</v>
      </c>
      <c r="AB27" s="222" t="str">
        <f>IF(AND(主要!$R$4&lt;&gt;"",主要!$Y$3-主要!$Y$6-主要!$Y$7&gt;=4),4,"")</f>
        <v/>
      </c>
      <c r="AC27" s="224" t="str">
        <f>IF(AND(主要!$R$6&lt;&gt;"",主要!$Y$3-主要!$Y$4-主要!$Y$7&gt;=4),4,"")</f>
        <v/>
      </c>
      <c r="AD27" s="223" t="str">
        <f>IF(AND(主要!$R$7&lt;&gt;"",主要!$Y$3-主要!$Y$4-主要!$Y$6&gt;=4),4,"")</f>
        <v/>
      </c>
      <c r="AE27" s="434"/>
      <c r="AF27" s="441" t="s">
        <v>1513</v>
      </c>
      <c r="AG27" s="375" t="str">
        <f t="array" ref="AG27">INDEX(AI:AI,SMALL(IF($AI$2:$AI$14&lt;&gt;"",ROW($2:$14),15),ROW(AI11)))&amp;""</f>
        <v/>
      </c>
      <c r="AH27" s="200" t="str">
        <f t="array" ref="AH27">INDEX(AJ:AJ,SMALL(IF($AJ$2:$AJ$14&lt;&gt;"",ROW($2:$14),15),ROW(AJ11)))&amp;""</f>
        <v/>
      </c>
      <c r="AI27" s="375" t="e">
        <f>INDEX($B$2:$S$14,AI$17,10)</f>
        <v>#VALUE!</v>
      </c>
      <c r="AJ27" s="372" t="e">
        <f>INDEX($B$2:$S$14,AJ$17,10)</f>
        <v>#N/A</v>
      </c>
      <c r="AK27" s="372" t="e">
        <f>INDEX($B$2:$S$14,AK$17,10)</f>
        <v>#N/A</v>
      </c>
      <c r="AL27" s="377" t="e">
        <f t="array" ref="AL27">INDEX(AJ:AJ,SMALL(IF($AJ$18:$AJ$35&lt;&gt;"",ROW($18:$35),36),ROW(AJ6)))&amp;""</f>
        <v>#N/A</v>
      </c>
      <c r="AM27" s="373" t="s">
        <v>1576</v>
      </c>
      <c r="AN27" s="373"/>
      <c r="AO27" s="373">
        <v>50</v>
      </c>
      <c r="AP27" s="374">
        <f>_xlfn.IFS(AG4&gt;=17,55,AG4&gt;=8,54,AG4&gt;=6,53,AG4&gt;=2,52,AG4=1,51,1,0)</f>
        <v>0</v>
      </c>
      <c r="AQ27" s="307" t="e">
        <f t="shared" si="16"/>
        <v>#N/A</v>
      </c>
      <c r="AR27" s="224" t="e">
        <f t="shared" si="17"/>
        <v>#N/A</v>
      </c>
      <c r="AS27" s="224" t="e">
        <f t="shared" si="6"/>
        <v>#N/A</v>
      </c>
      <c r="AT27" s="374" t="e">
        <f t="shared" si="7"/>
        <v>#N/A</v>
      </c>
      <c r="AU27" s="307" t="e">
        <f t="shared" si="14"/>
        <v>#N/A</v>
      </c>
      <c r="AV27" s="224" t="e">
        <f t="shared" si="8"/>
        <v>#N/A</v>
      </c>
      <c r="AW27" s="224" t="e">
        <f t="shared" si="9"/>
        <v>#N/A</v>
      </c>
      <c r="AX27" s="374" t="e">
        <f t="shared" si="10"/>
        <v>#N/A</v>
      </c>
      <c r="AY27" s="307" t="e">
        <f t="shared" si="15"/>
        <v>#N/A</v>
      </c>
      <c r="AZ27" s="224" t="e">
        <f t="shared" si="11"/>
        <v>#N/A</v>
      </c>
      <c r="BA27" s="224" t="e">
        <f t="shared" si="12"/>
        <v>#N/A</v>
      </c>
      <c r="BB27" s="374" t="e">
        <f t="shared" si="13"/>
        <v>#N/A</v>
      </c>
      <c r="BC27" s="222" t="str">
        <f>IFERROR(INDEX($AQ$12:$BF$87,17,$BC$2),"")</f>
        <v/>
      </c>
      <c r="BD27" s="224" t="str">
        <f>IFERROR(INDEX($AQ$12:$BF$87,17,$BD$2),"")</f>
        <v/>
      </c>
      <c r="BE27" s="192" t="str">
        <f t="shared" si="18"/>
        <v/>
      </c>
      <c r="BF27" s="200" t="str">
        <f t="array" ref="BF27">INDEX(BE:BE,SMALL(IF($BE$2:$BE$143&lt;&gt;"",ROW($2:$143),144),ROW(BE26)))&amp;""</f>
        <v/>
      </c>
      <c r="BG27" s="375">
        <f>IF(主要!C109="",0,主要!C109)</f>
        <v>0</v>
      </c>
      <c r="BH27" s="372" t="str">
        <f t="shared" si="2"/>
        <v/>
      </c>
      <c r="BI27" s="376" t="str">
        <f t="shared" si="5"/>
        <v/>
      </c>
      <c r="BJ27" s="372"/>
      <c r="BK27" s="372"/>
      <c r="BL27" s="372"/>
      <c r="BM27" s="372"/>
      <c r="BN27" s="372"/>
      <c r="BO27" s="372"/>
      <c r="BP27" s="372"/>
      <c r="BQ27" s="372"/>
      <c r="BR27" s="372"/>
      <c r="BS27" s="372"/>
      <c r="BT27" s="372"/>
      <c r="BU27" s="372"/>
      <c r="BV27" s="372"/>
      <c r="BW27" s="372"/>
      <c r="BX27" s="372"/>
      <c r="BY27" s="372"/>
      <c r="BZ27" s="372"/>
    </row>
    <row r="28" customHeight="1" spans="1:78">
      <c r="A28" s="375">
        <v>12</v>
      </c>
      <c r="B28" s="224" t="s">
        <v>1990</v>
      </c>
      <c r="C28" s="224" t="s">
        <v>1991</v>
      </c>
      <c r="D28" s="193" t="s">
        <v>1992</v>
      </c>
      <c r="E28" s="224" t="s">
        <v>1993</v>
      </c>
      <c r="F28" s="435" t="str">
        <f>IF(综合数据!B14=TRUE,"替换戏法-牧师","")</f>
        <v>替换戏法-牧师</v>
      </c>
      <c r="G28" s="435" t="s">
        <v>1994</v>
      </c>
      <c r="H28" s="224" t="s">
        <v>1995</v>
      </c>
      <c r="I28" s="224" t="s">
        <v>1996</v>
      </c>
      <c r="J28" s="435" t="str">
        <f>IF(AND(综合数据!B14=TRUE,OR(BI53&gt;0,COUNTIF($BG$2:$BG$46,"战斗风格-徒手战斗"))),"战斗风格-徒手战斗","")</f>
        <v/>
      </c>
      <c r="K28" s="434" t="s">
        <v>1997</v>
      </c>
      <c r="L28" s="224" t="s">
        <v>1998</v>
      </c>
      <c r="M28" s="224" t="s">
        <v>1999</v>
      </c>
      <c r="N28" s="224" t="s">
        <v>2000</v>
      </c>
      <c r="O28" s="224" t="s">
        <v>2001</v>
      </c>
      <c r="P28" s="435" t="str">
        <f>IF(AND(综合数据!B14=TRUE,OR(BI53&gt;0,COUNTIF($BG$2:$BG$46,"战斗风格-投掷武器战斗"))),"战斗风格-投掷武器战斗","")</f>
        <v/>
      </c>
      <c r="Q28" s="434" t="s">
        <v>1977</v>
      </c>
      <c r="R28" s="373" t="s">
        <v>2002</v>
      </c>
      <c r="S28" s="224" t="s">
        <v>2003</v>
      </c>
      <c r="T28" s="193" t="s">
        <v>2004</v>
      </c>
      <c r="U28" s="224" t="s">
        <v>2005</v>
      </c>
      <c r="V28" s="434" t="str">
        <f>IF(OR(BI65&gt;0,COUNTIF($BG$2:$BG$46,"魔能祈唤-诱导话术")),"魔能祈唤-诱导话术","")</f>
        <v/>
      </c>
      <c r="W28" s="434" t="s">
        <v>2006</v>
      </c>
      <c r="X28" s="224" t="s">
        <v>2007</v>
      </c>
      <c r="Y28" s="224" t="s">
        <v>2008</v>
      </c>
      <c r="Z28" s="434" t="str">
        <f>IF(OR(BI67&gt;0,COUNTIF($BG$2:$BG$46,"注法-增强武器")),"注法-增强武器","")</f>
        <v/>
      </c>
      <c r="AA28" s="440" t="s">
        <v>2009</v>
      </c>
      <c r="AB28" s="222" t="str">
        <f>IF(AND(主要!$R$4&lt;&gt;"",主要!$Y$3-主要!$Y$6-主要!$Y$7&gt;=5),5,"")</f>
        <v/>
      </c>
      <c r="AC28" s="224" t="str">
        <f>IF(AND(主要!$R$6&lt;&gt;"",主要!$Y$3-主要!$Y$4-主要!$Y$7&gt;=5),5,"")</f>
        <v/>
      </c>
      <c r="AD28" s="223" t="str">
        <f>IF(AND(主要!$R$7&lt;&gt;"",主要!$Y$3-主要!$Y$4-主要!$Y$6&gt;=5),5,"")</f>
        <v/>
      </c>
      <c r="AE28" s="434"/>
      <c r="AF28" s="434"/>
      <c r="AG28" s="380" t="str">
        <f t="array" ref="AG28">INDEX(AI:AI,SMALL(IF($AI$2:$AI$14&lt;&gt;"",ROW($2:$14),15),ROW(AI12)))&amp;""</f>
        <v/>
      </c>
      <c r="AH28" s="205" t="str">
        <f t="array" ref="AH28">INDEX(AJ:AJ,SMALL(IF($AJ$2:$AJ$14&lt;&gt;"",ROW($2:$14),15),ROW(AJ12)))&amp;""</f>
        <v/>
      </c>
      <c r="AI28" s="375" t="e">
        <f>INDEX($B$2:$S$14,AI$17,11)</f>
        <v>#VALUE!</v>
      </c>
      <c r="AJ28" s="372" t="e">
        <f>INDEX($B$2:$S$14,AJ$17,11)</f>
        <v>#N/A</v>
      </c>
      <c r="AK28" s="372" t="e">
        <f>INDEX($B$2:$S$14,AK$17,11)</f>
        <v>#N/A</v>
      </c>
      <c r="AL28" s="377" t="e">
        <f t="array" ref="AL28">INDEX(AJ:AJ,SMALL(IF($AJ$18:$AJ$35&lt;&gt;"",ROW($18:$35),36),ROW(AJ7)))&amp;""</f>
        <v>#N/A</v>
      </c>
      <c r="AM28" s="373" t="s">
        <v>1577</v>
      </c>
      <c r="AN28" s="373"/>
      <c r="AO28" s="373">
        <v>56</v>
      </c>
      <c r="AP28" s="374">
        <f>_xlfn.IFS(AG4&gt;=17,62,AG4&gt;=8,61,AG4&gt;=6,60,AG4&gt;=2,59,AG4=1,58,1,0)</f>
        <v>0</v>
      </c>
      <c r="AQ28" s="307" t="e">
        <f t="shared" si="16"/>
        <v>#N/A</v>
      </c>
      <c r="AR28" s="224" t="e">
        <f t="shared" si="17"/>
        <v>#N/A</v>
      </c>
      <c r="AS28" s="224" t="e">
        <f t="shared" si="6"/>
        <v>#N/A</v>
      </c>
      <c r="AT28" s="374" t="e">
        <f t="shared" si="7"/>
        <v>#N/A</v>
      </c>
      <c r="AU28" s="307" t="e">
        <f t="shared" si="14"/>
        <v>#N/A</v>
      </c>
      <c r="AV28" s="224" t="e">
        <f t="shared" si="8"/>
        <v>#N/A</v>
      </c>
      <c r="AW28" s="224" t="e">
        <f t="shared" si="9"/>
        <v>#N/A</v>
      </c>
      <c r="AX28" s="374" t="e">
        <f t="shared" si="10"/>
        <v>#N/A</v>
      </c>
      <c r="AY28" s="307" t="e">
        <f t="shared" si="15"/>
        <v>#N/A</v>
      </c>
      <c r="AZ28" s="224" t="e">
        <f t="shared" si="11"/>
        <v>#N/A</v>
      </c>
      <c r="BA28" s="224" t="e">
        <f t="shared" si="12"/>
        <v>#N/A</v>
      </c>
      <c r="BB28" s="374" t="e">
        <f t="shared" si="13"/>
        <v>#N/A</v>
      </c>
      <c r="BC28" s="222" t="str">
        <f>IFERROR(INDEX($AQ$12:$BF$87,18,$BC$2),"")</f>
        <v/>
      </c>
      <c r="BD28" s="224" t="str">
        <f>IFERROR(INDEX($AQ$12:$BF$87,18,$BD$2),"")</f>
        <v/>
      </c>
      <c r="BE28" s="192" t="str">
        <f t="shared" si="18"/>
        <v/>
      </c>
      <c r="BF28" s="200" t="str">
        <f t="array" ref="BF28">INDEX(BE:BE,SMALL(IF($BE$2:$BE$143&lt;&gt;"",ROW($2:$143),144),ROW(BE27)))&amp;""</f>
        <v/>
      </c>
      <c r="BG28" s="375">
        <f>IF(主要!C110="",0,主要!C110)</f>
        <v>0</v>
      </c>
      <c r="BH28" s="372" t="str">
        <f t="shared" si="2"/>
        <v/>
      </c>
      <c r="BI28" s="376" t="str">
        <f t="shared" si="5"/>
        <v/>
      </c>
      <c r="BJ28" s="372"/>
      <c r="BK28" s="372"/>
      <c r="BL28" s="372"/>
      <c r="BM28" s="372"/>
      <c r="BN28" s="372"/>
      <c r="BO28" s="372"/>
      <c r="BP28" s="372"/>
      <c r="BQ28" s="372"/>
      <c r="BR28" s="372"/>
      <c r="BS28" s="372"/>
      <c r="BT28" s="372"/>
      <c r="BU28" s="372"/>
      <c r="BV28" s="372"/>
      <c r="BW28" s="372"/>
      <c r="BX28" s="372"/>
      <c r="BY28" s="372"/>
      <c r="BZ28" s="372"/>
    </row>
    <row r="29" customHeight="1" spans="1:78">
      <c r="A29" s="375">
        <v>13</v>
      </c>
      <c r="B29" s="224" t="s">
        <v>2010</v>
      </c>
      <c r="C29" s="224" t="s">
        <v>2011</v>
      </c>
      <c r="D29" s="224" t="s">
        <v>2012</v>
      </c>
      <c r="E29" s="224" t="s">
        <v>2013</v>
      </c>
      <c r="F29" s="193" t="s">
        <v>2014</v>
      </c>
      <c r="G29" s="224" t="s">
        <v>2015</v>
      </c>
      <c r="H29" s="224" t="s">
        <v>2016</v>
      </c>
      <c r="I29" s="224" t="s">
        <v>2017</v>
      </c>
      <c r="J29" s="224" t="s">
        <v>2018</v>
      </c>
      <c r="K29" s="224" t="s">
        <v>2019</v>
      </c>
      <c r="L29" s="435" t="str">
        <f>IF(综合数据!B14=TRUE,"加速愈合","")</f>
        <v>加速愈合</v>
      </c>
      <c r="M29" s="435" t="s">
        <v>2020</v>
      </c>
      <c r="N29" s="224" t="s">
        <v>2021</v>
      </c>
      <c r="O29" s="224" t="s">
        <v>2022</v>
      </c>
      <c r="P29" s="224" t="s">
        <v>2023</v>
      </c>
      <c r="Q29" s="224" t="s">
        <v>2024</v>
      </c>
      <c r="R29" s="373" t="s">
        <v>2025</v>
      </c>
      <c r="S29" s="224" t="s">
        <v>2026</v>
      </c>
      <c r="T29" s="224" t="s">
        <v>2027</v>
      </c>
      <c r="U29" s="224" t="s">
        <v>2028</v>
      </c>
      <c r="V29" s="434" t="str">
        <f>IF(OR(BI65&gt;0,COUNTIF($BG$2:$BG$46,"魔能祈唤-魔鬼视界")),"魔能祈唤-魔鬼视界","")</f>
        <v/>
      </c>
      <c r="W29" s="434" t="s">
        <v>2029</v>
      </c>
      <c r="X29" s="224" t="s">
        <v>2030</v>
      </c>
      <c r="Y29" s="224" t="s">
        <v>2031</v>
      </c>
      <c r="Z29" s="434" t="str">
        <f>IF(OR(BI67&gt;0,COUNTIF($BG$2:$BG$46,"注法-人工生命仆从")),"注法-人工生命仆从","")</f>
        <v/>
      </c>
      <c r="AA29" s="440" t="s">
        <v>2032</v>
      </c>
      <c r="AB29" s="222" t="str">
        <f>IF(AND(主要!$R$4&lt;&gt;"",主要!$Y$3-主要!$Y$6-主要!$Y$7&gt;=6),6,"")</f>
        <v/>
      </c>
      <c r="AC29" s="224" t="str">
        <f>IF(AND(主要!$R$6&lt;&gt;"",主要!$Y$3-主要!$Y$4-主要!$Y$7&gt;=6),6,"")</f>
        <v/>
      </c>
      <c r="AD29" s="223" t="str">
        <f>IF(AND(主要!$R$7&lt;&gt;"",主要!$Y$3-主要!$Y$4-主要!$Y$6&gt;=6),6,"")</f>
        <v/>
      </c>
      <c r="AE29" s="434"/>
      <c r="AF29" s="434"/>
      <c r="AG29" s="434"/>
      <c r="AH29" s="434"/>
      <c r="AI29" s="375" t="e">
        <f>INDEX($B$2:$S$14,AI$17,12)</f>
        <v>#VALUE!</v>
      </c>
      <c r="AJ29" s="372" t="e">
        <f>INDEX($B$2:$S$14,AJ$17,12)</f>
        <v>#N/A</v>
      </c>
      <c r="AK29" s="372" t="e">
        <f>INDEX($B$2:$S$14,AK$17,12)</f>
        <v>#N/A</v>
      </c>
      <c r="AL29" s="377" t="e">
        <f t="array" ref="AL29">INDEX(AJ:AJ,SMALL(IF($AJ$18:$AJ$35&lt;&gt;"",ROW($18:$35),36),ROW(AJ8)))&amp;""</f>
        <v>#N/A</v>
      </c>
      <c r="AM29" s="400" t="s">
        <v>2033</v>
      </c>
      <c r="AN29" s="400"/>
      <c r="AO29" s="400">
        <v>63</v>
      </c>
      <c r="AP29" s="442">
        <f>_xlfn.IFS(AG4&gt;=17,69,AG4&gt;=8,68,AG4&gt;=6,67,AG4&gt;=2,66,AG4=1,65,1,0)</f>
        <v>0</v>
      </c>
      <c r="AQ29" s="307" t="e">
        <f t="shared" si="16"/>
        <v>#N/A</v>
      </c>
      <c r="AR29" s="224" t="e">
        <f t="shared" si="17"/>
        <v>#N/A</v>
      </c>
      <c r="AS29" s="224" t="e">
        <f t="shared" si="6"/>
        <v>#N/A</v>
      </c>
      <c r="AT29" s="374" t="e">
        <f t="shared" si="7"/>
        <v>#N/A</v>
      </c>
      <c r="AU29" s="307" t="e">
        <f t="shared" si="14"/>
        <v>#N/A</v>
      </c>
      <c r="AV29" s="224" t="e">
        <f t="shared" si="8"/>
        <v>#N/A</v>
      </c>
      <c r="AW29" s="224" t="e">
        <f t="shared" si="9"/>
        <v>#N/A</v>
      </c>
      <c r="AX29" s="374" t="e">
        <f t="shared" si="10"/>
        <v>#N/A</v>
      </c>
      <c r="AY29" s="307" t="e">
        <f t="shared" si="15"/>
        <v>#N/A</v>
      </c>
      <c r="AZ29" s="224" t="e">
        <f t="shared" si="11"/>
        <v>#N/A</v>
      </c>
      <c r="BA29" s="224" t="e">
        <f t="shared" si="12"/>
        <v>#N/A</v>
      </c>
      <c r="BB29" s="374" t="e">
        <f t="shared" si="13"/>
        <v>#N/A</v>
      </c>
      <c r="BC29" s="222" t="str">
        <f>IFERROR(INDEX($AQ$12:$BF$87,19,$BC$2),"")</f>
        <v/>
      </c>
      <c r="BD29" s="224" t="str">
        <f>IFERROR(INDEX($AQ$12:$BF$87,19,$BD$2),"")</f>
        <v/>
      </c>
      <c r="BE29" s="192" t="str">
        <f t="shared" si="18"/>
        <v/>
      </c>
      <c r="BF29" s="200" t="str">
        <f t="array" ref="BF29">INDEX(BE:BE,SMALL(IF($BE$2:$BE$143&lt;&gt;"",ROW($2:$143),144),ROW(BE28)))&amp;""</f>
        <v/>
      </c>
      <c r="BG29" s="375">
        <f>IF(主要!C111="",0,主要!C111)</f>
        <v>0</v>
      </c>
      <c r="BH29" s="372" t="str">
        <f t="shared" si="2"/>
        <v/>
      </c>
      <c r="BI29" s="376" t="str">
        <f t="shared" si="5"/>
        <v/>
      </c>
      <c r="BJ29" s="372"/>
      <c r="BK29" s="372"/>
      <c r="BL29" s="372"/>
      <c r="BM29" s="372"/>
      <c r="BN29" s="372"/>
      <c r="BO29" s="372"/>
      <c r="BP29" s="372"/>
      <c r="BQ29" s="372"/>
      <c r="BR29" s="372"/>
      <c r="BS29" s="372"/>
      <c r="BT29" s="372"/>
      <c r="BU29" s="372"/>
      <c r="BV29" s="372"/>
      <c r="BW29" s="372"/>
      <c r="BX29" s="372"/>
      <c r="BY29" s="372"/>
      <c r="BZ29" s="372"/>
    </row>
    <row r="30" customHeight="1" spans="1:78">
      <c r="A30" s="375">
        <v>14</v>
      </c>
      <c r="B30" s="224" t="s">
        <v>2034</v>
      </c>
      <c r="C30" s="224" t="s">
        <v>2035</v>
      </c>
      <c r="D30" s="435" t="str">
        <f>IF(综合数据!B14=TRUE,"替换诗人法术","")</f>
        <v>替换诗人法术</v>
      </c>
      <c r="E30" s="435" t="s">
        <v>2036</v>
      </c>
      <c r="F30" s="435" t="str">
        <f>IF(AND(综合数据!B14=TRUE,OR(BH55&lt;1,COUNTIF($BG$2:$BG$46,"受祝击"))),"受祝击","")</f>
        <v>受祝击</v>
      </c>
      <c r="G30" s="432" t="s">
        <v>2037</v>
      </c>
      <c r="H30" s="224" t="s">
        <v>2038</v>
      </c>
      <c r="I30" s="224" t="s">
        <v>2039</v>
      </c>
      <c r="J30" s="224" t="s">
        <v>2040</v>
      </c>
      <c r="K30" s="224" t="s">
        <v>2041</v>
      </c>
      <c r="L30" s="224" t="str">
        <f>IF(COUNTIF($BG$2:$BG$46,"额外攻击-*"),"","额外攻击")</f>
        <v>额外攻击</v>
      </c>
      <c r="M30" s="224" t="s">
        <v>2042</v>
      </c>
      <c r="N30" s="224" t="s">
        <v>2043</v>
      </c>
      <c r="O30" s="224" t="s">
        <v>2044</v>
      </c>
      <c r="P30" s="224" t="s">
        <v>2045</v>
      </c>
      <c r="Q30" s="224" t="s">
        <v>2046</v>
      </c>
      <c r="R30" s="297" t="s">
        <v>2047</v>
      </c>
      <c r="S30" s="297" t="s">
        <v>2048</v>
      </c>
      <c r="T30" s="434" t="str">
        <f>IF(OR(BI63&gt;0,COUNTIF($BG$2:$BG$46,"超魔法-谨慎法术")),"超魔法-谨慎法术","")</f>
        <v/>
      </c>
      <c r="U30" s="434" t="s">
        <v>2049</v>
      </c>
      <c r="V30" s="434" t="str">
        <f>IF(OR(BI65&gt;0,COUNTIF($BG$2:$BG$46,"魔能祈唤-魔能视界")),"魔能祈唤-魔能视界","")</f>
        <v/>
      </c>
      <c r="W30" s="434" t="s">
        <v>2050</v>
      </c>
      <c r="X30" s="435" t="str">
        <f>IF(综合数据!B14=TRUE,"戏法公式","")</f>
        <v>戏法公式</v>
      </c>
      <c r="Y30" s="435" t="s">
        <v>2051</v>
      </c>
      <c r="Z30" s="434" t="str">
        <f>IF(OR(BI67&gt;0,COUNTIF($BG$2:$BG$46,"注法-连射武器")),"注法-连射武器","")</f>
        <v/>
      </c>
      <c r="AA30" s="440" t="s">
        <v>2052</v>
      </c>
      <c r="AB30" s="222" t="str">
        <f>IF(AND(主要!$R$4&lt;&gt;"",主要!$Y$3-主要!$Y$6-主要!$Y$7&gt;=7),7,"")</f>
        <v/>
      </c>
      <c r="AC30" s="224" t="str">
        <f>IF(AND(主要!$R$6&lt;&gt;"",主要!$Y$3-主要!$Y$4-主要!$Y$7&gt;=7),7,"")</f>
        <v/>
      </c>
      <c r="AD30" s="223" t="str">
        <f>IF(AND(主要!$R$7&lt;&gt;"",主要!$Y$3-主要!$Y$4-主要!$Y$6&gt;=7),7,"")</f>
        <v/>
      </c>
      <c r="AE30" s="434"/>
      <c r="AF30" s="434"/>
      <c r="AG30" s="434"/>
      <c r="AH30" s="434"/>
      <c r="AI30" s="375" t="e">
        <f>INDEX($B$2:$S$14,AI$17,13)</f>
        <v>#VALUE!</v>
      </c>
      <c r="AJ30" s="372" t="e">
        <f>INDEX($B$2:$S$14,AJ$17,13)</f>
        <v>#N/A</v>
      </c>
      <c r="AK30" s="372" t="e">
        <f>INDEX($B$2:$S$14,AK$17,13)</f>
        <v>#N/A</v>
      </c>
      <c r="AL30" s="377" t="e">
        <f t="array" ref="AL30">INDEX(AJ:AJ,SMALL(IF($AJ$18:$AJ$35&lt;&gt;"",ROW($18:$35),36),ROW(AJ9)))&amp;""</f>
        <v>#N/A</v>
      </c>
      <c r="AM30" s="244" t="s">
        <v>2053</v>
      </c>
      <c r="AN30" s="244"/>
      <c r="AO30" s="244">
        <v>70</v>
      </c>
      <c r="AP30" s="443">
        <f>_xlfn.IFS(AG4&gt;=17,75,AG4&gt;=8,74,AG4&gt;=6,73,AG4&gt;=2,72,AG4=1,71,1,0)</f>
        <v>0</v>
      </c>
      <c r="AQ30" s="307" t="e">
        <f t="shared" si="16"/>
        <v>#N/A</v>
      </c>
      <c r="AR30" s="224" t="e">
        <f t="shared" si="17"/>
        <v>#N/A</v>
      </c>
      <c r="AS30" s="224" t="e">
        <f t="shared" si="6"/>
        <v>#N/A</v>
      </c>
      <c r="AT30" s="374" t="e">
        <f t="shared" si="7"/>
        <v>#N/A</v>
      </c>
      <c r="AU30" s="307" t="e">
        <f t="shared" si="14"/>
        <v>#N/A</v>
      </c>
      <c r="AV30" s="224" t="e">
        <f t="shared" si="8"/>
        <v>#N/A</v>
      </c>
      <c r="AW30" s="224" t="e">
        <f t="shared" si="9"/>
        <v>#N/A</v>
      </c>
      <c r="AX30" s="374" t="e">
        <f t="shared" si="10"/>
        <v>#N/A</v>
      </c>
      <c r="AY30" s="307" t="e">
        <f t="shared" si="15"/>
        <v>#N/A</v>
      </c>
      <c r="AZ30" s="224" t="e">
        <f t="shared" si="11"/>
        <v>#N/A</v>
      </c>
      <c r="BA30" s="224" t="e">
        <f t="shared" si="12"/>
        <v>#N/A</v>
      </c>
      <c r="BB30" s="374" t="e">
        <f t="shared" si="13"/>
        <v>#N/A</v>
      </c>
      <c r="BC30" s="222" t="str">
        <f>IFERROR(INDEX($AQ$12:$BF$87,20,$BC$2),"")</f>
        <v/>
      </c>
      <c r="BD30" s="224" t="str">
        <f>IFERROR(INDEX($AQ$12:$BF$87,20,$BD$2),"")</f>
        <v/>
      </c>
      <c r="BE30" s="192" t="str">
        <f t="shared" si="18"/>
        <v/>
      </c>
      <c r="BF30" s="200" t="str">
        <f t="array" ref="BF30">INDEX(BE:BE,SMALL(IF($BE$2:$BE$143&lt;&gt;"",ROW($2:$143),144),ROW(BE29)))&amp;""</f>
        <v/>
      </c>
      <c r="BG30" s="375">
        <f>IF(主要!C112="",0,主要!C112)</f>
        <v>0</v>
      </c>
      <c r="BH30" s="372" t="str">
        <f t="shared" si="2"/>
        <v/>
      </c>
      <c r="BI30" s="376" t="str">
        <f t="shared" si="5"/>
        <v/>
      </c>
      <c r="BJ30" s="372"/>
      <c r="BK30" s="372"/>
      <c r="BL30" s="372"/>
      <c r="BM30" s="372"/>
      <c r="BN30" s="372"/>
      <c r="BO30" s="372"/>
      <c r="BP30" s="372"/>
      <c r="BQ30" s="372"/>
      <c r="BR30" s="372"/>
      <c r="BS30" s="372"/>
      <c r="BT30" s="372"/>
      <c r="BU30" s="372"/>
      <c r="BV30" s="372"/>
      <c r="BW30" s="372"/>
      <c r="BX30" s="372"/>
      <c r="BY30" s="372"/>
      <c r="BZ30" s="372"/>
    </row>
    <row r="31" customHeight="1" spans="1:78">
      <c r="A31" s="375">
        <v>15</v>
      </c>
      <c r="B31" s="224" t="s">
        <v>2054</v>
      </c>
      <c r="C31" s="224" t="s">
        <v>2055</v>
      </c>
      <c r="D31" s="193" t="s">
        <v>2056</v>
      </c>
      <c r="E31" s="224" t="s">
        <v>2057</v>
      </c>
      <c r="F31" s="193" t="s">
        <v>2058</v>
      </c>
      <c r="G31" s="224" t="s">
        <v>2059</v>
      </c>
      <c r="H31" s="297" t="s">
        <v>2060</v>
      </c>
      <c r="I31" s="297" t="s">
        <v>2061</v>
      </c>
      <c r="J31" s="224" t="s">
        <v>2062</v>
      </c>
      <c r="K31" s="224" t="s">
        <v>2063</v>
      </c>
      <c r="L31" s="224" t="s">
        <v>2064</v>
      </c>
      <c r="M31" s="224" t="s">
        <v>2065</v>
      </c>
      <c r="N31" s="193" t="s">
        <v>2066</v>
      </c>
      <c r="O31" s="224" t="s">
        <v>2067</v>
      </c>
      <c r="P31" s="224" t="s">
        <v>2068</v>
      </c>
      <c r="Q31" s="224" t="s">
        <v>2069</v>
      </c>
      <c r="R31" s="297" t="s">
        <v>2070</v>
      </c>
      <c r="S31" s="297" t="s">
        <v>2071</v>
      </c>
      <c r="T31" s="434" t="str">
        <f>IF(OR(BI63&gt;0,COUNTIF($BG$2:$BG$46,"超魔法-远程法术")),"超魔法-远程法术","")</f>
        <v/>
      </c>
      <c r="U31" s="434" t="s">
        <v>2072</v>
      </c>
      <c r="V31" s="434" t="str">
        <f>IF(AND(COUNTIF(法术数据!AK2:AK301,法术数据!B8)&gt;=1,OR(BI65&gt;0,COUNTIF($BG$2:$BG$46,"魔能祈唤-魔能长枪"))),"魔能祈唤-魔能长枪","")</f>
        <v/>
      </c>
      <c r="W31" s="439" t="s">
        <v>2073</v>
      </c>
      <c r="X31" s="224" t="s">
        <v>2074</v>
      </c>
      <c r="Y31" s="224" t="s">
        <v>2075</v>
      </c>
      <c r="Z31" s="434" t="str">
        <f>IF(OR(BI67&gt;0,COUNTIF($BG$2:$BG$46,"注法-复制魔法物品")),"注法-复制魔法物品","")</f>
        <v/>
      </c>
      <c r="AA31" s="440" t="s">
        <v>2076</v>
      </c>
      <c r="AB31" s="222" t="str">
        <f>IF(AND(主要!$R$4&lt;&gt;"",主要!$Y$3-主要!$Y$6-主要!$Y$7&gt;=8),8,"")</f>
        <v/>
      </c>
      <c r="AC31" s="224" t="str">
        <f>IF(AND(主要!$R$6&lt;&gt;"",主要!$Y$3-主要!$Y$4-主要!$Y$7&gt;=8),8,"")</f>
        <v/>
      </c>
      <c r="AD31" s="223" t="str">
        <f>IF(AND(主要!$R$7&lt;&gt;"",主要!$Y$3-主要!$Y$4-主要!$Y$6&gt;=8),8,"")</f>
        <v/>
      </c>
      <c r="AF31" s="434"/>
      <c r="AG31" s="434"/>
      <c r="AH31" s="434"/>
      <c r="AI31" s="375" t="e">
        <f>INDEX($B$2:$S$14,AI$17,14)</f>
        <v>#VALUE!</v>
      </c>
      <c r="AJ31" s="372" t="e">
        <f>INDEX($B$2:$S$14,AJ$17,14)</f>
        <v>#N/A</v>
      </c>
      <c r="AK31" s="372" t="e">
        <f>INDEX($B$2:$S$14,AK$17,14)</f>
        <v>#N/A</v>
      </c>
      <c r="AL31" s="377" t="e">
        <f t="array" ref="AL31">INDEX(AJ:AJ,SMALL(IF($AJ$18:$AJ$35&lt;&gt;"",ROW($18:$35),36),ROW(AJ10)))&amp;""</f>
        <v>#N/A</v>
      </c>
      <c r="AM31" s="411" t="s">
        <v>2077</v>
      </c>
      <c r="AN31" s="411"/>
      <c r="AO31" s="411">
        <v>76</v>
      </c>
      <c r="AP31" s="444">
        <f>_xlfn.IFS(AG4&gt;=17,82,AG4&gt;=8,81,AG4&gt;=6,80,AG4&gt;=2,79,AG4=1,78,1,0)</f>
        <v>0</v>
      </c>
      <c r="AQ31" s="307" t="e">
        <f t="shared" si="16"/>
        <v>#N/A</v>
      </c>
      <c r="AR31" s="224" t="e">
        <f t="shared" si="17"/>
        <v>#N/A</v>
      </c>
      <c r="AS31" s="224" t="e">
        <f t="shared" si="6"/>
        <v>#N/A</v>
      </c>
      <c r="AT31" s="374" t="e">
        <f t="shared" si="7"/>
        <v>#N/A</v>
      </c>
      <c r="AU31" s="307" t="e">
        <f t="shared" si="14"/>
        <v>#N/A</v>
      </c>
      <c r="AV31" s="224" t="e">
        <f t="shared" si="8"/>
        <v>#N/A</v>
      </c>
      <c r="AW31" s="224" t="e">
        <f t="shared" si="9"/>
        <v>#N/A</v>
      </c>
      <c r="AX31" s="374" t="e">
        <f t="shared" si="10"/>
        <v>#N/A</v>
      </c>
      <c r="AY31" s="307" t="e">
        <f t="shared" si="15"/>
        <v>#N/A</v>
      </c>
      <c r="AZ31" s="224" t="e">
        <f t="shared" si="11"/>
        <v>#N/A</v>
      </c>
      <c r="BA31" s="224" t="e">
        <f t="shared" si="12"/>
        <v>#N/A</v>
      </c>
      <c r="BB31" s="374" t="e">
        <f t="shared" si="13"/>
        <v>#N/A</v>
      </c>
      <c r="BC31" s="222" t="str">
        <f>IFERROR(INDEX($AQ$12:$BF$87,21,$BC$2),"")</f>
        <v/>
      </c>
      <c r="BD31" s="224" t="str">
        <f>IFERROR(INDEX($AQ$12:$BF$87,21,$BD$2),"")</f>
        <v/>
      </c>
      <c r="BE31" s="192" t="str">
        <f t="shared" si="18"/>
        <v/>
      </c>
      <c r="BF31" s="200" t="str">
        <f t="array" ref="BF31">INDEX(BE:BE,SMALL(IF($BE$2:$BE$143&lt;&gt;"",ROW($2:$143),144),ROW(BE30)))&amp;""</f>
        <v/>
      </c>
      <c r="BG31" s="375">
        <f>IF(主要!C113="",0,主要!C113)</f>
        <v>0</v>
      </c>
      <c r="BH31" s="372" t="str">
        <f t="shared" si="2"/>
        <v/>
      </c>
      <c r="BI31" s="376" t="str">
        <f t="shared" si="5"/>
        <v/>
      </c>
      <c r="BJ31" s="372"/>
      <c r="BK31" s="372"/>
      <c r="BL31" s="372"/>
      <c r="BM31" s="372"/>
      <c r="BN31" s="372"/>
      <c r="BO31" s="372"/>
      <c r="BP31" s="372"/>
      <c r="BQ31" s="372"/>
      <c r="BR31" s="372"/>
      <c r="BS31" s="372"/>
      <c r="BT31" s="372"/>
      <c r="BU31" s="372"/>
      <c r="BV31" s="372"/>
      <c r="BW31" s="372"/>
      <c r="BX31" s="372"/>
      <c r="BY31" s="372"/>
      <c r="BZ31" s="372"/>
    </row>
    <row r="32" customHeight="1" spans="1:78">
      <c r="A32" s="375">
        <v>16</v>
      </c>
      <c r="B32" s="297" t="s">
        <v>2078</v>
      </c>
      <c r="C32" s="297" t="s">
        <v>2079</v>
      </c>
      <c r="D32" s="193" t="s">
        <v>2080</v>
      </c>
      <c r="E32" s="224" t="s">
        <v>2081</v>
      </c>
      <c r="F32" s="241" t="s">
        <v>2082</v>
      </c>
      <c r="G32" s="297" t="s">
        <v>2083</v>
      </c>
      <c r="H32" s="297" t="s">
        <v>2084</v>
      </c>
      <c r="I32" s="297" t="s">
        <v>2085</v>
      </c>
      <c r="J32" s="435" t="str">
        <f>IF(综合数据!B14=TRUE,"替换武术-战士","")</f>
        <v>替换武术-战士</v>
      </c>
      <c r="K32" s="435" t="s">
        <v>2086</v>
      </c>
      <c r="L32" s="435" t="str">
        <f>IF(综合数据!B14=TRUE,"凝神聚气","")</f>
        <v>凝神聚气</v>
      </c>
      <c r="M32" s="435" t="s">
        <v>2087</v>
      </c>
      <c r="N32" s="193" t="s">
        <v>2088</v>
      </c>
      <c r="O32" s="224" t="s">
        <v>2089</v>
      </c>
      <c r="P32" s="224" t="s">
        <v>2090</v>
      </c>
      <c r="Q32" s="224" t="s">
        <v>2091</v>
      </c>
      <c r="R32" s="297" t="s">
        <v>2092</v>
      </c>
      <c r="S32" s="297" t="s">
        <v>2093</v>
      </c>
      <c r="T32" s="434" t="str">
        <f>IF(OR(BI63&gt;0,COUNTIF($BG$2:$BG$46,"超魔法-强效法术")),"超魔法-强效法术","")</f>
        <v/>
      </c>
      <c r="U32" s="434" t="s">
        <v>2094</v>
      </c>
      <c r="V32" s="434" t="str">
        <f>IF(OR(BI65&gt;0,COUNTIF($BG$2:$BG$46,"魔能祈唤-符文守护者之眼")),"魔能祈唤-符文守护者之眼","")</f>
        <v/>
      </c>
      <c r="W32" s="434" t="s">
        <v>2095</v>
      </c>
      <c r="X32" s="224" t="s">
        <v>2096</v>
      </c>
      <c r="Y32" s="224" t="s">
        <v>2097</v>
      </c>
      <c r="Z32" s="434" t="str">
        <f>IF(OR(BI67&gt;0,COUNTIF($BG$2:$BG$46,"注法-回力武器")),"注法-回力武器","")</f>
        <v/>
      </c>
      <c r="AA32" s="440" t="s">
        <v>2098</v>
      </c>
      <c r="AB32" s="222" t="str">
        <f>IF(AND(主要!$R$4&lt;&gt;"",主要!$Y$3-主要!$Y$6-主要!$Y$7&gt;=9),9,"")</f>
        <v/>
      </c>
      <c r="AC32" s="224" t="str">
        <f>IF(AND(主要!$R$6&lt;&gt;"",主要!$Y$3-主要!$Y$4-主要!$Y$7&gt;=9),9,"")</f>
        <v/>
      </c>
      <c r="AD32" s="223" t="str">
        <f>IF(AND(主要!$R$7&lt;&gt;"",主要!$Y$3-主要!$Y$4-主要!$Y$6&gt;=9),9,"")</f>
        <v/>
      </c>
      <c r="AF32" s="434"/>
      <c r="AG32" s="434"/>
      <c r="AH32" s="434"/>
      <c r="AI32" s="375" t="e">
        <f>INDEX($B$2:$S$14,AI$17,15)</f>
        <v>#VALUE!</v>
      </c>
      <c r="AJ32" s="372" t="e">
        <f>INDEX($B$2:$S$14,AJ$17,15)</f>
        <v>#N/A</v>
      </c>
      <c r="AK32" s="372" t="e">
        <f>INDEX($B$2:$S$14,AK$17,15)</f>
        <v>#N/A</v>
      </c>
      <c r="AL32" s="377" t="e">
        <f t="array" ref="AL32">INDEX(AJ:AJ,SMALL(IF($AJ$18:$AJ$35&lt;&gt;"",ROW($18:$35),36),ROW(AJ11)))&amp;""</f>
        <v>#N/A</v>
      </c>
      <c r="AM32" s="411" t="s">
        <v>2099</v>
      </c>
      <c r="AN32" s="411"/>
      <c r="AO32" s="411">
        <v>83</v>
      </c>
      <c r="AP32" s="444">
        <f>_xlfn.IFS(AG4&gt;=17,89,AG4&gt;=8,88,AG4&gt;=6,87,AG4&gt;=2,86,AG4=1,85,1,0)</f>
        <v>0</v>
      </c>
      <c r="AQ32" s="307" t="e">
        <f t="shared" si="16"/>
        <v>#N/A</v>
      </c>
      <c r="AR32" s="224" t="e">
        <f t="shared" si="17"/>
        <v>#N/A</v>
      </c>
      <c r="AS32" s="224" t="e">
        <f t="shared" si="6"/>
        <v>#N/A</v>
      </c>
      <c r="AT32" s="374" t="e">
        <f t="shared" si="7"/>
        <v>#N/A</v>
      </c>
      <c r="AU32" s="307" t="e">
        <f t="shared" si="14"/>
        <v>#N/A</v>
      </c>
      <c r="AV32" s="224" t="e">
        <f t="shared" si="8"/>
        <v>#N/A</v>
      </c>
      <c r="AW32" s="224" t="e">
        <f t="shared" si="9"/>
        <v>#N/A</v>
      </c>
      <c r="AX32" s="374" t="e">
        <f t="shared" si="10"/>
        <v>#N/A</v>
      </c>
      <c r="AY32" s="307" t="e">
        <f t="shared" si="15"/>
        <v>#N/A</v>
      </c>
      <c r="AZ32" s="224" t="e">
        <f t="shared" si="11"/>
        <v>#N/A</v>
      </c>
      <c r="BA32" s="224" t="e">
        <f t="shared" si="12"/>
        <v>#N/A</v>
      </c>
      <c r="BB32" s="374" t="e">
        <f t="shared" si="13"/>
        <v>#N/A</v>
      </c>
      <c r="BC32" s="222" t="str">
        <f>IFERROR(INDEX($AQ$12:$BF$87,22,$BC$2),"")</f>
        <v/>
      </c>
      <c r="BD32" s="224" t="str">
        <f>IFERROR(INDEX($AQ$12:$BF$87,22,$BD$2),"")</f>
        <v/>
      </c>
      <c r="BE32" s="192" t="str">
        <f t="shared" si="18"/>
        <v/>
      </c>
      <c r="BF32" s="200" t="str">
        <f t="array" ref="BF32">INDEX(BE:BE,SMALL(IF($BE$2:$BE$143&lt;&gt;"",ROW($2:$143),144),ROW(BE31)))&amp;""</f>
        <v/>
      </c>
      <c r="BG32" s="375">
        <f>IF(主要!C114="",0,主要!C114)</f>
        <v>0</v>
      </c>
      <c r="BH32" s="372" t="str">
        <f t="shared" si="2"/>
        <v/>
      </c>
      <c r="BI32" s="376" t="str">
        <f t="shared" si="5"/>
        <v/>
      </c>
      <c r="BJ32" s="372"/>
      <c r="BK32" s="372"/>
      <c r="BL32" s="372"/>
      <c r="BM32" s="372"/>
      <c r="BN32" s="372"/>
      <c r="BO32" s="372"/>
      <c r="BP32" s="372"/>
      <c r="BQ32" s="372"/>
      <c r="BR32" s="372"/>
      <c r="BS32" s="372"/>
      <c r="BT32" s="372"/>
      <c r="BU32" s="372"/>
      <c r="BV32" s="372"/>
      <c r="BW32" s="372"/>
      <c r="BX32" s="372"/>
      <c r="BY32" s="372"/>
      <c r="BZ32" s="372"/>
    </row>
    <row r="33" customHeight="1" spans="1:78">
      <c r="A33" s="375">
        <v>17</v>
      </c>
      <c r="B33" s="297" t="s">
        <v>2100</v>
      </c>
      <c r="C33" s="297" t="s">
        <v>2101</v>
      </c>
      <c r="D33" s="193" t="s">
        <v>2102</v>
      </c>
      <c r="E33" s="224" t="s">
        <v>2103</v>
      </c>
      <c r="F33" s="241" t="s">
        <v>2104</v>
      </c>
      <c r="G33" s="297" t="s">
        <v>2105</v>
      </c>
      <c r="H33" s="297" t="s">
        <v>2106</v>
      </c>
      <c r="I33" s="297" t="s">
        <v>2107</v>
      </c>
      <c r="J33" s="224" t="s">
        <v>2108</v>
      </c>
      <c r="K33" s="224" t="s">
        <v>2109</v>
      </c>
      <c r="L33" s="373" t="s">
        <v>2110</v>
      </c>
      <c r="M33" s="224" t="s">
        <v>2111</v>
      </c>
      <c r="N33" s="193" t="s">
        <v>2112</v>
      </c>
      <c r="O33" s="224" t="s">
        <v>2113</v>
      </c>
      <c r="P33" s="435" t="str">
        <f>IF(综合数据!B14=TRUE,"法器-游侠","")</f>
        <v>法器-游侠</v>
      </c>
      <c r="Q33" s="435" t="s">
        <v>2114</v>
      </c>
      <c r="R33" s="297" t="s">
        <v>2115</v>
      </c>
      <c r="S33" s="297" t="s">
        <v>2116</v>
      </c>
      <c r="T33" s="434" t="str">
        <f>IF(OR(BI63&gt;0,COUNTIF($BG$2:$BG$46,"超魔法-延效法术")),"超魔法-延效法术","")</f>
        <v/>
      </c>
      <c r="U33" s="434" t="s">
        <v>2117</v>
      </c>
      <c r="V33" s="434" t="str">
        <f>IF(OR(BI65&gt;0,COUNTIF($BG$2:$BG$46,"魔能祈唤-邪魔活力")),"魔能祈唤-邪魔活力","")</f>
        <v/>
      </c>
      <c r="W33" s="434" t="s">
        <v>2118</v>
      </c>
      <c r="X33" s="226" t="s">
        <v>2119</v>
      </c>
      <c r="Y33" s="226" t="s">
        <v>2120</v>
      </c>
      <c r="Z33" s="435" t="str">
        <f>IF(AND(综合数据!B14=TRUE,OR(BI67&gt;0,COUNTIF($BG$2:$BG$46,"注法-魔法力量盔甲"))),"注法-魔法力量盔甲","")</f>
        <v/>
      </c>
      <c r="AA33" s="440" t="s">
        <v>2121</v>
      </c>
      <c r="AB33" s="222" t="str">
        <f>IF(AND(主要!$R$4&lt;&gt;"",主要!$Y$3-主要!$Y$6-主要!$Y$7&gt;=10),10,"")</f>
        <v/>
      </c>
      <c r="AC33" s="224" t="str">
        <f>IF(AND(主要!$R$6&lt;&gt;"",主要!$Y$3-主要!$Y$4-主要!$Y$7&gt;=10),10,"")</f>
        <v/>
      </c>
      <c r="AD33" s="223" t="str">
        <f>IF(AND(主要!$R$7&lt;&gt;"",主要!$Y$3-主要!$Y$4-主要!$Y$6&gt;=10),10,"")</f>
        <v/>
      </c>
      <c r="AF33" s="434"/>
      <c r="AG33" s="434"/>
      <c r="AH33" s="434"/>
      <c r="AI33" s="375" t="e">
        <f>INDEX($B$2:$S$14,AI$17,16)</f>
        <v>#VALUE!</v>
      </c>
      <c r="AJ33" s="372" t="e">
        <f>INDEX($B$2:$S$14,AJ$17,16)</f>
        <v>#N/A</v>
      </c>
      <c r="AK33" s="372" t="e">
        <f>INDEX($B$2:$S$14,AK$17,16)</f>
        <v>#N/A</v>
      </c>
      <c r="AL33" s="377" t="e">
        <f t="array" ref="AL33">INDEX(AJ:AJ,SMALL(IF($AJ$18:$AJ$35&lt;&gt;"",ROW($18:$35),36),ROW(AJ12)))&amp;""</f>
        <v>#N/A</v>
      </c>
      <c r="AM33" s="415" t="s">
        <v>2122</v>
      </c>
      <c r="AN33" s="415"/>
      <c r="AO33" s="415">
        <v>90</v>
      </c>
      <c r="AP33" s="445">
        <f>_xlfn.IFS(AG4&gt;=17,96,AG4&gt;=8,95,AG4&gt;=6,94,AG4&gt;=2,93,AG4=1,92,1,0)</f>
        <v>0</v>
      </c>
      <c r="AQ33" s="307" t="e">
        <f t="shared" si="16"/>
        <v>#N/A</v>
      </c>
      <c r="AR33" s="224" t="e">
        <f t="shared" si="17"/>
        <v>#N/A</v>
      </c>
      <c r="AS33" s="224" t="e">
        <f t="shared" si="6"/>
        <v>#N/A</v>
      </c>
      <c r="AT33" s="374" t="e">
        <f t="shared" si="7"/>
        <v>#N/A</v>
      </c>
      <c r="AU33" s="307" t="e">
        <f t="shared" si="14"/>
        <v>#N/A</v>
      </c>
      <c r="AV33" s="224" t="e">
        <f t="shared" si="8"/>
        <v>#N/A</v>
      </c>
      <c r="AW33" s="224" t="e">
        <f t="shared" si="9"/>
        <v>#N/A</v>
      </c>
      <c r="AX33" s="374" t="e">
        <f t="shared" si="10"/>
        <v>#N/A</v>
      </c>
      <c r="AY33" s="307" t="e">
        <f t="shared" si="15"/>
        <v>#N/A</v>
      </c>
      <c r="AZ33" s="224" t="e">
        <f t="shared" si="11"/>
        <v>#N/A</v>
      </c>
      <c r="BA33" s="224" t="e">
        <f t="shared" si="12"/>
        <v>#N/A</v>
      </c>
      <c r="BB33" s="374" t="e">
        <f t="shared" si="13"/>
        <v>#N/A</v>
      </c>
      <c r="BC33" s="222" t="str">
        <f>IFERROR(INDEX($AQ$12:$BF$87,23,$BC$2),"")</f>
        <v/>
      </c>
      <c r="BD33" s="224" t="str">
        <f>IFERROR(INDEX($AQ$12:$BF$87,23,$BD$2),"")</f>
        <v/>
      </c>
      <c r="BE33" s="192" t="str">
        <f t="shared" si="18"/>
        <v/>
      </c>
      <c r="BF33" s="200" t="str">
        <f t="array" ref="BF33">INDEX(BE:BE,SMALL(IF($BE$2:$BE$143&lt;&gt;"",ROW($2:$143),144),ROW(BE32)))&amp;""</f>
        <v/>
      </c>
      <c r="BG33" s="375">
        <f>IF(主要!C115="",0,主要!C115)</f>
        <v>0</v>
      </c>
      <c r="BH33" s="372" t="str">
        <f t="shared" si="2"/>
        <v/>
      </c>
      <c r="BI33" s="376" t="str">
        <f t="shared" si="5"/>
        <v/>
      </c>
      <c r="BJ33" s="372"/>
      <c r="BK33" s="372"/>
      <c r="BL33" s="372"/>
      <c r="BM33" s="372"/>
      <c r="BN33" s="372"/>
      <c r="BO33" s="372"/>
      <c r="BP33" s="372"/>
      <c r="BQ33" s="372"/>
      <c r="BR33" s="372"/>
      <c r="BS33" s="372"/>
      <c r="BT33" s="372"/>
      <c r="BU33" s="372"/>
      <c r="BV33" s="372"/>
      <c r="BW33" s="372"/>
      <c r="BX33" s="372"/>
      <c r="BY33" s="372"/>
      <c r="BZ33" s="372"/>
    </row>
    <row r="34" customHeight="1" spans="1:78">
      <c r="A34" s="375">
        <v>18</v>
      </c>
      <c r="B34" s="297" t="s">
        <v>2123</v>
      </c>
      <c r="C34" s="297" t="s">
        <v>2124</v>
      </c>
      <c r="D34" s="193" t="s">
        <v>2125</v>
      </c>
      <c r="E34" s="224" t="s">
        <v>2126</v>
      </c>
      <c r="F34" s="446" t="s">
        <v>2127</v>
      </c>
      <c r="G34" s="446" t="s">
        <v>2128</v>
      </c>
      <c r="H34" s="447" t="str">
        <f>IF(OR(BH56&lt;1,COUNTIF($BG$2:$BG$46,"结社法术-极地")),"结社法术-极地","")</f>
        <v>结社法术-极地</v>
      </c>
      <c r="I34" s="447" t="s">
        <v>2129</v>
      </c>
      <c r="J34" s="224" t="s">
        <v>2130</v>
      </c>
      <c r="K34" s="224" t="s">
        <v>2131</v>
      </c>
      <c r="L34" s="373" t="s">
        <v>1923</v>
      </c>
      <c r="M34" s="224" t="s">
        <v>1924</v>
      </c>
      <c r="N34" s="193" t="s">
        <v>2132</v>
      </c>
      <c r="O34" s="224" t="s">
        <v>2133</v>
      </c>
      <c r="P34" s="224" t="s">
        <v>2134</v>
      </c>
      <c r="Q34" s="224" t="s">
        <v>2135</v>
      </c>
      <c r="R34" s="297" t="s">
        <v>2136</v>
      </c>
      <c r="S34" s="297" t="s">
        <v>2137</v>
      </c>
      <c r="T34" s="434" t="str">
        <f>IF(OR(BI63&gt;0,COUNTIF($BG$2:$BG$46,"超魔法-升阶法术")),"超魔法-升阶法术","")</f>
        <v/>
      </c>
      <c r="U34" s="434" t="s">
        <v>2138</v>
      </c>
      <c r="V34" s="434" t="str">
        <f>IF(OR(BI65&gt;0,COUNTIF($BG$2:$BG$46,"魔能祈唤-共视感官")),"魔能祈唤-共视感官","")</f>
        <v/>
      </c>
      <c r="W34" s="434" t="s">
        <v>2139</v>
      </c>
      <c r="X34" s="226" t="s">
        <v>2140</v>
      </c>
      <c r="Y34" s="226" t="s">
        <v>2141</v>
      </c>
      <c r="Z34" s="435" t="str">
        <f>IF(OR(BI67&gt;0,COUNTIF($BG$2:$BG$46,"注法-思维砥石")),"注法-思维砥石","")</f>
        <v/>
      </c>
      <c r="AA34" s="440" t="s">
        <v>2142</v>
      </c>
      <c r="AB34" s="222" t="str">
        <f>IF(AND(主要!$R$4&lt;&gt;"",主要!$Y$3-主要!$Y$6-主要!$Y$7&gt;=11),11,"")</f>
        <v/>
      </c>
      <c r="AC34" s="224" t="str">
        <f>IF(AND(主要!$R$6&lt;&gt;"",主要!$Y$3-主要!$Y$4-主要!$Y$7&gt;=11),11,"")</f>
        <v/>
      </c>
      <c r="AD34" s="223" t="str">
        <f>IF(AND(主要!$R$7&lt;&gt;"",主要!$Y$3-主要!$Y$4-主要!$Y$6&gt;=11),11,"")</f>
        <v/>
      </c>
      <c r="AF34" s="434"/>
      <c r="AG34" s="434"/>
      <c r="AH34" s="434"/>
      <c r="AI34" s="375" t="e">
        <f>INDEX($B$2:$S$14,AI$17,17)</f>
        <v>#VALUE!</v>
      </c>
      <c r="AJ34" s="372" t="e">
        <f>INDEX($B$2:$S$14,AJ$17,17)</f>
        <v>#N/A</v>
      </c>
      <c r="AK34" s="372" t="e">
        <f>INDEX($B$2:$S$14,AK$17,17)</f>
        <v>#N/A</v>
      </c>
      <c r="AL34" s="377" t="e">
        <f t="array" ref="AL34">INDEX(AJ:AJ,SMALL(IF($AJ$18:$AJ$35&lt;&gt;"",ROW($18:$35),36),ROW(AJ13)))&amp;""</f>
        <v>#N/A</v>
      </c>
      <c r="AM34" s="250" t="s">
        <v>2143</v>
      </c>
      <c r="AN34" s="250"/>
      <c r="AO34" s="250">
        <v>97</v>
      </c>
      <c r="AP34" s="448">
        <f>_xlfn.IFS(AG4&gt;=17,103,AG4&gt;=8,102,AG4&gt;=6,101,AG4&gt;=2,100,AG4=1,99,1,0)</f>
        <v>0</v>
      </c>
      <c r="AQ34" s="307" t="e">
        <f t="shared" si="16"/>
        <v>#N/A</v>
      </c>
      <c r="AR34" s="224" t="e">
        <f t="shared" si="17"/>
        <v>#N/A</v>
      </c>
      <c r="AS34" s="224" t="e">
        <f t="shared" si="6"/>
        <v>#N/A</v>
      </c>
      <c r="AT34" s="374" t="e">
        <f t="shared" si="7"/>
        <v>#N/A</v>
      </c>
      <c r="AU34" s="307" t="e">
        <f t="shared" si="14"/>
        <v>#N/A</v>
      </c>
      <c r="AV34" s="224" t="e">
        <f t="shared" si="8"/>
        <v>#N/A</v>
      </c>
      <c r="AW34" s="224" t="e">
        <f t="shared" si="9"/>
        <v>#N/A</v>
      </c>
      <c r="AX34" s="374" t="e">
        <f t="shared" si="10"/>
        <v>#N/A</v>
      </c>
      <c r="AY34" s="307" t="e">
        <f t="shared" si="15"/>
        <v>#N/A</v>
      </c>
      <c r="AZ34" s="224" t="e">
        <f t="shared" si="11"/>
        <v>#N/A</v>
      </c>
      <c r="BA34" s="224" t="e">
        <f t="shared" si="12"/>
        <v>#N/A</v>
      </c>
      <c r="BB34" s="374" t="e">
        <f t="shared" si="13"/>
        <v>#N/A</v>
      </c>
      <c r="BC34" s="222" t="str">
        <f>IFERROR(INDEX($AQ$12:$BF$87,24,$BC$2),"")</f>
        <v/>
      </c>
      <c r="BD34" s="224" t="str">
        <f>IFERROR(INDEX($AQ$12:$BF$87,24,$BD$2),"")</f>
        <v/>
      </c>
      <c r="BE34" s="192" t="str">
        <f t="shared" si="18"/>
        <v/>
      </c>
      <c r="BF34" s="200" t="str">
        <f t="array" ref="BF34">INDEX(BE:BE,SMALL(IF($BE$2:$BE$143&lt;&gt;"",ROW($2:$143),144),ROW(BE33)))&amp;""</f>
        <v/>
      </c>
      <c r="BG34" s="375">
        <f>IF(主要!C116="",0,主要!C116)</f>
        <v>0</v>
      </c>
      <c r="BH34" s="372" t="str">
        <f t="shared" si="2"/>
        <v/>
      </c>
      <c r="BI34" s="376" t="str">
        <f t="shared" si="5"/>
        <v/>
      </c>
      <c r="BJ34" s="372"/>
      <c r="BK34" s="372"/>
      <c r="BL34" s="372"/>
      <c r="BM34" s="372"/>
      <c r="BN34" s="372"/>
      <c r="BO34" s="372"/>
      <c r="BP34" s="372"/>
      <c r="BQ34" s="372"/>
      <c r="BR34" s="372"/>
      <c r="BS34" s="372"/>
      <c r="BT34" s="372"/>
      <c r="BU34" s="372"/>
      <c r="BV34" s="372"/>
      <c r="BW34" s="372"/>
      <c r="BX34" s="372"/>
      <c r="BY34" s="372"/>
      <c r="BZ34" s="372"/>
    </row>
    <row r="35" customHeight="1" spans="1:78">
      <c r="A35" s="375">
        <v>19</v>
      </c>
      <c r="B35" s="297" t="s">
        <v>2144</v>
      </c>
      <c r="C35" s="297" t="s">
        <v>2145</v>
      </c>
      <c r="D35" s="297" t="s">
        <v>2146</v>
      </c>
      <c r="E35" s="297" t="s">
        <v>2147</v>
      </c>
      <c r="F35" s="446" t="s">
        <v>2148</v>
      </c>
      <c r="G35" s="446" t="s">
        <v>2149</v>
      </c>
      <c r="H35" s="447" t="str">
        <f>IF(OR(BH56&lt;1,COUNTIF($BG$2:$BG$46,"结社法术-海岸")),"结社法术-海岸","")</f>
        <v>结社法术-海岸</v>
      </c>
      <c r="I35" s="447" t="s">
        <v>2150</v>
      </c>
      <c r="J35" s="297" t="s">
        <v>2151</v>
      </c>
      <c r="K35" s="297" t="s">
        <v>2152</v>
      </c>
      <c r="L35" s="373" t="s">
        <v>2153</v>
      </c>
      <c r="M35" s="224" t="s">
        <v>2154</v>
      </c>
      <c r="N35" s="193" t="str">
        <f>IF(AG4&gt;=2,"","引导神力")</f>
        <v>引导神力</v>
      </c>
      <c r="O35" s="224" t="s">
        <v>2155</v>
      </c>
      <c r="P35" s="432" t="str">
        <f>IF(OR(BH59&lt;1,COUNTIF($BG$2:$BG$46,"原初意识")),"原初意识","")</f>
        <v>原初意识</v>
      </c>
      <c r="Q35" s="432" t="s">
        <v>2156</v>
      </c>
      <c r="R35" s="226" t="s">
        <v>2157</v>
      </c>
      <c r="S35" s="226" t="s">
        <v>2158</v>
      </c>
      <c r="T35" s="434" t="str">
        <f>IF(OR(BI63&gt;0,COUNTIF($BG$2:$BG$46,"超魔法-瞬发法术")),"超魔法-瞬发法术","")</f>
        <v/>
      </c>
      <c r="U35" s="434" t="s">
        <v>2159</v>
      </c>
      <c r="V35" s="434" t="str">
        <f>IF(OR(BI65&gt;0,COUNTIF($BG$2:$BG$46,"魔能祈唤-千面之脸")),"魔能祈唤-千面之脸","")</f>
        <v/>
      </c>
      <c r="W35" s="434" t="s">
        <v>2160</v>
      </c>
      <c r="X35" s="226" t="s">
        <v>2161</v>
      </c>
      <c r="Y35" s="226" t="s">
        <v>2162</v>
      </c>
      <c r="Z35" s="224" t="s">
        <v>2163</v>
      </c>
      <c r="AA35" s="223" t="s">
        <v>2164</v>
      </c>
      <c r="AB35" s="222" t="str">
        <f>IF(AND(主要!$R$4&lt;&gt;"",主要!$Y$3-主要!$Y$6-主要!$Y$7&gt;=12),12,"")</f>
        <v/>
      </c>
      <c r="AC35" s="224" t="str">
        <f>IF(AND(主要!$R$6&lt;&gt;"",主要!$Y$3-主要!$Y$4-主要!$Y$7&gt;=12),12,"")</f>
        <v/>
      </c>
      <c r="AD35" s="223" t="str">
        <f>IF(AND(主要!$R$7&lt;&gt;"",主要!$Y$3-主要!$Y$4-主要!$Y$6&gt;=12),12,"")</f>
        <v/>
      </c>
      <c r="AF35" s="224"/>
      <c r="AG35" s="224"/>
      <c r="AH35" s="224"/>
      <c r="AI35" s="380" t="e">
        <f>INDEX($B$2:$S$14,AI$17,18)</f>
        <v>#VALUE!</v>
      </c>
      <c r="AJ35" s="382" t="e">
        <f>INDEX($B$2:$S$14,AJ$17,18)</f>
        <v>#N/A</v>
      </c>
      <c r="AK35" s="382" t="e">
        <f>INDEX($B$2:$S$14,AK$17,18)</f>
        <v>#N/A</v>
      </c>
      <c r="AL35" s="377" t="e">
        <f t="array" ref="AL35">INDEX(AJ:AJ,SMALL(IF($AJ$18:$AJ$35&lt;&gt;"",ROW($18:$35),36),ROW(AJ14)))&amp;""</f>
        <v>#N/A</v>
      </c>
      <c r="AM35" s="250" t="s">
        <v>2165</v>
      </c>
      <c r="AN35" s="250"/>
      <c r="AO35" s="250">
        <v>104</v>
      </c>
      <c r="AP35" s="448">
        <f>_xlfn.IFS(AG4&gt;=17,111,AG4&gt;=8,110,AG4&gt;=6,109,AG4&gt;=2,108,AG4=1,107,1,0)</f>
        <v>0</v>
      </c>
      <c r="AQ35" s="307" t="e">
        <f t="shared" si="16"/>
        <v>#N/A</v>
      </c>
      <c r="AR35" s="224" t="e">
        <f t="shared" si="17"/>
        <v>#N/A</v>
      </c>
      <c r="AS35" s="224" t="e">
        <f t="shared" si="6"/>
        <v>#N/A</v>
      </c>
      <c r="AT35" s="374" t="e">
        <f t="shared" si="7"/>
        <v>#N/A</v>
      </c>
      <c r="AU35" s="307" t="e">
        <f t="shared" si="14"/>
        <v>#N/A</v>
      </c>
      <c r="AV35" s="224" t="e">
        <f t="shared" si="8"/>
        <v>#N/A</v>
      </c>
      <c r="AW35" s="224" t="e">
        <f t="shared" si="9"/>
        <v>#N/A</v>
      </c>
      <c r="AX35" s="374" t="e">
        <f t="shared" si="10"/>
        <v>#N/A</v>
      </c>
      <c r="AY35" s="307" t="e">
        <f t="shared" si="15"/>
        <v>#N/A</v>
      </c>
      <c r="AZ35" s="224" t="e">
        <f t="shared" si="11"/>
        <v>#N/A</v>
      </c>
      <c r="BA35" s="224" t="e">
        <f t="shared" si="12"/>
        <v>#N/A</v>
      </c>
      <c r="BB35" s="374" t="e">
        <f t="shared" si="13"/>
        <v>#N/A</v>
      </c>
      <c r="BC35" s="222" t="str">
        <f>IFERROR(INDEX($AQ$12:$BF$87,25,$BC$2),"")</f>
        <v/>
      </c>
      <c r="BD35" s="224" t="str">
        <f>IFERROR(INDEX($AQ$12:$BF$87,25,$BD$2),"")</f>
        <v/>
      </c>
      <c r="BE35" s="192" t="str">
        <f t="shared" si="18"/>
        <v/>
      </c>
      <c r="BF35" s="200" t="str">
        <f t="array" ref="BF35">INDEX(BE:BE,SMALL(IF($BE$2:$BE$143&lt;&gt;"",ROW($2:$143),144),ROW(BE34)))&amp;""</f>
        <v/>
      </c>
      <c r="BG35" s="375">
        <f>IF(主要!C117="",0,主要!C117)</f>
        <v>0</v>
      </c>
      <c r="BH35" s="372" t="str">
        <f t="shared" si="2"/>
        <v/>
      </c>
      <c r="BI35" s="376" t="str">
        <f t="shared" si="5"/>
        <v/>
      </c>
      <c r="BJ35" s="372"/>
      <c r="BK35" s="372"/>
      <c r="BL35" s="372"/>
      <c r="BM35" s="372"/>
      <c r="BN35" s="372"/>
      <c r="BO35" s="372"/>
      <c r="BP35" s="372"/>
      <c r="BQ35" s="372"/>
      <c r="BR35" s="372"/>
      <c r="BS35" s="372"/>
      <c r="BT35" s="372"/>
      <c r="BU35" s="372"/>
      <c r="BV35" s="372"/>
      <c r="BW35" s="372"/>
      <c r="BX35" s="372"/>
      <c r="BY35" s="372"/>
      <c r="BZ35" s="372"/>
    </row>
    <row r="36" customHeight="1" spans="1:78">
      <c r="A36" s="375">
        <v>20</v>
      </c>
      <c r="B36" s="226" t="s">
        <v>2166</v>
      </c>
      <c r="C36" s="226" t="s">
        <v>2167</v>
      </c>
      <c r="D36" s="297" t="s">
        <v>2168</v>
      </c>
      <c r="E36" s="297" t="s">
        <v>2169</v>
      </c>
      <c r="F36" s="241" t="str">
        <f>IF(OR(BH55&lt;1,COUNTIF($BG$2:$BG$46,"强力施法")),"强力施法","")</f>
        <v>强力施法</v>
      </c>
      <c r="G36" s="297" t="s">
        <v>2170</v>
      </c>
      <c r="H36" s="447" t="str">
        <f>IF(OR(BH56&lt;1,COUNTIF($BG$2:$BG$46,"结社法术-荒漠")),"结社法术-荒漠","")</f>
        <v>结社法术-荒漠</v>
      </c>
      <c r="I36" s="447" t="s">
        <v>2171</v>
      </c>
      <c r="J36" s="297" t="s">
        <v>2172</v>
      </c>
      <c r="K36" s="297" t="s">
        <v>2173</v>
      </c>
      <c r="L36" s="373" t="s">
        <v>2174</v>
      </c>
      <c r="M36" s="224" t="s">
        <v>2175</v>
      </c>
      <c r="N36" s="435" t="str">
        <f>IF(综合数据!B14=TRUE,"驾驭神力","")</f>
        <v>驾驭神力</v>
      </c>
      <c r="O36" s="435" t="s">
        <v>2176</v>
      </c>
      <c r="P36" s="435" t="str">
        <f>IF(AND(综合数据!B14=TRUE,OR(BH59&lt;1,COUNTIF($BG$2:$BG$46,"原始意识"))),"原始意识","")</f>
        <v>原始意识</v>
      </c>
      <c r="Q36" s="432" t="s">
        <v>2177</v>
      </c>
      <c r="R36" s="226" t="s">
        <v>539</v>
      </c>
      <c r="S36" s="226" t="s">
        <v>2178</v>
      </c>
      <c r="T36" s="434" t="str">
        <f>IF(OR(BI63&gt;0,COUNTIF($BG$2:$BG$46,"超魔法-精妙法术")),"超魔法-精妙法术","")</f>
        <v/>
      </c>
      <c r="U36" s="434" t="s">
        <v>2179</v>
      </c>
      <c r="V36" s="434" t="str">
        <f>IF(OR(BI65&gt;0,COUNTIF($BG$2:$BG$46,"魔能祈唤-迷雾幻影")),"魔能祈唤-迷雾幻影","")</f>
        <v/>
      </c>
      <c r="W36" s="434" t="s">
        <v>2180</v>
      </c>
      <c r="X36" s="226" t="s">
        <v>2181</v>
      </c>
      <c r="Y36" s="226" t="s">
        <v>2182</v>
      </c>
      <c r="Z36" s="224" t="s">
        <v>2183</v>
      </c>
      <c r="AA36" s="223" t="s">
        <v>2184</v>
      </c>
      <c r="AB36" s="222" t="str">
        <f>IF(AND(主要!$R$4&lt;&gt;"",主要!$Y$3-主要!$Y$6-主要!$Y$7&gt;=13),13,"")</f>
        <v/>
      </c>
      <c r="AC36" s="224" t="str">
        <f>IF(AND(主要!$R$6&lt;&gt;"",主要!$Y$3-主要!$Y$4-主要!$Y$7&gt;=13),13,"")</f>
        <v/>
      </c>
      <c r="AD36" s="223" t="str">
        <f>IF(AND(主要!$R$7&lt;&gt;"",主要!$Y$3-主要!$Y$4-主要!$Y$6&gt;=13),13,"")</f>
        <v/>
      </c>
      <c r="AF36" s="224"/>
      <c r="AG36" s="224"/>
      <c r="AH36" s="224"/>
      <c r="AL36" s="377" t="e">
        <f t="array" ref="AL36">INDEX(AJ:AJ,SMALL(IF($AJ$18:$AJ$35&lt;&gt;"",ROW($18:$35),36),ROW(AJ15)))&amp;""</f>
        <v>#N/A</v>
      </c>
      <c r="AM36" s="257" t="s">
        <v>2185</v>
      </c>
      <c r="AN36" s="257"/>
      <c r="AO36" s="257">
        <v>112</v>
      </c>
      <c r="AP36" s="416">
        <f>_xlfn.IFS(AG4&gt;=17,118,AG4&gt;=8,117,AG4&gt;=6,116,AG4&gt;=2,115,AG4=1,114,1,0)</f>
        <v>0</v>
      </c>
      <c r="AQ36" s="307" t="e">
        <f t="shared" si="16"/>
        <v>#N/A</v>
      </c>
      <c r="AR36" s="224" t="e">
        <f t="shared" si="17"/>
        <v>#N/A</v>
      </c>
      <c r="AS36" s="224" t="e">
        <f t="shared" si="6"/>
        <v>#N/A</v>
      </c>
      <c r="AT36" s="374" t="e">
        <f t="shared" si="7"/>
        <v>#N/A</v>
      </c>
      <c r="AU36" s="307" t="e">
        <f t="shared" si="14"/>
        <v>#N/A</v>
      </c>
      <c r="AV36" s="224" t="e">
        <f t="shared" si="8"/>
        <v>#N/A</v>
      </c>
      <c r="AW36" s="224" t="e">
        <f t="shared" si="9"/>
        <v>#N/A</v>
      </c>
      <c r="AX36" s="374" t="e">
        <f t="shared" si="10"/>
        <v>#N/A</v>
      </c>
      <c r="AY36" s="307" t="e">
        <f t="shared" si="15"/>
        <v>#N/A</v>
      </c>
      <c r="AZ36" s="224" t="e">
        <f t="shared" si="11"/>
        <v>#N/A</v>
      </c>
      <c r="BA36" s="224" t="e">
        <f t="shared" si="12"/>
        <v>#N/A</v>
      </c>
      <c r="BB36" s="374" t="e">
        <f t="shared" si="13"/>
        <v>#N/A</v>
      </c>
      <c r="BC36" s="222" t="str">
        <f>IFERROR(INDEX($AQ$12:$BF$87,26,$BC$2),"")</f>
        <v/>
      </c>
      <c r="BD36" s="224" t="str">
        <f>IFERROR(INDEX($AQ$12:$BF$87,26,$BD$2),"")</f>
        <v/>
      </c>
      <c r="BE36" s="192" t="str">
        <f t="shared" si="18"/>
        <v/>
      </c>
      <c r="BF36" s="200" t="str">
        <f t="array" ref="BF36">INDEX(BE:BE,SMALL(IF($BE$2:$BE$143&lt;&gt;"",ROW($2:$143),144),ROW(BE35)))&amp;""</f>
        <v/>
      </c>
      <c r="BG36" s="375">
        <f>IF(主要!C118="",0,主要!C118)</f>
        <v>0</v>
      </c>
      <c r="BH36" s="372" t="str">
        <f t="shared" si="2"/>
        <v/>
      </c>
      <c r="BI36" s="376" t="str">
        <f t="shared" si="5"/>
        <v/>
      </c>
      <c r="BJ36" s="372"/>
      <c r="BK36" s="372"/>
      <c r="BL36" s="372"/>
      <c r="BM36" s="372"/>
      <c r="BN36" s="372"/>
      <c r="BO36" s="372"/>
      <c r="BP36" s="372"/>
      <c r="BQ36" s="372"/>
      <c r="BR36" s="372"/>
      <c r="BS36" s="372"/>
      <c r="BT36" s="372"/>
      <c r="BU36" s="372"/>
      <c r="BV36" s="372"/>
      <c r="BW36" s="372"/>
      <c r="BX36" s="372"/>
      <c r="BY36" s="372"/>
      <c r="BZ36" s="372"/>
    </row>
    <row r="37" customHeight="1" spans="1:78">
      <c r="A37" s="375">
        <v>21</v>
      </c>
      <c r="B37" s="226" t="s">
        <v>2186</v>
      </c>
      <c r="C37" s="226" t="s">
        <v>2187</v>
      </c>
      <c r="D37" s="297" t="s">
        <v>2188</v>
      </c>
      <c r="E37" s="297" t="s">
        <v>2189</v>
      </c>
      <c r="F37" s="241" t="s">
        <v>2190</v>
      </c>
      <c r="G37" s="297" t="s">
        <v>2191</v>
      </c>
      <c r="H37" s="447" t="str">
        <f>IF(OR(BH56&lt;1,COUNTIF($BG$2:$BG$46,"结社法术-森林")),"结社法术-森林","")</f>
        <v>结社法术-森林</v>
      </c>
      <c r="I37" s="447" t="s">
        <v>2192</v>
      </c>
      <c r="J37" s="297" t="s">
        <v>2193</v>
      </c>
      <c r="K37" s="297" t="s">
        <v>2194</v>
      </c>
      <c r="L37" s="373" t="s">
        <v>2195</v>
      </c>
      <c r="M37" s="224" t="s">
        <v>2196</v>
      </c>
      <c r="N37" s="435" t="str">
        <f>IF(综合数据!B14=TRUE,"战斗变通","")</f>
        <v>战斗变通</v>
      </c>
      <c r="O37" s="435" t="s">
        <v>2197</v>
      </c>
      <c r="P37" s="435" t="str">
        <f>IF(综合数据!B14=TRUE,"替换武术-游侠","")</f>
        <v>替换武术-游侠</v>
      </c>
      <c r="Q37" s="435" t="s">
        <v>2198</v>
      </c>
      <c r="R37" s="226" t="s">
        <v>2199</v>
      </c>
      <c r="S37" s="226" t="s">
        <v>2200</v>
      </c>
      <c r="T37" s="434" t="str">
        <f>IF(OR(BI63&gt;0,COUNTIF($BG$2:$BG$46,"超魔法-孪生法术")),"超魔法-孪生法术","")</f>
        <v/>
      </c>
      <c r="U37" s="434" t="s">
        <v>2201</v>
      </c>
      <c r="V37" s="434" t="str">
        <f>IF(AND(COUNTIF(法术数据!AK2:AK301,法术数据!B8)&gt;=1,OR(BI65&gt;0,COUNTIF($BG$2:$BG$46,"魔能祈唤-斥力魔爆"))),"魔能祈唤-斥力魔爆","")</f>
        <v/>
      </c>
      <c r="W37" s="439" t="s">
        <v>2202</v>
      </c>
      <c r="X37" s="226" t="s">
        <v>2203</v>
      </c>
      <c r="Y37" s="226" t="s">
        <v>2204</v>
      </c>
      <c r="Z37" s="224" t="s">
        <v>2205</v>
      </c>
      <c r="AA37" s="223" t="s">
        <v>2206</v>
      </c>
      <c r="AB37" s="222" t="str">
        <f>IF(AND(主要!$R$4&lt;&gt;"",主要!$Y$3-主要!$Y$6-主要!$Y$7&gt;=14),14,"")</f>
        <v/>
      </c>
      <c r="AC37" s="224" t="str">
        <f>IF(AND(主要!$R$6&lt;&gt;"",主要!$Y$3-主要!$Y$4-主要!$Y$7&gt;=14),14,"")</f>
        <v/>
      </c>
      <c r="AD37" s="223" t="str">
        <f>IF(AND(主要!$R$7&lt;&gt;"",主要!$Y$3-主要!$Y$4-主要!$Y$6&gt;=14),14,"")</f>
        <v/>
      </c>
      <c r="AF37" s="224"/>
      <c r="AG37" s="224"/>
      <c r="AH37" s="224"/>
      <c r="AL37" s="377" t="e">
        <f t="array" ref="AL37">INDEX(AJ:AJ,SMALL(IF($AJ$18:$AJ$35&lt;&gt;"",ROW($18:$35),36),ROW(AJ16)))&amp;""</f>
        <v>#N/A</v>
      </c>
      <c r="AM37" s="257" t="s">
        <v>2207</v>
      </c>
      <c r="AN37" s="257"/>
      <c r="AO37" s="257">
        <v>119</v>
      </c>
      <c r="AP37" s="416">
        <f>_xlfn.IFS(AG4&gt;=17,125,AG4&gt;=8,124,AG4&gt;=6,123,AG4&gt;=2,122,AG4=1,121,1,0)</f>
        <v>0</v>
      </c>
      <c r="AQ37" s="307" t="e">
        <f t="shared" si="16"/>
        <v>#N/A</v>
      </c>
      <c r="AR37" s="224" t="e">
        <f t="shared" si="17"/>
        <v>#N/A</v>
      </c>
      <c r="AS37" s="224" t="e">
        <f t="shared" si="6"/>
        <v>#N/A</v>
      </c>
      <c r="AT37" s="374" t="e">
        <f t="shared" si="7"/>
        <v>#N/A</v>
      </c>
      <c r="AU37" s="307" t="e">
        <f t="shared" si="14"/>
        <v>#N/A</v>
      </c>
      <c r="AV37" s="224" t="e">
        <f t="shared" si="8"/>
        <v>#N/A</v>
      </c>
      <c r="AW37" s="224" t="e">
        <f t="shared" si="9"/>
        <v>#N/A</v>
      </c>
      <c r="AX37" s="374" t="e">
        <f t="shared" si="10"/>
        <v>#N/A</v>
      </c>
      <c r="AY37" s="307" t="e">
        <f t="shared" si="15"/>
        <v>#N/A</v>
      </c>
      <c r="AZ37" s="224" t="e">
        <f t="shared" si="11"/>
        <v>#N/A</v>
      </c>
      <c r="BA37" s="224" t="e">
        <f t="shared" si="12"/>
        <v>#N/A</v>
      </c>
      <c r="BB37" s="374" t="e">
        <f t="shared" si="13"/>
        <v>#N/A</v>
      </c>
      <c r="BC37" s="222" t="str">
        <f>IFERROR(INDEX($AQ$12:$BF$87,27,$BC$2),"")</f>
        <v/>
      </c>
      <c r="BD37" s="224" t="str">
        <f>IFERROR(INDEX($AQ$12:$BF$87,27,$BD$2),"")</f>
        <v/>
      </c>
      <c r="BE37" s="192" t="str">
        <f t="shared" si="18"/>
        <v/>
      </c>
      <c r="BF37" s="200" t="str">
        <f t="array" ref="BF37">INDEX(BE:BE,SMALL(IF($BE$2:$BE$143&lt;&gt;"",ROW($2:$143),144),ROW(BE36)))&amp;""</f>
        <v/>
      </c>
      <c r="BG37" s="375">
        <f>IF(主要!C119="",0,主要!C119)</f>
        <v>0</v>
      </c>
      <c r="BH37" s="372" t="str">
        <f t="shared" si="2"/>
        <v/>
      </c>
      <c r="BI37" s="376" t="str">
        <f t="shared" si="5"/>
        <v/>
      </c>
      <c r="BJ37" s="372"/>
      <c r="BK37" s="372"/>
      <c r="BL37" s="372"/>
      <c r="BM37" s="372"/>
      <c r="BN37" s="372"/>
      <c r="BO37" s="372"/>
      <c r="BP37" s="372"/>
      <c r="BQ37" s="372"/>
      <c r="BR37" s="372"/>
      <c r="BS37" s="372"/>
      <c r="BT37" s="372"/>
      <c r="BU37" s="372"/>
      <c r="BV37" s="372"/>
      <c r="BW37" s="372"/>
      <c r="BX37" s="372"/>
      <c r="BY37" s="372"/>
      <c r="BZ37" s="372"/>
    </row>
    <row r="38" customHeight="1" spans="1:78">
      <c r="A38" s="375">
        <v>22</v>
      </c>
      <c r="B38" s="449" t="str">
        <f>IF(OR(BH48&lt;1,COUNTIF($BG$2:$BG$46,"图腾精魄-熊")),"图腾精魄-熊","")</f>
        <v>图腾精魄-熊</v>
      </c>
      <c r="C38" s="449" t="s">
        <v>2208</v>
      </c>
      <c r="D38" s="297" t="s">
        <v>2209</v>
      </c>
      <c r="E38" s="297" t="s">
        <v>2210</v>
      </c>
      <c r="F38" s="226" t="s">
        <v>2211</v>
      </c>
      <c r="G38" s="226" t="s">
        <v>2212</v>
      </c>
      <c r="H38" s="447" t="str">
        <f>IF(OR(BH56&lt;1,COUNTIF($BG$2:$BG$46,"结社法术-草原")),"结社法术-草原","")</f>
        <v>结社法术-草原</v>
      </c>
      <c r="I38" s="447" t="s">
        <v>2213</v>
      </c>
      <c r="J38" s="297" t="s">
        <v>2214</v>
      </c>
      <c r="K38" s="297" t="s">
        <v>2215</v>
      </c>
      <c r="L38" s="373" t="s">
        <v>2216</v>
      </c>
      <c r="M38" s="224" t="s">
        <v>2217</v>
      </c>
      <c r="N38" s="193" t="str">
        <f>IF(COUNTIF($BG$2:$BG$46,"额外攻击-*"),"","额外攻击")</f>
        <v>额外攻击</v>
      </c>
      <c r="O38" s="224" t="s">
        <v>2218</v>
      </c>
      <c r="P38" s="224" t="str">
        <f>IF(COUNTIF($BG$2:$BG$46,"额外攻击-*"),"","额外攻击")</f>
        <v>额外攻击</v>
      </c>
      <c r="Q38" s="224" t="s">
        <v>2042</v>
      </c>
      <c r="R38" s="226" t="s">
        <v>2219</v>
      </c>
      <c r="S38" s="226" t="s">
        <v>2220</v>
      </c>
      <c r="T38" s="435" t="str">
        <f>IF(AND(综合数据!B14=TRUE,OR(BI63&gt;0,COUNTIF($BG$2:$BG$46,"超魔法-追踪法术"))),"超魔法-追踪法术","")</f>
        <v/>
      </c>
      <c r="U38" s="434" t="s">
        <v>2221</v>
      </c>
      <c r="V38" s="434" t="str">
        <f>IF(OR(BI65&gt;0,COUNTIF($BG$2:$BG$46,"魔能祈唤-命运窃贼")),"魔能祈唤-命运窃贼","")</f>
        <v/>
      </c>
      <c r="W38" s="434" t="s">
        <v>2222</v>
      </c>
      <c r="X38" s="298" t="s">
        <v>2223</v>
      </c>
      <c r="Y38" s="298" t="s">
        <v>2224</v>
      </c>
      <c r="Z38" s="434" t="str">
        <f>IF(OR(BI67&gt;0,COUNTIF($BG$2:$BG$46,"注法-折返之靴")),"注法-折返之靴","")</f>
        <v/>
      </c>
      <c r="AA38" s="440" t="s">
        <v>2225</v>
      </c>
      <c r="AB38" s="222" t="str">
        <f>IF(AND(主要!$R$4&lt;&gt;"",主要!$Y$3-主要!$Y$6-主要!$Y$7&gt;=15),15,"")</f>
        <v/>
      </c>
      <c r="AC38" s="224" t="str">
        <f>IF(AND(主要!$R$6&lt;&gt;"",主要!$Y$3-主要!$Y$4-主要!$Y$7&gt;=15),15,"")</f>
        <v/>
      </c>
      <c r="AD38" s="223" t="str">
        <f>IF(AND(主要!$R$7&lt;&gt;"",主要!$Y$3-主要!$Y$4-主要!$Y$6&gt;=15),15,"")</f>
        <v/>
      </c>
      <c r="AF38" s="434"/>
      <c r="AG38" s="434"/>
      <c r="AH38" s="434"/>
      <c r="AL38" s="377" t="e">
        <f t="array" ref="AL38">INDEX(AJ:AJ,SMALL(IF($AJ$18:$AJ$35&lt;&gt;"",ROW($18:$35),36),ROW(AJ17)))&amp;""</f>
        <v>#N/A</v>
      </c>
      <c r="AM38" s="257" t="s">
        <v>2226</v>
      </c>
      <c r="AN38" s="257"/>
      <c r="AO38" s="257">
        <v>126</v>
      </c>
      <c r="AP38" s="416">
        <f>_xlfn.IFS(AG4&gt;=17,131,AG4&gt;=8,130,AG4&gt;=6,129,AG4&gt;=2,128,AG4=1,127,1,0)</f>
        <v>0</v>
      </c>
      <c r="AQ38" s="307" t="e">
        <f t="shared" si="16"/>
        <v>#N/A</v>
      </c>
      <c r="AR38" s="224" t="e">
        <f t="shared" si="17"/>
        <v>#N/A</v>
      </c>
      <c r="AS38" s="224" t="e">
        <f t="shared" si="6"/>
        <v>#N/A</v>
      </c>
      <c r="AT38" s="374" t="e">
        <f t="shared" si="7"/>
        <v>#N/A</v>
      </c>
      <c r="AU38" s="307" t="e">
        <f t="shared" si="14"/>
        <v>#N/A</v>
      </c>
      <c r="AV38" s="224" t="e">
        <f t="shared" si="8"/>
        <v>#N/A</v>
      </c>
      <c r="AW38" s="224" t="e">
        <f t="shared" si="9"/>
        <v>#N/A</v>
      </c>
      <c r="AX38" s="374" t="e">
        <f t="shared" si="10"/>
        <v>#N/A</v>
      </c>
      <c r="AY38" s="307" t="e">
        <f t="shared" si="15"/>
        <v>#N/A</v>
      </c>
      <c r="AZ38" s="224" t="e">
        <f t="shared" si="11"/>
        <v>#N/A</v>
      </c>
      <c r="BA38" s="224" t="e">
        <f t="shared" si="12"/>
        <v>#N/A</v>
      </c>
      <c r="BB38" s="374" t="e">
        <f t="shared" si="13"/>
        <v>#N/A</v>
      </c>
      <c r="BC38" s="222" t="str">
        <f>IFERROR(INDEX($AQ$12:$BF$87,28,$BC$2),"")</f>
        <v/>
      </c>
      <c r="BD38" s="224" t="str">
        <f>IFERROR(INDEX($AQ$12:$BF$87,28,$BD$2),"")</f>
        <v/>
      </c>
      <c r="BE38" s="192" t="str">
        <f t="shared" si="18"/>
        <v/>
      </c>
      <c r="BF38" s="200" t="str">
        <f t="array" ref="BF38">INDEX(BE:BE,SMALL(IF($BE$2:$BE$143&lt;&gt;"",ROW($2:$143),144),ROW(BE37)))&amp;""</f>
        <v/>
      </c>
      <c r="BG38" s="375">
        <f>IF(主要!C120="",0,主要!C120)</f>
        <v>0</v>
      </c>
      <c r="BH38" s="372" t="str">
        <f t="shared" si="2"/>
        <v/>
      </c>
      <c r="BI38" s="376" t="str">
        <f t="shared" si="5"/>
        <v/>
      </c>
      <c r="BJ38" s="372"/>
      <c r="BK38" s="372"/>
      <c r="BL38" s="372"/>
      <c r="BM38" s="372"/>
      <c r="BN38" s="372"/>
      <c r="BO38" s="372"/>
      <c r="BP38" s="372"/>
      <c r="BQ38" s="372"/>
      <c r="BR38" s="372"/>
      <c r="BS38" s="372"/>
      <c r="BT38" s="372"/>
      <c r="BU38" s="372"/>
      <c r="BV38" s="372"/>
      <c r="BW38" s="372"/>
      <c r="BX38" s="372"/>
      <c r="BY38" s="372"/>
      <c r="BZ38" s="372"/>
    </row>
    <row r="39" customHeight="1" spans="1:78">
      <c r="A39" s="375">
        <v>23</v>
      </c>
      <c r="B39" s="449" t="str">
        <f>IF(OR(BH48&lt;1,COUNTIF($BG$2:$BG$46,"图腾精魄-雕")),"图腾精魄-雕","")</f>
        <v>图腾精魄-雕</v>
      </c>
      <c r="C39" s="449" t="s">
        <v>2227</v>
      </c>
      <c r="D39" s="226" t="s">
        <v>2146</v>
      </c>
      <c r="E39" s="226" t="s">
        <v>2228</v>
      </c>
      <c r="F39" s="226" t="s">
        <v>2229</v>
      </c>
      <c r="G39" s="226" t="s">
        <v>2230</v>
      </c>
      <c r="H39" s="447" t="str">
        <f>IF(OR(BH56&lt;1,COUNTIF($BG$2:$BG$46,"结社法术-山地")),"结社法术-山地","")</f>
        <v>结社法术-山地</v>
      </c>
      <c r="I39" s="447" t="s">
        <v>2231</v>
      </c>
      <c r="J39" s="297" t="s">
        <v>2232</v>
      </c>
      <c r="K39" s="297" t="s">
        <v>2233</v>
      </c>
      <c r="L39" s="373" t="s">
        <v>2234</v>
      </c>
      <c r="M39" s="224" t="s">
        <v>2235</v>
      </c>
      <c r="N39" s="193" t="s">
        <v>2236</v>
      </c>
      <c r="O39" s="224" t="s">
        <v>2237</v>
      </c>
      <c r="P39" s="224" t="s">
        <v>2238</v>
      </c>
      <c r="Q39" s="224" t="s">
        <v>2239</v>
      </c>
      <c r="R39" s="226" t="s">
        <v>2240</v>
      </c>
      <c r="S39" s="226" t="s">
        <v>2241</v>
      </c>
      <c r="T39" s="435" t="str">
        <f>IF(OR(综合数据!B14=FALSE,BI63&lt;=0),"","超魔法-转化法术")</f>
        <v/>
      </c>
      <c r="U39" s="434" t="s">
        <v>2242</v>
      </c>
      <c r="V39" s="435" t="str">
        <f>IF(AND(综合数据!B14=TRUE,COUNTIF(法术数据!AK2:AK301,法术数据!B8)&gt;=1,OR(BI65&gt;0,COUNTIF($BG$2:$BG$46,"魔能祈唤-哈达之攫"))),"魔能祈唤-哈达之攫","")</f>
        <v/>
      </c>
      <c r="W39" s="439" t="s">
        <v>2243</v>
      </c>
      <c r="X39" s="298" t="s">
        <v>2244</v>
      </c>
      <c r="Y39" s="298" t="s">
        <v>2245</v>
      </c>
      <c r="Z39" s="434" t="str">
        <f>IF(OR(BI67&gt;0,COUNTIF($BG$2:$BG$46,"注法-光耀武器")),"注法-光耀武器","")</f>
        <v/>
      </c>
      <c r="AA39" s="440" t="s">
        <v>2246</v>
      </c>
      <c r="AB39" s="222" t="str">
        <f>IF(AND(主要!$R$4&lt;&gt;"",主要!$Y$3-主要!$Y$6-主要!$Y$7&gt;=16),16,"")</f>
        <v/>
      </c>
      <c r="AC39" s="224" t="str">
        <f>IF(AND(主要!$R$6&lt;&gt;"",主要!$Y$3-主要!$Y$4-主要!$Y$7&gt;=16),16,"")</f>
        <v/>
      </c>
      <c r="AD39" s="223" t="str">
        <f>IF(AND(主要!$R$7&lt;&gt;"",主要!$Y$3-主要!$Y$4-主要!$Y$6&gt;=16),16,"")</f>
        <v/>
      </c>
      <c r="AF39" s="434"/>
      <c r="AG39" s="434"/>
      <c r="AH39" s="434"/>
      <c r="AL39" s="377" t="e">
        <f t="array" ref="AL39">INDEX(AJ:AJ,SMALL(IF($AJ$18:$AJ$35&lt;&gt;"",ROW($18:$35),36),ROW(AJ18)))&amp;""</f>
        <v>#N/A</v>
      </c>
      <c r="AM39" s="257" t="s">
        <v>2247</v>
      </c>
      <c r="AN39" s="257"/>
      <c r="AO39" s="257">
        <v>132</v>
      </c>
      <c r="AP39" s="416">
        <f>_xlfn.IFS(AG4&gt;=17,138,AG4&gt;=8,137,AG4&gt;=6,136,AG4&gt;=2,135,AG4=1,134,1,0)</f>
        <v>0</v>
      </c>
      <c r="AQ39" s="307" t="e">
        <f t="shared" si="16"/>
        <v>#N/A</v>
      </c>
      <c r="AR39" s="224" t="e">
        <f t="shared" si="17"/>
        <v>#N/A</v>
      </c>
      <c r="AS39" s="224" t="e">
        <f t="shared" si="6"/>
        <v>#N/A</v>
      </c>
      <c r="AT39" s="374" t="e">
        <f t="shared" si="7"/>
        <v>#N/A</v>
      </c>
      <c r="AU39" s="307" t="e">
        <f t="shared" si="14"/>
        <v>#N/A</v>
      </c>
      <c r="AV39" s="224" t="e">
        <f t="shared" si="8"/>
        <v>#N/A</v>
      </c>
      <c r="AW39" s="224" t="e">
        <f t="shared" si="9"/>
        <v>#N/A</v>
      </c>
      <c r="AX39" s="374" t="e">
        <f t="shared" si="10"/>
        <v>#N/A</v>
      </c>
      <c r="AY39" s="307" t="e">
        <f t="shared" si="15"/>
        <v>#N/A</v>
      </c>
      <c r="AZ39" s="224" t="e">
        <f t="shared" si="11"/>
        <v>#N/A</v>
      </c>
      <c r="BA39" s="224" t="e">
        <f t="shared" si="12"/>
        <v>#N/A</v>
      </c>
      <c r="BB39" s="374" t="e">
        <f t="shared" si="13"/>
        <v>#N/A</v>
      </c>
      <c r="BC39" s="222" t="str">
        <f>IFERROR(INDEX($AQ$12:$BF$87,29,$BC$2),"")</f>
        <v/>
      </c>
      <c r="BD39" s="224" t="str">
        <f>IFERROR(INDEX($AQ$12:$BF$87,29,$BD$2),"")</f>
        <v/>
      </c>
      <c r="BE39" s="192" t="str">
        <f t="shared" si="18"/>
        <v/>
      </c>
      <c r="BF39" s="200" t="str">
        <f t="array" ref="BF39">INDEX(BE:BE,SMALL(IF($BE$2:$BE$143&lt;&gt;"",ROW($2:$143),144),ROW(BE38)))&amp;""</f>
        <v/>
      </c>
      <c r="BG39" s="375">
        <f>IF(主要!C121="",0,主要!C121)</f>
        <v>0</v>
      </c>
      <c r="BH39" s="372" t="str">
        <f t="shared" si="2"/>
        <v/>
      </c>
      <c r="BI39" s="376" t="str">
        <f t="shared" si="5"/>
        <v/>
      </c>
      <c r="BJ39" s="372"/>
      <c r="BK39" s="372"/>
      <c r="BL39" s="372"/>
      <c r="BM39" s="372"/>
      <c r="BN39" s="372"/>
      <c r="BO39" s="372"/>
      <c r="BP39" s="372"/>
      <c r="BQ39" s="372"/>
      <c r="BR39" s="372"/>
      <c r="BS39" s="372"/>
      <c r="BT39" s="372"/>
      <c r="BU39" s="372"/>
      <c r="BV39" s="372"/>
      <c r="BW39" s="372"/>
      <c r="BX39" s="372"/>
      <c r="BY39" s="372"/>
      <c r="BZ39" s="372"/>
    </row>
    <row r="40" customHeight="1" spans="1:78">
      <c r="A40" s="375">
        <v>24</v>
      </c>
      <c r="B40" s="449" t="str">
        <f>IF(OR(BH48&lt;1,COUNTIF($BG$2:$BG$46,"图腾精魄-狼")),"图腾精魄-狼","")</f>
        <v>图腾精魄-狼</v>
      </c>
      <c r="C40" s="449" t="s">
        <v>2248</v>
      </c>
      <c r="D40" s="226" t="s">
        <v>2249</v>
      </c>
      <c r="E40" s="226" t="s">
        <v>2250</v>
      </c>
      <c r="F40" s="226" t="s">
        <v>2251</v>
      </c>
      <c r="G40" s="226" t="s">
        <v>2252</v>
      </c>
      <c r="H40" s="447" t="str">
        <f>IF(OR(BH56&lt;1,COUNTIF($BG$2:$BG$46,"结社法术-幽暗地域")),"结社法术-幽暗地域","")</f>
        <v>结社法术-幽暗地域</v>
      </c>
      <c r="I40" s="447" t="s">
        <v>2253</v>
      </c>
      <c r="J40" s="226" t="s">
        <v>2254</v>
      </c>
      <c r="K40" s="226" t="s">
        <v>2255</v>
      </c>
      <c r="L40" s="373" t="s">
        <v>2256</v>
      </c>
      <c r="M40" s="224" t="s">
        <v>2257</v>
      </c>
      <c r="N40" s="193" t="s">
        <v>2258</v>
      </c>
      <c r="O40" s="224" t="s">
        <v>2259</v>
      </c>
      <c r="P40" s="432" t="str">
        <f>IF(OR(BH60&lt;1,COUNTIF($BG$2:$BG$46,"遁术")),"遁术","")</f>
        <v>遁术</v>
      </c>
      <c r="Q40" s="432" t="s">
        <v>2260</v>
      </c>
      <c r="R40" s="298" t="s">
        <v>2261</v>
      </c>
      <c r="S40" s="298" t="s">
        <v>2262</v>
      </c>
      <c r="T40" s="435" t="str">
        <f>IF(综合数据!B14=TRUE,"法力变换","")</f>
        <v>法力变换</v>
      </c>
      <c r="U40" s="435" t="s">
        <v>2263</v>
      </c>
      <c r="V40" s="435" t="str">
        <f>IF(AND(综合数据!B14=TRUE,COUNTIF(法术数据!AK2:AK301,法术数据!B8)&gt;=1,OR(BI65&gt;0,COUNTIF($BG$2:$BG$46,"魔能祈唤-怠惰之枪"))),"魔能祈唤-怠惰之枪","")</f>
        <v/>
      </c>
      <c r="W40" s="439" t="s">
        <v>2264</v>
      </c>
      <c r="X40" s="298" t="s">
        <v>2265</v>
      </c>
      <c r="Y40" s="298" t="s">
        <v>2266</v>
      </c>
      <c r="Z40" s="434" t="str">
        <f>IF(OR(BI67&gt;0,COUNTIF($BG$2:$BG$46,"注法-斥力之盾")),"注法-斥力之盾","")</f>
        <v/>
      </c>
      <c r="AA40" s="440" t="s">
        <v>2267</v>
      </c>
      <c r="AB40" s="222" t="str">
        <f>IF(AND(主要!$R$4&lt;&gt;"",主要!$Y$3-主要!$Y$6-主要!$Y$7&gt;=17),17,"")</f>
        <v/>
      </c>
      <c r="AC40" s="224" t="str">
        <f>IF(AND(主要!$R$6&lt;&gt;"",主要!$Y$3-主要!$Y$4-主要!$Y$7&gt;=17),17,"")</f>
        <v/>
      </c>
      <c r="AD40" s="223" t="str">
        <f>IF(AND(主要!$R$7&lt;&gt;"",主要!$Y$3-主要!$Y$4-主要!$Y$6&gt;=17),17,"")</f>
        <v/>
      </c>
      <c r="AF40" s="434"/>
      <c r="AG40" s="434"/>
      <c r="AH40" s="434"/>
      <c r="AL40" s="412" t="s">
        <v>1746</v>
      </c>
      <c r="AM40" s="413" t="s">
        <v>1600</v>
      </c>
      <c r="AN40" s="413">
        <v>4</v>
      </c>
      <c r="AO40" s="413">
        <v>1</v>
      </c>
      <c r="AP40" s="438">
        <f>_xlfn.IFS(AG5=20,14,AG5&gt;=18,13,AG5&gt;=4,11,AG5&gt;=2,10,AG5=1,7,1,0)</f>
        <v>0</v>
      </c>
      <c r="AQ40" s="307" t="e">
        <f t="shared" si="16"/>
        <v>#N/A</v>
      </c>
      <c r="AR40" s="224" t="e">
        <f t="shared" si="17"/>
        <v>#N/A</v>
      </c>
      <c r="AS40" s="224" t="e">
        <f t="shared" si="6"/>
        <v>#N/A</v>
      </c>
      <c r="AT40" s="374" t="e">
        <f t="shared" si="7"/>
        <v>#N/A</v>
      </c>
      <c r="AU40" s="307" t="e">
        <f t="shared" si="14"/>
        <v>#N/A</v>
      </c>
      <c r="AV40" s="224" t="e">
        <f t="shared" si="8"/>
        <v>#N/A</v>
      </c>
      <c r="AW40" s="224" t="e">
        <f t="shared" si="9"/>
        <v>#N/A</v>
      </c>
      <c r="AX40" s="374" t="e">
        <f t="shared" si="10"/>
        <v>#N/A</v>
      </c>
      <c r="AY40" s="307" t="e">
        <f t="shared" si="15"/>
        <v>#N/A</v>
      </c>
      <c r="AZ40" s="224" t="e">
        <f t="shared" si="11"/>
        <v>#N/A</v>
      </c>
      <c r="BA40" s="224" t="e">
        <f t="shared" si="12"/>
        <v>#N/A</v>
      </c>
      <c r="BB40" s="374" t="e">
        <f t="shared" si="13"/>
        <v>#N/A</v>
      </c>
      <c r="BC40" s="222" t="str">
        <f>IFERROR(INDEX($AQ$12:$BF$87,30,$BC$2),"")</f>
        <v/>
      </c>
      <c r="BD40" s="224" t="str">
        <f>IFERROR(INDEX($AQ$12:$BF$87,30,$BD$2),"")</f>
        <v/>
      </c>
      <c r="BE40" s="192" t="str">
        <f t="shared" si="18"/>
        <v/>
      </c>
      <c r="BF40" s="200" t="str">
        <f t="array" ref="BF40">INDEX(BE:BE,SMALL(IF($BE$2:$BE$143&lt;&gt;"",ROW($2:$143),144),ROW(BE39)))&amp;""</f>
        <v/>
      </c>
      <c r="BG40" s="375">
        <f>IF(主要!C122="",0,主要!C122)</f>
        <v>0</v>
      </c>
      <c r="BH40" s="372" t="str">
        <f t="shared" si="2"/>
        <v/>
      </c>
      <c r="BI40" s="376" t="str">
        <f t="shared" si="5"/>
        <v/>
      </c>
      <c r="BJ40" s="372"/>
      <c r="BK40" s="372"/>
      <c r="BL40" s="372"/>
      <c r="BM40" s="372"/>
      <c r="BN40" s="372"/>
      <c r="BO40" s="372"/>
      <c r="BP40" s="372"/>
      <c r="BQ40" s="372"/>
      <c r="BR40" s="372"/>
      <c r="BS40" s="372"/>
      <c r="BT40" s="372"/>
      <c r="BU40" s="372"/>
      <c r="BV40" s="372"/>
      <c r="BW40" s="372"/>
      <c r="BX40" s="372"/>
      <c r="BY40" s="372"/>
      <c r="BZ40" s="372"/>
    </row>
    <row r="41" customHeight="1" spans="1:78">
      <c r="A41" s="375">
        <v>25</v>
      </c>
      <c r="B41" s="449" t="str">
        <f>IF(AND(综合数据!B5=TRUE,OR(BH48&lt;1,COUNTIF($BG$2:$BG$46,"图腾精魄-鹿"))),"图腾精魄-鹿","")</f>
        <v>图腾精魄-鹿</v>
      </c>
      <c r="C41" s="449" t="s">
        <v>2268</v>
      </c>
      <c r="D41" s="226" t="str">
        <f>IF(COUNTIF($BG$2:$BG$46,"额外攻击-*"),"","额外攻击")</f>
        <v>额外攻击</v>
      </c>
      <c r="E41" s="226" t="s">
        <v>2269</v>
      </c>
      <c r="F41" s="450" t="s">
        <v>2270</v>
      </c>
      <c r="G41" s="450" t="s">
        <v>2271</v>
      </c>
      <c r="H41" s="447" t="str">
        <f>IF(OR(BH56&lt;1,COUNTIF($BG$2:$BG$46,"结社法术-沼泽")),"结社法术-沼泽","")</f>
        <v>结社法术-沼泽</v>
      </c>
      <c r="I41" s="447" t="s">
        <v>2272</v>
      </c>
      <c r="J41" s="450" t="str">
        <f>IF(OR(BI55&gt;0,COUNTIF($BG$2:$BG$46,"战技-指挥官奇袭")),"战技-指挥官奇袭","")</f>
        <v/>
      </c>
      <c r="K41" s="450" t="s">
        <v>2273</v>
      </c>
      <c r="L41" s="373" t="s">
        <v>2274</v>
      </c>
      <c r="M41" s="224" t="s">
        <v>2275</v>
      </c>
      <c r="N41" s="193" t="s">
        <v>2276</v>
      </c>
      <c r="O41" s="224" t="s">
        <v>2277</v>
      </c>
      <c r="P41" s="435" t="str">
        <f>IF(AND(综合数据!B14=TRUE,OR(BH60&lt;1,COUNTIF($BG$2:$BG$46,"自然面纱"))),"自然面纱","")</f>
        <v>自然面纱</v>
      </c>
      <c r="Q41" s="432" t="s">
        <v>2278</v>
      </c>
      <c r="R41" s="298" t="s">
        <v>2279</v>
      </c>
      <c r="S41" s="298" t="s">
        <v>2280</v>
      </c>
      <c r="T41" s="435" t="str">
        <f>IF(综合数据!B14=TRUE,"魔法指引","")</f>
        <v>魔法指引</v>
      </c>
      <c r="U41" s="435" t="s">
        <v>2281</v>
      </c>
      <c r="V41" s="435" t="str">
        <f>IF(AND(综合数据!B14=TRUE,OR(BI65&gt;0,COUNTIF($BG$2:$BG$46,"魔能祈唤-魔能意志"))),"魔能祈唤-魔能意志","")</f>
        <v/>
      </c>
      <c r="W41" s="434" t="s">
        <v>2282</v>
      </c>
      <c r="X41" s="298" t="s">
        <v>2283</v>
      </c>
      <c r="Y41" s="298" t="s">
        <v>2284</v>
      </c>
      <c r="Z41" s="434" t="str">
        <f>IF(OR(BI67&gt;0,COUNTIF($BG$2:$BG$46,"注法-抗力盔甲")),"注法-抗力盔甲","")</f>
        <v/>
      </c>
      <c r="AA41" s="440" t="s">
        <v>2285</v>
      </c>
      <c r="AB41" s="222" t="str">
        <f>IF(AND(主要!$R$4&lt;&gt;"",主要!$Y$3-主要!$Y$6-主要!$Y$7&gt;=18),18,"")</f>
        <v/>
      </c>
      <c r="AC41" s="224" t="str">
        <f>IF(AND(主要!$R$6&lt;&gt;"",主要!$Y$3-主要!$Y$4-主要!$Y$7&gt;=18),18,"")</f>
        <v/>
      </c>
      <c r="AD41" s="223" t="str">
        <f>IF(AND(主要!$R$7&lt;&gt;"",主要!$Y$3-主要!$Y$4-主要!$Y$6&gt;=18),18,"")</f>
        <v/>
      </c>
      <c r="AF41" s="434"/>
      <c r="AG41" s="434"/>
      <c r="AH41" s="434"/>
      <c r="AL41" s="377" t="e">
        <f t="array" ref="AL41">INDEX(AK:AK,SMALL(IF($AK$18:$AK$35&lt;&gt;"",ROW($18:$35),36),ROW(AK1)))&amp;""</f>
        <v>#N/A</v>
      </c>
      <c r="AM41" s="373" t="s">
        <v>1601</v>
      </c>
      <c r="AN41" s="373"/>
      <c r="AO41" s="373">
        <v>15</v>
      </c>
      <c r="AP41" s="374">
        <f>_xlfn.IFS(AG5&gt;=14,28,AG5&gt;=10,27,AG5&gt;=6,26,AG5&gt;=3,25,AG5=2,16,1,0)</f>
        <v>0</v>
      </c>
      <c r="AQ41" s="307" t="e">
        <f t="shared" si="16"/>
        <v>#N/A</v>
      </c>
      <c r="AR41" s="224" t="e">
        <f t="shared" si="17"/>
        <v>#N/A</v>
      </c>
      <c r="AS41" s="224" t="e">
        <f t="shared" si="6"/>
        <v>#N/A</v>
      </c>
      <c r="AT41" s="374" t="e">
        <f t="shared" si="7"/>
        <v>#N/A</v>
      </c>
      <c r="AU41" s="307" t="e">
        <f t="shared" si="14"/>
        <v>#N/A</v>
      </c>
      <c r="AV41" s="224" t="e">
        <f t="shared" si="8"/>
        <v>#N/A</v>
      </c>
      <c r="AW41" s="224" t="e">
        <f t="shared" si="9"/>
        <v>#N/A</v>
      </c>
      <c r="AX41" s="374" t="e">
        <f t="shared" si="10"/>
        <v>#N/A</v>
      </c>
      <c r="AY41" s="307" t="e">
        <f t="shared" si="15"/>
        <v>#N/A</v>
      </c>
      <c r="AZ41" s="224" t="e">
        <f t="shared" si="11"/>
        <v>#N/A</v>
      </c>
      <c r="BA41" s="224" t="e">
        <f t="shared" si="12"/>
        <v>#N/A</v>
      </c>
      <c r="BB41" s="374" t="e">
        <f t="shared" si="13"/>
        <v>#N/A</v>
      </c>
      <c r="BC41" s="222" t="str">
        <f>IFERROR(INDEX($AQ$12:$BF$87,31,$BC$2),"")</f>
        <v/>
      </c>
      <c r="BD41" s="224" t="str">
        <f>IFERROR(INDEX($AQ$12:$BF$87,31,$BD$2),"")</f>
        <v/>
      </c>
      <c r="BE41" s="192" t="str">
        <f t="shared" si="18"/>
        <v/>
      </c>
      <c r="BF41" s="200" t="str">
        <f t="array" ref="BF41">INDEX(BE:BE,SMALL(IF($BE$2:$BE$143&lt;&gt;"",ROW($2:$143),144),ROW(BE40)))&amp;""</f>
        <v/>
      </c>
      <c r="BG41" s="375">
        <f>IF(主要!C123="",0,主要!C123)</f>
        <v>0</v>
      </c>
      <c r="BH41" s="372" t="str">
        <f t="shared" si="2"/>
        <v/>
      </c>
      <c r="BI41" s="376" t="str">
        <f t="shared" si="5"/>
        <v/>
      </c>
      <c r="BJ41" s="372"/>
      <c r="BK41" s="372"/>
      <c r="BL41" s="372"/>
      <c r="BM41" s="372"/>
      <c r="BN41" s="372"/>
      <c r="BO41" s="372"/>
      <c r="BP41" s="372"/>
      <c r="BQ41" s="372"/>
      <c r="BR41" s="372"/>
      <c r="BS41" s="372"/>
      <c r="BT41" s="372"/>
      <c r="BU41" s="372"/>
      <c r="BV41" s="372"/>
      <c r="BW41" s="372"/>
      <c r="BX41" s="372"/>
      <c r="BY41" s="372"/>
      <c r="BZ41" s="372"/>
    </row>
    <row r="42" customHeight="1" spans="1:78">
      <c r="A42" s="375">
        <v>26</v>
      </c>
      <c r="B42" s="449" t="str">
        <f>IF(AND(综合数据!B5=TRUE,OR(BH48&lt;1,COUNTIF($BG$2:$BG$46,"图腾精魄-虎"))),"图腾精魄-虎","")</f>
        <v>图腾精魄-虎</v>
      </c>
      <c r="C42" s="449" t="s">
        <v>2286</v>
      </c>
      <c r="D42" s="226" t="s">
        <v>2287</v>
      </c>
      <c r="E42" s="226" t="s">
        <v>2288</v>
      </c>
      <c r="F42" s="226" t="s">
        <v>2289</v>
      </c>
      <c r="G42" s="226" t="s">
        <v>2290</v>
      </c>
      <c r="H42" s="451" t="s">
        <v>2238</v>
      </c>
      <c r="I42" s="297" t="s">
        <v>2291</v>
      </c>
      <c r="J42" s="450" t="str">
        <f>IF(OR(BI55&gt;0,COUNTIF($BG$2:$BG$46,"战技-缴械攻击")),"战技-缴械攻击","")</f>
        <v/>
      </c>
      <c r="K42" s="450" t="s">
        <v>2292</v>
      </c>
      <c r="L42" s="297" t="s">
        <v>2293</v>
      </c>
      <c r="M42" s="297" t="s">
        <v>2294</v>
      </c>
      <c r="N42" s="193" t="s">
        <v>2295</v>
      </c>
      <c r="O42" s="224" t="s">
        <v>2296</v>
      </c>
      <c r="P42" s="224" t="s">
        <v>2297</v>
      </c>
      <c r="Q42" s="224" t="s">
        <v>2298</v>
      </c>
      <c r="R42" s="298" t="s">
        <v>2299</v>
      </c>
      <c r="S42" s="298" t="s">
        <v>2300</v>
      </c>
      <c r="T42" s="193" t="s">
        <v>2301</v>
      </c>
      <c r="U42" s="224" t="s">
        <v>2302</v>
      </c>
      <c r="V42" s="373" t="s">
        <v>2303</v>
      </c>
      <c r="W42" s="224" t="s">
        <v>2304</v>
      </c>
      <c r="X42" s="298" t="s">
        <v>2305</v>
      </c>
      <c r="Y42" s="298" t="s">
        <v>2306</v>
      </c>
      <c r="Z42" s="435" t="str">
        <f>IF(AND(综合数据!B14=TRUE,OR(BI67&gt;0,COUNTIF($BG$2:$BG$46,"注法-法力恢复戒指"))),"注法-法力恢复戒指","")</f>
        <v/>
      </c>
      <c r="AA42" s="440" t="s">
        <v>2307</v>
      </c>
      <c r="AB42" s="222" t="str">
        <f>IF(AND(主要!$R$4&lt;&gt;"",主要!$Y$3-主要!$Y$6-主要!$Y$7&gt;=19),19,"")</f>
        <v/>
      </c>
      <c r="AC42" s="224" t="str">
        <f>IF(AND(主要!$R$6&lt;&gt;"",主要!$Y$3-主要!$Y$4-主要!$Y$7&gt;=19),19,"")</f>
        <v/>
      </c>
      <c r="AD42" s="223" t="str">
        <f>IF(AND(主要!$R$7&lt;&gt;"",主要!$Y$3-主要!$Y$4-主要!$Y$6&gt;=19),19,"")</f>
        <v/>
      </c>
      <c r="AF42" s="434"/>
      <c r="AL42" s="377" t="e">
        <f t="array" ref="AL42">INDEX(AK:AK,SMALL(IF($AK$18:$AK$35&lt;&gt;"",ROW($18:$35),36),ROW(AK2)))&amp;""</f>
        <v>#N/A</v>
      </c>
      <c r="AM42" s="373" t="s">
        <v>1602</v>
      </c>
      <c r="AN42" s="373"/>
      <c r="AO42" s="373">
        <v>29</v>
      </c>
      <c r="AP42" s="374">
        <f>_xlfn.IFS(AG5&gt;=14,33,AG5&gt;=10,32,AG5&gt;=6,31,AG5&gt;=2,30,1,0)</f>
        <v>0</v>
      </c>
      <c r="AQ42" s="307" t="e">
        <f t="shared" si="16"/>
        <v>#N/A</v>
      </c>
      <c r="AR42" s="224" t="e">
        <f t="shared" si="17"/>
        <v>#N/A</v>
      </c>
      <c r="AS42" s="224" t="e">
        <f t="shared" si="6"/>
        <v>#N/A</v>
      </c>
      <c r="AT42" s="374" t="e">
        <f t="shared" si="7"/>
        <v>#N/A</v>
      </c>
      <c r="AU42" s="307" t="e">
        <f t="shared" si="14"/>
        <v>#N/A</v>
      </c>
      <c r="AV42" s="224" t="e">
        <f t="shared" si="8"/>
        <v>#N/A</v>
      </c>
      <c r="AW42" s="224" t="e">
        <f t="shared" si="9"/>
        <v>#N/A</v>
      </c>
      <c r="AX42" s="374" t="e">
        <f t="shared" si="10"/>
        <v>#N/A</v>
      </c>
      <c r="AY42" s="307" t="e">
        <f t="shared" si="15"/>
        <v>#N/A</v>
      </c>
      <c r="AZ42" s="224" t="e">
        <f t="shared" si="11"/>
        <v>#N/A</v>
      </c>
      <c r="BA42" s="224" t="e">
        <f t="shared" si="12"/>
        <v>#N/A</v>
      </c>
      <c r="BB42" s="374" t="e">
        <f t="shared" si="13"/>
        <v>#N/A</v>
      </c>
      <c r="BC42" s="222" t="str">
        <f>IFERROR(INDEX($AQ$12:$BF$87,32,$BC$2),"")</f>
        <v/>
      </c>
      <c r="BD42" s="224" t="str">
        <f>IFERROR(INDEX($AQ$12:$BF$87,32,$BD$2),"")</f>
        <v/>
      </c>
      <c r="BE42" s="192" t="str">
        <f t="shared" si="18"/>
        <v/>
      </c>
      <c r="BF42" s="200" t="str">
        <f t="array" ref="BF42">INDEX(BE:BE,SMALL(IF($BE$2:$BE$143&lt;&gt;"",ROW($2:$143),144),ROW(BE41)))&amp;""</f>
        <v/>
      </c>
      <c r="BG42" s="375">
        <f>IF(主要!C124="",0,主要!C124)</f>
        <v>0</v>
      </c>
      <c r="BH42" s="372" t="str">
        <f t="shared" si="2"/>
        <v/>
      </c>
      <c r="BI42" s="376" t="str">
        <f t="shared" si="5"/>
        <v/>
      </c>
      <c r="BJ42" s="372"/>
      <c r="BK42" s="372"/>
      <c r="BL42" s="372"/>
      <c r="BM42" s="372"/>
      <c r="BN42" s="372"/>
      <c r="BO42" s="372"/>
      <c r="BP42" s="372"/>
      <c r="BQ42" s="372"/>
      <c r="BR42" s="372"/>
      <c r="BS42" s="372"/>
      <c r="BT42" s="372"/>
      <c r="BU42" s="372"/>
      <c r="BV42" s="372"/>
      <c r="BW42" s="372"/>
      <c r="BX42" s="372"/>
      <c r="BY42" s="372"/>
      <c r="BZ42" s="372"/>
    </row>
    <row r="43" customHeight="1" spans="1:78">
      <c r="A43" s="375">
        <v>27</v>
      </c>
      <c r="B43" s="226" t="s">
        <v>2308</v>
      </c>
      <c r="C43" s="226" t="s">
        <v>2309</v>
      </c>
      <c r="D43" s="298" t="s">
        <v>2310</v>
      </c>
      <c r="E43" s="298" t="s">
        <v>2311</v>
      </c>
      <c r="F43" s="226" t="str">
        <f>IF(OR(BH55&lt;1,COUNTIF($BG$2:$BG$46,"神圣打击")),"神圣打击","")</f>
        <v>神圣打击</v>
      </c>
      <c r="G43" s="226" t="s">
        <v>2312</v>
      </c>
      <c r="H43" s="451" t="s">
        <v>2313</v>
      </c>
      <c r="I43" s="297" t="s">
        <v>2314</v>
      </c>
      <c r="J43" s="450" t="str">
        <f>IF(OR(BI55&gt;0,COUNTIF($BG$2:$BG$46,"战技-扰乱打击")),"战技-扰乱打击","")</f>
        <v/>
      </c>
      <c r="K43" s="450" t="s">
        <v>2315</v>
      </c>
      <c r="L43" s="297" t="s">
        <v>2316</v>
      </c>
      <c r="M43" s="297" t="s">
        <v>2317</v>
      </c>
      <c r="N43" s="297" t="s">
        <v>2318</v>
      </c>
      <c r="O43" s="297" t="s">
        <v>2319</v>
      </c>
      <c r="P43" s="224" t="s">
        <v>2320</v>
      </c>
      <c r="Q43" s="224" t="s">
        <v>2321</v>
      </c>
      <c r="R43" s="298" t="s">
        <v>2322</v>
      </c>
      <c r="S43" s="298" t="s">
        <v>2323</v>
      </c>
      <c r="T43" s="226" t="s">
        <v>2324</v>
      </c>
      <c r="U43" s="226" t="s">
        <v>2325</v>
      </c>
      <c r="V43" s="432" t="str">
        <f>IF(OR(BH66&lt;1,COUNTIF($BG$2:$BG$46,"魔契恩泽-链之魔契")),"魔契恩泽-链之魔契","")</f>
        <v>魔契恩泽-链之魔契</v>
      </c>
      <c r="W43" s="432" t="s">
        <v>2326</v>
      </c>
      <c r="X43" s="359" t="s">
        <v>2327</v>
      </c>
      <c r="Y43" s="359" t="s">
        <v>2328</v>
      </c>
      <c r="Z43" s="224" t="s">
        <v>2329</v>
      </c>
      <c r="AA43" s="223" t="s">
        <v>2330</v>
      </c>
      <c r="AB43" s="230" t="str">
        <f>IF(AND(主要!$R$4&lt;&gt;"",主要!$Y$3-主要!$Y$6-主要!$Y$7&gt;=20),20,"")</f>
        <v/>
      </c>
      <c r="AC43" s="234" t="str">
        <f>IF(AND(主要!$R$6&lt;&gt;"",主要!$Y$3-主要!$Y$4-主要!$Y$7&gt;=20),20,"")</f>
        <v/>
      </c>
      <c r="AD43" s="249" t="str">
        <f>IF(AND(主要!$R$7&lt;&gt;"",主要!$Y$3-主要!$Y$4-主要!$Y$6&gt;=20),20,"")</f>
        <v/>
      </c>
      <c r="AF43" s="224"/>
      <c r="AL43" s="377" t="e">
        <f t="array" ref="AL43">INDEX(AK:AK,SMALL(IF($AK$18:$AK$35&lt;&gt;"",ROW($18:$35),36),ROW(AK3)))&amp;""</f>
        <v>#N/A</v>
      </c>
      <c r="AM43" s="245" t="s">
        <v>2331</v>
      </c>
      <c r="AN43" s="245"/>
      <c r="AO43" s="245">
        <v>34</v>
      </c>
      <c r="AP43" s="431">
        <f>_xlfn.IFS(AG5&gt;=14,37,AG5&gt;=10,36,AG5&gt;=6,35,AG5&gt;=2,34,1,0)</f>
        <v>0</v>
      </c>
      <c r="AQ43" s="307" t="e">
        <f t="shared" si="16"/>
        <v>#N/A</v>
      </c>
      <c r="AR43" s="224" t="e">
        <f t="shared" si="17"/>
        <v>#N/A</v>
      </c>
      <c r="AS43" s="224" t="e">
        <f t="shared" si="6"/>
        <v>#N/A</v>
      </c>
      <c r="AT43" s="374" t="e">
        <f t="shared" si="7"/>
        <v>#N/A</v>
      </c>
      <c r="AU43" s="307" t="e">
        <f t="shared" si="14"/>
        <v>#N/A</v>
      </c>
      <c r="AV43" s="224" t="e">
        <f t="shared" si="8"/>
        <v>#N/A</v>
      </c>
      <c r="AW43" s="224" t="e">
        <f t="shared" si="9"/>
        <v>#N/A</v>
      </c>
      <c r="AX43" s="374" t="e">
        <f t="shared" si="10"/>
        <v>#N/A</v>
      </c>
      <c r="AY43" s="307" t="e">
        <f t="shared" si="15"/>
        <v>#N/A</v>
      </c>
      <c r="AZ43" s="224" t="e">
        <f t="shared" si="11"/>
        <v>#N/A</v>
      </c>
      <c r="BA43" s="224" t="e">
        <f t="shared" si="12"/>
        <v>#N/A</v>
      </c>
      <c r="BB43" s="374" t="e">
        <f t="shared" si="13"/>
        <v>#N/A</v>
      </c>
      <c r="BC43" s="222" t="str">
        <f>IFERROR(INDEX($AQ$12:$BF$87,33,$BC$2),"")</f>
        <v/>
      </c>
      <c r="BD43" s="224" t="str">
        <f>IFERROR(INDEX($AQ$12:$BF$87,33,$BD$2),"")</f>
        <v/>
      </c>
      <c r="BE43" s="192" t="str">
        <f t="shared" si="18"/>
        <v/>
      </c>
      <c r="BF43" s="200" t="str">
        <f t="array" ref="BF43">INDEX(BE:BE,SMALL(IF($BE$2:$BE$143&lt;&gt;"",ROW($2:$143),144),ROW(BE42)))&amp;""</f>
        <v/>
      </c>
      <c r="BG43" s="375">
        <f>IF(主要!C125="",0,主要!C125)</f>
        <v>0</v>
      </c>
      <c r="BH43" s="372" t="str">
        <f t="shared" si="2"/>
        <v/>
      </c>
      <c r="BI43" s="376" t="str">
        <f t="shared" si="5"/>
        <v/>
      </c>
      <c r="BJ43" s="372"/>
      <c r="BK43" s="372"/>
      <c r="BL43" s="372"/>
      <c r="BM43" s="372"/>
      <c r="BN43" s="372"/>
      <c r="BO43" s="372"/>
      <c r="BP43" s="372"/>
      <c r="BQ43" s="372"/>
      <c r="BR43" s="372"/>
      <c r="BS43" s="372"/>
      <c r="BT43" s="372"/>
      <c r="BU43" s="372"/>
      <c r="BV43" s="372"/>
      <c r="BW43" s="372"/>
      <c r="BX43" s="372"/>
      <c r="BY43" s="372"/>
      <c r="BZ43" s="372"/>
    </row>
    <row r="44" customHeight="1" spans="1:78">
      <c r="A44" s="375">
        <v>28</v>
      </c>
      <c r="B44" s="449" t="str">
        <f>IF(OR(BH49&lt;1,COUNTIF($BG$2:$BG$46,"兽之形-熊")),"兽之形-熊","")</f>
        <v>兽之形-熊</v>
      </c>
      <c r="C44" s="449" t="s">
        <v>2332</v>
      </c>
      <c r="D44" s="298" t="s">
        <v>2333</v>
      </c>
      <c r="E44" s="298" t="s">
        <v>2334</v>
      </c>
      <c r="F44" s="226" t="s">
        <v>2335</v>
      </c>
      <c r="G44" s="226" t="s">
        <v>2336</v>
      </c>
      <c r="H44" s="451" t="s">
        <v>2337</v>
      </c>
      <c r="I44" s="297" t="s">
        <v>2338</v>
      </c>
      <c r="J44" s="450" t="str">
        <f>IF(OR(BI55&gt;0,COUNTIF($BG$2:$BG$46,"战技-灵巧步法")),"战技-灵巧步法","")</f>
        <v/>
      </c>
      <c r="K44" s="450" t="s">
        <v>2339</v>
      </c>
      <c r="L44" s="297" t="s">
        <v>2340</v>
      </c>
      <c r="M44" s="297" t="s">
        <v>2341</v>
      </c>
      <c r="N44" s="446" t="s">
        <v>2342</v>
      </c>
      <c r="O44" s="446" t="s">
        <v>2343</v>
      </c>
      <c r="P44" s="224" t="s">
        <v>2344</v>
      </c>
      <c r="Q44" s="224" t="s">
        <v>2345</v>
      </c>
      <c r="R44" s="298" t="s">
        <v>2346</v>
      </c>
      <c r="S44" s="298" t="s">
        <v>2347</v>
      </c>
      <c r="T44" s="226" t="s">
        <v>2348</v>
      </c>
      <c r="U44" s="226" t="s">
        <v>2349</v>
      </c>
      <c r="V44" s="432" t="str">
        <f>IF(OR(BH66&lt;1,COUNTIF($BG$2:$BG$46,"魔契恩泽-刃之魔契")),"魔契恩泽-刃之魔契","")</f>
        <v>魔契恩泽-刃之魔契</v>
      </c>
      <c r="W44" s="432" t="s">
        <v>2350</v>
      </c>
      <c r="X44" s="359" t="s">
        <v>2351</v>
      </c>
      <c r="Y44" s="359" t="s">
        <v>2352</v>
      </c>
      <c r="Z44" s="224" t="s">
        <v>2353</v>
      </c>
      <c r="AA44" s="223" t="s">
        <v>2354</v>
      </c>
      <c r="AB44" s="224"/>
      <c r="AF44" s="224"/>
      <c r="AL44" s="377" t="e">
        <f t="array" ref="AL44">INDEX(AK:AK,SMALL(IF($AK$18:$AK$35&lt;&gt;"",ROW($18:$35),36),ROW(AK4)))&amp;""</f>
        <v>#N/A</v>
      </c>
      <c r="AM44" s="245" t="s">
        <v>2355</v>
      </c>
      <c r="AN44" s="245"/>
      <c r="AO44" s="245">
        <v>38</v>
      </c>
      <c r="AP44" s="431">
        <f>_xlfn.IFS(AG5&gt;=14,42,AG5&gt;=10,41,AG5&gt;=6,40,AG5&gt;=2,39,1,0)</f>
        <v>0</v>
      </c>
      <c r="AQ44" s="307" t="e">
        <f t="shared" si="16"/>
        <v>#N/A</v>
      </c>
      <c r="AR44" s="224" t="e">
        <f t="shared" ref="AR44:AR75" si="19">INDEX($B$17:$AA$154,AQ44,$AR$4)</f>
        <v>#N/A</v>
      </c>
      <c r="AS44" s="224" t="e">
        <f t="shared" ref="AS44:AS75" si="20">INDEX($B$17:$AA$154,AQ44,$AR$3)</f>
        <v>#N/A</v>
      </c>
      <c r="AT44" s="374" t="e">
        <f t="shared" ref="AT44:AT75" si="21">IF(AQ43+1&gt;$AT$3,AT43+1,0)</f>
        <v>#N/A</v>
      </c>
      <c r="AU44" s="307" t="e">
        <f t="shared" si="14"/>
        <v>#N/A</v>
      </c>
      <c r="AV44" s="224" t="e">
        <f t="shared" ref="AV44:AV75" si="22">INDEX($B$17:$AA$154,AU44,$AV$4)</f>
        <v>#N/A</v>
      </c>
      <c r="AW44" s="224" t="e">
        <f t="shared" ref="AW44:AW75" si="23">INDEX($B$17:$AA$154,AU44,$AV$3)</f>
        <v>#N/A</v>
      </c>
      <c r="AX44" s="374" t="e">
        <f t="shared" ref="AX44:AX75" si="24">IF($AU43+1&gt;$AX$3,$AX43+1,0)</f>
        <v>#N/A</v>
      </c>
      <c r="AY44" s="307" t="e">
        <f t="shared" si="15"/>
        <v>#N/A</v>
      </c>
      <c r="AZ44" s="224" t="e">
        <f t="shared" ref="AZ44:AZ75" si="25">INDEX($B$17:$AA$154,AY44,$AZ$4)</f>
        <v>#N/A</v>
      </c>
      <c r="BA44" s="224" t="e">
        <f t="shared" ref="BA44:BA75" si="26">INDEX($B$17:$AA$154,AY44,$AZ$3)</f>
        <v>#N/A</v>
      </c>
      <c r="BB44" s="374" t="e">
        <f t="shared" ref="BB44:BB75" si="27">IF($AY43+1&gt;$BB$3,$BB43+1,0)</f>
        <v>#N/A</v>
      </c>
      <c r="BC44" s="222" t="str">
        <f>IFERROR(INDEX($AQ$12:$BF$87,34,$BC$2),"")</f>
        <v/>
      </c>
      <c r="BD44" s="224" t="str">
        <f>IFERROR(INDEX($AQ$12:$BF$87,34,$BD$2),"")</f>
        <v/>
      </c>
      <c r="BE44" s="192" t="str">
        <f t="shared" si="18"/>
        <v/>
      </c>
      <c r="BF44" s="200" t="str">
        <f t="array" ref="BF44">INDEX(BE:BE,SMALL(IF($BE$2:$BE$143&lt;&gt;"",ROW($2:$143),144),ROW(BE43)))&amp;""</f>
        <v/>
      </c>
      <c r="BG44" s="375">
        <f>IF(主要!C126="",0,主要!C126)</f>
        <v>0</v>
      </c>
      <c r="BH44" s="372" t="str">
        <f t="shared" si="2"/>
        <v/>
      </c>
      <c r="BI44" s="376" t="str">
        <f t="shared" si="5"/>
        <v/>
      </c>
      <c r="BJ44" s="372"/>
      <c r="BK44" s="372"/>
      <c r="BL44" s="372"/>
      <c r="BM44" s="372"/>
      <c r="BN44" s="372"/>
      <c r="BO44" s="372"/>
      <c r="BP44" s="372"/>
      <c r="BQ44" s="372"/>
      <c r="BR44" s="372"/>
      <c r="BS44" s="372"/>
      <c r="BT44" s="372"/>
      <c r="BU44" s="372"/>
      <c r="BV44" s="372"/>
      <c r="BW44" s="372"/>
      <c r="BX44" s="372"/>
      <c r="BY44" s="372"/>
      <c r="BZ44" s="372"/>
    </row>
    <row r="45" customHeight="1" spans="1:78">
      <c r="A45" s="375">
        <v>29</v>
      </c>
      <c r="B45" s="449" t="str">
        <f>IF(OR(BH49&lt;1,COUNTIF($BG$2:$BG$46,"兽之形-雕")),"兽之形-雕","")</f>
        <v>兽之形-雕</v>
      </c>
      <c r="C45" s="449" t="s">
        <v>2356</v>
      </c>
      <c r="D45" s="298" t="s">
        <v>2357</v>
      </c>
      <c r="E45" s="298" t="s">
        <v>2358</v>
      </c>
      <c r="F45" s="298" t="s">
        <v>2359</v>
      </c>
      <c r="G45" s="298" t="s">
        <v>2360</v>
      </c>
      <c r="H45" s="226" t="s">
        <v>2361</v>
      </c>
      <c r="I45" s="226" t="s">
        <v>2362</v>
      </c>
      <c r="J45" s="450" t="str">
        <f>IF(OR(BI55&gt;0,COUNTIF($BG$2:$BG$46,"战技-诡诈攻击")),"战技-诡诈攻击","")</f>
        <v/>
      </c>
      <c r="K45" s="450" t="s">
        <v>2363</v>
      </c>
      <c r="L45" s="297" t="s">
        <v>2364</v>
      </c>
      <c r="M45" s="297" t="s">
        <v>2365</v>
      </c>
      <c r="N45" s="446" t="s">
        <v>2366</v>
      </c>
      <c r="O45" s="446" t="s">
        <v>2367</v>
      </c>
      <c r="P45" s="297" t="s">
        <v>2368</v>
      </c>
      <c r="Q45" s="297" t="s">
        <v>2369</v>
      </c>
      <c r="R45" s="298" t="s">
        <v>2370</v>
      </c>
      <c r="S45" s="298" t="s">
        <v>2371</v>
      </c>
      <c r="T45" s="226" t="s">
        <v>2372</v>
      </c>
      <c r="U45" s="226" t="s">
        <v>2373</v>
      </c>
      <c r="V45" s="432" t="str">
        <f>IF(OR(BH66&lt;1,COUNTIF($BG$2:$BG$46,"魔契恩泽-书之魔契")),"魔契恩泽-书之魔契","")</f>
        <v>魔契恩泽-书之魔契</v>
      </c>
      <c r="W45" s="432" t="s">
        <v>2374</v>
      </c>
      <c r="X45" s="359" t="s">
        <v>2375</v>
      </c>
      <c r="Y45" s="359" t="s">
        <v>2376</v>
      </c>
      <c r="Z45" s="435" t="str">
        <f>IF(AND(综合数据!B14=TRUE,OR(BI67&gt;0,COUNTIF($BG$2:$BG$46,"注法-警觉之盔"))),"注法-警觉之盔","")</f>
        <v/>
      </c>
      <c r="AA45" s="440" t="s">
        <v>2377</v>
      </c>
      <c r="AB45" s="434"/>
      <c r="AF45" s="434"/>
      <c r="AL45" s="377" t="e">
        <f t="array" ref="AL45">INDEX(AK:AK,SMALL(IF($AK$18:$AK$35&lt;&gt;"",ROW($18:$35),36),ROW(AK5)))&amp;""</f>
        <v>#N/A</v>
      </c>
      <c r="AM45" s="418" t="s">
        <v>2378</v>
      </c>
      <c r="AN45" s="418"/>
      <c r="AO45" s="418">
        <v>43</v>
      </c>
      <c r="AP45" s="452">
        <f>_xlfn.IFS(AG5&gt;=14,48,AG5&gt;=10,47,AG5&gt;=6,46,AG5&gt;=2,45,1,0)</f>
        <v>0</v>
      </c>
      <c r="AQ45" s="307" t="e">
        <f t="shared" si="16"/>
        <v>#N/A</v>
      </c>
      <c r="AR45" s="224" t="e">
        <f t="shared" si="19"/>
        <v>#N/A</v>
      </c>
      <c r="AS45" s="224" t="e">
        <f t="shared" si="20"/>
        <v>#N/A</v>
      </c>
      <c r="AT45" s="374" t="e">
        <f t="shared" si="21"/>
        <v>#N/A</v>
      </c>
      <c r="AU45" s="307" t="e">
        <f t="shared" si="14"/>
        <v>#N/A</v>
      </c>
      <c r="AV45" s="224" t="e">
        <f t="shared" si="22"/>
        <v>#N/A</v>
      </c>
      <c r="AW45" s="224" t="e">
        <f t="shared" si="23"/>
        <v>#N/A</v>
      </c>
      <c r="AX45" s="374" t="e">
        <f t="shared" si="24"/>
        <v>#N/A</v>
      </c>
      <c r="AY45" s="307" t="e">
        <f t="shared" si="15"/>
        <v>#N/A</v>
      </c>
      <c r="AZ45" s="224" t="e">
        <f t="shared" si="25"/>
        <v>#N/A</v>
      </c>
      <c r="BA45" s="224" t="e">
        <f t="shared" si="26"/>
        <v>#N/A</v>
      </c>
      <c r="BB45" s="374" t="e">
        <f t="shared" si="27"/>
        <v>#N/A</v>
      </c>
      <c r="BC45" s="222" t="str">
        <f>IFERROR(INDEX($AQ$12:$BF$87,35,$BC$2),"")</f>
        <v/>
      </c>
      <c r="BD45" s="224" t="str">
        <f>IFERROR(INDEX($AQ$12:$BF$87,35,$BD$2),"")</f>
        <v/>
      </c>
      <c r="BE45" s="192" t="str">
        <f t="shared" si="18"/>
        <v/>
      </c>
      <c r="BF45" s="200" t="str">
        <f t="array" ref="BF45">INDEX(BE:BE,SMALL(IF($BE$2:$BE$143&lt;&gt;"",ROW($2:$143),144),ROW(BE44)))&amp;""</f>
        <v/>
      </c>
      <c r="BG45" s="375">
        <f>IF(主要!C127="",0,主要!C127)</f>
        <v>0</v>
      </c>
      <c r="BH45" s="372" t="str">
        <f t="shared" si="2"/>
        <v/>
      </c>
      <c r="BI45" s="376" t="str">
        <f t="shared" si="5"/>
        <v/>
      </c>
      <c r="BJ45" s="372"/>
      <c r="BK45" s="372"/>
      <c r="BL45" s="372"/>
      <c r="BM45" s="372"/>
      <c r="BN45" s="372"/>
      <c r="BO45" s="372"/>
      <c r="BP45" s="372"/>
      <c r="BQ45" s="372"/>
      <c r="BR45" s="372"/>
      <c r="BS45" s="372"/>
      <c r="BT45" s="372"/>
      <c r="BU45" s="372"/>
      <c r="BV45" s="372"/>
      <c r="BW45" s="372"/>
      <c r="BX45" s="372"/>
      <c r="BY45" s="372"/>
      <c r="BZ45" s="372"/>
    </row>
    <row r="46" customHeight="1" spans="1:78">
      <c r="A46" s="375">
        <v>30</v>
      </c>
      <c r="B46" s="449" t="str">
        <f>IF(OR(BH49&lt;1,COUNTIF($BG$2:$BG$46,"兽之形-狼")),"兽之形-狼","")</f>
        <v>兽之形-狼</v>
      </c>
      <c r="C46" s="449" t="s">
        <v>2379</v>
      </c>
      <c r="D46" s="298" t="s">
        <v>2380</v>
      </c>
      <c r="E46" s="298" t="s">
        <v>2381</v>
      </c>
      <c r="F46" s="298" t="s">
        <v>2382</v>
      </c>
      <c r="G46" s="298" t="s">
        <v>2383</v>
      </c>
      <c r="H46" s="226" t="s">
        <v>2384</v>
      </c>
      <c r="I46" s="226" t="s">
        <v>2385</v>
      </c>
      <c r="J46" s="450" t="str">
        <f>IF(OR(BI55&gt;0,COUNTIF($BG$2:$BG$46,"战技-挑衅攻击")),"战技-挑衅攻击","")</f>
        <v/>
      </c>
      <c r="K46" s="450" t="s">
        <v>2386</v>
      </c>
      <c r="L46" s="226" t="s">
        <v>2387</v>
      </c>
      <c r="M46" s="226" t="s">
        <v>2388</v>
      </c>
      <c r="N46" s="297" t="s">
        <v>2389</v>
      </c>
      <c r="O46" s="297" t="s">
        <v>2390</v>
      </c>
      <c r="P46" s="447" t="str">
        <f>IF(OR(BH61&lt;1,COUNTIF($BG$2:$BG$46,"猎物-巨像屠夫")),"猎物-巨像屠夫","")</f>
        <v>猎物-巨像屠夫</v>
      </c>
      <c r="Q46" s="447" t="s">
        <v>2391</v>
      </c>
      <c r="R46" s="298" t="s">
        <v>2392</v>
      </c>
      <c r="S46" s="298" t="s">
        <v>2393</v>
      </c>
      <c r="T46" s="226" t="s">
        <v>2394</v>
      </c>
      <c r="U46" s="226" t="s">
        <v>2395</v>
      </c>
      <c r="V46" s="435" t="str">
        <f>IF(AND(综合数据!B14=TRUE,OR(BH66&lt;1,COUNTIF($BG$2:$BG$46,"魔契恩泽-符之魔契"))),"魔契恩泽-符之魔契","")</f>
        <v>魔契恩泽-符之魔契</v>
      </c>
      <c r="W46" s="432" t="s">
        <v>2396</v>
      </c>
      <c r="X46" s="359" t="s">
        <v>2397</v>
      </c>
      <c r="Y46" s="359" t="s">
        <v>2398</v>
      </c>
      <c r="Z46" s="224" t="s">
        <v>2399</v>
      </c>
      <c r="AA46" s="223" t="s">
        <v>2400</v>
      </c>
      <c r="AB46" s="224"/>
      <c r="AF46" s="224"/>
      <c r="AL46" s="377" t="e">
        <f t="array" ref="AL46">INDEX(AK:AK,SMALL(IF($AK$18:$AK$35&lt;&gt;"",ROW($18:$35),36),ROW(AK6)))&amp;""</f>
        <v>#N/A</v>
      </c>
      <c r="AM46" s="268" t="s">
        <v>1603</v>
      </c>
      <c r="AN46" s="268"/>
      <c r="AO46" s="268">
        <v>49</v>
      </c>
      <c r="AP46" s="437">
        <f>_xlfn.IFS(AG5&gt;=14,53,AG5&gt;=10,52,AG5&gt;=6,51,AG5&gt;=2,50,1,0)</f>
        <v>0</v>
      </c>
      <c r="AQ46" s="307" t="e">
        <f t="shared" si="16"/>
        <v>#N/A</v>
      </c>
      <c r="AR46" s="224" t="e">
        <f t="shared" si="19"/>
        <v>#N/A</v>
      </c>
      <c r="AS46" s="224" t="e">
        <f t="shared" si="20"/>
        <v>#N/A</v>
      </c>
      <c r="AT46" s="374" t="e">
        <f t="shared" si="21"/>
        <v>#N/A</v>
      </c>
      <c r="AU46" s="307" t="e">
        <f t="shared" si="14"/>
        <v>#N/A</v>
      </c>
      <c r="AV46" s="224" t="e">
        <f t="shared" si="22"/>
        <v>#N/A</v>
      </c>
      <c r="AW46" s="224" t="e">
        <f t="shared" si="23"/>
        <v>#N/A</v>
      </c>
      <c r="AX46" s="374" t="e">
        <f t="shared" si="24"/>
        <v>#N/A</v>
      </c>
      <c r="AY46" s="307" t="e">
        <f t="shared" si="15"/>
        <v>#N/A</v>
      </c>
      <c r="AZ46" s="224" t="e">
        <f t="shared" si="25"/>
        <v>#N/A</v>
      </c>
      <c r="BA46" s="224" t="e">
        <f t="shared" si="26"/>
        <v>#N/A</v>
      </c>
      <c r="BB46" s="374" t="e">
        <f t="shared" si="27"/>
        <v>#N/A</v>
      </c>
      <c r="BC46" s="222" t="str">
        <f>IFERROR(INDEX($AQ$12:$BF$87,36,$BC$2),"")</f>
        <v/>
      </c>
      <c r="BD46" s="224" t="str">
        <f>IFERROR(INDEX($AQ$12:$BF$87,36,$BD$2),"")</f>
        <v/>
      </c>
      <c r="BE46" s="192" t="str">
        <f t="shared" si="18"/>
        <v/>
      </c>
      <c r="BF46" s="200" t="str">
        <f t="array" ref="BF46">INDEX(BE:BE,SMALL(IF($BE$2:$BE$143&lt;&gt;"",ROW($2:$143),144),ROW(BE45)))&amp;""</f>
        <v/>
      </c>
      <c r="BG46" s="375">
        <f>IF(主要!C128="",0,主要!C128)</f>
        <v>0</v>
      </c>
      <c r="BH46" s="372" t="str">
        <f t="shared" si="2"/>
        <v/>
      </c>
      <c r="BI46" s="376" t="str">
        <f t="shared" si="5"/>
        <v/>
      </c>
      <c r="BJ46" s="372"/>
      <c r="BK46" s="372"/>
      <c r="BL46" s="372"/>
      <c r="BM46" s="372"/>
      <c r="BN46" s="372"/>
      <c r="BO46" s="372"/>
      <c r="BP46" s="372"/>
      <c r="BQ46" s="372"/>
      <c r="BR46" s="372"/>
      <c r="BS46" s="372"/>
      <c r="BT46" s="372"/>
      <c r="BU46" s="372"/>
      <c r="BV46" s="372"/>
      <c r="BW46" s="372"/>
      <c r="BX46" s="372"/>
      <c r="BY46" s="372"/>
      <c r="BZ46" s="372"/>
    </row>
    <row r="47" customHeight="1" spans="1:78">
      <c r="A47" s="375">
        <v>31</v>
      </c>
      <c r="B47" s="449" t="str">
        <f>IF(AND(综合数据!B5=TRUE,OR(BH49&lt;1,COUNTIF($BG$2:$BG$46,"兽之形-鹿"))),"兽之形-鹿","")</f>
        <v>兽之形-鹿</v>
      </c>
      <c r="C47" s="449" t="s">
        <v>2401</v>
      </c>
      <c r="D47" s="359" t="s">
        <v>2146</v>
      </c>
      <c r="E47" s="359" t="s">
        <v>2402</v>
      </c>
      <c r="F47" s="298" t="s">
        <v>2403</v>
      </c>
      <c r="G47" s="298" t="s">
        <v>2404</v>
      </c>
      <c r="H47" s="226" t="s">
        <v>2405</v>
      </c>
      <c r="I47" s="226" t="s">
        <v>2406</v>
      </c>
      <c r="J47" s="450" t="str">
        <f>IF(OR(BI55&gt;0,COUNTIF($BG$2:$BG$46,"战技-突刺攻击")),"战技-突刺攻击","")</f>
        <v/>
      </c>
      <c r="K47" s="450" t="s">
        <v>2407</v>
      </c>
      <c r="L47" s="226" t="s">
        <v>2408</v>
      </c>
      <c r="M47" s="226" t="s">
        <v>2409</v>
      </c>
      <c r="N47" s="297" t="s">
        <v>2410</v>
      </c>
      <c r="O47" s="297" t="s">
        <v>2411</v>
      </c>
      <c r="P47" s="447" t="str">
        <f>IF(OR(BH61&lt;1,COUNTIF($BG$2:$BG$46,"猎物-巨人杀手")),"猎物-巨人杀手","")</f>
        <v>猎物-巨人杀手</v>
      </c>
      <c r="Q47" s="447" t="s">
        <v>2412</v>
      </c>
      <c r="R47" s="298" t="s">
        <v>2413</v>
      </c>
      <c r="S47" s="298" t="s">
        <v>2414</v>
      </c>
      <c r="T47" s="226" t="s">
        <v>2415</v>
      </c>
      <c r="U47" s="226" t="s">
        <v>2416</v>
      </c>
      <c r="V47" s="434" t="str">
        <f>IF(AND(COUNTIF(BG2:BG44,"*书之魔契"),OR(BI65&gt;0,COUNTIF($BG$2:$BG$46,"魔能祈唤-远古奥秘之书"))),"魔能祈唤-远古奥秘之书","")</f>
        <v/>
      </c>
      <c r="W47" s="439" t="s">
        <v>2417</v>
      </c>
      <c r="X47" s="359" t="s">
        <v>2418</v>
      </c>
      <c r="Y47" s="359" t="s">
        <v>2419</v>
      </c>
      <c r="Z47" s="224" t="s">
        <v>2420</v>
      </c>
      <c r="AA47" s="223" t="s">
        <v>2421</v>
      </c>
      <c r="AB47" s="224"/>
      <c r="AF47" s="224"/>
      <c r="AL47" s="377" t="e">
        <f t="array" ref="AL47">INDEX(AK:AK,SMALL(IF($AK$18:$AK$35&lt;&gt;"",ROW($18:$35),36),ROW(AK7)))&amp;""</f>
        <v>#N/A</v>
      </c>
      <c r="AM47" s="268" t="s">
        <v>1604</v>
      </c>
      <c r="AN47" s="268"/>
      <c r="AO47" s="268">
        <v>54</v>
      </c>
      <c r="AP47" s="437">
        <f>_xlfn.IFS(AG5&gt;=14,58,AG5&gt;=10,57,AG5&gt;=6,56,AG5&gt;=2,55,1,0)</f>
        <v>0</v>
      </c>
      <c r="AQ47" s="307" t="e">
        <f t="shared" si="16"/>
        <v>#N/A</v>
      </c>
      <c r="AR47" s="224" t="e">
        <f t="shared" si="19"/>
        <v>#N/A</v>
      </c>
      <c r="AS47" s="224" t="e">
        <f t="shared" si="20"/>
        <v>#N/A</v>
      </c>
      <c r="AT47" s="374" t="e">
        <f t="shared" si="21"/>
        <v>#N/A</v>
      </c>
      <c r="AU47" s="307" t="e">
        <f t="shared" si="14"/>
        <v>#N/A</v>
      </c>
      <c r="AV47" s="224" t="e">
        <f t="shared" si="22"/>
        <v>#N/A</v>
      </c>
      <c r="AW47" s="224" t="e">
        <f t="shared" si="23"/>
        <v>#N/A</v>
      </c>
      <c r="AX47" s="374" t="e">
        <f t="shared" si="24"/>
        <v>#N/A</v>
      </c>
      <c r="AY47" s="307" t="e">
        <f t="shared" si="15"/>
        <v>#N/A</v>
      </c>
      <c r="AZ47" s="224" t="e">
        <f t="shared" si="25"/>
        <v>#N/A</v>
      </c>
      <c r="BA47" s="224" t="e">
        <f t="shared" si="26"/>
        <v>#N/A</v>
      </c>
      <c r="BB47" s="374" t="e">
        <f t="shared" si="27"/>
        <v>#N/A</v>
      </c>
      <c r="BC47" s="222" t="str">
        <f>IFERROR(INDEX($AQ$12:$BF$87,37,$BC$2),"")</f>
        <v/>
      </c>
      <c r="BD47" s="224" t="str">
        <f>IFERROR(INDEX($AQ$12:$BF$87,37,$BD$2),"")</f>
        <v/>
      </c>
      <c r="BE47" s="192" t="str">
        <f t="shared" si="18"/>
        <v/>
      </c>
      <c r="BF47" s="200" t="str">
        <f t="array" ref="BF47">INDEX(BE:BE,SMALL(IF($BE$2:$BE$143&lt;&gt;"",ROW($2:$143),144),ROW(BE46)))&amp;""</f>
        <v/>
      </c>
      <c r="BG47" s="307" t="s">
        <v>770</v>
      </c>
      <c r="BH47" s="372">
        <f>COUNTIF(BH48:BH68,"&gt;1")</f>
        <v>0</v>
      </c>
      <c r="BI47" s="374" t="s">
        <v>765</v>
      </c>
      <c r="BJ47" s="372"/>
      <c r="BK47" s="372"/>
      <c r="BL47" s="372"/>
      <c r="BM47" s="372"/>
      <c r="BN47" s="372"/>
      <c r="BO47" s="372"/>
      <c r="BP47" s="372"/>
      <c r="BQ47" s="372"/>
      <c r="BR47" s="372"/>
      <c r="BS47" s="372"/>
      <c r="BT47" s="372"/>
      <c r="BU47" s="372"/>
      <c r="BV47" s="372"/>
      <c r="BW47" s="372"/>
      <c r="BX47" s="372"/>
      <c r="BY47" s="372"/>
      <c r="BZ47" s="372"/>
    </row>
    <row r="48" customHeight="1" spans="1:78">
      <c r="A48" s="375">
        <v>32</v>
      </c>
      <c r="B48" s="449" t="str">
        <f>IF(AND(综合数据!B5=TRUE,OR(BH49&lt;1,COUNTIF($BG$2:$BG$46,"兽之形-虎"))),"兽之形-虎","")</f>
        <v>兽之形-虎</v>
      </c>
      <c r="C48" s="449" t="s">
        <v>2422</v>
      </c>
      <c r="D48" s="359" t="s">
        <v>2423</v>
      </c>
      <c r="E48" s="359" t="s">
        <v>2424</v>
      </c>
      <c r="F48" s="453" t="s">
        <v>2425</v>
      </c>
      <c r="G48" s="453" t="s">
        <v>2426</v>
      </c>
      <c r="H48" s="226" t="s">
        <v>2427</v>
      </c>
      <c r="I48" s="226" t="s">
        <v>2428</v>
      </c>
      <c r="J48" s="450" t="str">
        <f>IF(OR(BI55&gt;0,COUNTIF($BG$2:$BG$46,"战技-灵动攻击")),"战技-灵动攻击","")</f>
        <v/>
      </c>
      <c r="K48" s="450" t="s">
        <v>2429</v>
      </c>
      <c r="L48" s="226" t="s">
        <v>2430</v>
      </c>
      <c r="M48" s="226" t="s">
        <v>2431</v>
      </c>
      <c r="N48" s="297" t="s">
        <v>2432</v>
      </c>
      <c r="O48" s="297" t="s">
        <v>2433</v>
      </c>
      <c r="P48" s="447" t="str">
        <f>IF(OR(BH61&lt;1,COUNTIF($BG$2:$BG$46,"猎物-灭族者")),"猎物-灭族者","")</f>
        <v>猎物-灭族者</v>
      </c>
      <c r="Q48" s="447" t="s">
        <v>2434</v>
      </c>
      <c r="R48" s="298" t="s">
        <v>2435</v>
      </c>
      <c r="S48" s="298" t="s">
        <v>2436</v>
      </c>
      <c r="T48" s="298" t="s">
        <v>2437</v>
      </c>
      <c r="U48" s="298" t="s">
        <v>2438</v>
      </c>
      <c r="V48" s="434" t="str">
        <f>IF(AND(COUNTIF(BG2:BG44,"*链之魔契"),OR(BI65&gt;0,COUNTIF($BG$2:$BG$46,"魔能祈唤-缚主之音"))),"魔能祈唤-缚主之音","")</f>
        <v/>
      </c>
      <c r="W48" s="439" t="s">
        <v>2439</v>
      </c>
      <c r="X48" s="360" t="s">
        <v>2440</v>
      </c>
      <c r="Y48" s="360" t="s">
        <v>2441</v>
      </c>
      <c r="Z48" s="435" t="str">
        <f>IF(AND(综合数据!B14=TRUE,OR(BI67&gt;0,COUNTIF($BG$2:$BG$46,"注法-奥能动力甲"))),"注法-奥能动力甲","")</f>
        <v/>
      </c>
      <c r="AA48" s="440" t="s">
        <v>2442</v>
      </c>
      <c r="AB48" s="434"/>
      <c r="AF48" s="434"/>
      <c r="AL48" s="377" t="e">
        <f t="array" ref="AL48">INDEX(AK:AK,SMALL(IF($AK$18:$AK$35&lt;&gt;"",ROW($18:$35),36),ROW(AK8)))&amp;""</f>
        <v>#N/A</v>
      </c>
      <c r="AM48" s="413" t="s">
        <v>1631</v>
      </c>
      <c r="AN48" s="413">
        <v>5</v>
      </c>
      <c r="AO48" s="413">
        <v>1</v>
      </c>
      <c r="AP48" s="438">
        <f>_xlfn.IFS(AG6&gt;=9,18,AG6&gt;=5,17,AG6=4,16,AG6=3,15,AG6=2,14,AG6=1,13,1,0)</f>
        <v>0</v>
      </c>
      <c r="AQ48" s="307" t="e">
        <f t="shared" si="16"/>
        <v>#N/A</v>
      </c>
      <c r="AR48" s="224" t="e">
        <f t="shared" si="19"/>
        <v>#N/A</v>
      </c>
      <c r="AS48" s="224" t="e">
        <f t="shared" si="20"/>
        <v>#N/A</v>
      </c>
      <c r="AT48" s="374" t="e">
        <f t="shared" si="21"/>
        <v>#N/A</v>
      </c>
      <c r="AU48" s="307" t="e">
        <f t="shared" si="14"/>
        <v>#N/A</v>
      </c>
      <c r="AV48" s="224" t="e">
        <f t="shared" si="22"/>
        <v>#N/A</v>
      </c>
      <c r="AW48" s="224" t="e">
        <f t="shared" si="23"/>
        <v>#N/A</v>
      </c>
      <c r="AX48" s="374" t="e">
        <f t="shared" si="24"/>
        <v>#N/A</v>
      </c>
      <c r="AY48" s="307" t="e">
        <f t="shared" si="15"/>
        <v>#N/A</v>
      </c>
      <c r="AZ48" s="224" t="e">
        <f t="shared" si="25"/>
        <v>#N/A</v>
      </c>
      <c r="BA48" s="224" t="e">
        <f t="shared" si="26"/>
        <v>#N/A</v>
      </c>
      <c r="BB48" s="374" t="e">
        <f t="shared" si="27"/>
        <v>#N/A</v>
      </c>
      <c r="BC48" s="222" t="str">
        <f>IFERROR(INDEX($AQ$12:$BF$87,38,$BC$2),"")</f>
        <v/>
      </c>
      <c r="BD48" s="224" t="str">
        <f>IFERROR(INDEX($AQ$12:$BF$87,38,$BD$2),"")</f>
        <v/>
      </c>
      <c r="BE48" s="192" t="str">
        <f t="shared" si="18"/>
        <v/>
      </c>
      <c r="BF48" s="200" t="str">
        <f t="array" ref="BF48">INDEX(BE:BE,SMALL(IF($BE$2:$BE$143&lt;&gt;"",ROW($2:$143),144),ROW(BE47)))&amp;""</f>
        <v/>
      </c>
      <c r="BG48" s="454" t="s">
        <v>2186</v>
      </c>
      <c r="BH48" s="372">
        <f>COUNTIF($BG$2:$BG$46,"图腾精魄-*")</f>
        <v>0</v>
      </c>
      <c r="BI48" s="376">
        <f>COUNTIF(BI2:BI44,"&gt;1")-COUNTIF($BG$2:$BG$46,"注法-复制魔法物品")</f>
        <v>0</v>
      </c>
      <c r="BJ48" s="372"/>
      <c r="BK48" s="372"/>
      <c r="BL48" s="372"/>
      <c r="BM48" s="372"/>
      <c r="BN48" s="372"/>
      <c r="BO48" s="372"/>
      <c r="BP48" s="372"/>
      <c r="BQ48" s="372"/>
      <c r="BR48" s="372"/>
      <c r="BS48" s="372"/>
      <c r="BT48" s="372"/>
      <c r="BU48" s="372"/>
      <c r="BV48" s="372"/>
      <c r="BW48" s="372"/>
      <c r="BX48" s="372"/>
      <c r="BY48" s="372"/>
      <c r="BZ48" s="372"/>
    </row>
    <row r="49" customHeight="1" spans="1:78">
      <c r="A49" s="375">
        <v>33</v>
      </c>
      <c r="B49" s="226" t="s">
        <v>2443</v>
      </c>
      <c r="C49" s="226" t="s">
        <v>2444</v>
      </c>
      <c r="D49" s="455" t="str">
        <f>IF(OR(BI53&gt;0,COUNTIF($BG$2:$BG$46,"战斗风格-决斗")),"战斗风格-决斗","")</f>
        <v/>
      </c>
      <c r="E49" s="455" t="s">
        <v>2445</v>
      </c>
      <c r="F49" s="298" t="s">
        <v>2446</v>
      </c>
      <c r="G49" s="298" t="s">
        <v>2447</v>
      </c>
      <c r="H49" s="226" t="s">
        <v>2448</v>
      </c>
      <c r="I49" s="226" t="s">
        <v>2449</v>
      </c>
      <c r="J49" s="450" t="str">
        <f>IF(OR(BI55&gt;0,COUNTIF($BG$2:$BG$46,"战技-恐吓攻击")),"战技-恐吓攻击","")</f>
        <v/>
      </c>
      <c r="K49" s="450" t="s">
        <v>2450</v>
      </c>
      <c r="L49" s="226" t="s">
        <v>2451</v>
      </c>
      <c r="M49" s="226" t="s">
        <v>2452</v>
      </c>
      <c r="N49" s="226" t="s">
        <v>2453</v>
      </c>
      <c r="O49" s="226" t="s">
        <v>2454</v>
      </c>
      <c r="P49" s="297" t="s">
        <v>2455</v>
      </c>
      <c r="Q49" s="297" t="s">
        <v>2456</v>
      </c>
      <c r="R49" s="359" t="s">
        <v>2457</v>
      </c>
      <c r="S49" s="359" t="s">
        <v>2458</v>
      </c>
      <c r="T49" s="298" t="s">
        <v>2459</v>
      </c>
      <c r="U49" s="298" t="s">
        <v>2460</v>
      </c>
      <c r="V49" s="435" t="str">
        <f>IF(AND(综合数据!B14=TRUE,COUNTIF(BG2:BG44,"*书之魔契"),OR(BI65&gt;0,COUNTIF($BG$2:$BG$46,"魔能祈唤-月之仪态"))),"魔能祈唤-月之仪态","")</f>
        <v/>
      </c>
      <c r="W49" s="439" t="s">
        <v>2461</v>
      </c>
      <c r="X49" s="360" t="s">
        <v>2462</v>
      </c>
      <c r="Y49" s="360" t="s">
        <v>2463</v>
      </c>
      <c r="Z49" s="224" t="s">
        <v>2464</v>
      </c>
      <c r="AA49" s="223" t="s">
        <v>2465</v>
      </c>
      <c r="AB49" s="224"/>
      <c r="AF49" s="224"/>
      <c r="AL49" s="377" t="e">
        <f t="array" ref="AL49">INDEX(AK:AK,SMALL(IF($AK$18:$AK$35&lt;&gt;"",ROW($18:$35),36),ROW(AK9)))&amp;""</f>
        <v>#N/A</v>
      </c>
      <c r="AM49" s="373" t="s">
        <v>1632</v>
      </c>
      <c r="AN49" s="373"/>
      <c r="AO49" s="373">
        <v>19</v>
      </c>
      <c r="AP49" s="374">
        <f>_xlfn.IFS(AG6&gt;=18,23,AG6&gt;=15,22,AG6&gt;=10,21,AG6&gt;=7,20,AG6&gt;=3,19,1,0)</f>
        <v>0</v>
      </c>
      <c r="AQ49" s="307" t="e">
        <f t="shared" si="16"/>
        <v>#N/A</v>
      </c>
      <c r="AR49" s="224" t="e">
        <f t="shared" si="19"/>
        <v>#N/A</v>
      </c>
      <c r="AS49" s="224" t="e">
        <f t="shared" si="20"/>
        <v>#N/A</v>
      </c>
      <c r="AT49" s="374" t="e">
        <f t="shared" si="21"/>
        <v>#N/A</v>
      </c>
      <c r="AU49" s="307" t="e">
        <f t="shared" si="14"/>
        <v>#N/A</v>
      </c>
      <c r="AV49" s="224" t="e">
        <f t="shared" si="22"/>
        <v>#N/A</v>
      </c>
      <c r="AW49" s="224" t="e">
        <f t="shared" si="23"/>
        <v>#N/A</v>
      </c>
      <c r="AX49" s="374" t="e">
        <f t="shared" si="24"/>
        <v>#N/A</v>
      </c>
      <c r="AY49" s="307" t="e">
        <f t="shared" si="15"/>
        <v>#N/A</v>
      </c>
      <c r="AZ49" s="224" t="e">
        <f t="shared" si="25"/>
        <v>#N/A</v>
      </c>
      <c r="BA49" s="224" t="e">
        <f t="shared" si="26"/>
        <v>#N/A</v>
      </c>
      <c r="BB49" s="374" t="e">
        <f t="shared" si="27"/>
        <v>#N/A</v>
      </c>
      <c r="BC49" s="222" t="str">
        <f>IFERROR(INDEX($AQ$12:$BF$87,39,$BC$2),"")</f>
        <v/>
      </c>
      <c r="BD49" s="224" t="str">
        <f>IFERROR(INDEX($AQ$12:$BF$87,39,$BD$2),"")</f>
        <v/>
      </c>
      <c r="BE49" s="192" t="str">
        <f t="shared" si="18"/>
        <v/>
      </c>
      <c r="BF49" s="200" t="str">
        <f t="array" ref="BF49">INDEX(BE:BE,SMALL(IF($BE$2:$BE$143&lt;&gt;"",ROW($2:$143),144),ROW(BE48)))&amp;""</f>
        <v/>
      </c>
      <c r="BG49" s="454" t="s">
        <v>2308</v>
      </c>
      <c r="BH49" s="372">
        <f>COUNTIF($BG$2:$BG$46,"兽之形-*")</f>
        <v>0</v>
      </c>
      <c r="BI49" s="374" t="s">
        <v>2466</v>
      </c>
      <c r="BJ49" s="372"/>
      <c r="BK49" s="372"/>
      <c r="BL49" s="372"/>
      <c r="BM49" s="372"/>
      <c r="BN49" s="372"/>
      <c r="BO49" s="372"/>
      <c r="BP49" s="372"/>
      <c r="BQ49" s="372"/>
      <c r="BR49" s="372"/>
      <c r="BS49" s="372"/>
      <c r="BT49" s="372"/>
      <c r="BU49" s="372"/>
      <c r="BV49" s="372"/>
      <c r="BW49" s="372"/>
      <c r="BX49" s="372"/>
      <c r="BY49" s="372"/>
      <c r="BZ49" s="372"/>
    </row>
    <row r="50" customHeight="1" spans="1:78">
      <c r="A50" s="375">
        <v>34</v>
      </c>
      <c r="B50" s="226" t="s">
        <v>2467</v>
      </c>
      <c r="C50" s="226" t="s">
        <v>2468</v>
      </c>
      <c r="D50" s="455" t="str">
        <f>IF(OR(BI53&gt;0,COUNTIF($BG$2:$BG$46,"战斗风格-双武器战斗")),"战斗风格-双武器战斗","")</f>
        <v/>
      </c>
      <c r="E50" s="455" t="s">
        <v>2469</v>
      </c>
      <c r="F50" s="298" t="str">
        <f>IF(OR(BH55&lt;1,COUNTIF($BG$2:$BG$46,"强力施法")),"强力施法","")</f>
        <v>强力施法</v>
      </c>
      <c r="G50" s="298" t="s">
        <v>2170</v>
      </c>
      <c r="H50" s="298" t="s">
        <v>2470</v>
      </c>
      <c r="I50" s="298" t="s">
        <v>2471</v>
      </c>
      <c r="J50" s="450" t="str">
        <f>IF(OR(BI55&gt;0,COUNTIF($BG$2:$BG$46,"战技-格挡")),"战技-格挡","")</f>
        <v/>
      </c>
      <c r="K50" s="450" t="s">
        <v>2472</v>
      </c>
      <c r="L50" s="298" t="s">
        <v>2473</v>
      </c>
      <c r="M50" s="298" t="s">
        <v>2474</v>
      </c>
      <c r="N50" s="450" t="s">
        <v>2475</v>
      </c>
      <c r="O50" s="450" t="s">
        <v>2476</v>
      </c>
      <c r="P50" s="447" t="str">
        <f>IF(OR(BH62&lt;1,COUNTIF($BG$2:$BG$46,"防守战术-冲出重围")),"防守战术-冲出重围","")</f>
        <v>防守战术-冲出重围</v>
      </c>
      <c r="Q50" s="447" t="s">
        <v>2477</v>
      </c>
      <c r="R50" s="359" t="s">
        <v>2478</v>
      </c>
      <c r="S50" s="359" t="s">
        <v>2479</v>
      </c>
      <c r="T50" s="298" t="s">
        <v>2480</v>
      </c>
      <c r="U50" s="298" t="s">
        <v>2481</v>
      </c>
      <c r="V50" s="435" t="str">
        <f>IF(AND(综合数据!B14=TRUE,COUNTIF(BG2:BG44,"*链之魔契"),OR(BI65&gt;0,COUNTIF($BG$2:$BG$46,"魔能祈唤-永生者赠礼"))),"魔能祈唤-永生者赠礼","")</f>
        <v/>
      </c>
      <c r="W50" s="439" t="s">
        <v>2482</v>
      </c>
      <c r="X50" s="360" t="s">
        <v>2483</v>
      </c>
      <c r="Y50" s="360" t="s">
        <v>2484</v>
      </c>
      <c r="Z50" s="224" t="s">
        <v>2485</v>
      </c>
      <c r="AA50" s="223" t="s">
        <v>2486</v>
      </c>
      <c r="AB50" s="224"/>
      <c r="AF50" s="224"/>
      <c r="AL50" s="377" t="e">
        <f t="array" ref="AL50">INDEX(AK:AK,SMALL(IF($AK$18:$AK$35&lt;&gt;"",ROW($18:$35),36),ROW(AK10)))&amp;""</f>
        <v>#N/A</v>
      </c>
      <c r="AM50" s="373" t="s">
        <v>1633</v>
      </c>
      <c r="AN50" s="373"/>
      <c r="AO50" s="373">
        <v>24</v>
      </c>
      <c r="AP50" s="374">
        <f>_xlfn.IFS(AG6&gt;=15,51,AG6&gt;=10,50,AG6&gt;=7,49,AG6&gt;=3,48,1,0)</f>
        <v>0</v>
      </c>
      <c r="AQ50" s="307" t="e">
        <f t="shared" si="16"/>
        <v>#N/A</v>
      </c>
      <c r="AR50" s="224" t="e">
        <f t="shared" si="19"/>
        <v>#N/A</v>
      </c>
      <c r="AS50" s="224" t="e">
        <f t="shared" si="20"/>
        <v>#N/A</v>
      </c>
      <c r="AT50" s="374" t="e">
        <f t="shared" si="21"/>
        <v>#N/A</v>
      </c>
      <c r="AU50" s="307" t="e">
        <f t="shared" si="14"/>
        <v>#N/A</v>
      </c>
      <c r="AV50" s="224" t="e">
        <f t="shared" si="22"/>
        <v>#N/A</v>
      </c>
      <c r="AW50" s="224" t="e">
        <f t="shared" si="23"/>
        <v>#N/A</v>
      </c>
      <c r="AX50" s="374" t="e">
        <f t="shared" si="24"/>
        <v>#N/A</v>
      </c>
      <c r="AY50" s="307" t="e">
        <f t="shared" si="15"/>
        <v>#N/A</v>
      </c>
      <c r="AZ50" s="224" t="e">
        <f t="shared" si="25"/>
        <v>#N/A</v>
      </c>
      <c r="BA50" s="224" t="e">
        <f t="shared" si="26"/>
        <v>#N/A</v>
      </c>
      <c r="BB50" s="374" t="e">
        <f t="shared" si="27"/>
        <v>#N/A</v>
      </c>
      <c r="BC50" s="222" t="str">
        <f>IFERROR(INDEX($AQ$12:$BF$87,40,$BC$2),"")</f>
        <v/>
      </c>
      <c r="BD50" s="224" t="str">
        <f>IFERROR(INDEX($AQ$12:$BF$87,40,$BD$2),"")</f>
        <v/>
      </c>
      <c r="BE50" s="192" t="str">
        <f t="shared" si="18"/>
        <v/>
      </c>
      <c r="BF50" s="200" t="str">
        <f t="array" ref="BF50">INDEX(BE:BE,SMALL(IF($BE$2:$BE$143&lt;&gt;"",ROW($2:$143),144),ROW(BE49)))&amp;""</f>
        <v/>
      </c>
      <c r="BG50" s="454" t="s">
        <v>2467</v>
      </c>
      <c r="BH50" s="372">
        <f>COUNTIF($BG$2:$BG$46,"图腾同调-*")</f>
        <v>0</v>
      </c>
      <c r="BI50" s="376">
        <f>COUNTIF(BI52:BI67,"&gt;=1")</f>
        <v>0</v>
      </c>
      <c r="BJ50" s="372"/>
      <c r="BK50" s="372"/>
      <c r="BL50" s="372"/>
      <c r="BM50" s="372"/>
      <c r="BN50" s="372"/>
      <c r="BO50" s="372"/>
      <c r="BP50" s="372"/>
      <c r="BQ50" s="372"/>
      <c r="BR50" s="372"/>
      <c r="BS50" s="372"/>
      <c r="BT50" s="372"/>
      <c r="BU50" s="372"/>
      <c r="BV50" s="372"/>
      <c r="BW50" s="372"/>
      <c r="BX50" s="372"/>
      <c r="BY50" s="372"/>
      <c r="BZ50" s="372"/>
    </row>
    <row r="51" customHeight="1" spans="1:78">
      <c r="A51" s="375">
        <v>35</v>
      </c>
      <c r="B51" s="449" t="str">
        <f>IF(OR(BH50&lt;1,COUNTIF($BG$2:$BG$46,"图腾同调-熊")),"图腾同调-熊","")</f>
        <v>图腾同调-熊</v>
      </c>
      <c r="C51" s="449" t="s">
        <v>2487</v>
      </c>
      <c r="D51" s="359" t="s">
        <v>2488</v>
      </c>
      <c r="E51" s="359" t="s">
        <v>2489</v>
      </c>
      <c r="F51" s="298" t="s">
        <v>2490</v>
      </c>
      <c r="G51" s="298" t="s">
        <v>2491</v>
      </c>
      <c r="H51" s="298" t="s">
        <v>2492</v>
      </c>
      <c r="I51" s="298" t="s">
        <v>2493</v>
      </c>
      <c r="J51" s="450" t="str">
        <f>IF(OR(BI55&gt;0,COUNTIF($BG$2:$BG$46,"战技-精准攻击")),"战技-精准攻击","")</f>
        <v/>
      </c>
      <c r="K51" s="450" t="s">
        <v>2494</v>
      </c>
      <c r="L51" s="298" t="s">
        <v>2495</v>
      </c>
      <c r="M51" s="298" t="s">
        <v>2496</v>
      </c>
      <c r="N51" s="450" t="s">
        <v>2497</v>
      </c>
      <c r="O51" s="450" t="s">
        <v>2498</v>
      </c>
      <c r="P51" s="447" t="str">
        <f>IF(OR(BH62&lt;1,COUNTIF($BG$2:$BG$46,"防守战术-多重防御")),"防守战术-多重防御","")</f>
        <v>防守战术-多重防御</v>
      </c>
      <c r="Q51" s="447" t="s">
        <v>2499</v>
      </c>
      <c r="R51" s="359" t="s">
        <v>2500</v>
      </c>
      <c r="S51" s="359" t="s">
        <v>2501</v>
      </c>
      <c r="T51" s="298" t="s">
        <v>2502</v>
      </c>
      <c r="U51" s="298" t="s">
        <v>2503</v>
      </c>
      <c r="V51" s="435" t="str">
        <f>IF(AND(综合数据!B14=TRUE,COUNTIF(BG2:BG44,"*刃之魔契"),OR(BI65&gt;0,COUNTIF($BG$2:$BG$46,"魔能祈唤-进阶契约武器"))),"魔能祈唤-进阶契约武器","")</f>
        <v/>
      </c>
      <c r="W51" s="439" t="s">
        <v>2504</v>
      </c>
      <c r="X51" s="360" t="s">
        <v>2505</v>
      </c>
      <c r="Y51" s="360" t="s">
        <v>2506</v>
      </c>
      <c r="Z51" s="226" t="s">
        <v>2507</v>
      </c>
      <c r="AA51" s="456" t="s">
        <v>2508</v>
      </c>
      <c r="AB51" s="224"/>
      <c r="AF51" s="224"/>
      <c r="AL51" s="377" t="e">
        <f t="array" ref="AL51">INDEX(AK:AK,SMALL(IF($AK$18:$AK$35&lt;&gt;"",ROW($18:$35),36),ROW(AK11)))&amp;""</f>
        <v>#N/A</v>
      </c>
      <c r="AM51" s="373" t="s">
        <v>1634</v>
      </c>
      <c r="AN51" s="373"/>
      <c r="AO51" s="373">
        <v>52</v>
      </c>
      <c r="AP51" s="374">
        <f>_xlfn.IFS(AG6&gt;=18,61,AG6&gt;=15,60,AG6&gt;=10,59,AG6&gt;=7,58,AG6&gt;=3,57,1,0)</f>
        <v>0</v>
      </c>
      <c r="AQ51" s="307" t="e">
        <f t="shared" si="16"/>
        <v>#N/A</v>
      </c>
      <c r="AR51" s="224" t="e">
        <f t="shared" si="19"/>
        <v>#N/A</v>
      </c>
      <c r="AS51" s="224" t="e">
        <f t="shared" si="20"/>
        <v>#N/A</v>
      </c>
      <c r="AT51" s="374" t="e">
        <f t="shared" si="21"/>
        <v>#N/A</v>
      </c>
      <c r="AU51" s="307" t="e">
        <f t="shared" si="14"/>
        <v>#N/A</v>
      </c>
      <c r="AV51" s="224" t="e">
        <f t="shared" si="22"/>
        <v>#N/A</v>
      </c>
      <c r="AW51" s="224" t="e">
        <f t="shared" si="23"/>
        <v>#N/A</v>
      </c>
      <c r="AX51" s="374" t="e">
        <f t="shared" si="24"/>
        <v>#N/A</v>
      </c>
      <c r="AY51" s="307" t="e">
        <f t="shared" si="15"/>
        <v>#N/A</v>
      </c>
      <c r="AZ51" s="224" t="e">
        <f t="shared" si="25"/>
        <v>#N/A</v>
      </c>
      <c r="BA51" s="224" t="e">
        <f t="shared" si="26"/>
        <v>#N/A</v>
      </c>
      <c r="BB51" s="374" t="e">
        <f t="shared" si="27"/>
        <v>#N/A</v>
      </c>
      <c r="BC51" s="222" t="str">
        <f>IFERROR(INDEX($AQ$12:$BF$87,41,$BC$2),"")</f>
        <v/>
      </c>
      <c r="BD51" s="224" t="str">
        <f>IFERROR(INDEX($AQ$12:$BF$87,41,$BD$2),"")</f>
        <v/>
      </c>
      <c r="BE51" s="192" t="str">
        <f t="shared" si="18"/>
        <v/>
      </c>
      <c r="BF51" s="200" t="str">
        <f t="array" ref="BF51">INDEX(BE:BE,SMALL(IF($BE$2:$BE$143&lt;&gt;"",ROW($2:$143),144),ROW(BE50)))&amp;""</f>
        <v/>
      </c>
      <c r="BG51" s="457" t="s">
        <v>2509</v>
      </c>
      <c r="BH51" s="372">
        <f>COUNTIF($BG$2:$BG$46,"愤怒风暴-*")</f>
        <v>0</v>
      </c>
      <c r="BI51" s="376">
        <f>COUNTIF(BI52:BI67,"&lt;=-1")</f>
        <v>0</v>
      </c>
      <c r="BJ51" s="372"/>
      <c r="BK51" s="372"/>
      <c r="BL51" s="372"/>
      <c r="BM51" s="372"/>
      <c r="BN51" s="372"/>
      <c r="BO51" s="372"/>
      <c r="BP51" s="372"/>
      <c r="BQ51" s="372"/>
      <c r="BR51" s="372"/>
      <c r="BS51" s="372"/>
      <c r="BT51" s="372"/>
      <c r="BU51" s="372"/>
      <c r="BV51" s="372"/>
      <c r="BW51" s="372"/>
      <c r="BX51" s="372"/>
      <c r="BY51" s="372"/>
      <c r="BZ51" s="372"/>
    </row>
    <row r="52" customHeight="1" spans="1:78">
      <c r="A52" s="375">
        <v>36</v>
      </c>
      <c r="B52" s="449" t="str">
        <f>IF(OR(BH50&lt;1,COUNTIF($BG$2:$BG$46,"图腾同调-雕")),"图腾同调-雕","")</f>
        <v>图腾同调-雕</v>
      </c>
      <c r="C52" s="449" t="s">
        <v>2510</v>
      </c>
      <c r="D52" s="359" t="str">
        <f>IF(COUNTIF($BG$2:$BG$46,"额外攻击-*"),"","额外攻击")</f>
        <v>额外攻击</v>
      </c>
      <c r="E52" s="359" t="s">
        <v>2269</v>
      </c>
      <c r="F52" s="359" t="s">
        <v>2511</v>
      </c>
      <c r="G52" s="359" t="s">
        <v>2512</v>
      </c>
      <c r="H52" s="298" t="s">
        <v>2513</v>
      </c>
      <c r="I52" s="298" t="s">
        <v>2514</v>
      </c>
      <c r="J52" s="450" t="str">
        <f>IF(OR(BI55&gt;0,COUNTIF($BG$2:$BG$46,"战技-推撞攻击")),"战技-推撞攻击","")</f>
        <v/>
      </c>
      <c r="K52" s="450" t="s">
        <v>2515</v>
      </c>
      <c r="L52" s="453" t="str">
        <f>IF(OR(BI61&gt;0,COUNTIF($BG$2:$BG$46,"法门-元素同调")),"法门-元素同调","")</f>
        <v/>
      </c>
      <c r="M52" s="453" t="s">
        <v>2516</v>
      </c>
      <c r="N52" s="226" t="s">
        <v>2517</v>
      </c>
      <c r="O52" s="226" t="s">
        <v>2518</v>
      </c>
      <c r="P52" s="447" t="str">
        <f>IF(OR(BH62&lt;1,COUNTIF($BG$2:$BG$46,"防守战术-钢铁意志")),"防守战术-钢铁意志","")</f>
        <v>防守战术-钢铁意志</v>
      </c>
      <c r="Q52" s="447" t="s">
        <v>2519</v>
      </c>
      <c r="R52" s="359" t="s">
        <v>2520</v>
      </c>
      <c r="S52" s="359" t="s">
        <v>2521</v>
      </c>
      <c r="T52" s="298" t="s">
        <v>2522</v>
      </c>
      <c r="U52" s="298" t="s">
        <v>2523</v>
      </c>
      <c r="V52" s="435" t="str">
        <f>IF(AND(综合数据!B14=TRUE,COUNTIF(BG2:BG44,"*链之魔契"),OR(BI65&gt;0,COUNTIF($BG$2:$BG$46,"魔能祈唤-链主赋能"))),"魔能祈唤-链主赋能","")</f>
        <v/>
      </c>
      <c r="W52" s="439" t="s">
        <v>2524</v>
      </c>
      <c r="X52" s="360" t="s">
        <v>2525</v>
      </c>
      <c r="Y52" s="360" t="s">
        <v>2526</v>
      </c>
      <c r="Z52" s="226" t="s">
        <v>2527</v>
      </c>
      <c r="AA52" s="456" t="s">
        <v>2528</v>
      </c>
      <c r="AB52" s="224"/>
      <c r="AC52" s="224"/>
      <c r="AD52" s="224"/>
      <c r="AE52" s="224"/>
      <c r="AF52" s="224"/>
      <c r="AL52" s="377" t="e">
        <f t="array" ref="AL52">INDEX(AK:AK,SMALL(IF($AK$18:$AK$35&lt;&gt;"",ROW($18:$35),36),ROW(AK12)))&amp;""</f>
        <v>#N/A</v>
      </c>
      <c r="AM52" s="244" t="s">
        <v>2529</v>
      </c>
      <c r="AN52" s="244"/>
      <c r="AO52" s="244">
        <v>62</v>
      </c>
      <c r="AP52" s="443">
        <f>_xlfn.IFS(AG6&gt;=15,65,AG6&gt;=10,64,AG6&gt;=7,63,AG6&gt;=3,62,1,0)</f>
        <v>0</v>
      </c>
      <c r="AQ52" s="307" t="e">
        <f t="shared" si="16"/>
        <v>#N/A</v>
      </c>
      <c r="AR52" s="224" t="e">
        <f t="shared" si="19"/>
        <v>#N/A</v>
      </c>
      <c r="AS52" s="224" t="e">
        <f t="shared" si="20"/>
        <v>#N/A</v>
      </c>
      <c r="AT52" s="374" t="e">
        <f t="shared" si="21"/>
        <v>#N/A</v>
      </c>
      <c r="AU52" s="307" t="e">
        <f t="shared" si="14"/>
        <v>#N/A</v>
      </c>
      <c r="AV52" s="224" t="e">
        <f t="shared" si="22"/>
        <v>#N/A</v>
      </c>
      <c r="AW52" s="224" t="e">
        <f t="shared" si="23"/>
        <v>#N/A</v>
      </c>
      <c r="AX52" s="374" t="e">
        <f t="shared" si="24"/>
        <v>#N/A</v>
      </c>
      <c r="AY52" s="307" t="e">
        <f t="shared" si="15"/>
        <v>#N/A</v>
      </c>
      <c r="AZ52" s="224" t="e">
        <f t="shared" si="25"/>
        <v>#N/A</v>
      </c>
      <c r="BA52" s="224" t="e">
        <f t="shared" si="26"/>
        <v>#N/A</v>
      </c>
      <c r="BB52" s="374" t="e">
        <f t="shared" si="27"/>
        <v>#N/A</v>
      </c>
      <c r="BC52" s="222" t="str">
        <f>IFERROR(INDEX($AQ$12:$BF$87,42,$BC$2),"")</f>
        <v/>
      </c>
      <c r="BD52" s="224" t="str">
        <f>IFERROR(INDEX($AQ$12:$BF$87,42,$BD$2),"")</f>
        <v/>
      </c>
      <c r="BE52" s="192" t="str">
        <f t="shared" si="18"/>
        <v/>
      </c>
      <c r="BF52" s="200" t="str">
        <f t="array" ref="BF52">INDEX(BE:BE,SMALL(IF($BE$2:$BE$143&lt;&gt;"",ROW($2:$143),144),ROW(BE51)))&amp;""</f>
        <v/>
      </c>
      <c r="BG52" s="457" t="s">
        <v>2530</v>
      </c>
      <c r="BH52" s="372">
        <f>COUNTIF($BG$2:$BG$46,"风暴之魂-*")</f>
        <v>0</v>
      </c>
      <c r="BI52" s="374" t="s">
        <v>2531</v>
      </c>
      <c r="BJ52" s="372"/>
      <c r="BK52" s="372"/>
      <c r="BL52" s="372"/>
      <c r="BM52" s="372"/>
      <c r="BN52" s="372"/>
      <c r="BO52" s="372"/>
      <c r="BP52" s="372"/>
      <c r="BQ52" s="372"/>
      <c r="BR52" s="372"/>
      <c r="BS52" s="372"/>
      <c r="BT52" s="372"/>
      <c r="BU52" s="372"/>
      <c r="BV52" s="372"/>
      <c r="BW52" s="372"/>
      <c r="BX52" s="372"/>
      <c r="BY52" s="372"/>
      <c r="BZ52" s="372"/>
    </row>
    <row r="53" customHeight="1" spans="1:78">
      <c r="A53" s="375">
        <v>37</v>
      </c>
      <c r="B53" s="449" t="str">
        <f>IF(OR(BH50&lt;1,COUNTIF($BG$2:$BG$46,"图腾同调-狼")),"图腾同调-狼","")</f>
        <v>图腾同调-狼</v>
      </c>
      <c r="C53" s="449" t="s">
        <v>2532</v>
      </c>
      <c r="D53" s="359" t="s">
        <v>2533</v>
      </c>
      <c r="E53" s="359" t="s">
        <v>2534</v>
      </c>
      <c r="F53" s="359" t="s">
        <v>2535</v>
      </c>
      <c r="G53" s="359" t="s">
        <v>2536</v>
      </c>
      <c r="H53" s="298" t="s">
        <v>2537</v>
      </c>
      <c r="I53" s="298" t="s">
        <v>2538</v>
      </c>
      <c r="J53" s="450" t="str">
        <f>IF(OR(BI55&gt;0,COUNTIF($BG$2:$BG$46,"战技-重整旗鼓")),"战技-重整旗鼓","")</f>
        <v/>
      </c>
      <c r="K53" s="450" t="s">
        <v>2539</v>
      </c>
      <c r="L53" s="453" t="str">
        <f>IF(OR(BI61&gt;0,COUNTIF($BG$2:$BG$46,"法门-火蛇利牙")),"法门-火蛇利牙","")</f>
        <v/>
      </c>
      <c r="M53" s="453" t="s">
        <v>2540</v>
      </c>
      <c r="N53" s="226" t="s">
        <v>2541</v>
      </c>
      <c r="O53" s="226" t="s">
        <v>2542</v>
      </c>
      <c r="P53" s="297" t="s">
        <v>2543</v>
      </c>
      <c r="Q53" s="297" t="s">
        <v>2544</v>
      </c>
      <c r="R53" s="359" t="s">
        <v>2545</v>
      </c>
      <c r="S53" s="359" t="s">
        <v>2546</v>
      </c>
      <c r="T53" s="359" t="s">
        <v>2547</v>
      </c>
      <c r="U53" s="359" t="s">
        <v>2548</v>
      </c>
      <c r="V53" s="435" t="str">
        <f>IF(AND(COUNTIF(BG2:BG44,"*符之魔契"),OR(BI65&gt;0,COUNTIF($BG$2:$BG$46,"魔能祈唤-符令责斥"))),"魔能祈唤-符令责斥","")</f>
        <v/>
      </c>
      <c r="W53" s="439" t="s">
        <v>2549</v>
      </c>
      <c r="X53" s="458" t="s">
        <v>2550</v>
      </c>
      <c r="Y53" s="458" t="s">
        <v>2551</v>
      </c>
      <c r="Z53" s="226" t="s">
        <v>2552</v>
      </c>
      <c r="AA53" s="456" t="s">
        <v>2553</v>
      </c>
      <c r="AB53" s="224"/>
      <c r="AC53" s="224"/>
      <c r="AD53" s="224"/>
      <c r="AE53" s="224"/>
      <c r="AF53" s="224"/>
      <c r="AL53" s="377" t="e">
        <f t="array" ref="AL53">INDEX(AK:AK,SMALL(IF($AK$18:$AK$35&lt;&gt;"",ROW($18:$35),36),ROW(AK13)))&amp;""</f>
        <v>#N/A</v>
      </c>
      <c r="AM53" s="411" t="s">
        <v>2554</v>
      </c>
      <c r="AN53" s="411"/>
      <c r="AO53" s="411">
        <v>66</v>
      </c>
      <c r="AP53" s="444">
        <f>_xlfn.IFS(AG6&gt;=15,78,AG6&gt;=7,77,AG6&gt;=3,75,1,0)</f>
        <v>0</v>
      </c>
      <c r="AQ53" s="307" t="e">
        <f t="shared" si="16"/>
        <v>#N/A</v>
      </c>
      <c r="AR53" s="224" t="e">
        <f t="shared" si="19"/>
        <v>#N/A</v>
      </c>
      <c r="AS53" s="224" t="e">
        <f t="shared" si="20"/>
        <v>#N/A</v>
      </c>
      <c r="AT53" s="374" t="e">
        <f t="shared" si="21"/>
        <v>#N/A</v>
      </c>
      <c r="AU53" s="307" t="e">
        <f t="shared" si="14"/>
        <v>#N/A</v>
      </c>
      <c r="AV53" s="224" t="e">
        <f t="shared" si="22"/>
        <v>#N/A</v>
      </c>
      <c r="AW53" s="224" t="e">
        <f t="shared" si="23"/>
        <v>#N/A</v>
      </c>
      <c r="AX53" s="374" t="e">
        <f t="shared" si="24"/>
        <v>#N/A</v>
      </c>
      <c r="AY53" s="307" t="e">
        <f t="shared" si="15"/>
        <v>#N/A</v>
      </c>
      <c r="AZ53" s="224" t="e">
        <f t="shared" si="25"/>
        <v>#N/A</v>
      </c>
      <c r="BA53" s="224" t="e">
        <f t="shared" si="26"/>
        <v>#N/A</v>
      </c>
      <c r="BB53" s="374" t="e">
        <f t="shared" si="27"/>
        <v>#N/A</v>
      </c>
      <c r="BC53" s="222" t="str">
        <f>IFERROR(INDEX($AQ$12:$BF$87,43,$BC$2),"")</f>
        <v/>
      </c>
      <c r="BD53" s="224" t="str">
        <f>IFERROR(INDEX($AQ$12:$BF$87,43,$BD$2),"")</f>
        <v/>
      </c>
      <c r="BE53" s="192" t="str">
        <f t="shared" si="18"/>
        <v/>
      </c>
      <c r="BF53" s="200" t="str">
        <f t="array" ref="BF53">INDEX(BE:BE,SMALL(IF($BE$2:$BE$143&lt;&gt;"",ROW($2:$143),144),ROW(BE52)))&amp;""</f>
        <v/>
      </c>
      <c r="BG53" s="457" t="s">
        <v>2555</v>
      </c>
      <c r="BH53" s="372">
        <f>COUNTIF($BG$2:$BG$46,"狂怒风暴-*")</f>
        <v>0</v>
      </c>
      <c r="BI53" s="376">
        <f>IF(AG3&gt;=4,COUNTIF(AD16:AD18,E3),0)+IF(AG6&gt;=1,1,0)+IF(AG6&gt;=10,COUNTIF(AD16:AD18,B6),0)+IF(AG8&gt;=2,1,0)+IF(AG9&gt;=2,1,0)+COUNTIF(专长数据!E2:E7,专长数据!A81)-COUNTIF($BG$2:$BG$46,"战斗风格-*")+COUNTIF($BG$2:$BG$46,J17)+COUNTIF($BG$2:$BG$46,N19)</f>
        <v>0</v>
      </c>
      <c r="BJ53" s="372"/>
      <c r="BK53" s="373"/>
      <c r="BL53" s="372"/>
      <c r="BM53" s="372"/>
      <c r="BN53" s="372"/>
      <c r="BO53" s="372"/>
      <c r="BP53" s="372"/>
      <c r="BQ53" s="372"/>
      <c r="BR53" s="372"/>
      <c r="BS53" s="372"/>
      <c r="BT53" s="372"/>
      <c r="BU53" s="372"/>
      <c r="BV53" s="372"/>
      <c r="BW53" s="372"/>
      <c r="BX53" s="372"/>
      <c r="BY53" s="372"/>
      <c r="BZ53" s="372"/>
    </row>
    <row r="54" customHeight="1" spans="1:78">
      <c r="A54" s="375">
        <v>38</v>
      </c>
      <c r="B54" s="449" t="str">
        <f>IF(AND(综合数据!B5=TRUE,OR(BH50&lt;1,COUNTIF($BG$2:$BG$46,"图腾同调-鹿"))),"图腾同调-鹿","")</f>
        <v>图腾同调-鹿</v>
      </c>
      <c r="C54" s="449" t="s">
        <v>2556</v>
      </c>
      <c r="D54" s="360" t="s">
        <v>2557</v>
      </c>
      <c r="E54" s="360" t="s">
        <v>2558</v>
      </c>
      <c r="F54" s="359" t="s">
        <v>2229</v>
      </c>
      <c r="G54" s="359" t="s">
        <v>2230</v>
      </c>
      <c r="H54" s="359" t="s">
        <v>2559</v>
      </c>
      <c r="I54" s="359" t="s">
        <v>2560</v>
      </c>
      <c r="J54" s="450" t="str">
        <f>IF(OR(BI55&gt;0,COUNTIF($BG$2:$BG$46,"战技-反击")),"战技-反击","")</f>
        <v/>
      </c>
      <c r="K54" s="450" t="s">
        <v>2561</v>
      </c>
      <c r="L54" s="453" t="str">
        <f>IF(OR(BI61&gt;0,COUNTIF($BG$2:$BG$46,"法门-四雷拳")),"法门-四雷拳","")</f>
        <v/>
      </c>
      <c r="M54" s="453" t="s">
        <v>2562</v>
      </c>
      <c r="N54" s="226" t="s">
        <v>2563</v>
      </c>
      <c r="O54" s="226" t="s">
        <v>2564</v>
      </c>
      <c r="P54" s="447" t="str">
        <f>IF(OR(BH63&lt;1,COUNTIF($BG$2:$BG$46,"多重攻击-箭雨")),"多重攻击-箭雨","")</f>
        <v>多重攻击-箭雨</v>
      </c>
      <c r="Q54" s="447" t="s">
        <v>2565</v>
      </c>
      <c r="R54" s="359" t="s">
        <v>2566</v>
      </c>
      <c r="S54" s="359" t="s">
        <v>2567</v>
      </c>
      <c r="T54" s="359" t="s">
        <v>2568</v>
      </c>
      <c r="U54" s="359" t="s">
        <v>2569</v>
      </c>
      <c r="V54" s="435" t="str">
        <f>IF(综合数据!B14=TRUE,"魔能选项","")</f>
        <v>魔能选项</v>
      </c>
      <c r="W54" s="435" t="s">
        <v>2570</v>
      </c>
      <c r="X54" s="458" t="s">
        <v>2571</v>
      </c>
      <c r="Y54" s="458" t="s">
        <v>2572</v>
      </c>
      <c r="Z54" s="226" t="s">
        <v>2573</v>
      </c>
      <c r="AA54" s="456" t="s">
        <v>2574</v>
      </c>
      <c r="AB54" s="224"/>
      <c r="AC54" s="224"/>
      <c r="AD54" s="224"/>
      <c r="AE54" s="224"/>
      <c r="AF54" s="224"/>
      <c r="AL54" s="377" t="e">
        <f t="array" ref="AL54">INDEX(AK:AK,SMALL(IF($AK$18:$AK$35&lt;&gt;"",ROW($18:$35),36),ROW(AK14)))&amp;""</f>
        <v>#N/A</v>
      </c>
      <c r="AM54" s="411" t="s">
        <v>2575</v>
      </c>
      <c r="AN54" s="411"/>
      <c r="AO54" s="411">
        <v>79</v>
      </c>
      <c r="AP54" s="444">
        <f>_xlfn.IFS(AG6&gt;=18,85,AG6&gt;=15,84,AG6&gt;=10,83,AG6&gt;=7,82,AG6&gt;=3,81,1,0)</f>
        <v>0</v>
      </c>
      <c r="AQ54" s="307" t="e">
        <f t="shared" si="16"/>
        <v>#N/A</v>
      </c>
      <c r="AR54" s="224" t="e">
        <f t="shared" si="19"/>
        <v>#N/A</v>
      </c>
      <c r="AS54" s="224" t="e">
        <f t="shared" si="20"/>
        <v>#N/A</v>
      </c>
      <c r="AT54" s="374" t="e">
        <f t="shared" si="21"/>
        <v>#N/A</v>
      </c>
      <c r="AU54" s="307" t="e">
        <f t="shared" si="14"/>
        <v>#N/A</v>
      </c>
      <c r="AV54" s="224" t="e">
        <f t="shared" si="22"/>
        <v>#N/A</v>
      </c>
      <c r="AW54" s="224" t="e">
        <f t="shared" si="23"/>
        <v>#N/A</v>
      </c>
      <c r="AX54" s="374" t="e">
        <f t="shared" si="24"/>
        <v>#N/A</v>
      </c>
      <c r="AY54" s="307" t="e">
        <f t="shared" si="15"/>
        <v>#N/A</v>
      </c>
      <c r="AZ54" s="224" t="e">
        <f t="shared" si="25"/>
        <v>#N/A</v>
      </c>
      <c r="BA54" s="224" t="e">
        <f t="shared" si="26"/>
        <v>#N/A</v>
      </c>
      <c r="BB54" s="374" t="e">
        <f t="shared" si="27"/>
        <v>#N/A</v>
      </c>
      <c r="BC54" s="222" t="str">
        <f>IFERROR(INDEX($AQ$12:$BF$87,44,$BC$2),"")</f>
        <v/>
      </c>
      <c r="BD54" s="224" t="str">
        <f>IFERROR(INDEX($AQ$12:$BF$87,44,$BD$2),"")</f>
        <v/>
      </c>
      <c r="BE54" s="192" t="str">
        <f t="shared" si="18"/>
        <v/>
      </c>
      <c r="BF54" s="200" t="str">
        <f t="array" ref="BF54">INDEX(BE:BE,SMALL(IF($BE$2:$BE$143&lt;&gt;"",ROW($2:$143),144),ROW(BE53)))&amp;""</f>
        <v/>
      </c>
      <c r="BG54" s="454" t="s">
        <v>2576</v>
      </c>
      <c r="BH54" s="372">
        <f>COUNTIF($BG$2:$BG$46,"兽性之魂-*")</f>
        <v>0</v>
      </c>
      <c r="BI54" s="456" t="s">
        <v>2254</v>
      </c>
      <c r="BJ54" s="372"/>
      <c r="BK54" s="372"/>
      <c r="BL54" s="372"/>
      <c r="BM54" s="372"/>
      <c r="BN54" s="372"/>
      <c r="BO54" s="372"/>
      <c r="BP54" s="372"/>
      <c r="BQ54" s="372"/>
      <c r="BR54" s="372"/>
      <c r="BS54" s="372"/>
      <c r="BT54" s="372"/>
      <c r="BU54" s="372"/>
      <c r="BV54" s="372"/>
      <c r="BW54" s="372"/>
      <c r="BX54" s="372"/>
      <c r="BY54" s="372"/>
      <c r="BZ54" s="372"/>
    </row>
    <row r="55" customHeight="1" spans="1:78">
      <c r="A55" s="375">
        <v>39</v>
      </c>
      <c r="B55" s="449" t="str">
        <f>IF(AND(综合数据!B5=TRUE,OR(BH50&lt;1,COUNTIF($BG$2:$BG$46,"图腾同调-虎"))),"图腾同调-虎","")</f>
        <v>图腾同调-虎</v>
      </c>
      <c r="C55" s="449" t="s">
        <v>2577</v>
      </c>
      <c r="D55" s="360" t="s">
        <v>2578</v>
      </c>
      <c r="E55" s="360" t="s">
        <v>2579</v>
      </c>
      <c r="F55" s="455" t="s">
        <v>2580</v>
      </c>
      <c r="G55" s="455" t="s">
        <v>2581</v>
      </c>
      <c r="H55" s="359" t="s">
        <v>2582</v>
      </c>
      <c r="I55" s="359" t="s">
        <v>2583</v>
      </c>
      <c r="J55" s="450" t="str">
        <f>IF(OR(BI55&gt;0,COUNTIF($BG$2:$BG$46,"战技-横扫攻击")),"战技-横扫攻击","")</f>
        <v/>
      </c>
      <c r="K55" s="450" t="s">
        <v>2584</v>
      </c>
      <c r="L55" s="453" t="str">
        <f>IF(OR(BI61&gt;0,COUNTIF($BG$2:$BG$46,"法门-凝气刚拳")),"法门-凝气刚拳","")</f>
        <v/>
      </c>
      <c r="M55" s="453" t="s">
        <v>2585</v>
      </c>
      <c r="N55" s="298" t="s">
        <v>2586</v>
      </c>
      <c r="O55" s="298" t="s">
        <v>2587</v>
      </c>
      <c r="P55" s="447" t="str">
        <f>IF(OR(BH63&lt;1,COUNTIF($BG$2:$BG$46,"多重攻击-剑刃风暴")),"多重攻击-剑刃风暴","")</f>
        <v>多重攻击-剑刃风暴</v>
      </c>
      <c r="Q55" s="447" t="s">
        <v>2588</v>
      </c>
      <c r="R55" s="360" t="s">
        <v>2589</v>
      </c>
      <c r="S55" s="360" t="s">
        <v>2590</v>
      </c>
      <c r="T55" s="359" t="s">
        <v>2591</v>
      </c>
      <c r="U55" s="359" t="s">
        <v>2592</v>
      </c>
      <c r="V55" s="434" t="str">
        <f>IF(OR(BI65&gt;0,COUNTIF($BG$2:$BG$46,"魔能祈唤-心灵泥沼")),"魔能祈唤-心灵泥沼","")</f>
        <v/>
      </c>
      <c r="W55" s="434" t="s">
        <v>2593</v>
      </c>
      <c r="X55" s="458" t="s">
        <v>2594</v>
      </c>
      <c r="Y55" s="458" t="s">
        <v>2595</v>
      </c>
      <c r="Z55" s="226" t="s">
        <v>2596</v>
      </c>
      <c r="AA55" s="456" t="s">
        <v>2597</v>
      </c>
      <c r="AB55" s="224"/>
      <c r="AC55" s="224"/>
      <c r="AD55" s="224"/>
      <c r="AE55" s="224"/>
      <c r="AF55" s="224"/>
      <c r="AL55" s="377" t="e">
        <f t="array" ref="AL55">INDEX(AK:AK,SMALL(IF($AK$18:$AK$35&lt;&gt;"",ROW($18:$35),36),ROW(AK15)))&amp;""</f>
        <v>#N/A</v>
      </c>
      <c r="AM55" s="411" t="s">
        <v>2598</v>
      </c>
      <c r="AN55" s="411"/>
      <c r="AO55" s="411">
        <v>86</v>
      </c>
      <c r="AP55" s="444">
        <f>_xlfn.IFS(AG6&gt;=18,91,AG6&gt;=15,90,AG6&gt;=10,89,AG6&gt;=7,88,AG6&gt;=3,87,1,0)</f>
        <v>0</v>
      </c>
      <c r="AQ55" s="307" t="e">
        <f t="shared" si="16"/>
        <v>#N/A</v>
      </c>
      <c r="AR55" s="224" t="e">
        <f t="shared" si="19"/>
        <v>#N/A</v>
      </c>
      <c r="AS55" s="224" t="e">
        <f t="shared" si="20"/>
        <v>#N/A</v>
      </c>
      <c r="AT55" s="374" t="e">
        <f t="shared" si="21"/>
        <v>#N/A</v>
      </c>
      <c r="AU55" s="307" t="e">
        <f t="shared" si="14"/>
        <v>#N/A</v>
      </c>
      <c r="AV55" s="224" t="e">
        <f t="shared" si="22"/>
        <v>#N/A</v>
      </c>
      <c r="AW55" s="224" t="e">
        <f t="shared" si="23"/>
        <v>#N/A</v>
      </c>
      <c r="AX55" s="374" t="e">
        <f t="shared" si="24"/>
        <v>#N/A</v>
      </c>
      <c r="AY55" s="307" t="e">
        <f t="shared" si="15"/>
        <v>#N/A</v>
      </c>
      <c r="AZ55" s="224" t="e">
        <f t="shared" si="25"/>
        <v>#N/A</v>
      </c>
      <c r="BA55" s="224" t="e">
        <f t="shared" si="26"/>
        <v>#N/A</v>
      </c>
      <c r="BB55" s="374" t="e">
        <f t="shared" si="27"/>
        <v>#N/A</v>
      </c>
      <c r="BC55" s="222" t="str">
        <f>IFERROR(INDEX($AQ$12:$BF$87,45,$BC$2),"")</f>
        <v/>
      </c>
      <c r="BD55" s="224" t="str">
        <f>IFERROR(INDEX($AQ$12:$BF$87,45,$BD$2),"")</f>
        <v/>
      </c>
      <c r="BE55" s="192" t="str">
        <f t="shared" si="18"/>
        <v/>
      </c>
      <c r="BF55" s="200" t="str">
        <f t="array" ref="BF55">INDEX(BE:BE,SMALL(IF($BE$2:$BE$143&lt;&gt;"",ROW($2:$143),144),ROW(BE54)))&amp;""</f>
        <v/>
      </c>
      <c r="BG55" s="459" t="s">
        <v>2599</v>
      </c>
      <c r="BH55" s="372">
        <f>COUNTIF($BG$2:$BG$46,"受祝击")+COUNTIF($BG$2:$BG$46,"神圣打击")+COUNTIF($BG$2:$BG$46,"强力施法")</f>
        <v>0</v>
      </c>
      <c r="BI55" s="374">
        <f>IF(COUNTIF(AD16:AD18,C6),_xlfn.IFS(AG6&gt;=15,9,AG6&gt;=10,7,AG6&gt;=7,5,AG6&gt;=3,3,1,0),0)+COUNTIF(专长数据!E2:E7,专长数据!A24)*2+COUNTIF(BG2:BG46,J26)-COUNTIF($BG$2:$BG$46,"战技-*")</f>
        <v>0</v>
      </c>
      <c r="BJ55" s="372"/>
      <c r="BK55" s="372"/>
      <c r="BL55" s="372"/>
      <c r="BM55" s="372"/>
      <c r="BN55" s="372"/>
      <c r="BO55" s="372"/>
      <c r="BP55" s="372"/>
      <c r="BQ55" s="372"/>
      <c r="BR55" s="372"/>
      <c r="BS55" s="372"/>
      <c r="BT55" s="372"/>
      <c r="BU55" s="372"/>
      <c r="BV55" s="372"/>
      <c r="BW55" s="372"/>
      <c r="BX55" s="372"/>
      <c r="BY55" s="372"/>
      <c r="BZ55" s="372"/>
    </row>
    <row r="56" customHeight="1" spans="1:78">
      <c r="A56" s="375">
        <v>40</v>
      </c>
      <c r="B56" s="298" t="s">
        <v>2600</v>
      </c>
      <c r="C56" s="298" t="s">
        <v>2601</v>
      </c>
      <c r="D56" s="360" t="s">
        <v>2602</v>
      </c>
      <c r="E56" s="360" t="s">
        <v>2603</v>
      </c>
      <c r="F56" s="359" t="s">
        <v>2604</v>
      </c>
      <c r="G56" s="359" t="s">
        <v>2605</v>
      </c>
      <c r="H56" s="359" t="s">
        <v>2606</v>
      </c>
      <c r="I56" s="359" t="s">
        <v>2607</v>
      </c>
      <c r="J56" s="450" t="str">
        <f>IF(OR(BI55&gt;0,COUNTIF($BG$2:$BG$46,"战技-摔绊攻击")),"战技-摔绊攻击","")</f>
        <v/>
      </c>
      <c r="K56" s="450" t="s">
        <v>2608</v>
      </c>
      <c r="L56" s="453" t="str">
        <f>IF(OR(BI61&gt;0,COUNTIF($BG$2:$BG$46,"法门-风灵突进")),"法门-风灵突进","")</f>
        <v/>
      </c>
      <c r="M56" s="453" t="s">
        <v>2609</v>
      </c>
      <c r="N56" s="453" t="s">
        <v>2610</v>
      </c>
      <c r="O56" s="453" t="s">
        <v>2611</v>
      </c>
      <c r="P56" s="297" t="s">
        <v>2612</v>
      </c>
      <c r="Q56" s="297" t="s">
        <v>2613</v>
      </c>
      <c r="R56" s="360" t="s">
        <v>2614</v>
      </c>
      <c r="S56" s="360" t="s">
        <v>2615</v>
      </c>
      <c r="T56" s="359" t="s">
        <v>2616</v>
      </c>
      <c r="U56" s="359" t="s">
        <v>2617</v>
      </c>
      <c r="V56" s="434" t="str">
        <f>IF(OR(BI65&gt;0,COUNTIF($BG$2:$BG$46,"魔能祈唤-融身入影")),"魔能祈唤-融身入影","")</f>
        <v/>
      </c>
      <c r="W56" s="434" t="s">
        <v>2618</v>
      </c>
      <c r="X56" s="458" t="s">
        <v>2619</v>
      </c>
      <c r="Y56" s="458" t="s">
        <v>2620</v>
      </c>
      <c r="Z56" s="226" t="s">
        <v>2621</v>
      </c>
      <c r="AA56" s="456" t="s">
        <v>2622</v>
      </c>
      <c r="AB56" s="224"/>
      <c r="AC56" s="224"/>
      <c r="AD56" s="224"/>
      <c r="AE56" s="224"/>
      <c r="AF56" s="224"/>
      <c r="AL56" s="377" t="e">
        <f t="array" ref="AL56">INDEX(AK:AK,SMALL(IF($AK$18:$AK$35&lt;&gt;"",ROW($18:$35),36),ROW(AK16)))&amp;""</f>
        <v>#N/A</v>
      </c>
      <c r="AM56" s="247" t="s">
        <v>2623</v>
      </c>
      <c r="AN56" s="247"/>
      <c r="AO56" s="247">
        <v>92</v>
      </c>
      <c r="AP56" s="460">
        <f>_xlfn.IFS(AG6&gt;=18,97,AG6&gt;=15,96,AG6&gt;=10,95,AG6&gt;=7,94,AG6&gt;=3,93,1,0)</f>
        <v>0</v>
      </c>
      <c r="AQ56" s="307" t="e">
        <f t="shared" si="16"/>
        <v>#N/A</v>
      </c>
      <c r="AR56" s="224" t="e">
        <f t="shared" si="19"/>
        <v>#N/A</v>
      </c>
      <c r="AS56" s="224" t="e">
        <f t="shared" si="20"/>
        <v>#N/A</v>
      </c>
      <c r="AT56" s="374" t="e">
        <f t="shared" si="21"/>
        <v>#N/A</v>
      </c>
      <c r="AU56" s="307" t="e">
        <f t="shared" si="14"/>
        <v>#N/A</v>
      </c>
      <c r="AV56" s="224" t="e">
        <f t="shared" si="22"/>
        <v>#N/A</v>
      </c>
      <c r="AW56" s="224" t="e">
        <f t="shared" si="23"/>
        <v>#N/A</v>
      </c>
      <c r="AX56" s="374" t="e">
        <f t="shared" si="24"/>
        <v>#N/A</v>
      </c>
      <c r="AY56" s="307" t="e">
        <f t="shared" si="15"/>
        <v>#N/A</v>
      </c>
      <c r="AZ56" s="224" t="e">
        <f t="shared" si="25"/>
        <v>#N/A</v>
      </c>
      <c r="BA56" s="224" t="e">
        <f t="shared" si="26"/>
        <v>#N/A</v>
      </c>
      <c r="BB56" s="374" t="e">
        <f t="shared" si="27"/>
        <v>#N/A</v>
      </c>
      <c r="BC56" s="222" t="str">
        <f>IFERROR(INDEX($AQ$12:$BF$87,46,$BC$2),"")</f>
        <v/>
      </c>
      <c r="BD56" s="224" t="str">
        <f>IFERROR(INDEX($AQ$12:$BF$87,46,$BD$2),"")</f>
        <v/>
      </c>
      <c r="BE56" s="192" t="str">
        <f t="shared" si="18"/>
        <v/>
      </c>
      <c r="BF56" s="200" t="str">
        <f t="array" ref="BF56">INDEX(BE:BE,SMALL(IF($BE$2:$BE$143&lt;&gt;"",ROW($2:$143),144),ROW(BE55)))&amp;""</f>
        <v/>
      </c>
      <c r="BG56" s="461" t="s">
        <v>2106</v>
      </c>
      <c r="BH56" s="372">
        <f>COUNTIF($BG$2:$BG$46,"结社法术-*")</f>
        <v>0</v>
      </c>
      <c r="BI56" s="462" t="s">
        <v>2624</v>
      </c>
      <c r="BJ56" s="372"/>
      <c r="BK56" s="372"/>
      <c r="BL56" s="372"/>
      <c r="BM56" s="372"/>
      <c r="BN56" s="372"/>
      <c r="BO56" s="372"/>
      <c r="BP56" s="372"/>
      <c r="BQ56" s="372"/>
      <c r="BR56" s="372"/>
      <c r="BS56" s="372"/>
      <c r="BT56" s="372"/>
      <c r="BU56" s="372"/>
      <c r="BV56" s="372"/>
      <c r="BW56" s="372"/>
      <c r="BX56" s="372"/>
      <c r="BY56" s="372"/>
      <c r="BZ56" s="372"/>
    </row>
    <row r="57" customHeight="1" spans="1:78">
      <c r="A57" s="375">
        <v>41</v>
      </c>
      <c r="B57" s="298" t="s">
        <v>2625</v>
      </c>
      <c r="C57" s="298" t="s">
        <v>2626</v>
      </c>
      <c r="D57" s="360" t="s">
        <v>2627</v>
      </c>
      <c r="E57" s="360" t="s">
        <v>2628</v>
      </c>
      <c r="F57" s="359" t="str">
        <f>IF(OR(BH55&lt;1,COUNTIF($BG$2:$BG$46,"神圣打击")),"神圣打击","")</f>
        <v>神圣打击</v>
      </c>
      <c r="G57" s="359" t="s">
        <v>2629</v>
      </c>
      <c r="H57" s="359" t="s">
        <v>2630</v>
      </c>
      <c r="I57" s="359" t="s">
        <v>2631</v>
      </c>
      <c r="J57" s="463" t="str">
        <f>IF(AND(综合数据!B14=TRUE,OR(BI55&gt;0,COUNTIF($BG$2:$BG$46,"战技-突袭"))),"战技-突袭","")</f>
        <v/>
      </c>
      <c r="K57" s="450" t="s">
        <v>2632</v>
      </c>
      <c r="L57" s="453" t="str">
        <f>IF(OR(BI61&gt;0,COUNTIF($BG$2:$BG$46,"法门-身化长流")),"法门-身化长流","")</f>
        <v/>
      </c>
      <c r="M57" s="453" t="s">
        <v>2633</v>
      </c>
      <c r="N57" s="453" t="s">
        <v>2634</v>
      </c>
      <c r="O57" s="453" t="s">
        <v>2635</v>
      </c>
      <c r="P57" s="447" t="str">
        <f>IF(OR(BH64&lt;1,COUNTIF($BG$2:$BG$46,"高效猎人防术-反射闪避")),"高效猎人防术-反射闪避","")</f>
        <v>高效猎人防术-反射闪避</v>
      </c>
      <c r="Q57" s="447" t="s">
        <v>2636</v>
      </c>
      <c r="R57" s="360" t="s">
        <v>2637</v>
      </c>
      <c r="S57" s="360" t="s">
        <v>2638</v>
      </c>
      <c r="T57" s="359" t="s">
        <v>2639</v>
      </c>
      <c r="U57" s="359" t="s">
        <v>2640</v>
      </c>
      <c r="V57" s="434" t="str">
        <f>IF(OR(BI65&gt;0,COUNTIF($BG$2:$BG$46,"魔能祈唤-凶兆符记")),"魔能祈唤-凶兆符记","")</f>
        <v/>
      </c>
      <c r="W57" s="434" t="s">
        <v>2641</v>
      </c>
      <c r="X57" s="458" t="s">
        <v>2642</v>
      </c>
      <c r="Y57" s="458" t="s">
        <v>2643</v>
      </c>
      <c r="Z57" s="298" t="s">
        <v>2507</v>
      </c>
      <c r="AA57" s="464" t="s">
        <v>2644</v>
      </c>
      <c r="AB57" s="224"/>
      <c r="AC57" s="224"/>
      <c r="AD57" s="224"/>
      <c r="AE57" s="224"/>
      <c r="AF57" s="224"/>
      <c r="AL57" s="377" t="e">
        <f t="array" ref="AL57">INDEX(AK:AK,SMALL(IF($AK$18:$AK$35&lt;&gt;"",ROW($18:$35),36),ROW(AK17)))&amp;""</f>
        <v>#N/A</v>
      </c>
      <c r="AM57" s="250" t="s">
        <v>2645</v>
      </c>
      <c r="AN57" s="250"/>
      <c r="AO57" s="250">
        <v>98</v>
      </c>
      <c r="AP57" s="448">
        <f>_xlfn.IFS(AG6&gt;=18,110,AG6&gt;=15,109,AG6&gt;=10,108,AG6&gt;=7,107,AG6&gt;=3,104,1,0)</f>
        <v>0</v>
      </c>
      <c r="AQ57" s="307" t="e">
        <f t="shared" si="16"/>
        <v>#N/A</v>
      </c>
      <c r="AR57" s="224" t="e">
        <f t="shared" si="19"/>
        <v>#N/A</v>
      </c>
      <c r="AS57" s="224" t="e">
        <f t="shared" si="20"/>
        <v>#N/A</v>
      </c>
      <c r="AT57" s="374" t="e">
        <f t="shared" si="21"/>
        <v>#N/A</v>
      </c>
      <c r="AU57" s="307" t="e">
        <f t="shared" si="14"/>
        <v>#N/A</v>
      </c>
      <c r="AV57" s="224" t="e">
        <f t="shared" si="22"/>
        <v>#N/A</v>
      </c>
      <c r="AW57" s="224" t="e">
        <f t="shared" si="23"/>
        <v>#N/A</v>
      </c>
      <c r="AX57" s="374" t="e">
        <f t="shared" si="24"/>
        <v>#N/A</v>
      </c>
      <c r="AY57" s="307" t="e">
        <f t="shared" si="15"/>
        <v>#N/A</v>
      </c>
      <c r="AZ57" s="224" t="e">
        <f t="shared" si="25"/>
        <v>#N/A</v>
      </c>
      <c r="BA57" s="224" t="e">
        <f t="shared" si="26"/>
        <v>#N/A</v>
      </c>
      <c r="BB57" s="374" t="e">
        <f t="shared" si="27"/>
        <v>#N/A</v>
      </c>
      <c r="BC57" s="222" t="str">
        <f>IFERROR(INDEX($AQ$12:$BF$87,47,$BC$2),"")</f>
        <v/>
      </c>
      <c r="BD57" s="224" t="str">
        <f>IFERROR(INDEX($AQ$12:$BF$87,47,$BD$2),"")</f>
        <v/>
      </c>
      <c r="BE57" s="192" t="str">
        <f t="shared" si="18"/>
        <v/>
      </c>
      <c r="BF57" s="200" t="str">
        <f t="array" ref="BF57">INDEX(BE:BE,SMALL(IF($BE$2:$BE$143&lt;&gt;"",ROW($2:$143),144),ROW(BE56)))&amp;""</f>
        <v/>
      </c>
      <c r="BG57" s="465" t="s">
        <v>2646</v>
      </c>
      <c r="BH57" s="372">
        <f>COUNTIF($BG$2:$BG$46,"宿敌")+COUNTIF($BG$2:$BG$46,"夙敌")</f>
        <v>0</v>
      </c>
      <c r="BI57" s="374">
        <f>IF(COUNTIF(AD16:AD18,F6),_xlfn.IFS(AG6&gt;=18,6,AG6&gt;=15,5,AG6&gt;=10,4,AG6&gt;=7,3,AG6&gt;=3,2,1,0),0)-COUNTIF($BG$2:$BG$46,"奥术射击-*")</f>
        <v>0</v>
      </c>
      <c r="BJ57" s="372"/>
      <c r="BK57" s="372"/>
      <c r="BL57" s="372"/>
      <c r="BM57" s="372"/>
      <c r="BN57" s="372"/>
      <c r="BO57" s="372"/>
      <c r="BP57" s="372"/>
      <c r="BQ57" s="372"/>
      <c r="BR57" s="372"/>
      <c r="BS57" s="372"/>
      <c r="BT57" s="372"/>
      <c r="BU57" s="372"/>
      <c r="BV57" s="372"/>
      <c r="BW57" s="372"/>
      <c r="BX57" s="372"/>
      <c r="BY57" s="372"/>
      <c r="BZ57" s="372"/>
    </row>
    <row r="58" customHeight="1" spans="1:78">
      <c r="A58" s="375">
        <v>42</v>
      </c>
      <c r="B58" s="298" t="s">
        <v>2647</v>
      </c>
      <c r="C58" s="298" t="s">
        <v>2648</v>
      </c>
      <c r="D58" s="458" t="s">
        <v>2649</v>
      </c>
      <c r="E58" s="458" t="s">
        <v>2650</v>
      </c>
      <c r="F58" s="359" t="s">
        <v>2651</v>
      </c>
      <c r="G58" s="359" t="s">
        <v>2652</v>
      </c>
      <c r="H58" s="359" t="s">
        <v>2653</v>
      </c>
      <c r="I58" s="359" t="s">
        <v>2654</v>
      </c>
      <c r="J58" s="463" t="str">
        <f>IF(AND(综合数据!B14=TRUE,OR(BI55&gt;0,COUNTIF($BG$2:$BG$46,"战技-诱饵战术"))),"战技-诱饵战术","")</f>
        <v/>
      </c>
      <c r="K58" s="450" t="s">
        <v>2655</v>
      </c>
      <c r="L58" s="453" t="str">
        <f>IF(OR(BI61&gt;0,COUNTIF($BG$2:$BG$46,"法门-飞炎击")),"法门-飞炎击","")</f>
        <v/>
      </c>
      <c r="M58" s="453" t="s">
        <v>2656</v>
      </c>
      <c r="N58" s="298" t="s">
        <v>2657</v>
      </c>
      <c r="O58" s="298" t="s">
        <v>2658</v>
      </c>
      <c r="P58" s="447" t="str">
        <f>IF(OR(BH64&lt;1,COUNTIF($BG$2:$BG$46,"高效猎人防术-逆流而上")),"高效猎人防术-逆流而上","")</f>
        <v>高效猎人防术-逆流而上</v>
      </c>
      <c r="Q58" s="447" t="s">
        <v>2659</v>
      </c>
      <c r="R58" s="360" t="s">
        <v>2660</v>
      </c>
      <c r="S58" s="360" t="s">
        <v>2661</v>
      </c>
      <c r="T58" s="360" t="s">
        <v>2662</v>
      </c>
      <c r="U58" s="360" t="s">
        <v>2663</v>
      </c>
      <c r="V58" s="434" t="str">
        <f>IF(OR(BI65&gt;0,COUNTIF($BG$2:$BG$46,"魔能祈唤-饥渴魔刃")),"魔能祈唤-饥渴魔刃","")</f>
        <v/>
      </c>
      <c r="W58" s="434" t="s">
        <v>2664</v>
      </c>
      <c r="X58" s="297" t="s">
        <v>2665</v>
      </c>
      <c r="Y58" s="297" t="s">
        <v>2666</v>
      </c>
      <c r="Z58" s="298" t="s">
        <v>2667</v>
      </c>
      <c r="AA58" s="464" t="s">
        <v>2668</v>
      </c>
      <c r="AB58" s="224"/>
      <c r="AC58" s="224"/>
      <c r="AD58" s="224"/>
      <c r="AE58" s="224"/>
      <c r="AF58" s="224"/>
      <c r="AJ58" s="224"/>
      <c r="AK58" s="224"/>
      <c r="AL58" s="398" t="e">
        <f t="array" ref="AL58">INDEX(AK:AK,SMALL(IF($AK$18:$AK$35&lt;&gt;"",ROW($18:$35),36),ROW(AK18)))&amp;""</f>
        <v>#N/A</v>
      </c>
      <c r="AM58" s="250" t="s">
        <v>2669</v>
      </c>
      <c r="AN58" s="250"/>
      <c r="AO58" s="250">
        <v>111</v>
      </c>
      <c r="AP58" s="448">
        <f>_xlfn.IFS(AG6&gt;=18,120,AG6&gt;=15,119,AG6&gt;=10,118,AG6&gt;=7,117,AG6&gt;=3,114,1,0)</f>
        <v>0</v>
      </c>
      <c r="AQ58" s="307" t="e">
        <f t="shared" si="16"/>
        <v>#N/A</v>
      </c>
      <c r="AR58" s="224" t="e">
        <f t="shared" si="19"/>
        <v>#N/A</v>
      </c>
      <c r="AS58" s="224" t="e">
        <f t="shared" si="20"/>
        <v>#N/A</v>
      </c>
      <c r="AT58" s="374" t="e">
        <f t="shared" si="21"/>
        <v>#N/A</v>
      </c>
      <c r="AU58" s="307" t="e">
        <f t="shared" si="14"/>
        <v>#N/A</v>
      </c>
      <c r="AV58" s="224" t="e">
        <f t="shared" si="22"/>
        <v>#N/A</v>
      </c>
      <c r="AW58" s="224" t="e">
        <f t="shared" si="23"/>
        <v>#N/A</v>
      </c>
      <c r="AX58" s="374" t="e">
        <f t="shared" si="24"/>
        <v>#N/A</v>
      </c>
      <c r="AY58" s="307" t="e">
        <f t="shared" si="15"/>
        <v>#N/A</v>
      </c>
      <c r="AZ58" s="224" t="e">
        <f t="shared" si="25"/>
        <v>#N/A</v>
      </c>
      <c r="BA58" s="224" t="e">
        <f t="shared" si="26"/>
        <v>#N/A</v>
      </c>
      <c r="BB58" s="374" t="e">
        <f t="shared" si="27"/>
        <v>#N/A</v>
      </c>
      <c r="BC58" s="222" t="str">
        <f>IFERROR(INDEX($AQ$12:$BF$87,48,$BC$2),"")</f>
        <v/>
      </c>
      <c r="BD58" s="224" t="str">
        <f>IFERROR(INDEX($AQ$12:$BF$87,48,$BD$2),"")</f>
        <v/>
      </c>
      <c r="BE58" s="192" t="str">
        <f t="shared" ref="BE58:BE84" si="28">IFERROR(IF(OR(BC60="",COUNTIF($BG$2:$BG$46,BC60)),"",BC60),"")</f>
        <v/>
      </c>
      <c r="BF58" s="200" t="str">
        <f t="array" ref="BF58">INDEX(BE:BE,SMALL(IF($BE$2:$BE$143&lt;&gt;"",ROW($2:$143),144),ROW(BE57)))&amp;""</f>
        <v/>
      </c>
      <c r="BG58" s="465" t="s">
        <v>2670</v>
      </c>
      <c r="BH58" s="372">
        <f>COUNTIF($BG$2:$BG$46,"自然探索者")+COUNTIF($BG$2:$BG$46,"熟练探险家")</f>
        <v>0</v>
      </c>
      <c r="BI58" s="464" t="s">
        <v>2671</v>
      </c>
      <c r="BJ58" s="372"/>
      <c r="BK58" s="372"/>
      <c r="BL58" s="372"/>
      <c r="BM58" s="372"/>
      <c r="BN58" s="372"/>
      <c r="BO58" s="372"/>
      <c r="BP58" s="372"/>
      <c r="BQ58" s="372"/>
      <c r="BR58" s="372"/>
      <c r="BS58" s="372"/>
      <c r="BT58" s="372"/>
      <c r="BU58" s="372"/>
      <c r="BV58" s="372"/>
      <c r="BW58" s="372"/>
      <c r="BX58" s="372"/>
      <c r="BY58" s="372"/>
      <c r="BZ58" s="372"/>
    </row>
    <row r="59" customHeight="1" spans="1:78">
      <c r="A59" s="375">
        <v>43</v>
      </c>
      <c r="B59" s="298" t="s">
        <v>2672</v>
      </c>
      <c r="C59" s="298" t="s">
        <v>2673</v>
      </c>
      <c r="D59" s="458" t="s">
        <v>2674</v>
      </c>
      <c r="E59" s="458" t="s">
        <v>2675</v>
      </c>
      <c r="F59" s="360" t="s">
        <v>2676</v>
      </c>
      <c r="G59" s="360" t="s">
        <v>2677</v>
      </c>
      <c r="H59" s="360" t="s">
        <v>2106</v>
      </c>
      <c r="I59" s="360" t="s">
        <v>2678</v>
      </c>
      <c r="J59" s="463" t="str">
        <f>IF(AND(综合数据!B14=TRUE,OR(BI55&gt;0,COUNTIF($BG$2:$BG$46,"战技-警戒"))),"战技-警戒","")</f>
        <v/>
      </c>
      <c r="K59" s="450" t="s">
        <v>2679</v>
      </c>
      <c r="L59" s="453" t="str">
        <f>IF(OR(BI61&gt;0,COUNTIF($BG$2:$BG$46,"法门-清流鞭")),"法门-清流鞭","")</f>
        <v/>
      </c>
      <c r="M59" s="453" t="s">
        <v>2680</v>
      </c>
      <c r="N59" s="298" t="s">
        <v>2681</v>
      </c>
      <c r="O59" s="298" t="s">
        <v>2682</v>
      </c>
      <c r="P59" s="447" t="str">
        <f>IF(OR(BH64&lt;1,COUNTIF($BG$2:$BG$46,"高效猎人防术-直觉闪避")),"高效猎人防术-直觉闪避","")</f>
        <v>高效猎人防术-直觉闪避</v>
      </c>
      <c r="Q59" s="447" t="s">
        <v>2683</v>
      </c>
      <c r="R59" s="360" t="s">
        <v>2684</v>
      </c>
      <c r="S59" s="360" t="s">
        <v>2685</v>
      </c>
      <c r="T59" s="360" t="s">
        <v>2686</v>
      </c>
      <c r="U59" s="360" t="s">
        <v>2687</v>
      </c>
      <c r="V59" s="435" t="str">
        <f>IF(AND(综合数据!B14=TRUE,OR(BI65&gt;0,COUNTIF($BG$2:$BG$46,"魔能祈唤-飞蝇斗篷"))),"魔能祈唤-飞蝇斗篷","")</f>
        <v/>
      </c>
      <c r="W59" s="435" t="s">
        <v>2688</v>
      </c>
      <c r="X59" s="297" t="s">
        <v>2689</v>
      </c>
      <c r="Y59" s="297" t="s">
        <v>2690</v>
      </c>
      <c r="Z59" s="298" t="s">
        <v>2691</v>
      </c>
      <c r="AA59" s="464" t="s">
        <v>2692</v>
      </c>
      <c r="AB59" s="224"/>
      <c r="AC59" s="224"/>
      <c r="AD59" s="224"/>
      <c r="AE59" s="224"/>
      <c r="AF59" s="224"/>
      <c r="AJ59" s="224"/>
      <c r="AK59" s="224"/>
      <c r="AL59" s="372"/>
      <c r="AM59" s="413" t="s">
        <v>1657</v>
      </c>
      <c r="AN59" s="413">
        <v>6</v>
      </c>
      <c r="AO59" s="413">
        <v>1</v>
      </c>
      <c r="AP59" s="438">
        <f>_xlfn.IFS(AG7=20,25,AG7&gt;=18,24,AG7&gt;=15,23,AG7=14,22,AG7=13,21,AG7&gt;=10,20,AG7&gt;=7,19,AG7=6,17,AG7=5,16,AG7=4,13,AG7=3,11,AG7=2,8,AG7=1,2,1,0)</f>
        <v>0</v>
      </c>
      <c r="AQ59" s="307" t="e">
        <f t="shared" si="16"/>
        <v>#N/A</v>
      </c>
      <c r="AR59" s="224" t="e">
        <f t="shared" si="19"/>
        <v>#N/A</v>
      </c>
      <c r="AS59" s="224" t="e">
        <f t="shared" si="20"/>
        <v>#N/A</v>
      </c>
      <c r="AT59" s="374" t="e">
        <f t="shared" si="21"/>
        <v>#N/A</v>
      </c>
      <c r="AU59" s="307" t="e">
        <f t="shared" si="14"/>
        <v>#N/A</v>
      </c>
      <c r="AV59" s="224" t="e">
        <f t="shared" si="22"/>
        <v>#N/A</v>
      </c>
      <c r="AW59" s="224" t="e">
        <f t="shared" si="23"/>
        <v>#N/A</v>
      </c>
      <c r="AX59" s="374" t="e">
        <f t="shared" si="24"/>
        <v>#N/A</v>
      </c>
      <c r="AY59" s="307" t="e">
        <f t="shared" si="15"/>
        <v>#N/A</v>
      </c>
      <c r="AZ59" s="224" t="e">
        <f t="shared" si="25"/>
        <v>#N/A</v>
      </c>
      <c r="BA59" s="224" t="e">
        <f t="shared" si="26"/>
        <v>#N/A</v>
      </c>
      <c r="BB59" s="374" t="e">
        <f t="shared" si="27"/>
        <v>#N/A</v>
      </c>
      <c r="BC59" s="222" t="str">
        <f>IFERROR(INDEX($AQ$12:$BF$87,49,$BC$2),"")</f>
        <v/>
      </c>
      <c r="BD59" s="224" t="str">
        <f>IFERROR(INDEX($AQ$12:$BF$87,49,$BD$2),"")</f>
        <v/>
      </c>
      <c r="BE59" s="192" t="str">
        <f t="shared" si="28"/>
        <v/>
      </c>
      <c r="BF59" s="200" t="str">
        <f t="array" ref="BF59">INDEX(BE:BE,SMALL(IF($BE$2:$BE$143&lt;&gt;"",ROW($2:$143),144),ROW(BE58)))&amp;""</f>
        <v/>
      </c>
      <c r="BG59" s="465" t="s">
        <v>2693</v>
      </c>
      <c r="BH59" s="372">
        <f>COUNTIF($BG$2:$BG$46,"原初意识")+COUNTIF($BG$2:$BG$46,"原始意识")</f>
        <v>0</v>
      </c>
      <c r="BI59" s="374">
        <f>IF(COUNTIF(AD16:AD18,J6),_xlfn.IFS(AG6&gt;=15,5,AG6&gt;=10,4,AG6&gt;=7,3,AG6&gt;=3,2,1,0),0)-COUNTIF($BG$2:$BG$46,"符文-*")</f>
        <v>0</v>
      </c>
      <c r="BJ59" s="372"/>
      <c r="BK59" s="372"/>
      <c r="BL59" s="372"/>
      <c r="BM59" s="372"/>
      <c r="BN59" s="372"/>
      <c r="BO59" s="372"/>
      <c r="BP59" s="372"/>
      <c r="BQ59" s="372"/>
      <c r="BR59" s="372"/>
      <c r="BS59" s="372"/>
      <c r="BT59" s="372"/>
      <c r="BU59" s="372"/>
      <c r="BV59" s="372"/>
      <c r="BW59" s="372"/>
      <c r="BX59" s="372"/>
      <c r="BY59" s="372"/>
      <c r="BZ59" s="372"/>
    </row>
    <row r="60" customHeight="1" spans="1:78">
      <c r="A60" s="375">
        <v>44</v>
      </c>
      <c r="B60" s="359" t="s">
        <v>2694</v>
      </c>
      <c r="C60" s="359" t="s">
        <v>2695</v>
      </c>
      <c r="D60" s="458" t="s">
        <v>2696</v>
      </c>
      <c r="E60" s="458" t="s">
        <v>2697</v>
      </c>
      <c r="F60" s="360" t="s">
        <v>2229</v>
      </c>
      <c r="G60" s="360" t="s">
        <v>2698</v>
      </c>
      <c r="H60" s="360" t="s">
        <v>2699</v>
      </c>
      <c r="I60" s="360" t="s">
        <v>2700</v>
      </c>
      <c r="J60" s="463" t="str">
        <f>IF(AND(综合数据!B14=TRUE,OR(BI55&gt;0,COUNTIF($BG$2:$BG$46,"战技-领导风范"))),"战技-领导风范","")</f>
        <v/>
      </c>
      <c r="K60" s="450" t="s">
        <v>2701</v>
      </c>
      <c r="L60" s="453" t="str">
        <f>IF(OR(BI61&gt;0,COUNTIF($BG$2:$BG$46,"法门-北风之握")),"法门-北风之握","")</f>
        <v/>
      </c>
      <c r="M60" s="453" t="s">
        <v>2702</v>
      </c>
      <c r="N60" s="298" t="s">
        <v>2703</v>
      </c>
      <c r="O60" s="298" t="s">
        <v>2704</v>
      </c>
      <c r="P60" s="449" t="str">
        <f>IF(OR(BH65&lt;1,COUNTIF($BG$2:$BG$46,"游侠伴侣")),"游侠伴侣","")</f>
        <v>游侠伴侣</v>
      </c>
      <c r="Q60" s="449" t="s">
        <v>2705</v>
      </c>
      <c r="R60" s="458" t="s">
        <v>2706</v>
      </c>
      <c r="S60" s="458" t="s">
        <v>2707</v>
      </c>
      <c r="T60" s="360" t="s">
        <v>2708</v>
      </c>
      <c r="U60" s="360" t="s">
        <v>2709</v>
      </c>
      <c r="V60" s="435" t="str">
        <f>IF(AND(综合数据!B14=TRUE,COUNTIF(BG2:BG44,"*刃之魔契"),OR(BI65&gt;0,COUNTIF($BG$2:$BG$46,"魔能祈唤-魔能斩击"))),"魔能祈唤-魔能斩击","")</f>
        <v/>
      </c>
      <c r="W60" s="439" t="s">
        <v>2710</v>
      </c>
      <c r="X60" s="297" t="s">
        <v>2711</v>
      </c>
      <c r="Y60" s="297" t="s">
        <v>2712</v>
      </c>
      <c r="Z60" s="466" t="s">
        <v>2713</v>
      </c>
      <c r="AA60" s="467" t="s">
        <v>2714</v>
      </c>
      <c r="AB60" s="468"/>
      <c r="AC60" s="468"/>
      <c r="AD60" s="468"/>
      <c r="AE60" s="468"/>
      <c r="AF60" s="468"/>
      <c r="AJ60" s="468"/>
      <c r="AK60" s="468"/>
      <c r="AL60" s="372"/>
      <c r="AM60" s="373" t="s">
        <v>1658</v>
      </c>
      <c r="AN60" s="373"/>
      <c r="AO60" s="373">
        <v>26</v>
      </c>
      <c r="AP60" s="374">
        <f>_xlfn.IFS(AG7&gt;=17,29,AG7&gt;=11,28,AG7&gt;=6,27,AG7&gt;=3,26,1,0)</f>
        <v>0</v>
      </c>
      <c r="AQ60" s="307" t="e">
        <f t="shared" si="16"/>
        <v>#N/A</v>
      </c>
      <c r="AR60" s="224" t="e">
        <f t="shared" si="19"/>
        <v>#N/A</v>
      </c>
      <c r="AS60" s="224" t="e">
        <f t="shared" si="20"/>
        <v>#N/A</v>
      </c>
      <c r="AT60" s="374" t="e">
        <f t="shared" si="21"/>
        <v>#N/A</v>
      </c>
      <c r="AU60" s="307" t="e">
        <f t="shared" si="14"/>
        <v>#N/A</v>
      </c>
      <c r="AV60" s="224" t="e">
        <f t="shared" si="22"/>
        <v>#N/A</v>
      </c>
      <c r="AW60" s="224" t="e">
        <f t="shared" si="23"/>
        <v>#N/A</v>
      </c>
      <c r="AX60" s="374" t="e">
        <f t="shared" si="24"/>
        <v>#N/A</v>
      </c>
      <c r="AY60" s="307" t="e">
        <f t="shared" si="15"/>
        <v>#N/A</v>
      </c>
      <c r="AZ60" s="224" t="e">
        <f t="shared" si="25"/>
        <v>#N/A</v>
      </c>
      <c r="BA60" s="224" t="e">
        <f t="shared" si="26"/>
        <v>#N/A</v>
      </c>
      <c r="BB60" s="374" t="e">
        <f t="shared" si="27"/>
        <v>#N/A</v>
      </c>
      <c r="BC60" s="222" t="str">
        <f>IFERROR(INDEX($AQ$12:$BF$87,50,$BC$2),"")</f>
        <v/>
      </c>
      <c r="BD60" s="224" t="str">
        <f>IFERROR(INDEX($AQ$12:$BF$87,50,$BD$2),"")</f>
        <v/>
      </c>
      <c r="BE60" s="192" t="str">
        <f t="shared" si="28"/>
        <v/>
      </c>
      <c r="BF60" s="200" t="str">
        <f t="array" ref="BF60">INDEX(BE:BE,SMALL(IF($BE$2:$BE$143&lt;&gt;"",ROW($2:$143),144),ROW(BE59)))&amp;""</f>
        <v/>
      </c>
      <c r="BG60" s="465" t="s">
        <v>2715</v>
      </c>
      <c r="BH60" s="372">
        <f>COUNTIF($BG$2:$BG$46,"遁术")+COUNTIF($BG$2:$BG$46,"自然面纱")</f>
        <v>0</v>
      </c>
      <c r="BI60" s="464" t="s">
        <v>2495</v>
      </c>
      <c r="BJ60" s="372"/>
      <c r="BK60" s="372"/>
      <c r="BL60" s="372"/>
      <c r="BM60" s="372"/>
      <c r="BN60" s="372"/>
      <c r="BO60" s="372"/>
      <c r="BP60" s="372"/>
      <c r="BQ60" s="372"/>
      <c r="BR60" s="372"/>
      <c r="BS60" s="372"/>
      <c r="BT60" s="372"/>
      <c r="BU60" s="372"/>
      <c r="BV60" s="372"/>
      <c r="BW60" s="372"/>
      <c r="BX60" s="372"/>
      <c r="BY60" s="372"/>
      <c r="BZ60" s="372"/>
    </row>
    <row r="61" customHeight="1" spans="1:78">
      <c r="A61" s="375">
        <v>45</v>
      </c>
      <c r="B61" s="359" t="s">
        <v>2716</v>
      </c>
      <c r="C61" s="359" t="s">
        <v>2717</v>
      </c>
      <c r="D61" s="458" t="s">
        <v>2718</v>
      </c>
      <c r="E61" s="458" t="s">
        <v>2719</v>
      </c>
      <c r="F61" s="360" t="s">
        <v>2720</v>
      </c>
      <c r="G61" s="360" t="s">
        <v>2721</v>
      </c>
      <c r="H61" s="360" t="s">
        <v>2722</v>
      </c>
      <c r="I61" s="360" t="s">
        <v>2723</v>
      </c>
      <c r="J61" s="463" t="str">
        <f>IF(AND(综合数据!B14=TRUE,OR(BI55&gt;0,COUNTIF($BG$2:$BG$46,"战技-擒拿击"))),"战技-擒拿击","")</f>
        <v/>
      </c>
      <c r="K61" s="450" t="s">
        <v>2724</v>
      </c>
      <c r="L61" s="453" t="str">
        <f>IF(OR(BI61&gt;0,COUNTIF($BG$2:$BG$46,"法门-狮吼功")),"法门-狮吼功","")</f>
        <v/>
      </c>
      <c r="M61" s="453" t="s">
        <v>2725</v>
      </c>
      <c r="N61" s="359" t="s">
        <v>2726</v>
      </c>
      <c r="O61" s="359" t="s">
        <v>2727</v>
      </c>
      <c r="P61" s="463" t="str">
        <f>IF(AND(综合数据!B14=TRUE,OR(BH65&lt;1,COUNTIF($BG$2:$BG$46,"原初伴侣"))),"原初伴侣","")</f>
        <v>原初伴侣</v>
      </c>
      <c r="Q61" s="449" t="s">
        <v>2728</v>
      </c>
      <c r="R61" s="458" t="s">
        <v>2729</v>
      </c>
      <c r="S61" s="458" t="s">
        <v>2730</v>
      </c>
      <c r="T61" s="360" t="s">
        <v>2731</v>
      </c>
      <c r="U61" s="360" t="s">
        <v>2732</v>
      </c>
      <c r="V61" s="435" t="str">
        <f>IF(AND(综合数据!B14=TRUE,OR(BI65&gt;0,COUNTIF($BG$2:$BG$46,"魔能祈唤-深海赠礼"))),"魔能祈唤-深海赠礼","")</f>
        <v/>
      </c>
      <c r="W61" s="434" t="s">
        <v>2733</v>
      </c>
      <c r="X61" s="297" t="s">
        <v>2734</v>
      </c>
      <c r="Y61" s="297" t="s">
        <v>2735</v>
      </c>
      <c r="Z61" s="466" t="s">
        <v>2736</v>
      </c>
      <c r="AA61" s="467" t="s">
        <v>2737</v>
      </c>
      <c r="AB61" s="468"/>
      <c r="AC61" s="468"/>
      <c r="AD61" s="468"/>
      <c r="AE61" s="468"/>
      <c r="AF61" s="468"/>
      <c r="AJ61" s="468"/>
      <c r="AK61" s="468"/>
      <c r="AL61" s="372"/>
      <c r="AM61" s="307" t="s">
        <v>1659</v>
      </c>
      <c r="AN61" s="373"/>
      <c r="AO61" s="373">
        <v>30</v>
      </c>
      <c r="AP61" s="374">
        <f>_xlfn.IFS(AG7&gt;=17,33,AG7&gt;=11,32,AG7&gt;=6,31,AG7&gt;=3,30,1,0)</f>
        <v>0</v>
      </c>
      <c r="AQ61" s="307" t="e">
        <f t="shared" si="16"/>
        <v>#N/A</v>
      </c>
      <c r="AR61" s="224" t="e">
        <f t="shared" si="19"/>
        <v>#N/A</v>
      </c>
      <c r="AS61" s="224" t="e">
        <f t="shared" si="20"/>
        <v>#N/A</v>
      </c>
      <c r="AT61" s="374" t="e">
        <f t="shared" si="21"/>
        <v>#N/A</v>
      </c>
      <c r="AU61" s="307" t="e">
        <f t="shared" si="14"/>
        <v>#N/A</v>
      </c>
      <c r="AV61" s="224" t="e">
        <f t="shared" si="22"/>
        <v>#N/A</v>
      </c>
      <c r="AW61" s="224" t="e">
        <f t="shared" si="23"/>
        <v>#N/A</v>
      </c>
      <c r="AX61" s="374" t="e">
        <f t="shared" si="24"/>
        <v>#N/A</v>
      </c>
      <c r="AY61" s="307" t="e">
        <f t="shared" si="15"/>
        <v>#N/A</v>
      </c>
      <c r="AZ61" s="224" t="e">
        <f t="shared" si="25"/>
        <v>#N/A</v>
      </c>
      <c r="BA61" s="224" t="e">
        <f t="shared" si="26"/>
        <v>#N/A</v>
      </c>
      <c r="BB61" s="374" t="e">
        <f t="shared" si="27"/>
        <v>#N/A</v>
      </c>
      <c r="BC61" s="222" t="str">
        <f>IFERROR(INDEX($AQ$12:$BF$87,51,$BC$2),"")</f>
        <v/>
      </c>
      <c r="BD61" s="224" t="str">
        <f>IFERROR(INDEX($AQ$12:$BF$87,51,$BD$2),"")</f>
        <v/>
      </c>
      <c r="BE61" s="192" t="str">
        <f t="shared" si="28"/>
        <v/>
      </c>
      <c r="BF61" s="200" t="str">
        <f t="array" ref="BF61">INDEX(BE:BE,SMALL(IF($BE$2:$BE$143&lt;&gt;"",ROW($2:$143),144),ROW(BE60)))&amp;""</f>
        <v/>
      </c>
      <c r="BG61" s="461" t="s">
        <v>2368</v>
      </c>
      <c r="BH61" s="372">
        <f>COUNTIF($BG$2:$BG$46,"猎物-*")</f>
        <v>0</v>
      </c>
      <c r="BI61" s="376">
        <f>IF(COUNTIF(AD16:AD18,D7),_xlfn.IFS(AG7&gt;=17,5,AG7&gt;=11,4,AG7&gt;=6,3,AG7&gt;=3,2,1,0),0)-COUNTIF($BG$2:$BG$46,"法门-*")</f>
        <v>0</v>
      </c>
      <c r="BJ61" s="372"/>
      <c r="BK61" s="372"/>
      <c r="BL61" s="372"/>
      <c r="BM61" s="372"/>
      <c r="BN61" s="372"/>
      <c r="BO61" s="372"/>
      <c r="BP61" s="372"/>
      <c r="BQ61" s="372"/>
      <c r="BR61" s="372"/>
      <c r="BS61" s="372"/>
      <c r="BT61" s="372"/>
      <c r="BU61" s="372"/>
      <c r="BV61" s="372"/>
      <c r="BW61" s="372"/>
      <c r="BX61" s="372"/>
      <c r="BY61" s="372"/>
      <c r="BZ61" s="372"/>
    </row>
    <row r="62" customHeight="1" spans="1:78">
      <c r="A62" s="375">
        <v>46</v>
      </c>
      <c r="B62" s="359" t="s">
        <v>2738</v>
      </c>
      <c r="C62" s="359" t="s">
        <v>2739</v>
      </c>
      <c r="D62" s="458" t="s">
        <v>2740</v>
      </c>
      <c r="E62" s="458" t="s">
        <v>2741</v>
      </c>
      <c r="F62" s="469" t="s">
        <v>2742</v>
      </c>
      <c r="G62" s="469" t="s">
        <v>2743</v>
      </c>
      <c r="H62" s="360" t="s">
        <v>2744</v>
      </c>
      <c r="I62" s="360" t="s">
        <v>2745</v>
      </c>
      <c r="J62" s="463" t="str">
        <f>IF(AND(综合数据!B14=TRUE,OR(BI55&gt;0,COUNTIF($BG$2:$BG$46,"战技-快手投掷"))),"战技-快手投掷","")</f>
        <v/>
      </c>
      <c r="K62" s="450" t="s">
        <v>2746</v>
      </c>
      <c r="L62" s="453" t="str">
        <f>IF(OR(BI61&gt;0,COUNTIF($BG$2:$BG$46,"法门-凤凰烈焰")),"法门-凤凰烈焰","")</f>
        <v/>
      </c>
      <c r="M62" s="453" t="s">
        <v>2747</v>
      </c>
      <c r="N62" s="470" t="s">
        <v>2748</v>
      </c>
      <c r="O62" s="470" t="s">
        <v>2749</v>
      </c>
      <c r="P62" s="226" t="s">
        <v>2750</v>
      </c>
      <c r="Q62" s="226" t="s">
        <v>2751</v>
      </c>
      <c r="R62" s="458" t="s">
        <v>2752</v>
      </c>
      <c r="S62" s="458" t="s">
        <v>2753</v>
      </c>
      <c r="T62" s="360" t="s">
        <v>2754</v>
      </c>
      <c r="U62" s="360" t="s">
        <v>2755</v>
      </c>
      <c r="V62" s="435" t="str">
        <f>IF(AND(综合数据!B14=TRUE,OR(COUNTIF(法术数据!AK2:AK301,法术数据!B8)&gt;=1,COUNTIF(BG2:BG44,"*凶兆符记"),COUNTIF(AD16:AD18,G12)),OR(BI65&gt;0,COUNTIF($BG$2:$BG$46,"魔能祈唤-癫狂巫咒"))),"魔能祈唤-癫狂巫咒","")</f>
        <v/>
      </c>
      <c r="W62" s="439" t="s">
        <v>2756</v>
      </c>
      <c r="X62" s="297" t="s">
        <v>2757</v>
      </c>
      <c r="Y62" s="297" t="s">
        <v>2758</v>
      </c>
      <c r="Z62" s="466" t="s">
        <v>2759</v>
      </c>
      <c r="AA62" s="467" t="s">
        <v>2760</v>
      </c>
      <c r="AB62" s="468"/>
      <c r="AC62" s="468"/>
      <c r="AD62" s="468"/>
      <c r="AE62" s="468"/>
      <c r="AF62" s="468"/>
      <c r="AJ62" s="468"/>
      <c r="AK62" s="468"/>
      <c r="AL62" s="372"/>
      <c r="AM62" s="307" t="s">
        <v>1660</v>
      </c>
      <c r="AN62" s="373"/>
      <c r="AO62" s="373">
        <v>34</v>
      </c>
      <c r="AP62" s="374">
        <f>_xlfn.IFS(AG7&gt;=17,52,AG7&gt;=11,48,AG7&gt;=6,45,AG7&gt;=3,43,1,0)</f>
        <v>0</v>
      </c>
      <c r="AQ62" s="307" t="e">
        <f t="shared" si="16"/>
        <v>#N/A</v>
      </c>
      <c r="AR62" s="224" t="e">
        <f t="shared" si="19"/>
        <v>#N/A</v>
      </c>
      <c r="AS62" s="224" t="e">
        <f t="shared" si="20"/>
        <v>#N/A</v>
      </c>
      <c r="AT62" s="374" t="e">
        <f t="shared" si="21"/>
        <v>#N/A</v>
      </c>
      <c r="AU62" s="307" t="e">
        <f t="shared" si="14"/>
        <v>#N/A</v>
      </c>
      <c r="AV62" s="224" t="e">
        <f t="shared" si="22"/>
        <v>#N/A</v>
      </c>
      <c r="AW62" s="224" t="e">
        <f t="shared" si="23"/>
        <v>#N/A</v>
      </c>
      <c r="AX62" s="374" t="e">
        <f t="shared" si="24"/>
        <v>#N/A</v>
      </c>
      <c r="AY62" s="307" t="e">
        <f t="shared" si="15"/>
        <v>#N/A</v>
      </c>
      <c r="AZ62" s="224" t="e">
        <f t="shared" si="25"/>
        <v>#N/A</v>
      </c>
      <c r="BA62" s="224" t="e">
        <f t="shared" si="26"/>
        <v>#N/A</v>
      </c>
      <c r="BB62" s="374" t="e">
        <f t="shared" si="27"/>
        <v>#N/A</v>
      </c>
      <c r="BC62" s="222" t="str">
        <f>IFERROR(INDEX($AQ$12:$BF$87,52,$BC$2),"")</f>
        <v/>
      </c>
      <c r="BD62" s="224" t="str">
        <f>IFERROR(INDEX($AQ$12:$BF$87,52,$BD$2),"")</f>
        <v/>
      </c>
      <c r="BE62" s="192" t="str">
        <f t="shared" si="28"/>
        <v/>
      </c>
      <c r="BF62" s="200" t="str">
        <f t="array" ref="BF62">INDEX(BE:BE,SMALL(IF($BE$2:$BE$143&lt;&gt;"",ROW($2:$143),144),ROW(BE61)))&amp;""</f>
        <v/>
      </c>
      <c r="BG62" s="461" t="s">
        <v>2455</v>
      </c>
      <c r="BH62" s="372">
        <f>COUNTIF($BG$2:$BG$46,"防守战术-*")</f>
        <v>0</v>
      </c>
      <c r="BI62" s="374" t="s">
        <v>2027</v>
      </c>
      <c r="BJ62" s="372"/>
      <c r="BK62" s="372"/>
      <c r="BL62" s="372"/>
      <c r="BM62" s="372"/>
      <c r="BN62" s="372"/>
      <c r="BO62" s="372"/>
      <c r="BP62" s="372"/>
      <c r="BQ62" s="372"/>
      <c r="BR62" s="372"/>
      <c r="BS62" s="372"/>
      <c r="BT62" s="372"/>
      <c r="BU62" s="372"/>
      <c r="BV62" s="372"/>
      <c r="BW62" s="372"/>
      <c r="BX62" s="372"/>
      <c r="BY62" s="372"/>
      <c r="BZ62" s="372"/>
    </row>
    <row r="63" customHeight="1" spans="1:78">
      <c r="A63" s="375">
        <v>47</v>
      </c>
      <c r="B63" s="359" t="s">
        <v>2761</v>
      </c>
      <c r="C63" s="359" t="s">
        <v>2762</v>
      </c>
      <c r="D63" s="297" t="s">
        <v>2763</v>
      </c>
      <c r="E63" s="297" t="s">
        <v>2764</v>
      </c>
      <c r="F63" s="360" t="s">
        <v>2765</v>
      </c>
      <c r="G63" s="360" t="s">
        <v>2766</v>
      </c>
      <c r="H63" s="360" t="s">
        <v>2767</v>
      </c>
      <c r="I63" s="360" t="s">
        <v>2768</v>
      </c>
      <c r="J63" s="463" t="str">
        <f>IF(AND(综合数据!B14=TRUE,OR(BI55&gt;0,COUNTIF($BG$2:$BG$46,"战技-战术预估"))),"战技-战术预估","")</f>
        <v/>
      </c>
      <c r="K63" s="450" t="s">
        <v>2769</v>
      </c>
      <c r="L63" s="453" t="str">
        <f>IF(OR(BI61&gt;0,COUNTIF($BG$2:$BG$46,"法门-云雾势")),"法门-云雾势","")</f>
        <v/>
      </c>
      <c r="M63" s="453" t="s">
        <v>2770</v>
      </c>
      <c r="N63" s="470" t="s">
        <v>2771</v>
      </c>
      <c r="O63" s="470" t="s">
        <v>2772</v>
      </c>
      <c r="P63" s="226" t="s">
        <v>2773</v>
      </c>
      <c r="Q63" s="226" t="s">
        <v>2774</v>
      </c>
      <c r="R63" s="458" t="s">
        <v>2775</v>
      </c>
      <c r="S63" s="458" t="s">
        <v>2776</v>
      </c>
      <c r="T63" s="458" t="s">
        <v>2777</v>
      </c>
      <c r="U63" s="458" t="s">
        <v>2778</v>
      </c>
      <c r="V63" s="435" t="str">
        <f>IF(AND(综合数据!B14=TRUE,OR(BI65&gt;0,COUNTIF($BG$2:$BG$46,"魔能祈唤-莱维斯图斯之墓"))),"魔能祈唤-莱维斯图斯之墓","")</f>
        <v/>
      </c>
      <c r="W63" s="434" t="s">
        <v>2779</v>
      </c>
      <c r="X63" s="226" t="s">
        <v>2780</v>
      </c>
      <c r="Y63" s="226" t="s">
        <v>2781</v>
      </c>
      <c r="Z63" s="298" t="s">
        <v>2782</v>
      </c>
      <c r="AA63" s="464" t="s">
        <v>2783</v>
      </c>
      <c r="AB63" s="224"/>
      <c r="AC63" s="224"/>
      <c r="AD63" s="224"/>
      <c r="AE63" s="224"/>
      <c r="AF63" s="224"/>
      <c r="AG63" s="224"/>
      <c r="AH63" s="224"/>
      <c r="AI63" s="224"/>
      <c r="AJ63" s="224"/>
      <c r="AK63" s="224"/>
      <c r="AL63" s="372"/>
      <c r="AM63" s="471" t="s">
        <v>2784</v>
      </c>
      <c r="AN63" s="419"/>
      <c r="AO63" s="419">
        <v>53</v>
      </c>
      <c r="AP63" s="472">
        <f>_xlfn.IFS(AG7&gt;=17,56,AG7&gt;=11,55,AG7&gt;=6,54,AG7&gt;=3,53,1,0)</f>
        <v>0</v>
      </c>
      <c r="AQ63" s="307" t="e">
        <f t="shared" si="16"/>
        <v>#N/A</v>
      </c>
      <c r="AR63" s="224" t="e">
        <f t="shared" si="19"/>
        <v>#N/A</v>
      </c>
      <c r="AS63" s="224" t="e">
        <f t="shared" si="20"/>
        <v>#N/A</v>
      </c>
      <c r="AT63" s="374" t="e">
        <f t="shared" si="21"/>
        <v>#N/A</v>
      </c>
      <c r="AU63" s="307" t="e">
        <f t="shared" si="14"/>
        <v>#N/A</v>
      </c>
      <c r="AV63" s="224" t="e">
        <f t="shared" si="22"/>
        <v>#N/A</v>
      </c>
      <c r="AW63" s="224" t="e">
        <f t="shared" si="23"/>
        <v>#N/A</v>
      </c>
      <c r="AX63" s="374" t="e">
        <f t="shared" si="24"/>
        <v>#N/A</v>
      </c>
      <c r="AY63" s="307" t="e">
        <f t="shared" si="15"/>
        <v>#N/A</v>
      </c>
      <c r="AZ63" s="224" t="e">
        <f t="shared" si="25"/>
        <v>#N/A</v>
      </c>
      <c r="BA63" s="224" t="e">
        <f t="shared" si="26"/>
        <v>#N/A</v>
      </c>
      <c r="BB63" s="374" t="e">
        <f t="shared" si="27"/>
        <v>#N/A</v>
      </c>
      <c r="BC63" s="222" t="str">
        <f>IFERROR(INDEX($AQ$12:$BF$87,53,$BC$2),"")</f>
        <v/>
      </c>
      <c r="BD63" s="224" t="str">
        <f>IFERROR(INDEX($AQ$12:$BF$87,53,$BD$2),"")</f>
        <v/>
      </c>
      <c r="BE63" s="192" t="str">
        <f t="shared" si="28"/>
        <v/>
      </c>
      <c r="BF63" s="200" t="str">
        <f t="array" ref="BF63">INDEX(BE:BE,SMALL(IF($BE$2:$BE$143&lt;&gt;"",ROW($2:$143),144),ROW(BE62)))&amp;""</f>
        <v/>
      </c>
      <c r="BG63" s="461" t="s">
        <v>2543</v>
      </c>
      <c r="BH63" s="372">
        <f>COUNTIF($BG$2:$BG$46,"多重攻击-*")</f>
        <v>0</v>
      </c>
      <c r="BI63" s="376">
        <f>_xlfn.IFS(AG11&gt;=17,4,AG11&gt;=10,3,AG11&gt;=3,2,1,0)+COUNTIF(专长数据!E2:E7,专长数据!A83)*2-COUNTIF($BG$2:$BG$46,"超魔法-*")</f>
        <v>0</v>
      </c>
      <c r="BJ63" s="372"/>
      <c r="BK63" s="372"/>
      <c r="BL63" s="372"/>
      <c r="BM63" s="372"/>
      <c r="BN63" s="372"/>
      <c r="BO63" s="372"/>
      <c r="BP63" s="372"/>
      <c r="BQ63" s="372"/>
      <c r="BR63" s="372"/>
      <c r="BS63" s="372"/>
      <c r="BT63" s="372"/>
      <c r="BU63" s="372"/>
      <c r="BV63" s="372"/>
      <c r="BW63" s="372"/>
      <c r="BX63" s="372"/>
      <c r="BY63" s="372"/>
      <c r="BZ63" s="372"/>
    </row>
    <row r="64" customHeight="1" spans="1:78">
      <c r="A64" s="375">
        <v>48</v>
      </c>
      <c r="B64" s="360" t="s">
        <v>2509</v>
      </c>
      <c r="C64" s="360" t="s">
        <v>2785</v>
      </c>
      <c r="D64" s="297" t="s">
        <v>2786</v>
      </c>
      <c r="E64" s="297" t="s">
        <v>2787</v>
      </c>
      <c r="F64" s="360" t="str">
        <f>IF(OR(BH55&lt;1,COUNTIF($BG$2:$BG$46,"神圣打击")),"神圣打击","")</f>
        <v>神圣打击</v>
      </c>
      <c r="G64" s="360" t="s">
        <v>2788</v>
      </c>
      <c r="H64" s="360" t="s">
        <v>2789</v>
      </c>
      <c r="I64" s="360" t="s">
        <v>2790</v>
      </c>
      <c r="J64" s="226" t="s">
        <v>2791</v>
      </c>
      <c r="K64" s="226" t="s">
        <v>2792</v>
      </c>
      <c r="L64" s="453" t="str">
        <f>IF(OR(BI61&gt;0,COUNTIF($BG$2:$BG$46,"法门-攀云步")),"法门-攀云步","")</f>
        <v/>
      </c>
      <c r="M64" s="453" t="s">
        <v>2793</v>
      </c>
      <c r="N64" s="359" t="s">
        <v>2794</v>
      </c>
      <c r="O64" s="359" t="s">
        <v>2795</v>
      </c>
      <c r="P64" s="226" t="s">
        <v>2796</v>
      </c>
      <c r="Q64" s="226" t="s">
        <v>2797</v>
      </c>
      <c r="R64" s="458" t="s">
        <v>2798</v>
      </c>
      <c r="S64" s="458" t="s">
        <v>2799</v>
      </c>
      <c r="T64" s="458" t="s">
        <v>2800</v>
      </c>
      <c r="U64" s="458" t="s">
        <v>2801</v>
      </c>
      <c r="V64" s="435" t="str">
        <f>IF(AND(综合数据!B14=TRUE,COUNTIF(BG2:BG44,"*书之魔契"),OR(BI65&gt;0,COUNTIF($BG$2:$BG$46,"魔能祈唤-遥远音讯"))),"魔能祈唤-遥远音讯","")</f>
        <v/>
      </c>
      <c r="W64" s="439" t="s">
        <v>2802</v>
      </c>
      <c r="X64" s="226" t="s">
        <v>2803</v>
      </c>
      <c r="Y64" s="226" t="s">
        <v>2804</v>
      </c>
      <c r="Z64" s="298" t="s">
        <v>2805</v>
      </c>
      <c r="AA64" s="464" t="s">
        <v>2806</v>
      </c>
      <c r="AB64" s="224"/>
      <c r="AC64" s="224"/>
      <c r="AD64" s="224"/>
      <c r="AE64" s="224"/>
      <c r="AF64" s="224"/>
      <c r="AG64" s="224"/>
      <c r="AH64" s="224"/>
      <c r="AI64" s="224"/>
      <c r="AJ64" s="224"/>
      <c r="AK64" s="224"/>
      <c r="AL64" s="372"/>
      <c r="AM64" s="473" t="s">
        <v>2807</v>
      </c>
      <c r="AN64" s="411"/>
      <c r="AO64" s="411">
        <v>57</v>
      </c>
      <c r="AP64" s="444">
        <f>_xlfn.IFS(AG7&gt;=17,61,AG7&gt;=11,60,AG7&gt;=6,59,AG7&gt;=3,58,1,0)</f>
        <v>0</v>
      </c>
      <c r="AQ64" s="307" t="e">
        <f t="shared" si="16"/>
        <v>#N/A</v>
      </c>
      <c r="AR64" s="224" t="e">
        <f t="shared" si="19"/>
        <v>#N/A</v>
      </c>
      <c r="AS64" s="224" t="e">
        <f t="shared" si="20"/>
        <v>#N/A</v>
      </c>
      <c r="AT64" s="374" t="e">
        <f t="shared" si="21"/>
        <v>#N/A</v>
      </c>
      <c r="AU64" s="307" t="e">
        <f t="shared" si="14"/>
        <v>#N/A</v>
      </c>
      <c r="AV64" s="224" t="e">
        <f t="shared" si="22"/>
        <v>#N/A</v>
      </c>
      <c r="AW64" s="224" t="e">
        <f t="shared" si="23"/>
        <v>#N/A</v>
      </c>
      <c r="AX64" s="374" t="e">
        <f t="shared" si="24"/>
        <v>#N/A</v>
      </c>
      <c r="AY64" s="307" t="e">
        <f t="shared" si="15"/>
        <v>#N/A</v>
      </c>
      <c r="AZ64" s="224" t="e">
        <f t="shared" si="25"/>
        <v>#N/A</v>
      </c>
      <c r="BA64" s="224" t="e">
        <f t="shared" si="26"/>
        <v>#N/A</v>
      </c>
      <c r="BB64" s="374" t="e">
        <f t="shared" si="27"/>
        <v>#N/A</v>
      </c>
      <c r="BC64" s="222" t="str">
        <f>IFERROR(INDEX($AQ$12:$BF$87,54,$BC$2),"")</f>
        <v/>
      </c>
      <c r="BD64" s="224" t="str">
        <f>IFERROR(INDEX($AQ$12:$BF$87,54,$BD$2),"")</f>
        <v/>
      </c>
      <c r="BE64" s="192" t="str">
        <f t="shared" si="28"/>
        <v/>
      </c>
      <c r="BF64" s="200" t="str">
        <f t="array" ref="BF64">INDEX(BE:BE,SMALL(IF($BE$2:$BE$143&lt;&gt;"",ROW($2:$143),144),ROW(BE63)))&amp;""</f>
        <v/>
      </c>
      <c r="BG64" s="461" t="s">
        <v>2612</v>
      </c>
      <c r="BH64" s="372">
        <f>COUNTIF($BG$2:$BG$46,"高效猎人防术-*")</f>
        <v>0</v>
      </c>
      <c r="BI64" s="374" t="s">
        <v>1927</v>
      </c>
      <c r="BJ64" s="372"/>
      <c r="BK64" s="372"/>
      <c r="BL64" s="372"/>
      <c r="BM64" s="372"/>
      <c r="BN64" s="372"/>
      <c r="BO64" s="372"/>
      <c r="BP64" s="372"/>
      <c r="BQ64" s="372"/>
      <c r="BR64" s="372"/>
      <c r="BS64" s="372"/>
      <c r="BT64" s="372"/>
      <c r="BU64" s="372"/>
      <c r="BV64" s="372"/>
      <c r="BW64" s="372"/>
      <c r="BX64" s="372"/>
      <c r="BY64" s="372"/>
      <c r="BZ64" s="372"/>
    </row>
    <row r="65" customHeight="1" spans="1:78">
      <c r="A65" s="375">
        <v>49</v>
      </c>
      <c r="B65" s="474" t="str">
        <f>IF(OR(BH51&lt;1,COUNTIF($BG$2:$BG$46,"愤怒风暴-沙漠")),"愤怒风暴-沙漠","")</f>
        <v>愤怒风暴-沙漠</v>
      </c>
      <c r="C65" s="474" t="s">
        <v>2808</v>
      </c>
      <c r="D65" s="297" t="s">
        <v>2809</v>
      </c>
      <c r="E65" s="297" t="s">
        <v>2810</v>
      </c>
      <c r="F65" s="360" t="s">
        <v>2811</v>
      </c>
      <c r="G65" s="360" t="s">
        <v>2812</v>
      </c>
      <c r="H65" s="458" t="s">
        <v>2813</v>
      </c>
      <c r="I65" s="458" t="s">
        <v>2814</v>
      </c>
      <c r="J65" s="226" t="s">
        <v>2815</v>
      </c>
      <c r="K65" s="226" t="s">
        <v>2816</v>
      </c>
      <c r="L65" s="453" t="str">
        <f>IF(OR(BI61&gt;0,COUNTIF($BG$2:$BG$46,"法门-寒冬之息")),"法门-寒冬之息","")</f>
        <v/>
      </c>
      <c r="M65" s="453" t="s">
        <v>2817</v>
      </c>
      <c r="N65" s="359" t="s">
        <v>2818</v>
      </c>
      <c r="O65" s="359" t="s">
        <v>2819</v>
      </c>
      <c r="P65" s="298" t="s">
        <v>2820</v>
      </c>
      <c r="Q65" s="298" t="s">
        <v>2821</v>
      </c>
      <c r="R65" s="297" t="s">
        <v>2822</v>
      </c>
      <c r="S65" s="297" t="s">
        <v>2823</v>
      </c>
      <c r="T65" s="458" t="s">
        <v>2824</v>
      </c>
      <c r="U65" s="458" t="s">
        <v>2825</v>
      </c>
      <c r="V65" s="435" t="str">
        <f>IF(AND(综合数据!B14=TRUE,OR(BI65&gt;0,COUNTIF($BG$2:$BG$46,"魔能祈唤-永恒奴役"))),"魔能祈唤-永恒奴役","")</f>
        <v/>
      </c>
      <c r="W65" s="434" t="s">
        <v>2826</v>
      </c>
      <c r="X65" s="226" t="s">
        <v>2827</v>
      </c>
      <c r="Y65" s="226" t="s">
        <v>2828</v>
      </c>
      <c r="Z65" s="298" t="s">
        <v>2829</v>
      </c>
      <c r="AA65" s="464" t="s">
        <v>2830</v>
      </c>
      <c r="AB65" s="224"/>
      <c r="AC65" s="224"/>
      <c r="AD65" s="224"/>
      <c r="AE65" s="224"/>
      <c r="AF65" s="224"/>
      <c r="AG65" s="224"/>
      <c r="AH65" s="224"/>
      <c r="AI65" s="224"/>
      <c r="AJ65" s="224"/>
      <c r="AK65" s="224"/>
      <c r="AL65" s="372"/>
      <c r="AM65" s="473" t="s">
        <v>2831</v>
      </c>
      <c r="AN65" s="411"/>
      <c r="AO65" s="411">
        <v>62</v>
      </c>
      <c r="AP65" s="444">
        <f>_xlfn.IFS(AG7&gt;=17,71,AG7&gt;=11,70,AG7&gt;=6,69,AG7&gt;=3,66,1,0)</f>
        <v>0</v>
      </c>
      <c r="AQ65" s="307" t="e">
        <f t="shared" si="16"/>
        <v>#N/A</v>
      </c>
      <c r="AR65" s="224" t="e">
        <f t="shared" si="19"/>
        <v>#N/A</v>
      </c>
      <c r="AS65" s="224" t="e">
        <f t="shared" si="20"/>
        <v>#N/A</v>
      </c>
      <c r="AT65" s="374" t="e">
        <f t="shared" si="21"/>
        <v>#N/A</v>
      </c>
      <c r="AU65" s="307" t="e">
        <f t="shared" si="14"/>
        <v>#N/A</v>
      </c>
      <c r="AV65" s="224" t="e">
        <f t="shared" si="22"/>
        <v>#N/A</v>
      </c>
      <c r="AW65" s="224" t="e">
        <f t="shared" si="23"/>
        <v>#N/A</v>
      </c>
      <c r="AX65" s="374" t="e">
        <f t="shared" si="24"/>
        <v>#N/A</v>
      </c>
      <c r="AY65" s="307" t="e">
        <f t="shared" si="15"/>
        <v>#N/A</v>
      </c>
      <c r="AZ65" s="224" t="e">
        <f t="shared" si="25"/>
        <v>#N/A</v>
      </c>
      <c r="BA65" s="224" t="e">
        <f t="shared" si="26"/>
        <v>#N/A</v>
      </c>
      <c r="BB65" s="374" t="e">
        <f t="shared" si="27"/>
        <v>#N/A</v>
      </c>
      <c r="BC65" s="222" t="str">
        <f>IFERROR(INDEX($AQ$12:$BF$87,55,$BC$2),"")</f>
        <v/>
      </c>
      <c r="BD65" s="224" t="str">
        <f>IFERROR(INDEX($AQ$12:$BF$87,55,$BD$2),"")</f>
        <v/>
      </c>
      <c r="BE65" s="192" t="str">
        <f t="shared" si="28"/>
        <v/>
      </c>
      <c r="BF65" s="200" t="str">
        <f t="array" ref="BF65">INDEX(BE:BE,SMALL(IF($BE$2:$BE$143&lt;&gt;"",ROW($2:$143),144),ROW(BE64)))&amp;""</f>
        <v/>
      </c>
      <c r="BG65" s="475" t="s">
        <v>2832</v>
      </c>
      <c r="BH65" s="372">
        <f>COUNTIF($BG$2:$BG$46,"游侠伴侣")+COUNTIF($BG$2:$BG$46,"原初伴侣")</f>
        <v>0</v>
      </c>
      <c r="BI65" s="376">
        <f>_xlfn.IFS(AG12&gt;=18,8,AG12&gt;=15,7,AG12&gt;=12,6,AG12&gt;=9,5,AG12&gt;=7,4,AG12&gt;=5,3,AG12&gt;=2,2,1,0)+COUNTIF(专长数据!E2:E7,专长数据!A79)-COUNTIF($BG$2:$BG$46,"魔能祈唤-*")</f>
        <v>0</v>
      </c>
      <c r="BJ65" s="372"/>
      <c r="BK65" s="372"/>
      <c r="BL65" s="372"/>
      <c r="BM65" s="372"/>
      <c r="BN65" s="372"/>
      <c r="BO65" s="372"/>
      <c r="BP65" s="372"/>
      <c r="BQ65" s="372"/>
      <c r="BR65" s="372"/>
      <c r="BS65" s="372"/>
      <c r="BT65" s="372"/>
      <c r="BU65" s="372"/>
      <c r="BV65" s="372"/>
      <c r="BW65" s="372"/>
      <c r="BX65" s="372"/>
      <c r="BY65" s="372"/>
      <c r="BZ65" s="372"/>
    </row>
    <row r="66" customHeight="1" spans="1:78">
      <c r="A66" s="375">
        <v>50</v>
      </c>
      <c r="B66" s="474" t="str">
        <f>IF(OR(BH51&lt;1,COUNTIF($BG$2:$BG$46,"愤怒风暴-海洋")),"愤怒风暴-海洋","")</f>
        <v>愤怒风暴-海洋</v>
      </c>
      <c r="C66" s="474" t="s">
        <v>2833</v>
      </c>
      <c r="D66" s="297" t="s">
        <v>2834</v>
      </c>
      <c r="E66" s="297" t="s">
        <v>2835</v>
      </c>
      <c r="F66" s="458" t="s">
        <v>2836</v>
      </c>
      <c r="G66" s="458" t="s">
        <v>2837</v>
      </c>
      <c r="H66" s="458" t="s">
        <v>2838</v>
      </c>
      <c r="I66" s="458" t="s">
        <v>2839</v>
      </c>
      <c r="J66" s="226" t="s">
        <v>2840</v>
      </c>
      <c r="K66" s="226" t="s">
        <v>2841</v>
      </c>
      <c r="L66" s="453" t="str">
        <f>IF(OR(BI61&gt;0,COUNTIF($BG$2:$BG$46,"法门-苍山庇佑")),"法门-苍山庇佑","")</f>
        <v/>
      </c>
      <c r="M66" s="453" t="s">
        <v>2842</v>
      </c>
      <c r="N66" s="359" t="s">
        <v>2843</v>
      </c>
      <c r="O66" s="359" t="s">
        <v>2844</v>
      </c>
      <c r="P66" s="298" t="s">
        <v>2845</v>
      </c>
      <c r="Q66" s="298" t="s">
        <v>2846</v>
      </c>
      <c r="R66" s="297" t="s">
        <v>2847</v>
      </c>
      <c r="S66" s="297" t="s">
        <v>2848</v>
      </c>
      <c r="T66" s="458" t="s">
        <v>2849</v>
      </c>
      <c r="U66" s="458" t="s">
        <v>2850</v>
      </c>
      <c r="V66" s="434" t="str">
        <f>IF(AND(综合数据!B14=TRUE,OR(BI65&gt;0,COUNTIF($BG$2:$BG$46,"魔能祈唤-惑人低语"))),"魔能祈唤-惑人低语","")</f>
        <v/>
      </c>
      <c r="W66" s="434" t="s">
        <v>2851</v>
      </c>
      <c r="X66" s="226" t="s">
        <v>2852</v>
      </c>
      <c r="Y66" s="226" t="s">
        <v>2853</v>
      </c>
      <c r="Z66" s="359" t="s">
        <v>2507</v>
      </c>
      <c r="AA66" s="476" t="s">
        <v>2854</v>
      </c>
      <c r="AB66" s="224"/>
      <c r="AC66" s="224"/>
      <c r="AD66" s="224"/>
      <c r="AE66" s="224"/>
      <c r="AF66" s="224"/>
      <c r="AG66" s="224"/>
      <c r="AH66" s="224"/>
      <c r="AI66" s="224"/>
      <c r="AJ66" s="224"/>
      <c r="AK66" s="224"/>
      <c r="AL66" s="372"/>
      <c r="AM66" s="473" t="s">
        <v>2855</v>
      </c>
      <c r="AN66" s="411"/>
      <c r="AO66" s="411">
        <v>72</v>
      </c>
      <c r="AP66" s="444">
        <f>_xlfn.IFS(AG7&gt;=17,75,AG7&gt;=11,74,AG7&gt;=6,73,AG7&gt;=3,72,1,0)</f>
        <v>0</v>
      </c>
      <c r="AQ66" s="307" t="e">
        <f t="shared" si="16"/>
        <v>#N/A</v>
      </c>
      <c r="AR66" s="224" t="e">
        <f t="shared" si="19"/>
        <v>#N/A</v>
      </c>
      <c r="AS66" s="224" t="e">
        <f t="shared" si="20"/>
        <v>#N/A</v>
      </c>
      <c r="AT66" s="374" t="e">
        <f t="shared" si="21"/>
        <v>#N/A</v>
      </c>
      <c r="AU66" s="307" t="e">
        <f t="shared" si="14"/>
        <v>#N/A</v>
      </c>
      <c r="AV66" s="224" t="e">
        <f t="shared" si="22"/>
        <v>#N/A</v>
      </c>
      <c r="AW66" s="224" t="e">
        <f t="shared" si="23"/>
        <v>#N/A</v>
      </c>
      <c r="AX66" s="374" t="e">
        <f t="shared" si="24"/>
        <v>#N/A</v>
      </c>
      <c r="AY66" s="307" t="e">
        <f t="shared" si="15"/>
        <v>#N/A</v>
      </c>
      <c r="AZ66" s="224" t="e">
        <f t="shared" si="25"/>
        <v>#N/A</v>
      </c>
      <c r="BA66" s="224" t="e">
        <f t="shared" si="26"/>
        <v>#N/A</v>
      </c>
      <c r="BB66" s="374" t="e">
        <f t="shared" si="27"/>
        <v>#N/A</v>
      </c>
      <c r="BC66" s="222" t="str">
        <f>IFERROR(INDEX($AQ$12:$BF$87,56,$BC$2),"")</f>
        <v/>
      </c>
      <c r="BD66" s="224" t="str">
        <f>IFERROR(INDEX($AQ$12:$BF$87,56,$BD$2),"")</f>
        <v/>
      </c>
      <c r="BE66" s="192" t="str">
        <f t="shared" si="28"/>
        <v/>
      </c>
      <c r="BF66" s="200" t="str">
        <f t="array" ref="BF66">INDEX(BE:BE,SMALL(IF($BE$2:$BE$143&lt;&gt;"",ROW($2:$143),144),ROW(BE65)))&amp;""</f>
        <v/>
      </c>
      <c r="BG66" s="307" t="s">
        <v>2303</v>
      </c>
      <c r="BH66" s="372">
        <f>COUNTIF($BG$2:$BG$46,"魔契恩泽-*")</f>
        <v>0</v>
      </c>
      <c r="BI66" s="223" t="s">
        <v>1931</v>
      </c>
      <c r="BJ66" s="372"/>
      <c r="BK66" s="372"/>
      <c r="BL66" s="372"/>
      <c r="BM66" s="372"/>
      <c r="BN66" s="372"/>
      <c r="BO66" s="372"/>
      <c r="BP66" s="372"/>
      <c r="BQ66" s="372"/>
      <c r="BR66" s="372"/>
      <c r="BS66" s="372"/>
      <c r="BT66" s="372"/>
      <c r="BU66" s="372"/>
      <c r="BV66" s="372"/>
      <c r="BW66" s="372"/>
      <c r="BX66" s="372"/>
      <c r="BY66" s="372"/>
      <c r="BZ66" s="372"/>
    </row>
    <row r="67" customHeight="1" spans="1:78">
      <c r="A67" s="375">
        <v>51</v>
      </c>
      <c r="B67" s="474" t="str">
        <f>IF(OR(BH51&lt;1,COUNTIF($BG$2:$BG$46,"愤怒风暴-冻原")),"愤怒风暴-冻原","")</f>
        <v>愤怒风暴-冻原</v>
      </c>
      <c r="C67" s="474" t="s">
        <v>2856</v>
      </c>
      <c r="D67" s="226" t="s">
        <v>2857</v>
      </c>
      <c r="E67" s="226" t="s">
        <v>2858</v>
      </c>
      <c r="F67" s="458" t="s">
        <v>2859</v>
      </c>
      <c r="G67" s="458" t="s">
        <v>2860</v>
      </c>
      <c r="H67" s="458" t="s">
        <v>2861</v>
      </c>
      <c r="I67" s="458" t="s">
        <v>2862</v>
      </c>
      <c r="J67" s="226" t="s">
        <v>2863</v>
      </c>
      <c r="K67" s="226" t="s">
        <v>2864</v>
      </c>
      <c r="L67" s="453" t="str">
        <f>IF(OR(BI61&gt;0,COUNTIF($BG$2:$BG$46,"法门-噬焰流")),"法门-噬焰流","")</f>
        <v/>
      </c>
      <c r="M67" s="453" t="s">
        <v>2865</v>
      </c>
      <c r="N67" s="360" t="s">
        <v>2866</v>
      </c>
      <c r="O67" s="360" t="s">
        <v>2867</v>
      </c>
      <c r="P67" s="298" t="s">
        <v>2868</v>
      </c>
      <c r="Q67" s="298" t="s">
        <v>2869</v>
      </c>
      <c r="R67" s="297" t="s">
        <v>2870</v>
      </c>
      <c r="S67" s="297" t="s">
        <v>2871</v>
      </c>
      <c r="T67" s="458" t="s">
        <v>2872</v>
      </c>
      <c r="U67" s="458" t="s">
        <v>2873</v>
      </c>
      <c r="V67" s="434" t="str">
        <f>IF(OR(BI65&gt;0,COUNTIF($BG$2:$BG$46,"魔能祈唤-恐惧箴言")),"魔能祈唤-恐惧箴言","")</f>
        <v/>
      </c>
      <c r="W67" s="434" t="s">
        <v>2874</v>
      </c>
      <c r="X67" s="226" t="s">
        <v>2875</v>
      </c>
      <c r="Y67" s="226" t="s">
        <v>2876</v>
      </c>
      <c r="Z67" s="359" t="s">
        <v>2877</v>
      </c>
      <c r="AA67" s="476" t="s">
        <v>2878</v>
      </c>
      <c r="AB67" s="224"/>
      <c r="AC67" s="224"/>
      <c r="AD67" s="224"/>
      <c r="AE67" s="224"/>
      <c r="AF67" s="224"/>
      <c r="AG67" s="224"/>
      <c r="AH67" s="224"/>
      <c r="AI67" s="224"/>
      <c r="AJ67" s="224"/>
      <c r="AK67" s="224"/>
      <c r="AL67" s="372"/>
      <c r="AM67" s="477" t="s">
        <v>2879</v>
      </c>
      <c r="AN67" s="250"/>
      <c r="AO67" s="250">
        <v>76</v>
      </c>
      <c r="AP67" s="448">
        <f>_xlfn.IFS(AG7&gt;=17,81,AG7&gt;=11,80,AG7&gt;=6,79,AG7&gt;=3,78,1,0)</f>
        <v>0</v>
      </c>
      <c r="AQ67" s="307" t="e">
        <f t="shared" si="16"/>
        <v>#N/A</v>
      </c>
      <c r="AR67" s="224" t="e">
        <f t="shared" si="19"/>
        <v>#N/A</v>
      </c>
      <c r="AS67" s="224" t="e">
        <f t="shared" si="20"/>
        <v>#N/A</v>
      </c>
      <c r="AT67" s="374" t="e">
        <f t="shared" si="21"/>
        <v>#N/A</v>
      </c>
      <c r="AU67" s="307" t="e">
        <f t="shared" si="14"/>
        <v>#N/A</v>
      </c>
      <c r="AV67" s="224" t="e">
        <f t="shared" si="22"/>
        <v>#N/A</v>
      </c>
      <c r="AW67" s="224" t="e">
        <f t="shared" si="23"/>
        <v>#N/A</v>
      </c>
      <c r="AX67" s="374" t="e">
        <f t="shared" si="24"/>
        <v>#N/A</v>
      </c>
      <c r="AY67" s="307" t="e">
        <f t="shared" si="15"/>
        <v>#N/A</v>
      </c>
      <c r="AZ67" s="224" t="e">
        <f t="shared" si="25"/>
        <v>#N/A</v>
      </c>
      <c r="BA67" s="224" t="e">
        <f t="shared" si="26"/>
        <v>#N/A</v>
      </c>
      <c r="BB67" s="374" t="e">
        <f t="shared" si="27"/>
        <v>#N/A</v>
      </c>
      <c r="BC67" s="222" t="str">
        <f>IFERROR(INDEX($AQ$12:$BF$87,57,$BC$2),"")</f>
        <v/>
      </c>
      <c r="BD67" s="224" t="str">
        <f>IFERROR(INDEX($AQ$12:$BF$87,57,$BD$2),"")</f>
        <v/>
      </c>
      <c r="BE67" s="192" t="str">
        <f t="shared" si="28"/>
        <v/>
      </c>
      <c r="BF67" s="200" t="str">
        <f t="array" ref="BF67">INDEX(BE:BE,SMALL(IF($BE$2:$BE$143&lt;&gt;"",ROW($2:$143),144),ROW(BE66)))&amp;""</f>
        <v/>
      </c>
      <c r="BG67" s="226" t="s">
        <v>2880</v>
      </c>
      <c r="BH67" s="372">
        <f>COUNTIF($BG$2:$BG$46,"巨灵宗主扩展法术-*")</f>
        <v>0</v>
      </c>
      <c r="BI67" s="223">
        <f>_xlfn.IFS(AG14&gt;=18,12,AG14&gt;=14,10,AG14&gt;=10,8,AG14&gt;=6,6,AG14&gt;=2,4,1,0)-COUNTIF($BG$2:$BG$46,"注法-*")</f>
        <v>0</v>
      </c>
      <c r="BJ67" s="372"/>
      <c r="BK67" s="372"/>
      <c r="BL67" s="372"/>
      <c r="BM67" s="372"/>
      <c r="BN67" s="372"/>
      <c r="BO67" s="372"/>
      <c r="BP67" s="372"/>
      <c r="BQ67" s="372"/>
      <c r="BR67" s="372"/>
      <c r="BS67" s="372"/>
      <c r="BT67" s="372"/>
      <c r="BU67" s="372"/>
      <c r="BV67" s="372"/>
      <c r="BW67" s="372"/>
      <c r="BX67" s="372"/>
      <c r="BY67" s="372"/>
      <c r="BZ67" s="372"/>
    </row>
    <row r="68" customHeight="1" spans="1:78">
      <c r="A68" s="375">
        <v>52</v>
      </c>
      <c r="B68" s="360" t="s">
        <v>2530</v>
      </c>
      <c r="C68" s="360" t="s">
        <v>2881</v>
      </c>
      <c r="D68" s="226" t="s">
        <v>2882</v>
      </c>
      <c r="E68" s="226" t="s">
        <v>2883</v>
      </c>
      <c r="F68" s="478" t="s">
        <v>2884</v>
      </c>
      <c r="G68" s="478" t="s">
        <v>2885</v>
      </c>
      <c r="H68" s="458" t="s">
        <v>2886</v>
      </c>
      <c r="I68" s="458" t="s">
        <v>2887</v>
      </c>
      <c r="J68" s="298" t="s">
        <v>2888</v>
      </c>
      <c r="K68" s="298" t="s">
        <v>2889</v>
      </c>
      <c r="L68" s="453" t="str">
        <f>IF(OR(BI61&gt;0,COUNTIF($BG$2:$BG$46,"法门-滚石流")),"法门-滚石流","")</f>
        <v/>
      </c>
      <c r="M68" s="453" t="s">
        <v>2890</v>
      </c>
      <c r="N68" s="479" t="s">
        <v>2891</v>
      </c>
      <c r="O68" s="479" t="s">
        <v>2892</v>
      </c>
      <c r="P68" s="298" t="s">
        <v>2893</v>
      </c>
      <c r="Q68" s="298" t="s">
        <v>2894</v>
      </c>
      <c r="R68" s="297" t="s">
        <v>2895</v>
      </c>
      <c r="S68" s="297" t="s">
        <v>2896</v>
      </c>
      <c r="T68" s="458" t="s">
        <v>2897</v>
      </c>
      <c r="U68" s="458" t="s">
        <v>2898</v>
      </c>
      <c r="V68" s="434" t="str">
        <f>IF(OR(BI65&gt;0,COUNTIF($BG$2:$BG$46,"魔能祈唤-重塑血肉")),"魔能祈唤-重塑血肉","")</f>
        <v/>
      </c>
      <c r="W68" s="434" t="s">
        <v>2899</v>
      </c>
      <c r="X68" s="298" t="s">
        <v>2900</v>
      </c>
      <c r="Y68" s="298" t="s">
        <v>2901</v>
      </c>
      <c r="Z68" s="359" t="s">
        <v>2902</v>
      </c>
      <c r="AA68" s="476" t="s">
        <v>2903</v>
      </c>
      <c r="AB68" s="224"/>
      <c r="AC68" s="224"/>
      <c r="AD68" s="224"/>
      <c r="AE68" s="224"/>
      <c r="AF68" s="224"/>
      <c r="AG68" s="224"/>
      <c r="AH68" s="224"/>
      <c r="AI68" s="224"/>
      <c r="AJ68" s="224"/>
      <c r="AK68" s="224"/>
      <c r="AL68" s="372"/>
      <c r="AM68" s="477" t="s">
        <v>2904</v>
      </c>
      <c r="AN68" s="250"/>
      <c r="AO68" s="250">
        <v>82</v>
      </c>
      <c r="AP68" s="448">
        <f>_xlfn.IFS(AG7&gt;=17,85,AG7&gt;=11,84,AG7&gt;=6,83,AG7&gt;=3,82,1,0)</f>
        <v>0</v>
      </c>
      <c r="AQ68" s="307" t="e">
        <f t="shared" si="16"/>
        <v>#N/A</v>
      </c>
      <c r="AR68" s="224" t="e">
        <f t="shared" si="19"/>
        <v>#N/A</v>
      </c>
      <c r="AS68" s="224" t="e">
        <f t="shared" si="20"/>
        <v>#N/A</v>
      </c>
      <c r="AT68" s="374" t="e">
        <f t="shared" si="21"/>
        <v>#N/A</v>
      </c>
      <c r="AU68" s="307" t="e">
        <f t="shared" si="14"/>
        <v>#N/A</v>
      </c>
      <c r="AV68" s="224" t="e">
        <f t="shared" si="22"/>
        <v>#N/A</v>
      </c>
      <c r="AW68" s="224" t="e">
        <f t="shared" si="23"/>
        <v>#N/A</v>
      </c>
      <c r="AX68" s="374" t="e">
        <f t="shared" si="24"/>
        <v>#N/A</v>
      </c>
      <c r="AY68" s="307" t="e">
        <f t="shared" si="15"/>
        <v>#N/A</v>
      </c>
      <c r="AZ68" s="224" t="e">
        <f t="shared" si="25"/>
        <v>#N/A</v>
      </c>
      <c r="BA68" s="224" t="e">
        <f t="shared" si="26"/>
        <v>#N/A</v>
      </c>
      <c r="BB68" s="374" t="e">
        <f t="shared" si="27"/>
        <v>#N/A</v>
      </c>
      <c r="BC68" s="222" t="str">
        <f>IFERROR(INDEX($AQ$12:$BF$87,58,$BC$2),"")</f>
        <v/>
      </c>
      <c r="BD68" s="224" t="str">
        <f>IFERROR(INDEX($AQ$12:$BF$87,58,$BD$2),"")</f>
        <v/>
      </c>
      <c r="BE68" s="192" t="str">
        <f t="shared" si="28"/>
        <v/>
      </c>
      <c r="BF68" s="200" t="str">
        <f t="array" ref="BF68">INDEX(BE:BE,SMALL(IF($BE$2:$BE$143&lt;&gt;"",ROW($2:$143),144),ROW(BE67)))&amp;""</f>
        <v/>
      </c>
      <c r="BG68" s="480" t="s">
        <v>2905</v>
      </c>
      <c r="BH68" s="382">
        <f>COUNTIF($BG$2:$BG$46,"守护者")+COUNTIF($BG$2:$BG$46,"渗透者")</f>
        <v>0</v>
      </c>
      <c r="BI68" s="383"/>
      <c r="BJ68" s="372"/>
      <c r="BK68" s="372"/>
      <c r="BL68" s="372"/>
      <c r="BM68" s="372"/>
      <c r="BN68" s="372"/>
      <c r="BO68" s="372"/>
      <c r="BP68" s="372"/>
      <c r="BQ68" s="372"/>
      <c r="BR68" s="372"/>
      <c r="BS68" s="372"/>
      <c r="BT68" s="372"/>
      <c r="BU68" s="372"/>
      <c r="BV68" s="372"/>
      <c r="BW68" s="372"/>
      <c r="BX68" s="372"/>
      <c r="BY68" s="372"/>
      <c r="BZ68" s="372"/>
    </row>
    <row r="69" customHeight="1" spans="1:78">
      <c r="A69" s="375">
        <v>53</v>
      </c>
      <c r="B69" s="474" t="str">
        <f>IF(OR(BH52&lt;1,COUNTIF($BG$2:$BG$46,"风暴之魂-沙漠")),"风暴之魂-沙漠","")</f>
        <v>风暴之魂-沙漠</v>
      </c>
      <c r="C69" s="474" t="s">
        <v>2906</v>
      </c>
      <c r="D69" s="226" t="s">
        <v>2907</v>
      </c>
      <c r="E69" s="226" t="s">
        <v>2908</v>
      </c>
      <c r="F69" s="478" t="s">
        <v>2909</v>
      </c>
      <c r="G69" s="478" t="s">
        <v>2910</v>
      </c>
      <c r="H69" s="458" t="s">
        <v>2911</v>
      </c>
      <c r="I69" s="458" t="s">
        <v>2912</v>
      </c>
      <c r="J69" s="298" t="s">
        <v>2913</v>
      </c>
      <c r="K69" s="298" t="s">
        <v>2914</v>
      </c>
      <c r="L69" s="359" t="s">
        <v>2915</v>
      </c>
      <c r="M69" s="359" t="s">
        <v>2916</v>
      </c>
      <c r="N69" s="479" t="s">
        <v>2917</v>
      </c>
      <c r="O69" s="479" t="s">
        <v>2918</v>
      </c>
      <c r="P69" s="298" t="s">
        <v>2919</v>
      </c>
      <c r="Q69" s="298" t="s">
        <v>2920</v>
      </c>
      <c r="R69" s="297" t="s">
        <v>2921</v>
      </c>
      <c r="S69" s="297" t="s">
        <v>2922</v>
      </c>
      <c r="T69" s="297" t="s">
        <v>2923</v>
      </c>
      <c r="U69" s="297" t="s">
        <v>2924</v>
      </c>
      <c r="V69" s="435" t="str">
        <f>IF(AND(综合数据!B14=TRUE,OR(BI65&gt;0,COUNTIF($BG$2:$BG$46,"魔能祈唤-幽魂凝视"))),"魔能祈唤-幽魂凝视","")</f>
        <v/>
      </c>
      <c r="W69" s="434" t="s">
        <v>2925</v>
      </c>
      <c r="X69" s="298" t="s">
        <v>2926</v>
      </c>
      <c r="Y69" s="298" t="s">
        <v>2927</v>
      </c>
      <c r="Z69" s="359" t="s">
        <v>2928</v>
      </c>
      <c r="AA69" s="476" t="s">
        <v>2929</v>
      </c>
      <c r="AB69" s="224"/>
      <c r="AC69" s="224"/>
      <c r="AD69" s="224"/>
      <c r="AE69" s="224"/>
      <c r="AF69" s="224"/>
      <c r="AG69" s="224"/>
      <c r="AH69" s="224"/>
      <c r="AI69" s="224"/>
      <c r="AJ69" s="224"/>
      <c r="AK69" s="224"/>
      <c r="AL69" s="372"/>
      <c r="AM69" s="481" t="s">
        <v>2930</v>
      </c>
      <c r="AN69" s="421"/>
      <c r="AO69" s="421">
        <v>86</v>
      </c>
      <c r="AP69" s="421">
        <f>_xlfn.IFS(AG7&gt;=17,94,AG7&gt;=11,91,AG7&gt;=6,90,AG7&gt;=3,89,1,0)</f>
        <v>0</v>
      </c>
      <c r="AQ69" s="307" t="e">
        <f t="shared" si="16"/>
        <v>#N/A</v>
      </c>
      <c r="AR69" s="224" t="e">
        <f t="shared" si="19"/>
        <v>#N/A</v>
      </c>
      <c r="AS69" s="224" t="e">
        <f t="shared" si="20"/>
        <v>#N/A</v>
      </c>
      <c r="AT69" s="374" t="e">
        <f t="shared" si="21"/>
        <v>#N/A</v>
      </c>
      <c r="AU69" s="307" t="e">
        <f t="shared" si="14"/>
        <v>#N/A</v>
      </c>
      <c r="AV69" s="224" t="e">
        <f t="shared" si="22"/>
        <v>#N/A</v>
      </c>
      <c r="AW69" s="224" t="e">
        <f t="shared" si="23"/>
        <v>#N/A</v>
      </c>
      <c r="AX69" s="374" t="e">
        <f t="shared" si="24"/>
        <v>#N/A</v>
      </c>
      <c r="AY69" s="307" t="e">
        <f t="shared" si="15"/>
        <v>#N/A</v>
      </c>
      <c r="AZ69" s="224" t="e">
        <f t="shared" si="25"/>
        <v>#N/A</v>
      </c>
      <c r="BA69" s="224" t="e">
        <f t="shared" si="26"/>
        <v>#N/A</v>
      </c>
      <c r="BB69" s="374" t="e">
        <f t="shared" si="27"/>
        <v>#N/A</v>
      </c>
      <c r="BC69" s="222" t="str">
        <f>IFERROR(INDEX($AQ$12:$BF$87,59,$BC$2),"")</f>
        <v/>
      </c>
      <c r="BD69" s="224" t="str">
        <f>IFERROR(INDEX($AQ$12:$BF$87,59,$BD$2),"")</f>
        <v/>
      </c>
      <c r="BE69" s="192" t="str">
        <f t="shared" si="28"/>
        <v/>
      </c>
      <c r="BF69" s="200" t="str">
        <f t="array" ref="BF69">INDEX(BE:BE,SMALL(IF($BE$2:$BE$143&lt;&gt;"",ROW($2:$143),144),ROW(BE68)))&amp;""</f>
        <v/>
      </c>
      <c r="BG69" s="372"/>
      <c r="BH69" s="372"/>
      <c r="BI69" s="372"/>
      <c r="BJ69" s="372"/>
      <c r="BK69" s="372"/>
      <c r="BL69" s="372"/>
      <c r="BM69" s="372"/>
      <c r="BN69" s="372"/>
      <c r="BO69" s="372"/>
      <c r="BP69" s="372"/>
      <c r="BQ69" s="372"/>
      <c r="BR69" s="372"/>
      <c r="BS69" s="372"/>
      <c r="BT69" s="372"/>
      <c r="BU69" s="372"/>
      <c r="BV69" s="372"/>
      <c r="BW69" s="372"/>
      <c r="BX69" s="372"/>
      <c r="BY69" s="372"/>
      <c r="BZ69" s="372"/>
    </row>
    <row r="70" customHeight="1" spans="1:78">
      <c r="A70" s="375">
        <v>54</v>
      </c>
      <c r="B70" s="474" t="str">
        <f>IF(OR(BH52&lt;1,COUNTIF($BG$2:$BG$46,"风暴之魂-海洋")),"风暴之魂-海洋","")</f>
        <v>风暴之魂-海洋</v>
      </c>
      <c r="C70" s="474" t="s">
        <v>2931</v>
      </c>
      <c r="D70" s="226" t="s">
        <v>2932</v>
      </c>
      <c r="E70" s="226" t="s">
        <v>2933</v>
      </c>
      <c r="F70" s="458" t="str">
        <f>IF(OR(BH55&lt;1,COUNTIF($BG$2:$BG$46,"神圣打击")),"神圣打击","")</f>
        <v>神圣打击</v>
      </c>
      <c r="G70" s="458" t="s">
        <v>2934</v>
      </c>
      <c r="H70" s="297" t="s">
        <v>2106</v>
      </c>
      <c r="I70" s="297" t="s">
        <v>2935</v>
      </c>
      <c r="J70" s="298" t="s">
        <v>2936</v>
      </c>
      <c r="K70" s="298" t="s">
        <v>2937</v>
      </c>
      <c r="L70" s="359" t="s">
        <v>2938</v>
      </c>
      <c r="M70" s="359" t="s">
        <v>2939</v>
      </c>
      <c r="N70" s="360" t="s">
        <v>2940</v>
      </c>
      <c r="O70" s="360" t="s">
        <v>2941</v>
      </c>
      <c r="P70" s="298" t="s">
        <v>2942</v>
      </c>
      <c r="Q70" s="298" t="s">
        <v>2943</v>
      </c>
      <c r="R70" s="226" t="s">
        <v>2944</v>
      </c>
      <c r="S70" s="226" t="s">
        <v>2945</v>
      </c>
      <c r="T70" s="297" t="s">
        <v>2946</v>
      </c>
      <c r="U70" s="297" t="s">
        <v>2947</v>
      </c>
      <c r="V70" s="435" t="str">
        <f>IF(AND(综合数据!B14=TRUE,OR(COUNTIF(法术数据!AK2:AK301,法术数据!B8)&gt;=1,COUNTIF(BG2:BG44,"*凶兆符记"),COUNTIF(AD16:AD18,G12)),OR(BI65&gt;0,COUNTIF($BG$2:$BG$46,"魔能祈唤-残酷巫咒"))),"魔能祈唤-残酷巫咒","")</f>
        <v/>
      </c>
      <c r="W70" s="439" t="s">
        <v>2948</v>
      </c>
      <c r="X70" s="298" t="s">
        <v>2949</v>
      </c>
      <c r="Y70" s="298" t="s">
        <v>2950</v>
      </c>
      <c r="Z70" s="359" t="str">
        <f>IF(COUNTIF($BG$2:$BG$46,"额外攻击-*"),"","额外攻击")</f>
        <v>额外攻击</v>
      </c>
      <c r="AA70" s="476" t="s">
        <v>1892</v>
      </c>
      <c r="AB70" s="224"/>
      <c r="AC70" s="224"/>
      <c r="AD70" s="224"/>
      <c r="AE70" s="224"/>
      <c r="AF70" s="224"/>
      <c r="AG70" s="224"/>
      <c r="AH70" s="224"/>
      <c r="AI70" s="224"/>
      <c r="AJ70" s="224"/>
      <c r="AK70" s="224"/>
      <c r="AL70" s="372"/>
      <c r="AM70" s="358" t="s">
        <v>1683</v>
      </c>
      <c r="AN70" s="413">
        <v>7</v>
      </c>
      <c r="AO70" s="413">
        <v>1</v>
      </c>
      <c r="AP70" s="438">
        <f>_xlfn.IFS(AG8&gt;=14,26,AG8&gt;=11,25,AG8=10,24,AG8&gt;=6,23,AG8=5,22,AG8=4,21,AG8=3,20,AG8=2,15,AG8=1,2,1,0)</f>
        <v>0</v>
      </c>
      <c r="AQ70" s="307" t="e">
        <f t="shared" si="16"/>
        <v>#N/A</v>
      </c>
      <c r="AR70" s="224" t="e">
        <f t="shared" si="19"/>
        <v>#N/A</v>
      </c>
      <c r="AS70" s="224" t="e">
        <f t="shared" si="20"/>
        <v>#N/A</v>
      </c>
      <c r="AT70" s="374" t="e">
        <f t="shared" si="21"/>
        <v>#N/A</v>
      </c>
      <c r="AU70" s="307" t="e">
        <f t="shared" si="14"/>
        <v>#N/A</v>
      </c>
      <c r="AV70" s="224" t="e">
        <f t="shared" si="22"/>
        <v>#N/A</v>
      </c>
      <c r="AW70" s="224" t="e">
        <f t="shared" si="23"/>
        <v>#N/A</v>
      </c>
      <c r="AX70" s="374" t="e">
        <f t="shared" si="24"/>
        <v>#N/A</v>
      </c>
      <c r="AY70" s="307" t="e">
        <f t="shared" si="15"/>
        <v>#N/A</v>
      </c>
      <c r="AZ70" s="224" t="e">
        <f t="shared" si="25"/>
        <v>#N/A</v>
      </c>
      <c r="BA70" s="224" t="e">
        <f t="shared" si="26"/>
        <v>#N/A</v>
      </c>
      <c r="BB70" s="374" t="e">
        <f t="shared" si="27"/>
        <v>#N/A</v>
      </c>
      <c r="BC70" s="222" t="str">
        <f>IFERROR(INDEX($AQ$12:$BF$87,60,$BC$2),"")</f>
        <v/>
      </c>
      <c r="BD70" s="224" t="str">
        <f>IFERROR(INDEX($AQ$12:$BF$87,60,$BD$2),"")</f>
        <v/>
      </c>
      <c r="BE70" s="192" t="str">
        <f t="shared" si="28"/>
        <v/>
      </c>
      <c r="BF70" s="200" t="str">
        <f t="array" ref="BF70">INDEX(BE:BE,SMALL(IF($BE$2:$BE$143&lt;&gt;"",ROW($2:$143),144),ROW(BE69)))&amp;""</f>
        <v/>
      </c>
      <c r="BG70" s="372"/>
      <c r="BH70" s="372"/>
      <c r="BI70" s="372"/>
      <c r="BJ70" s="372"/>
      <c r="BK70" s="372"/>
      <c r="BL70" s="372"/>
      <c r="BM70" s="372"/>
      <c r="BN70" s="372"/>
      <c r="BO70" s="372"/>
      <c r="BP70" s="372"/>
      <c r="BQ70" s="372"/>
      <c r="BR70" s="372"/>
      <c r="BS70" s="372"/>
      <c r="BT70" s="372"/>
      <c r="BU70" s="372"/>
      <c r="BV70" s="372"/>
      <c r="BW70" s="372"/>
      <c r="BX70" s="372"/>
      <c r="BY70" s="372"/>
      <c r="BZ70" s="372"/>
    </row>
    <row r="71" customHeight="1" spans="1:78">
      <c r="A71" s="375">
        <v>55</v>
      </c>
      <c r="B71" s="474" t="str">
        <f>IF(OR(BH52&lt;1,COUNTIF($BG$2:$BG$46,"风暴之魂-冻原")),"风暴之魂-冻原","")</f>
        <v>风暴之魂-冻原</v>
      </c>
      <c r="C71" s="474" t="s">
        <v>2951</v>
      </c>
      <c r="D71" s="226" t="s">
        <v>2952</v>
      </c>
      <c r="E71" s="226" t="s">
        <v>2953</v>
      </c>
      <c r="F71" s="458" t="s">
        <v>2954</v>
      </c>
      <c r="G71" s="458" t="s">
        <v>2955</v>
      </c>
      <c r="H71" s="297" t="s">
        <v>2956</v>
      </c>
      <c r="I71" s="297" t="s">
        <v>2957</v>
      </c>
      <c r="J71" s="298" t="s">
        <v>2958</v>
      </c>
      <c r="K71" s="298" t="s">
        <v>2959</v>
      </c>
      <c r="L71" s="359" t="s">
        <v>2960</v>
      </c>
      <c r="M71" s="359" t="s">
        <v>2961</v>
      </c>
      <c r="N71" s="360" t="s">
        <v>2962</v>
      </c>
      <c r="O71" s="360" t="s">
        <v>2963</v>
      </c>
      <c r="P71" s="359" t="s">
        <v>2964</v>
      </c>
      <c r="Q71" s="359" t="s">
        <v>2965</v>
      </c>
      <c r="R71" s="226" t="s">
        <v>2966</v>
      </c>
      <c r="S71" s="226" t="s">
        <v>2967</v>
      </c>
      <c r="T71" s="297" t="s">
        <v>2968</v>
      </c>
      <c r="U71" s="297" t="s">
        <v>2969</v>
      </c>
      <c r="V71" s="435" t="str">
        <f>IF(AND(综合数据!B14=TRUE,OR(BI65&gt;0,COUNTIF($BG$2:$BG$46,"魔能祈唤-诡术师的逃脱术"))),"魔能祈唤-诡术师的逃脱术","")</f>
        <v/>
      </c>
      <c r="W71" s="434" t="s">
        <v>2970</v>
      </c>
      <c r="X71" s="298" t="s">
        <v>1270</v>
      </c>
      <c r="Y71" s="298" t="s">
        <v>2971</v>
      </c>
      <c r="Z71" s="359" t="s">
        <v>2972</v>
      </c>
      <c r="AA71" s="476" t="s">
        <v>2973</v>
      </c>
      <c r="AB71" s="224"/>
      <c r="AC71" s="224"/>
      <c r="AD71" s="224"/>
      <c r="AE71" s="224"/>
      <c r="AF71" s="224"/>
      <c r="AG71" s="224"/>
      <c r="AH71" s="224"/>
      <c r="AI71" s="224"/>
      <c r="AJ71" s="224"/>
      <c r="AK71" s="224"/>
      <c r="AL71" s="372"/>
      <c r="AM71" s="307" t="s">
        <v>1684</v>
      </c>
      <c r="AN71" s="373"/>
      <c r="AO71" s="373">
        <v>27</v>
      </c>
      <c r="AP71" s="374">
        <f>_xlfn.IFS(AG8=20,32,AG8&gt;=15,31,AG8&gt;=7,30,AG8&gt;=3,29,1,0)</f>
        <v>0</v>
      </c>
      <c r="AQ71" s="307" t="e">
        <f t="shared" si="16"/>
        <v>#N/A</v>
      </c>
      <c r="AR71" s="224" t="e">
        <f t="shared" si="19"/>
        <v>#N/A</v>
      </c>
      <c r="AS71" s="224" t="e">
        <f t="shared" si="20"/>
        <v>#N/A</v>
      </c>
      <c r="AT71" s="374" t="e">
        <f t="shared" si="21"/>
        <v>#N/A</v>
      </c>
      <c r="AU71" s="307" t="e">
        <f t="shared" si="14"/>
        <v>#N/A</v>
      </c>
      <c r="AV71" s="224" t="e">
        <f t="shared" si="22"/>
        <v>#N/A</v>
      </c>
      <c r="AW71" s="224" t="e">
        <f t="shared" si="23"/>
        <v>#N/A</v>
      </c>
      <c r="AX71" s="374" t="e">
        <f t="shared" si="24"/>
        <v>#N/A</v>
      </c>
      <c r="AY71" s="307" t="e">
        <f t="shared" si="15"/>
        <v>#N/A</v>
      </c>
      <c r="AZ71" s="224" t="e">
        <f t="shared" si="25"/>
        <v>#N/A</v>
      </c>
      <c r="BA71" s="224" t="e">
        <f t="shared" si="26"/>
        <v>#N/A</v>
      </c>
      <c r="BB71" s="374" t="e">
        <f t="shared" si="27"/>
        <v>#N/A</v>
      </c>
      <c r="BC71" s="222" t="str">
        <f>IFERROR(INDEX($AQ$12:$BF$87,61,$BC$2),"")</f>
        <v/>
      </c>
      <c r="BD71" s="224" t="str">
        <f>IFERROR(INDEX($AQ$12:$BF$87,61,$BD$2),"")</f>
        <v/>
      </c>
      <c r="BE71" s="192" t="str">
        <f t="shared" si="28"/>
        <v/>
      </c>
      <c r="BF71" s="200" t="str">
        <f t="array" ref="BF71">INDEX(BE:BE,SMALL(IF($BE$2:$BE$143&lt;&gt;"",ROW($2:$143),144),ROW(BE70)))&amp;""</f>
        <v/>
      </c>
      <c r="BG71" s="372"/>
      <c r="BH71" s="372"/>
      <c r="BI71" s="372"/>
      <c r="BJ71" s="372"/>
      <c r="BK71" s="372"/>
      <c r="BL71" s="372"/>
      <c r="BM71" s="372"/>
      <c r="BN71" s="372"/>
      <c r="BO71" s="372"/>
      <c r="BP71" s="372"/>
      <c r="BQ71" s="372"/>
      <c r="BR71" s="372"/>
      <c r="BS71" s="372"/>
      <c r="BT71" s="372"/>
      <c r="BU71" s="372"/>
      <c r="BV71" s="372"/>
      <c r="BW71" s="372"/>
      <c r="BX71" s="372"/>
      <c r="BY71" s="372"/>
      <c r="BZ71" s="372"/>
    </row>
    <row r="72" customHeight="1" spans="1:78">
      <c r="A72" s="375">
        <v>56</v>
      </c>
      <c r="B72" s="360" t="s">
        <v>2974</v>
      </c>
      <c r="C72" s="360" t="s">
        <v>2975</v>
      </c>
      <c r="D72" s="372"/>
      <c r="E72" s="372"/>
      <c r="F72" s="297" t="s">
        <v>2976</v>
      </c>
      <c r="G72" s="297" t="s">
        <v>2977</v>
      </c>
      <c r="H72" s="297" t="s">
        <v>2978</v>
      </c>
      <c r="I72" s="297" t="s">
        <v>2979</v>
      </c>
      <c r="J72" s="298" t="s">
        <v>2980</v>
      </c>
      <c r="K72" s="298" t="s">
        <v>1930</v>
      </c>
      <c r="L72" s="359" t="s">
        <v>2981</v>
      </c>
      <c r="M72" s="359" t="s">
        <v>2982</v>
      </c>
      <c r="N72" s="360" t="s">
        <v>2983</v>
      </c>
      <c r="O72" s="360" t="s">
        <v>2984</v>
      </c>
      <c r="P72" s="359" t="s">
        <v>2985</v>
      </c>
      <c r="Q72" s="359" t="s">
        <v>2986</v>
      </c>
      <c r="R72" s="226" t="s">
        <v>2987</v>
      </c>
      <c r="S72" s="226" t="s">
        <v>2988</v>
      </c>
      <c r="T72" s="297" t="s">
        <v>2989</v>
      </c>
      <c r="U72" s="297" t="s">
        <v>2990</v>
      </c>
      <c r="V72" s="435" t="str">
        <f>IF(AND(COUNTIF(BG2:BG44,"*符之魔契"),OR(BI65&gt;0,COUNTIF($BG$2:$BG$46,"魔能祈唤-护符庇佑"))),"魔能祈唤-护符庇佑","")</f>
        <v/>
      </c>
      <c r="W72" s="439" t="s">
        <v>2991</v>
      </c>
      <c r="X72" s="298" t="s">
        <v>2992</v>
      </c>
      <c r="Y72" s="298" t="s">
        <v>2993</v>
      </c>
      <c r="Z72" s="359" t="s">
        <v>2994</v>
      </c>
      <c r="AA72" s="476" t="s">
        <v>2995</v>
      </c>
      <c r="AB72" s="224"/>
      <c r="AC72" s="224"/>
      <c r="AD72" s="224"/>
      <c r="AE72" s="224"/>
      <c r="AF72" s="224"/>
      <c r="AG72" s="224"/>
      <c r="AH72" s="224"/>
      <c r="AI72" s="224"/>
      <c r="AJ72" s="224"/>
      <c r="AK72" s="224"/>
      <c r="AL72" s="372"/>
      <c r="AM72" s="307" t="s">
        <v>1685</v>
      </c>
      <c r="AN72" s="373"/>
      <c r="AO72" s="373">
        <v>33</v>
      </c>
      <c r="AP72" s="374">
        <f>_xlfn.IFS(AG8=20,38,AG8&gt;=15,37,AG8&gt;=7,36,AG8&gt;=3,35,1,0)</f>
        <v>0</v>
      </c>
      <c r="AQ72" s="307" t="e">
        <f t="shared" si="16"/>
        <v>#N/A</v>
      </c>
      <c r="AR72" s="224" t="e">
        <f t="shared" si="19"/>
        <v>#N/A</v>
      </c>
      <c r="AS72" s="224" t="e">
        <f t="shared" si="20"/>
        <v>#N/A</v>
      </c>
      <c r="AT72" s="374" t="e">
        <f t="shared" si="21"/>
        <v>#N/A</v>
      </c>
      <c r="AU72" s="307" t="e">
        <f t="shared" si="14"/>
        <v>#N/A</v>
      </c>
      <c r="AV72" s="224" t="e">
        <f t="shared" si="22"/>
        <v>#N/A</v>
      </c>
      <c r="AW72" s="224" t="e">
        <f t="shared" si="23"/>
        <v>#N/A</v>
      </c>
      <c r="AX72" s="374" t="e">
        <f t="shared" si="24"/>
        <v>#N/A</v>
      </c>
      <c r="AY72" s="307" t="e">
        <f t="shared" si="15"/>
        <v>#N/A</v>
      </c>
      <c r="AZ72" s="224" t="e">
        <f t="shared" si="25"/>
        <v>#N/A</v>
      </c>
      <c r="BA72" s="224" t="e">
        <f t="shared" si="26"/>
        <v>#N/A</v>
      </c>
      <c r="BB72" s="374" t="e">
        <f t="shared" si="27"/>
        <v>#N/A</v>
      </c>
      <c r="BC72" s="222" t="str">
        <f>IFERROR(INDEX($AQ$12:$BF$87,62,$BC$2),"")</f>
        <v/>
      </c>
      <c r="BD72" s="224" t="str">
        <f>IFERROR(INDEX($AQ$12:$BF$87,62,$BD$2),"")</f>
        <v/>
      </c>
      <c r="BE72" s="192" t="str">
        <f t="shared" si="28"/>
        <v/>
      </c>
      <c r="BF72" s="200" t="str">
        <f t="array" ref="BF72">INDEX(BE:BE,SMALL(IF($BE$2:$BE$143&lt;&gt;"",ROW($2:$143),144),ROW(BE71)))&amp;""</f>
        <v/>
      </c>
      <c r="BG72" s="372"/>
      <c r="BH72" s="372"/>
      <c r="BI72" s="372"/>
      <c r="BJ72" s="372"/>
      <c r="BK72" s="372"/>
      <c r="BL72" s="372"/>
      <c r="BM72" s="372"/>
      <c r="BN72" s="372"/>
      <c r="BO72" s="372"/>
      <c r="BP72" s="372"/>
      <c r="BQ72" s="372"/>
      <c r="BR72" s="372"/>
      <c r="BS72" s="372"/>
      <c r="BT72" s="372"/>
      <c r="BU72" s="372"/>
      <c r="BV72" s="372"/>
      <c r="BW72" s="372"/>
      <c r="BX72" s="372"/>
      <c r="BY72" s="372"/>
      <c r="BZ72" s="372"/>
    </row>
    <row r="73" customHeight="1" spans="1:78">
      <c r="A73" s="375">
        <v>57</v>
      </c>
      <c r="B73" s="360" t="s">
        <v>2555</v>
      </c>
      <c r="C73" s="360" t="s">
        <v>2996</v>
      </c>
      <c r="D73" s="372"/>
      <c r="E73" s="372"/>
      <c r="F73" s="297" t="s">
        <v>2997</v>
      </c>
      <c r="G73" s="297" t="s">
        <v>2698</v>
      </c>
      <c r="H73" s="297" t="s">
        <v>2998</v>
      </c>
      <c r="I73" s="297" t="s">
        <v>2999</v>
      </c>
      <c r="J73" s="298" t="s">
        <v>3000</v>
      </c>
      <c r="K73" s="298" t="s">
        <v>3001</v>
      </c>
      <c r="L73" s="360" t="s">
        <v>3002</v>
      </c>
      <c r="M73" s="360" t="s">
        <v>3003</v>
      </c>
      <c r="N73" s="458" t="s">
        <v>3004</v>
      </c>
      <c r="O73" s="458" t="s">
        <v>3005</v>
      </c>
      <c r="P73" s="359" t="s">
        <v>3006</v>
      </c>
      <c r="Q73" s="359" t="s">
        <v>3007</v>
      </c>
      <c r="R73" s="226" t="s">
        <v>3008</v>
      </c>
      <c r="S73" s="226" t="s">
        <v>3009</v>
      </c>
      <c r="T73" s="297" t="s">
        <v>3010</v>
      </c>
      <c r="U73" s="297" t="s">
        <v>3011</v>
      </c>
      <c r="V73" s="434" t="str">
        <f>IF(OR(BI65&gt;0,COUNTIF($BG$2:$BG$46,"魔能祈唤-星移步法")),"魔能祈唤-星移步法","")</f>
        <v/>
      </c>
      <c r="W73" s="434" t="s">
        <v>3012</v>
      </c>
      <c r="X73" s="359" t="s">
        <v>3013</v>
      </c>
      <c r="Y73" s="359" t="s">
        <v>3014</v>
      </c>
      <c r="Z73" s="360" t="s">
        <v>2507</v>
      </c>
      <c r="AA73" s="462" t="s">
        <v>3015</v>
      </c>
      <c r="AB73" s="224"/>
      <c r="AC73" s="224"/>
      <c r="AD73" s="224"/>
      <c r="AE73" s="224"/>
      <c r="AF73" s="224"/>
      <c r="AG73" s="224"/>
      <c r="AH73" s="224"/>
      <c r="AI73" s="224"/>
      <c r="AJ73" s="224"/>
      <c r="AK73" s="224"/>
      <c r="AL73" s="372"/>
      <c r="AM73" s="307" t="s">
        <v>1686</v>
      </c>
      <c r="AN73" s="373"/>
      <c r="AO73" s="373">
        <v>39</v>
      </c>
      <c r="AP73" s="374">
        <f>_xlfn.IFS(AG8=20,44,AG8&gt;=15,43,AG8&gt;=7,42,AG8&gt;=3,41,1,0)</f>
        <v>0</v>
      </c>
      <c r="AQ73" s="307" t="e">
        <f t="shared" si="16"/>
        <v>#N/A</v>
      </c>
      <c r="AR73" s="224" t="e">
        <f t="shared" si="19"/>
        <v>#N/A</v>
      </c>
      <c r="AS73" s="224" t="e">
        <f t="shared" si="20"/>
        <v>#N/A</v>
      </c>
      <c r="AT73" s="374" t="e">
        <f t="shared" si="21"/>
        <v>#N/A</v>
      </c>
      <c r="AU73" s="307" t="e">
        <f t="shared" si="14"/>
        <v>#N/A</v>
      </c>
      <c r="AV73" s="224" t="e">
        <f t="shared" si="22"/>
        <v>#N/A</v>
      </c>
      <c r="AW73" s="224" t="e">
        <f t="shared" si="23"/>
        <v>#N/A</v>
      </c>
      <c r="AX73" s="374" t="e">
        <f t="shared" si="24"/>
        <v>#N/A</v>
      </c>
      <c r="AY73" s="307" t="e">
        <f t="shared" si="15"/>
        <v>#N/A</v>
      </c>
      <c r="AZ73" s="224" t="e">
        <f t="shared" si="25"/>
        <v>#N/A</v>
      </c>
      <c r="BA73" s="224" t="e">
        <f t="shared" si="26"/>
        <v>#N/A</v>
      </c>
      <c r="BB73" s="374" t="e">
        <f t="shared" si="27"/>
        <v>#N/A</v>
      </c>
      <c r="BC73" s="222" t="str">
        <f>IFERROR(INDEX($AQ$12:$BF$87,63,$BC$2),"")</f>
        <v/>
      </c>
      <c r="BD73" s="224" t="str">
        <f>IFERROR(INDEX($AQ$12:$BF$87,63,$BD$2),"")</f>
        <v/>
      </c>
      <c r="BE73" s="192" t="str">
        <f t="shared" si="28"/>
        <v/>
      </c>
      <c r="BF73" s="200" t="str">
        <f t="array" ref="BF73">INDEX(BE:BE,SMALL(IF($BE$2:$BE$143&lt;&gt;"",ROW($2:$143),144),ROW(BE72)))&amp;""</f>
        <v/>
      </c>
      <c r="BG73" s="372"/>
      <c r="BH73" s="372"/>
      <c r="BI73" s="372"/>
      <c r="BJ73" s="372"/>
      <c r="BK73" s="372"/>
      <c r="BL73" s="372"/>
      <c r="BM73" s="372"/>
      <c r="BN73" s="372"/>
      <c r="BO73" s="372"/>
      <c r="BP73" s="372"/>
      <c r="BQ73" s="372"/>
      <c r="BR73" s="372"/>
      <c r="BS73" s="372"/>
      <c r="BT73" s="372"/>
      <c r="BU73" s="372"/>
      <c r="BV73" s="372"/>
      <c r="BW73" s="372"/>
      <c r="BX73" s="372"/>
      <c r="BY73" s="372"/>
      <c r="BZ73" s="372"/>
    </row>
    <row r="74" customHeight="1" spans="1:78">
      <c r="A74" s="375">
        <v>58</v>
      </c>
      <c r="B74" s="474" t="str">
        <f>IF(OR(BH53&lt;1,COUNTIF($BG$2:$BG$46,"风暴之魂-沙漠")),"风暴之魂-沙漠","")</f>
        <v>风暴之魂-沙漠</v>
      </c>
      <c r="C74" s="474" t="s">
        <v>3016</v>
      </c>
      <c r="D74" s="372"/>
      <c r="E74" s="372"/>
      <c r="F74" s="297" t="s">
        <v>3017</v>
      </c>
      <c r="G74" s="297" t="s">
        <v>3018</v>
      </c>
      <c r="H74" s="297" t="s">
        <v>3019</v>
      </c>
      <c r="I74" s="297" t="s">
        <v>3020</v>
      </c>
      <c r="J74" s="298" t="s">
        <v>3021</v>
      </c>
      <c r="K74" s="298" t="s">
        <v>3022</v>
      </c>
      <c r="L74" s="360" t="s">
        <v>3023</v>
      </c>
      <c r="M74" s="360" t="s">
        <v>3024</v>
      </c>
      <c r="N74" s="482" t="s">
        <v>3025</v>
      </c>
      <c r="O74" s="482" t="s">
        <v>3026</v>
      </c>
      <c r="P74" s="359" t="s">
        <v>3027</v>
      </c>
      <c r="Q74" s="359" t="s">
        <v>3028</v>
      </c>
      <c r="R74" s="226" t="s">
        <v>3029</v>
      </c>
      <c r="S74" s="226" t="s">
        <v>3030</v>
      </c>
      <c r="T74" s="297" t="s">
        <v>3031</v>
      </c>
      <c r="U74" s="297" t="s">
        <v>3032</v>
      </c>
      <c r="V74" s="434" t="str">
        <f>IF(OR(BI65&gt;0,COUNTIF($BG$2:$BG$46,"魔能祈唤-混沌手下")),"魔能祈唤-混沌手下","")</f>
        <v/>
      </c>
      <c r="W74" s="434" t="s">
        <v>3033</v>
      </c>
      <c r="X74" s="359" t="s">
        <v>3034</v>
      </c>
      <c r="Y74" s="359" t="s">
        <v>3035</v>
      </c>
      <c r="Z74" s="360" t="s">
        <v>3036</v>
      </c>
      <c r="AA74" s="462" t="s">
        <v>3037</v>
      </c>
      <c r="AB74" s="224"/>
      <c r="AC74" s="224"/>
      <c r="AD74" s="224"/>
      <c r="AE74" s="224"/>
      <c r="AF74" s="224"/>
      <c r="AG74" s="224"/>
      <c r="AH74" s="224"/>
      <c r="AI74" s="224"/>
      <c r="AJ74" s="224"/>
      <c r="AK74" s="224"/>
      <c r="AL74" s="372"/>
      <c r="AM74" s="400" t="s">
        <v>3038</v>
      </c>
      <c r="AN74" s="400"/>
      <c r="AO74" s="400">
        <v>45</v>
      </c>
      <c r="AP74" s="442">
        <f>_xlfn.IFS(AG8=20,50,AG8&gt;=15,49,AG8&gt;=7,48,AG8&gt;=3,47,1,0)</f>
        <v>0</v>
      </c>
      <c r="AQ74" s="307" t="e">
        <f t="shared" si="16"/>
        <v>#N/A</v>
      </c>
      <c r="AR74" s="224" t="e">
        <f t="shared" si="19"/>
        <v>#N/A</v>
      </c>
      <c r="AS74" s="224" t="e">
        <f t="shared" si="20"/>
        <v>#N/A</v>
      </c>
      <c r="AT74" s="374" t="e">
        <f t="shared" si="21"/>
        <v>#N/A</v>
      </c>
      <c r="AU74" s="307" t="e">
        <f t="shared" si="14"/>
        <v>#N/A</v>
      </c>
      <c r="AV74" s="224" t="e">
        <f t="shared" si="22"/>
        <v>#N/A</v>
      </c>
      <c r="AW74" s="224" t="e">
        <f t="shared" si="23"/>
        <v>#N/A</v>
      </c>
      <c r="AX74" s="374" t="e">
        <f t="shared" si="24"/>
        <v>#N/A</v>
      </c>
      <c r="AY74" s="307" t="e">
        <f t="shared" si="15"/>
        <v>#N/A</v>
      </c>
      <c r="AZ74" s="224" t="e">
        <f t="shared" si="25"/>
        <v>#N/A</v>
      </c>
      <c r="BA74" s="224" t="e">
        <f t="shared" si="26"/>
        <v>#N/A</v>
      </c>
      <c r="BB74" s="374" t="e">
        <f t="shared" si="27"/>
        <v>#N/A</v>
      </c>
      <c r="BC74" s="222" t="str">
        <f>IFERROR(INDEX($AQ$12:$BF$87,64,$BC$2),"")</f>
        <v/>
      </c>
      <c r="BD74" s="224" t="str">
        <f>IFERROR(INDEX($AQ$12:$BF$87,64,$BD$2),"")</f>
        <v/>
      </c>
      <c r="BE74" s="192" t="str">
        <f t="shared" si="28"/>
        <v/>
      </c>
      <c r="BF74" s="200" t="str">
        <f t="array" ref="BF74">INDEX(BE:BE,SMALL(IF($BE$2:$BE$143&lt;&gt;"",ROW($2:$143),144),ROW(BE73)))&amp;""</f>
        <v/>
      </c>
      <c r="BG74" s="372"/>
      <c r="BH74" s="372"/>
      <c r="BI74" s="372"/>
      <c r="BJ74" s="372"/>
      <c r="BK74" s="372"/>
      <c r="BL74" s="372"/>
      <c r="BM74" s="372"/>
      <c r="BN74" s="372"/>
      <c r="BO74" s="372"/>
      <c r="BP74" s="372"/>
      <c r="BQ74" s="372"/>
      <c r="BR74" s="372"/>
      <c r="BS74" s="372"/>
      <c r="BT74" s="372"/>
      <c r="BU74" s="372"/>
      <c r="BV74" s="372"/>
      <c r="BW74" s="372"/>
      <c r="BX74" s="372"/>
      <c r="BY74" s="372"/>
      <c r="BZ74" s="372"/>
    </row>
    <row r="75" customHeight="1" spans="1:78">
      <c r="A75" s="375">
        <v>59</v>
      </c>
      <c r="B75" s="474" t="str">
        <f>IF(OR(BH53&lt;1,COUNTIF($BG$2:$BG$46,"风暴之魂-海洋")),"风暴之魂-海洋","")</f>
        <v>风暴之魂-海洋</v>
      </c>
      <c r="C75" s="474" t="s">
        <v>3039</v>
      </c>
      <c r="D75" s="372"/>
      <c r="E75" s="372"/>
      <c r="F75" s="446" t="s">
        <v>3040</v>
      </c>
      <c r="G75" s="446" t="s">
        <v>3041</v>
      </c>
      <c r="H75" s="372"/>
      <c r="I75" s="372"/>
      <c r="J75" s="298" t="s">
        <v>3042</v>
      </c>
      <c r="K75" s="298" t="s">
        <v>3043</v>
      </c>
      <c r="L75" s="360" t="s">
        <v>3044</v>
      </c>
      <c r="M75" s="360" t="s">
        <v>3045</v>
      </c>
      <c r="N75" s="482" t="s">
        <v>3046</v>
      </c>
      <c r="O75" s="482" t="s">
        <v>3047</v>
      </c>
      <c r="P75" s="359" t="s">
        <v>3048</v>
      </c>
      <c r="Q75" s="359" t="s">
        <v>3049</v>
      </c>
      <c r="R75" s="298" t="s">
        <v>3050</v>
      </c>
      <c r="S75" s="298" t="s">
        <v>3051</v>
      </c>
      <c r="T75" s="226" t="s">
        <v>3052</v>
      </c>
      <c r="U75" s="226" t="s">
        <v>3053</v>
      </c>
      <c r="V75" s="434" t="str">
        <f>IF(OR(BI65&gt;0,COUNTIF($BG$2:$BG$46,"魔能祈唤-超凡跳跃")),"魔能祈唤-超凡跳跃","")</f>
        <v/>
      </c>
      <c r="W75" s="434" t="s">
        <v>3054</v>
      </c>
      <c r="X75" s="359" t="s">
        <v>3055</v>
      </c>
      <c r="Y75" s="359" t="s">
        <v>3056</v>
      </c>
      <c r="Z75" s="360" t="s">
        <v>3057</v>
      </c>
      <c r="AA75" s="462" t="s">
        <v>3058</v>
      </c>
      <c r="AB75" s="224"/>
      <c r="AC75" s="224"/>
      <c r="AD75" s="224"/>
      <c r="AE75" s="224"/>
      <c r="AF75" s="224"/>
      <c r="AG75" s="224"/>
      <c r="AH75" s="224"/>
      <c r="AI75" s="224"/>
      <c r="AJ75" s="224"/>
      <c r="AK75" s="224"/>
      <c r="AL75" s="372"/>
      <c r="AM75" s="483" t="s">
        <v>3059</v>
      </c>
      <c r="AN75" s="420"/>
      <c r="AO75" s="420">
        <v>51</v>
      </c>
      <c r="AP75" s="484">
        <f>_xlfn.IFS(AG8=20,56,AG8&gt;=15,55,AG8&gt;=7,54,AG8&gt;=3,53,1,0)</f>
        <v>0</v>
      </c>
      <c r="AQ75" s="307" t="e">
        <f t="shared" si="16"/>
        <v>#N/A</v>
      </c>
      <c r="AR75" s="224" t="e">
        <f t="shared" si="19"/>
        <v>#N/A</v>
      </c>
      <c r="AS75" s="224" t="e">
        <f t="shared" si="20"/>
        <v>#N/A</v>
      </c>
      <c r="AT75" s="374" t="e">
        <f t="shared" si="21"/>
        <v>#N/A</v>
      </c>
      <c r="AU75" s="307" t="e">
        <f t="shared" si="14"/>
        <v>#N/A</v>
      </c>
      <c r="AV75" s="224" t="e">
        <f t="shared" si="22"/>
        <v>#N/A</v>
      </c>
      <c r="AW75" s="224" t="e">
        <f t="shared" si="23"/>
        <v>#N/A</v>
      </c>
      <c r="AX75" s="374" t="e">
        <f t="shared" si="24"/>
        <v>#N/A</v>
      </c>
      <c r="AY75" s="307" t="e">
        <f t="shared" si="15"/>
        <v>#N/A</v>
      </c>
      <c r="AZ75" s="224" t="e">
        <f t="shared" si="25"/>
        <v>#N/A</v>
      </c>
      <c r="BA75" s="224" t="e">
        <f t="shared" si="26"/>
        <v>#N/A</v>
      </c>
      <c r="BB75" s="374" t="e">
        <f t="shared" si="27"/>
        <v>#N/A</v>
      </c>
      <c r="BC75" s="222" t="str">
        <f>IFERROR(INDEX($AQ$12:$BF$87,65,$BC$2),"")</f>
        <v/>
      </c>
      <c r="BD75" s="224" t="str">
        <f>IFERROR(INDEX($AQ$12:$BF$87,65,$BD$2),"")</f>
        <v/>
      </c>
      <c r="BE75" s="192" t="str">
        <f t="shared" si="28"/>
        <v/>
      </c>
      <c r="BF75" s="200" t="str">
        <f t="array" ref="BF75">INDEX(BE:BE,SMALL(IF($BE$2:$BE$143&lt;&gt;"",ROW($2:$143),144),ROW(BE74)))&amp;""</f>
        <v/>
      </c>
      <c r="BG75" s="372"/>
      <c r="BH75" s="372"/>
      <c r="BI75" s="372"/>
      <c r="BJ75" s="372"/>
      <c r="BK75" s="372"/>
      <c r="BL75" s="372"/>
      <c r="BM75" s="372"/>
      <c r="BN75" s="372"/>
      <c r="BO75" s="372"/>
      <c r="BP75" s="372"/>
      <c r="BQ75" s="372"/>
      <c r="BR75" s="372"/>
      <c r="BS75" s="372"/>
      <c r="BT75" s="372"/>
      <c r="BU75" s="372"/>
      <c r="BV75" s="372"/>
      <c r="BW75" s="372"/>
      <c r="BX75" s="372"/>
      <c r="BY75" s="372"/>
      <c r="BZ75" s="372"/>
    </row>
    <row r="76" customHeight="1" spans="1:78">
      <c r="A76" s="375">
        <v>60</v>
      </c>
      <c r="B76" s="474" t="str">
        <f>IF(OR(BH53&lt;1,COUNTIF($BG$2:$BG$46,"风暴之魂-冻原")),"风暴之魂-冻原","")</f>
        <v>风暴之魂-冻原</v>
      </c>
      <c r="C76" s="474" t="s">
        <v>3060</v>
      </c>
      <c r="D76" s="372"/>
      <c r="E76" s="372"/>
      <c r="F76" s="446" t="s">
        <v>3061</v>
      </c>
      <c r="G76" s="446" t="s">
        <v>3062</v>
      </c>
      <c r="H76" s="372"/>
      <c r="I76" s="372"/>
      <c r="J76" s="298" t="s">
        <v>3063</v>
      </c>
      <c r="K76" s="298" t="s">
        <v>3064</v>
      </c>
      <c r="L76" s="360" t="s">
        <v>3065</v>
      </c>
      <c r="M76" s="360" t="s">
        <v>3066</v>
      </c>
      <c r="N76" s="458" t="s">
        <v>3067</v>
      </c>
      <c r="O76" s="458" t="s">
        <v>3068</v>
      </c>
      <c r="P76" s="359" t="s">
        <v>3069</v>
      </c>
      <c r="Q76" s="359" t="s">
        <v>3070</v>
      </c>
      <c r="R76" s="298" t="s">
        <v>3071</v>
      </c>
      <c r="S76" s="298" t="s">
        <v>3072</v>
      </c>
      <c r="T76" s="226" t="s">
        <v>3073</v>
      </c>
      <c r="U76" s="226" t="s">
        <v>3074</v>
      </c>
      <c r="V76" s="434" t="str">
        <f>IF(OR(BI65&gt;0,COUNTIF($BG$2:$BG$46,"魔能祈唤-坟墓低语")),"魔能祈唤-坟墓低语","")</f>
        <v/>
      </c>
      <c r="W76" s="434" t="s">
        <v>3075</v>
      </c>
      <c r="X76" s="359" t="s">
        <v>3076</v>
      </c>
      <c r="Y76" s="359" t="s">
        <v>3077</v>
      </c>
      <c r="Z76" s="360" t="s">
        <v>2905</v>
      </c>
      <c r="AA76" s="462" t="s">
        <v>3078</v>
      </c>
      <c r="AB76" s="224"/>
      <c r="AC76" s="224"/>
      <c r="AD76" s="224"/>
      <c r="AE76" s="224"/>
      <c r="AF76" s="224"/>
      <c r="AG76" s="224"/>
      <c r="AH76" s="224"/>
      <c r="AI76" s="224"/>
      <c r="AJ76" s="224"/>
      <c r="AK76" s="224"/>
      <c r="AL76" s="372"/>
      <c r="AM76" s="283" t="s">
        <v>3079</v>
      </c>
      <c r="AN76" s="245"/>
      <c r="AO76" s="245">
        <v>57</v>
      </c>
      <c r="AP76" s="245">
        <f>_xlfn.IFS(AG8=20,62,AG8&gt;=15,61,AG8&gt;=7,60,AG8&gt;=3,59,1,0)</f>
        <v>0</v>
      </c>
      <c r="AQ76" s="307" t="e">
        <f t="shared" si="16"/>
        <v>#N/A</v>
      </c>
      <c r="AR76" s="224" t="e">
        <f t="shared" ref="AR76:AR87" si="29">INDEX($B$17:$AA$154,AQ76,$AR$4)</f>
        <v>#N/A</v>
      </c>
      <c r="AS76" s="224" t="e">
        <f t="shared" ref="AS76:AS87" si="30">INDEX($B$17:$AA$154,AQ76,$AR$3)</f>
        <v>#N/A</v>
      </c>
      <c r="AT76" s="374" t="e">
        <f t="shared" ref="AT76:AT87" si="31">IF(AQ75+1&gt;$AT$3,AT75+1,0)</f>
        <v>#N/A</v>
      </c>
      <c r="AU76" s="307" t="e">
        <f t="shared" si="14"/>
        <v>#N/A</v>
      </c>
      <c r="AV76" s="224" t="e">
        <f t="shared" ref="AV76:AV87" si="32">INDEX($B$17:$AA$154,AU76,$AV$4)</f>
        <v>#N/A</v>
      </c>
      <c r="AW76" s="224" t="e">
        <f t="shared" ref="AW76:AW87" si="33">INDEX($B$17:$AA$154,AU76,$AV$3)</f>
        <v>#N/A</v>
      </c>
      <c r="AX76" s="374" t="e">
        <f t="shared" ref="AX76:AX87" si="34">IF($AU75+1&gt;$AX$3,$AX75+1,0)</f>
        <v>#N/A</v>
      </c>
      <c r="AY76" s="307" t="e">
        <f t="shared" si="15"/>
        <v>#N/A</v>
      </c>
      <c r="AZ76" s="224" t="e">
        <f t="shared" ref="AZ76:AZ87" si="35">INDEX($B$17:$AA$154,AY76,$AZ$4)</f>
        <v>#N/A</v>
      </c>
      <c r="BA76" s="224" t="e">
        <f t="shared" ref="BA76:BA87" si="36">INDEX($B$17:$AA$154,AY76,$AZ$3)</f>
        <v>#N/A</v>
      </c>
      <c r="BB76" s="374" t="e">
        <f t="shared" ref="BB76:BB87" si="37">IF($AY75+1&gt;$BB$3,$BB75+1,0)</f>
        <v>#N/A</v>
      </c>
      <c r="BC76" s="222" t="str">
        <f>IFERROR(INDEX($AQ$12:$BF$87,66,$BC$2),"")</f>
        <v/>
      </c>
      <c r="BD76" s="224" t="str">
        <f>IFERROR(INDEX($AQ$12:$BF$87,66,$BD$2),"")</f>
        <v/>
      </c>
      <c r="BE76" s="192" t="str">
        <f t="shared" si="28"/>
        <v/>
      </c>
      <c r="BF76" s="200" t="str">
        <f t="array" ref="BF76">INDEX(BE:BE,SMALL(IF($BE$2:$BE$143&lt;&gt;"",ROW($2:$143),144),ROW(BE75)))&amp;""</f>
        <v/>
      </c>
      <c r="BG76" s="372"/>
      <c r="BH76" s="372"/>
      <c r="BI76" s="372"/>
      <c r="BJ76" s="372"/>
      <c r="BK76" s="372"/>
      <c r="BL76" s="372"/>
      <c r="BM76" s="372"/>
      <c r="BN76" s="372"/>
      <c r="BO76" s="372"/>
      <c r="BP76" s="372"/>
      <c r="BQ76" s="372"/>
      <c r="BR76" s="372"/>
      <c r="BS76" s="372"/>
      <c r="BT76" s="372"/>
      <c r="BU76" s="372"/>
      <c r="BV76" s="372"/>
      <c r="BW76" s="372"/>
      <c r="BX76" s="372"/>
      <c r="BY76" s="372"/>
      <c r="BZ76" s="372"/>
    </row>
    <row r="77" customHeight="1" spans="1:78">
      <c r="A77" s="375">
        <v>61</v>
      </c>
      <c r="B77" s="485" t="s">
        <v>3080</v>
      </c>
      <c r="C77" s="485" t="s">
        <v>3081</v>
      </c>
      <c r="D77" s="372"/>
      <c r="E77" s="372"/>
      <c r="F77" s="297" t="str">
        <f>IF(OR(BH55&lt;1,COUNTIF($BG$2:$BG$46,"神圣打击")),"神圣打击","")</f>
        <v>神圣打击</v>
      </c>
      <c r="G77" s="297" t="s">
        <v>3082</v>
      </c>
      <c r="H77" s="372"/>
      <c r="I77" s="372"/>
      <c r="J77" s="298" t="s">
        <v>3083</v>
      </c>
      <c r="K77" s="298" t="s">
        <v>3084</v>
      </c>
      <c r="L77" s="360" t="s">
        <v>3085</v>
      </c>
      <c r="M77" s="360" t="s">
        <v>3086</v>
      </c>
      <c r="N77" s="458" t="s">
        <v>3087</v>
      </c>
      <c r="O77" s="458" t="s">
        <v>3088</v>
      </c>
      <c r="P77" s="360" t="s">
        <v>3089</v>
      </c>
      <c r="Q77" s="360" t="s">
        <v>3090</v>
      </c>
      <c r="R77" s="298" t="s">
        <v>3091</v>
      </c>
      <c r="S77" s="298" t="s">
        <v>3092</v>
      </c>
      <c r="T77" s="226" t="s">
        <v>3093</v>
      </c>
      <c r="U77" s="226" t="s">
        <v>3094</v>
      </c>
      <c r="V77" s="435" t="str">
        <f>IF(AND(综合数据!B14=TRUE,COUNTIF(BG2:BG44,"*书之魔契"),OR(BI65&gt;0,COUNTIF($BG$2:$BG$46,"魔能祈唤-守护馈赠"))),"魔能祈唤-守护馈赠","")</f>
        <v/>
      </c>
      <c r="W77" s="439" t="s">
        <v>3095</v>
      </c>
      <c r="X77" s="359" t="s">
        <v>3096</v>
      </c>
      <c r="Y77" s="359" t="s">
        <v>3097</v>
      </c>
      <c r="Z77" s="479" t="str">
        <f>IF(OR(BH68&lt;1,COUNTIF($BG$2:$BG$46,"守护者")),"守护者","")</f>
        <v>守护者</v>
      </c>
      <c r="AA77" s="486" t="s">
        <v>3098</v>
      </c>
      <c r="AB77" s="468"/>
      <c r="AC77" s="468"/>
      <c r="AD77" s="468"/>
      <c r="AE77" s="468"/>
      <c r="AF77" s="468"/>
      <c r="AG77" s="468"/>
      <c r="AH77" s="468"/>
      <c r="AI77" s="468"/>
      <c r="AJ77" s="468"/>
      <c r="AK77" s="468"/>
      <c r="AL77" s="372"/>
      <c r="AM77" s="283" t="s">
        <v>3099</v>
      </c>
      <c r="AN77" s="245"/>
      <c r="AO77" s="245">
        <v>63</v>
      </c>
      <c r="AP77" s="245">
        <f>_xlfn.IFS(AG8=20,68,AG8&gt;=15,67,AG8&gt;=7,66,AG8&gt;=3,65,1,0)</f>
        <v>0</v>
      </c>
      <c r="AQ77" s="307" t="e">
        <f t="shared" ref="AQ77:AQ87" si="38">IF(AQ76+1&gt;$AT$3,IF($AS$4+AT76&gt;$AT$4,"",$AS$4+AT76),AQ76+1)</f>
        <v>#N/A</v>
      </c>
      <c r="AR77" s="224" t="e">
        <f t="shared" si="29"/>
        <v>#N/A</v>
      </c>
      <c r="AS77" s="224" t="e">
        <f t="shared" si="30"/>
        <v>#N/A</v>
      </c>
      <c r="AT77" s="374" t="e">
        <f t="shared" si="31"/>
        <v>#N/A</v>
      </c>
      <c r="AU77" s="307" t="e">
        <f t="shared" ref="AU77:AU87" si="39">IF($AU76+1&gt;$AX$3,IF($AW$4+AX76&gt;$AX$4,"",$AW$4+AX76),$AU76+1)</f>
        <v>#N/A</v>
      </c>
      <c r="AV77" s="224" t="e">
        <f t="shared" si="32"/>
        <v>#N/A</v>
      </c>
      <c r="AW77" s="224" t="e">
        <f t="shared" si="33"/>
        <v>#N/A</v>
      </c>
      <c r="AX77" s="374" t="e">
        <f t="shared" si="34"/>
        <v>#N/A</v>
      </c>
      <c r="AY77" s="307" t="e">
        <f t="shared" ref="AY77:AY87" si="40">IF($AY76+1&gt;$BB$3,IF($BA$4+BB76&gt;$BB$4,"",$BA$4+BB76),$AY76+1)</f>
        <v>#N/A</v>
      </c>
      <c r="AZ77" s="224" t="e">
        <f t="shared" si="35"/>
        <v>#N/A</v>
      </c>
      <c r="BA77" s="224" t="e">
        <f t="shared" si="36"/>
        <v>#N/A</v>
      </c>
      <c r="BB77" s="374" t="e">
        <f t="shared" si="37"/>
        <v>#N/A</v>
      </c>
      <c r="BC77" s="222" t="str">
        <f>IFERROR(INDEX($AQ$12:$BF$87,67,$BC$2),"")</f>
        <v/>
      </c>
      <c r="BD77" s="224" t="str">
        <f>IFERROR(INDEX($AQ$12:$BF$87,67,$BD$2),"")</f>
        <v/>
      </c>
      <c r="BE77" s="192" t="str">
        <f t="shared" si="28"/>
        <v/>
      </c>
      <c r="BF77" s="200" t="str">
        <f t="array" ref="BF77">INDEX(BE:BE,SMALL(IF($BE$2:$BE$143&lt;&gt;"",ROW($2:$143),144),ROW(BE76)))&amp;""</f>
        <v/>
      </c>
      <c r="BG77" s="372"/>
      <c r="BH77" s="372"/>
      <c r="BI77" s="372"/>
      <c r="BJ77" s="372"/>
      <c r="BK77" s="372"/>
      <c r="BL77" s="372"/>
      <c r="BM77" s="372"/>
      <c r="BN77" s="372"/>
      <c r="BO77" s="372"/>
      <c r="BP77" s="372"/>
      <c r="BQ77" s="372"/>
      <c r="BR77" s="372"/>
      <c r="BS77" s="372"/>
      <c r="BT77" s="372"/>
      <c r="BU77" s="372"/>
      <c r="BV77" s="372"/>
      <c r="BW77" s="372"/>
      <c r="BX77" s="372"/>
      <c r="BY77" s="372"/>
      <c r="BZ77" s="372"/>
    </row>
    <row r="78" customHeight="1" spans="1:78">
      <c r="A78" s="375">
        <v>62</v>
      </c>
      <c r="B78" s="485" t="s">
        <v>3100</v>
      </c>
      <c r="C78" s="485" t="s">
        <v>3101</v>
      </c>
      <c r="D78" s="372"/>
      <c r="E78" s="372"/>
      <c r="F78" s="297" t="s">
        <v>3102</v>
      </c>
      <c r="G78" s="297" t="s">
        <v>3103</v>
      </c>
      <c r="H78" s="372"/>
      <c r="I78" s="372"/>
      <c r="J78" s="359" t="s">
        <v>3104</v>
      </c>
      <c r="K78" s="359" t="s">
        <v>3105</v>
      </c>
      <c r="L78" s="458" t="s">
        <v>3106</v>
      </c>
      <c r="M78" s="458" t="s">
        <v>3107</v>
      </c>
      <c r="N78" s="458" t="s">
        <v>3108</v>
      </c>
      <c r="O78" s="458" t="s">
        <v>3109</v>
      </c>
      <c r="P78" s="360" t="s">
        <v>3110</v>
      </c>
      <c r="Q78" s="360" t="s">
        <v>3111</v>
      </c>
      <c r="R78" s="298" t="s">
        <v>3112</v>
      </c>
      <c r="S78" s="298" t="s">
        <v>3113</v>
      </c>
      <c r="T78" s="226" t="s">
        <v>3114</v>
      </c>
      <c r="U78" s="226" t="s">
        <v>3115</v>
      </c>
      <c r="V78" s="305" t="s">
        <v>3116</v>
      </c>
      <c r="W78" s="305" t="s">
        <v>3117</v>
      </c>
      <c r="X78" s="360" t="s">
        <v>3118</v>
      </c>
      <c r="Y78" s="360" t="s">
        <v>3119</v>
      </c>
      <c r="Z78" s="479" t="str">
        <f>IF(OR(BH68&lt;1,COUNTIF($BG$2:$BG$46,"渗透者")),"渗透者","")</f>
        <v>渗透者</v>
      </c>
      <c r="AA78" s="486" t="s">
        <v>3120</v>
      </c>
      <c r="AB78" s="468"/>
      <c r="AC78" s="468"/>
      <c r="AD78" s="468"/>
      <c r="AE78" s="468"/>
      <c r="AF78" s="468"/>
      <c r="AG78" s="468"/>
      <c r="AH78" s="468"/>
      <c r="AI78" s="468"/>
      <c r="AJ78" s="468"/>
      <c r="AK78" s="468"/>
      <c r="AL78" s="372"/>
      <c r="AM78" s="487" t="s">
        <v>3121</v>
      </c>
      <c r="AN78" s="270"/>
      <c r="AO78" s="270">
        <v>69</v>
      </c>
      <c r="AP78" s="270">
        <f>_xlfn.IFS(AG8=20,74,AG8&gt;=15,73,AG8&gt;=7,72,AG8&gt;=3,71,1,0)</f>
        <v>0</v>
      </c>
      <c r="AQ78" s="307" t="e">
        <f t="shared" si="38"/>
        <v>#N/A</v>
      </c>
      <c r="AR78" s="224" t="e">
        <f t="shared" si="29"/>
        <v>#N/A</v>
      </c>
      <c r="AS78" s="224" t="e">
        <f t="shared" si="30"/>
        <v>#N/A</v>
      </c>
      <c r="AT78" s="374" t="e">
        <f t="shared" si="31"/>
        <v>#N/A</v>
      </c>
      <c r="AU78" s="307" t="e">
        <f t="shared" si="39"/>
        <v>#N/A</v>
      </c>
      <c r="AV78" s="224" t="e">
        <f t="shared" si="32"/>
        <v>#N/A</v>
      </c>
      <c r="AW78" s="224" t="e">
        <f t="shared" si="33"/>
        <v>#N/A</v>
      </c>
      <c r="AX78" s="374" t="e">
        <f t="shared" si="34"/>
        <v>#N/A</v>
      </c>
      <c r="AY78" s="307" t="e">
        <f t="shared" si="40"/>
        <v>#N/A</v>
      </c>
      <c r="AZ78" s="224" t="e">
        <f t="shared" si="35"/>
        <v>#N/A</v>
      </c>
      <c r="BA78" s="224" t="e">
        <f t="shared" si="36"/>
        <v>#N/A</v>
      </c>
      <c r="BB78" s="374" t="e">
        <f t="shared" si="37"/>
        <v>#N/A</v>
      </c>
      <c r="BC78" s="222" t="str">
        <f>IFERROR(INDEX($AQ$12:$BF$87,68,$BC$2),"")</f>
        <v/>
      </c>
      <c r="BD78" s="224" t="str">
        <f>IFERROR(INDEX($AQ$12:$BF$87,68,$BD$2),"")</f>
        <v/>
      </c>
      <c r="BE78" s="192" t="str">
        <f t="shared" si="28"/>
        <v/>
      </c>
      <c r="BF78" s="200" t="str">
        <f t="array" ref="BF78">INDEX(BE:BE,SMALL(IF($BE$2:$BE$143&lt;&gt;"",ROW($2:$143),144),ROW(BE77)))&amp;""</f>
        <v/>
      </c>
      <c r="BG78" s="372"/>
      <c r="BH78" s="372"/>
      <c r="BI78" s="372"/>
      <c r="BJ78" s="372"/>
      <c r="BK78" s="372"/>
      <c r="BL78" s="372"/>
      <c r="BM78" s="372"/>
      <c r="BN78" s="372"/>
      <c r="BO78" s="372"/>
      <c r="BP78" s="372"/>
      <c r="BQ78" s="372"/>
      <c r="BR78" s="372"/>
      <c r="BS78" s="372"/>
      <c r="BT78" s="372"/>
      <c r="BU78" s="372"/>
      <c r="BV78" s="372"/>
      <c r="BW78" s="372"/>
      <c r="BX78" s="372"/>
      <c r="BY78" s="372"/>
      <c r="BZ78" s="372"/>
    </row>
    <row r="79" customHeight="1" spans="1:78">
      <c r="A79" s="375">
        <v>63</v>
      </c>
      <c r="B79" s="485" t="s">
        <v>3122</v>
      </c>
      <c r="C79" s="485" t="s">
        <v>3123</v>
      </c>
      <c r="D79" s="372"/>
      <c r="E79" s="372"/>
      <c r="F79" s="226" t="s">
        <v>3124</v>
      </c>
      <c r="G79" s="226" t="s">
        <v>3125</v>
      </c>
      <c r="H79" s="372"/>
      <c r="I79" s="372"/>
      <c r="J79" s="359" t="s">
        <v>3126</v>
      </c>
      <c r="K79" s="359" t="s">
        <v>3127</v>
      </c>
      <c r="L79" s="458" t="s">
        <v>3128</v>
      </c>
      <c r="M79" s="458" t="s">
        <v>3129</v>
      </c>
      <c r="N79" s="297" t="s">
        <v>3130</v>
      </c>
      <c r="O79" s="297" t="s">
        <v>3131</v>
      </c>
      <c r="P79" s="360" t="s">
        <v>3132</v>
      </c>
      <c r="Q79" s="360" t="s">
        <v>3133</v>
      </c>
      <c r="R79" s="298" t="s">
        <v>3134</v>
      </c>
      <c r="S79" s="298" t="s">
        <v>3135</v>
      </c>
      <c r="T79" s="226" t="s">
        <v>3136</v>
      </c>
      <c r="U79" s="226" t="s">
        <v>3137</v>
      </c>
      <c r="V79" s="434" t="str">
        <f>IF(AND(COUNTIF(BG2:BG44,"*刃之魔契"),OR(BI65&gt;0,COUNTIF($BG$2:$BG$46,"魔能祈唤-饮命者"))),"魔能祈唤-饮命者","")</f>
        <v/>
      </c>
      <c r="W79" s="439" t="s">
        <v>3138</v>
      </c>
      <c r="X79" s="360" t="s">
        <v>3139</v>
      </c>
      <c r="Y79" s="360" t="s">
        <v>3140</v>
      </c>
      <c r="Z79" s="360" t="str">
        <f>IF(COUNTIF($BG$2:$BG$46,"额外攻击-*"),"","额外攻击")</f>
        <v>额外攻击</v>
      </c>
      <c r="AA79" s="462" t="s">
        <v>1892</v>
      </c>
      <c r="AB79" s="224"/>
      <c r="AC79" s="224"/>
      <c r="AD79" s="224"/>
      <c r="AE79" s="224"/>
      <c r="AF79" s="224"/>
      <c r="AG79" s="224"/>
      <c r="AH79" s="224"/>
      <c r="AI79" s="224"/>
      <c r="AJ79" s="224"/>
      <c r="AK79" s="224"/>
      <c r="AL79" s="372"/>
      <c r="AM79" s="287" t="s">
        <v>3141</v>
      </c>
      <c r="AN79" s="268"/>
      <c r="AO79" s="268">
        <v>75</v>
      </c>
      <c r="AP79" s="268">
        <f>_xlfn.IFS(AG8=20,80,AG8&gt;=15,79,AG8&gt;=7,78,AG8&gt;=3,77,1,0)</f>
        <v>0</v>
      </c>
      <c r="AQ79" s="307" t="e">
        <f t="shared" si="38"/>
        <v>#N/A</v>
      </c>
      <c r="AR79" s="224" t="e">
        <f t="shared" si="29"/>
        <v>#N/A</v>
      </c>
      <c r="AS79" s="224" t="e">
        <f t="shared" si="30"/>
        <v>#N/A</v>
      </c>
      <c r="AT79" s="374" t="e">
        <f t="shared" si="31"/>
        <v>#N/A</v>
      </c>
      <c r="AU79" s="307" t="e">
        <f t="shared" si="39"/>
        <v>#N/A</v>
      </c>
      <c r="AV79" s="224" t="e">
        <f t="shared" si="32"/>
        <v>#N/A</v>
      </c>
      <c r="AW79" s="224" t="e">
        <f t="shared" si="33"/>
        <v>#N/A</v>
      </c>
      <c r="AX79" s="374" t="e">
        <f t="shared" si="34"/>
        <v>#N/A</v>
      </c>
      <c r="AY79" s="307" t="e">
        <f t="shared" si="40"/>
        <v>#N/A</v>
      </c>
      <c r="AZ79" s="224" t="e">
        <f t="shared" si="35"/>
        <v>#N/A</v>
      </c>
      <c r="BA79" s="224" t="e">
        <f t="shared" si="36"/>
        <v>#N/A</v>
      </c>
      <c r="BB79" s="374" t="e">
        <f t="shared" si="37"/>
        <v>#N/A</v>
      </c>
      <c r="BC79" s="222" t="str">
        <f>IFERROR(INDEX($AQ$12:$BF$87,69,$BC$2),"")</f>
        <v/>
      </c>
      <c r="BD79" s="224" t="str">
        <f>IFERROR(INDEX($AQ$12:$BF$87,69,$BD$2),"")</f>
        <v/>
      </c>
      <c r="BE79" s="192" t="str">
        <f t="shared" si="28"/>
        <v/>
      </c>
      <c r="BF79" s="200" t="str">
        <f t="array" ref="BF79">INDEX(BE:BE,SMALL(IF($BE$2:$BE$143&lt;&gt;"",ROW($2:$143),144),ROW(BE78)))&amp;""</f>
        <v/>
      </c>
      <c r="BG79" s="372"/>
      <c r="BH79" s="372"/>
      <c r="BI79" s="372"/>
      <c r="BJ79" s="372"/>
      <c r="BK79" s="372"/>
      <c r="BL79" s="372"/>
      <c r="BM79" s="372"/>
      <c r="BN79" s="372"/>
      <c r="BO79" s="372"/>
      <c r="BP79" s="372"/>
      <c r="BQ79" s="372"/>
      <c r="BR79" s="372"/>
      <c r="BS79" s="372"/>
      <c r="BT79" s="372"/>
      <c r="BU79" s="372"/>
      <c r="BV79" s="372"/>
      <c r="BW79" s="372"/>
      <c r="BX79" s="372"/>
      <c r="BY79" s="372"/>
      <c r="BZ79" s="372"/>
    </row>
    <row r="80" customHeight="1" spans="1:78">
      <c r="A80" s="375">
        <v>64</v>
      </c>
      <c r="B80" s="485" t="s">
        <v>3142</v>
      </c>
      <c r="C80" s="485" t="s">
        <v>3143</v>
      </c>
      <c r="D80" s="372"/>
      <c r="E80" s="372"/>
      <c r="F80" s="226" t="s">
        <v>2229</v>
      </c>
      <c r="G80" s="226" t="s">
        <v>3144</v>
      </c>
      <c r="H80" s="372"/>
      <c r="I80" s="372"/>
      <c r="J80" s="359" t="s">
        <v>3145</v>
      </c>
      <c r="K80" s="359" t="s">
        <v>3146</v>
      </c>
      <c r="L80" s="458" t="s">
        <v>3147</v>
      </c>
      <c r="M80" s="458" t="s">
        <v>3148</v>
      </c>
      <c r="N80" s="488" t="s">
        <v>3149</v>
      </c>
      <c r="O80" s="488" t="s">
        <v>3150</v>
      </c>
      <c r="P80" s="360" t="s">
        <v>3151</v>
      </c>
      <c r="Q80" s="360" t="s">
        <v>3152</v>
      </c>
      <c r="R80" s="298" t="s">
        <v>3153</v>
      </c>
      <c r="S80" s="298" t="s">
        <v>3154</v>
      </c>
      <c r="T80" s="372"/>
      <c r="U80" s="372"/>
      <c r="V80" s="435" t="str">
        <f>IF(AND(COUNTIF(BG2:BG44,"*符之魔契"),OR(BI65&gt;0,COUNTIF($BG$2:$BG$46,"魔能祈唤-护符牵绊"))),"魔能祈唤-护符牵绊","")</f>
        <v/>
      </c>
      <c r="W80" s="439" t="s">
        <v>3155</v>
      </c>
      <c r="X80" s="360" t="s">
        <v>3156</v>
      </c>
      <c r="Y80" s="360" t="s">
        <v>3157</v>
      </c>
      <c r="Z80" s="360" t="s">
        <v>3158</v>
      </c>
      <c r="AA80" s="462" t="s">
        <v>3159</v>
      </c>
      <c r="AB80" s="224"/>
      <c r="AC80" s="224"/>
      <c r="AD80" s="224"/>
      <c r="AE80" s="224"/>
      <c r="AF80" s="224"/>
      <c r="AG80" s="224"/>
      <c r="AH80" s="224"/>
      <c r="AI80" s="224"/>
      <c r="AJ80" s="224"/>
      <c r="AK80" s="224"/>
      <c r="AL80" s="372"/>
      <c r="AM80" s="358" t="s">
        <v>1692</v>
      </c>
      <c r="AN80" s="413">
        <v>8</v>
      </c>
      <c r="AO80" s="413">
        <v>1</v>
      </c>
      <c r="AP80" s="438">
        <f>_xlfn.IFS(AG9=20,28,AG9&gt;=18,27,AG9&gt;=14,26,AG9&gt;=10,25,AG9&gt;=8,23,AG9&gt;=5,22,AG9=4,21,AG9=3,20,AG9=2,17,AG9=1,4,1,0)</f>
        <v>0</v>
      </c>
      <c r="AQ80" s="307" t="e">
        <f t="shared" si="38"/>
        <v>#N/A</v>
      </c>
      <c r="AR80" s="224" t="e">
        <f t="shared" si="29"/>
        <v>#N/A</v>
      </c>
      <c r="AS80" s="224" t="e">
        <f t="shared" si="30"/>
        <v>#N/A</v>
      </c>
      <c r="AT80" s="374" t="e">
        <f t="shared" si="31"/>
        <v>#N/A</v>
      </c>
      <c r="AU80" s="307" t="e">
        <f t="shared" si="39"/>
        <v>#N/A</v>
      </c>
      <c r="AV80" s="224" t="e">
        <f t="shared" si="32"/>
        <v>#N/A</v>
      </c>
      <c r="AW80" s="224" t="e">
        <f t="shared" si="33"/>
        <v>#N/A</v>
      </c>
      <c r="AX80" s="374" t="e">
        <f t="shared" si="34"/>
        <v>#N/A</v>
      </c>
      <c r="AY80" s="307" t="e">
        <f t="shared" si="40"/>
        <v>#N/A</v>
      </c>
      <c r="AZ80" s="224" t="e">
        <f t="shared" si="35"/>
        <v>#N/A</v>
      </c>
      <c r="BA80" s="224" t="e">
        <f t="shared" si="36"/>
        <v>#N/A</v>
      </c>
      <c r="BB80" s="374" t="e">
        <f t="shared" si="37"/>
        <v>#N/A</v>
      </c>
      <c r="BC80" s="222" t="str">
        <f>IFERROR(INDEX($AQ$12:$BF$87,70,$BC$2),"")</f>
        <v/>
      </c>
      <c r="BD80" s="224" t="str">
        <f>IFERROR(INDEX($AQ$12:$BF$87,70,$BD$2),"")</f>
        <v/>
      </c>
      <c r="BE80" s="192" t="str">
        <f t="shared" si="28"/>
        <v/>
      </c>
      <c r="BF80" s="200" t="str">
        <f t="array" ref="BF80">INDEX(BE:BE,SMALL(IF($BE$2:$BE$143&lt;&gt;"",ROW($2:$143),144),ROW(BE79)))&amp;""</f>
        <v/>
      </c>
      <c r="BG80" s="372"/>
      <c r="BH80" s="372"/>
      <c r="BI80" s="372"/>
      <c r="BJ80" s="372"/>
      <c r="BK80" s="372"/>
      <c r="BL80" s="372"/>
      <c r="BM80" s="372"/>
      <c r="BN80" s="372"/>
      <c r="BO80" s="372"/>
      <c r="BP80" s="372"/>
      <c r="BQ80" s="372"/>
      <c r="BR80" s="372"/>
      <c r="BS80" s="372"/>
      <c r="BT80" s="372"/>
      <c r="BU80" s="372"/>
      <c r="BV80" s="372"/>
      <c r="BW80" s="372"/>
      <c r="BX80" s="372"/>
      <c r="BY80" s="372"/>
      <c r="BZ80" s="372"/>
    </row>
    <row r="81" customHeight="1" spans="1:78">
      <c r="A81" s="375">
        <v>65</v>
      </c>
      <c r="B81" s="485" t="s">
        <v>3160</v>
      </c>
      <c r="C81" s="485" t="s">
        <v>3161</v>
      </c>
      <c r="D81" s="372"/>
      <c r="E81" s="372"/>
      <c r="F81" s="226" t="s">
        <v>3162</v>
      </c>
      <c r="G81" s="226" t="s">
        <v>3163</v>
      </c>
      <c r="H81" s="372"/>
      <c r="I81" s="372"/>
      <c r="J81" s="359" t="s">
        <v>3164</v>
      </c>
      <c r="K81" s="359" t="s">
        <v>3165</v>
      </c>
      <c r="L81" s="458" t="s">
        <v>3166</v>
      </c>
      <c r="M81" s="458" t="s">
        <v>3167</v>
      </c>
      <c r="N81" s="488" t="s">
        <v>3168</v>
      </c>
      <c r="O81" s="488" t="s">
        <v>3169</v>
      </c>
      <c r="P81" s="360" t="s">
        <v>3170</v>
      </c>
      <c r="Q81" s="360" t="s">
        <v>3171</v>
      </c>
      <c r="R81" s="298" t="s">
        <v>3172</v>
      </c>
      <c r="S81" s="298" t="s">
        <v>3173</v>
      </c>
      <c r="T81" s="372"/>
      <c r="U81" s="372"/>
      <c r="V81" s="434" t="str">
        <f>IF(AND(COUNTIF(BG2:BG44,"*链之魔契"),OR(BI65&gt;0,COUNTIF($BG$2:$BG$46,"魔能祈唤-卡瑟利之链"))),"魔能祈唤-卡瑟利之链","")</f>
        <v/>
      </c>
      <c r="W81" s="439" t="s">
        <v>3174</v>
      </c>
      <c r="X81" s="360" t="s">
        <v>3175</v>
      </c>
      <c r="Y81" s="360" t="s">
        <v>3176</v>
      </c>
      <c r="Z81" s="360" t="s">
        <v>3177</v>
      </c>
      <c r="AA81" s="462" t="s">
        <v>3178</v>
      </c>
      <c r="AB81" s="224"/>
      <c r="AC81" s="224"/>
      <c r="AD81" s="224"/>
      <c r="AE81" s="224"/>
      <c r="AF81" s="224"/>
      <c r="AG81" s="224"/>
      <c r="AH81" s="224"/>
      <c r="AI81" s="224"/>
      <c r="AJ81" s="224"/>
      <c r="AK81" s="224"/>
      <c r="AL81" s="372"/>
      <c r="AM81" s="307" t="s">
        <v>1693</v>
      </c>
      <c r="AN81" s="373"/>
      <c r="AO81" s="373">
        <v>29</v>
      </c>
      <c r="AP81" s="374">
        <f>_xlfn.IFS(AG9&gt;=15,43,AG9&gt;=11,39,AG9&gt;=7,36,AG9&gt;=3,32,1,0)</f>
        <v>0</v>
      </c>
      <c r="AQ81" s="307" t="e">
        <f t="shared" si="38"/>
        <v>#N/A</v>
      </c>
      <c r="AR81" s="224" t="e">
        <f t="shared" si="29"/>
        <v>#N/A</v>
      </c>
      <c r="AS81" s="224" t="e">
        <f t="shared" si="30"/>
        <v>#N/A</v>
      </c>
      <c r="AT81" s="374" t="e">
        <f t="shared" si="31"/>
        <v>#N/A</v>
      </c>
      <c r="AU81" s="307" t="e">
        <f t="shared" si="39"/>
        <v>#N/A</v>
      </c>
      <c r="AV81" s="224" t="e">
        <f t="shared" si="32"/>
        <v>#N/A</v>
      </c>
      <c r="AW81" s="224" t="e">
        <f t="shared" si="33"/>
        <v>#N/A</v>
      </c>
      <c r="AX81" s="374" t="e">
        <f t="shared" si="34"/>
        <v>#N/A</v>
      </c>
      <c r="AY81" s="307" t="e">
        <f t="shared" si="40"/>
        <v>#N/A</v>
      </c>
      <c r="AZ81" s="224" t="e">
        <f t="shared" si="35"/>
        <v>#N/A</v>
      </c>
      <c r="BA81" s="224" t="e">
        <f t="shared" si="36"/>
        <v>#N/A</v>
      </c>
      <c r="BB81" s="374" t="e">
        <f t="shared" si="37"/>
        <v>#N/A</v>
      </c>
      <c r="BC81" s="222" t="str">
        <f>IFERROR(INDEX($AQ$12:$BF$87,71,$BC$2),"")</f>
        <v/>
      </c>
      <c r="BD81" s="224" t="str">
        <f>IFERROR(INDEX($AQ$12:$BF$87,71,$BD$2),"")</f>
        <v/>
      </c>
      <c r="BE81" s="192" t="str">
        <f t="shared" si="28"/>
        <v/>
      </c>
      <c r="BF81" s="200" t="str">
        <f t="array" ref="BF81">INDEX(BE:BE,SMALL(IF($BE$2:$BE$143&lt;&gt;"",ROW($2:$143),144),ROW(BE80)))&amp;""</f>
        <v/>
      </c>
      <c r="BG81" s="372"/>
      <c r="BH81" s="372"/>
      <c r="BI81" s="372"/>
      <c r="BJ81" s="372"/>
      <c r="BK81" s="372"/>
      <c r="BL81" s="372"/>
      <c r="BM81" s="372"/>
      <c r="BN81" s="372"/>
      <c r="BO81" s="372"/>
      <c r="BP81" s="372"/>
      <c r="BQ81" s="372"/>
      <c r="BR81" s="372"/>
      <c r="BS81" s="372"/>
      <c r="BT81" s="372"/>
      <c r="BU81" s="372"/>
      <c r="BV81" s="372"/>
      <c r="BW81" s="372"/>
      <c r="BX81" s="372"/>
      <c r="BY81" s="372"/>
      <c r="BZ81" s="372"/>
    </row>
    <row r="82" customHeight="1" spans="1:78">
      <c r="A82" s="375">
        <v>66</v>
      </c>
      <c r="B82" s="297" t="s">
        <v>3179</v>
      </c>
      <c r="C82" s="297" t="s">
        <v>3180</v>
      </c>
      <c r="D82" s="372"/>
      <c r="E82" s="372"/>
      <c r="F82" s="489" t="s">
        <v>3181</v>
      </c>
      <c r="G82" s="489" t="s">
        <v>3182</v>
      </c>
      <c r="H82" s="372"/>
      <c r="I82" s="372"/>
      <c r="J82" s="360" t="s">
        <v>3183</v>
      </c>
      <c r="K82" s="360" t="s">
        <v>3184</v>
      </c>
      <c r="L82" s="458" t="s">
        <v>3185</v>
      </c>
      <c r="M82" s="458" t="s">
        <v>3186</v>
      </c>
      <c r="N82" s="297" t="s">
        <v>3187</v>
      </c>
      <c r="O82" s="297" t="s">
        <v>3188</v>
      </c>
      <c r="P82" s="360" t="s">
        <v>3189</v>
      </c>
      <c r="Q82" s="360" t="s">
        <v>3190</v>
      </c>
      <c r="R82" s="298" t="s">
        <v>3191</v>
      </c>
      <c r="S82" s="298" t="s">
        <v>3192</v>
      </c>
      <c r="T82" s="372"/>
      <c r="U82" s="372"/>
      <c r="V82" s="434" t="str">
        <f>IF(OR(BI65&gt;0,COUNTIF($BG$2:$BG$46,"魔能祈唤-万形之主")),"魔能祈唤-万形之主","")</f>
        <v/>
      </c>
      <c r="W82" s="434" t="s">
        <v>3193</v>
      </c>
      <c r="X82" s="360" t="s">
        <v>3194</v>
      </c>
      <c r="Y82" s="360" t="s">
        <v>3195</v>
      </c>
      <c r="Z82" s="372"/>
      <c r="AA82" s="376"/>
      <c r="AB82" s="372"/>
      <c r="AC82" s="372"/>
      <c r="AD82" s="372"/>
      <c r="AE82" s="372"/>
      <c r="AF82" s="372"/>
      <c r="AG82" s="372"/>
      <c r="AH82" s="372"/>
      <c r="AI82" s="372"/>
      <c r="AJ82" s="372"/>
      <c r="AK82" s="372"/>
      <c r="AL82" s="372"/>
      <c r="AM82" s="307" t="s">
        <v>1694</v>
      </c>
      <c r="AN82" s="373"/>
      <c r="AO82" s="373">
        <v>44</v>
      </c>
      <c r="AP82" s="374">
        <f>_xlfn.IFS(AG9&gt;=15,48,AG9&gt;=11,47,AG9&gt;=7,46,AG9&gt;=3,45,1,0)</f>
        <v>0</v>
      </c>
      <c r="AQ82" s="307" t="e">
        <f t="shared" si="38"/>
        <v>#N/A</v>
      </c>
      <c r="AR82" s="224" t="e">
        <f t="shared" si="29"/>
        <v>#N/A</v>
      </c>
      <c r="AS82" s="224" t="e">
        <f t="shared" si="30"/>
        <v>#N/A</v>
      </c>
      <c r="AT82" s="374" t="e">
        <f t="shared" si="31"/>
        <v>#N/A</v>
      </c>
      <c r="AU82" s="307" t="e">
        <f t="shared" si="39"/>
        <v>#N/A</v>
      </c>
      <c r="AV82" s="224" t="e">
        <f t="shared" si="32"/>
        <v>#N/A</v>
      </c>
      <c r="AW82" s="224" t="e">
        <f t="shared" si="33"/>
        <v>#N/A</v>
      </c>
      <c r="AX82" s="374" t="e">
        <f t="shared" si="34"/>
        <v>#N/A</v>
      </c>
      <c r="AY82" s="307" t="e">
        <f t="shared" si="40"/>
        <v>#N/A</v>
      </c>
      <c r="AZ82" s="224" t="e">
        <f t="shared" si="35"/>
        <v>#N/A</v>
      </c>
      <c r="BA82" s="224" t="e">
        <f t="shared" si="36"/>
        <v>#N/A</v>
      </c>
      <c r="BB82" s="374" t="e">
        <f t="shared" si="37"/>
        <v>#N/A</v>
      </c>
      <c r="BC82" s="222" t="str">
        <f>IFERROR(INDEX($AQ$12:$BF$87,72,$BC$2),"")</f>
        <v/>
      </c>
      <c r="BD82" s="224" t="str">
        <f>IFERROR(INDEX($AQ$12:$BF$87,72,$BD$2),"")</f>
        <v/>
      </c>
      <c r="BE82" s="192" t="str">
        <f t="shared" si="28"/>
        <v/>
      </c>
      <c r="BF82" s="200" t="str">
        <f t="array" ref="BF82">INDEX(BE:BE,SMALL(IF($BE$2:$BE$143&lt;&gt;"",ROW($2:$143),144),ROW(BE81)))&amp;""</f>
        <v/>
      </c>
      <c r="BG82" s="372"/>
      <c r="BH82" s="372"/>
      <c r="BI82" s="372"/>
      <c r="BJ82" s="372"/>
      <c r="BK82" s="372"/>
      <c r="BL82" s="372"/>
      <c r="BM82" s="372"/>
      <c r="BN82" s="372"/>
      <c r="BO82" s="372"/>
      <c r="BP82" s="372"/>
      <c r="BQ82" s="372"/>
      <c r="BR82" s="372"/>
      <c r="BS82" s="372"/>
      <c r="BT82" s="372"/>
      <c r="BU82" s="372"/>
      <c r="BV82" s="372"/>
      <c r="BW82" s="372"/>
      <c r="BX82" s="372"/>
      <c r="BY82" s="372"/>
      <c r="BZ82" s="372"/>
    </row>
    <row r="83" customHeight="1" spans="1:78">
      <c r="A83" s="375">
        <v>67</v>
      </c>
      <c r="B83" s="297" t="s">
        <v>3196</v>
      </c>
      <c r="C83" s="297" t="s">
        <v>3197</v>
      </c>
      <c r="D83" s="372"/>
      <c r="E83" s="372"/>
      <c r="F83" s="226" t="s">
        <v>3198</v>
      </c>
      <c r="G83" s="226" t="s">
        <v>3199</v>
      </c>
      <c r="H83" s="372"/>
      <c r="I83" s="372"/>
      <c r="J83" s="360" t="s">
        <v>2624</v>
      </c>
      <c r="K83" s="360" t="s">
        <v>3200</v>
      </c>
      <c r="L83" s="458" t="s">
        <v>3201</v>
      </c>
      <c r="M83" s="458" t="s">
        <v>3202</v>
      </c>
      <c r="N83" s="297" t="s">
        <v>3203</v>
      </c>
      <c r="O83" s="297" t="s">
        <v>3204</v>
      </c>
      <c r="P83" s="458" t="s">
        <v>3205</v>
      </c>
      <c r="Q83" s="458" t="s">
        <v>3206</v>
      </c>
      <c r="R83" s="298" t="s">
        <v>3207</v>
      </c>
      <c r="S83" s="298" t="s">
        <v>3208</v>
      </c>
      <c r="T83" s="372"/>
      <c r="U83" s="372"/>
      <c r="V83" s="434" t="str">
        <f>IF(OR(BI65&gt;0,COUNTIF($BG$2:$BG$46,"魔能祈唤-穹宇尽视")),"魔能祈唤-穹宇尽视","")</f>
        <v/>
      </c>
      <c r="W83" s="434" t="s">
        <v>3209</v>
      </c>
      <c r="X83" s="458" t="s">
        <v>3210</v>
      </c>
      <c r="Y83" s="458" t="s">
        <v>3211</v>
      </c>
      <c r="Z83" s="372"/>
      <c r="AA83" s="376"/>
      <c r="AB83" s="372"/>
      <c r="AC83" s="372"/>
      <c r="AD83" s="372"/>
      <c r="AE83" s="372"/>
      <c r="AF83" s="372"/>
      <c r="AG83" s="372"/>
      <c r="AH83" s="372"/>
      <c r="AI83" s="372"/>
      <c r="AJ83" s="372"/>
      <c r="AK83" s="372"/>
      <c r="AL83" s="372"/>
      <c r="AM83" s="283" t="s">
        <v>3212</v>
      </c>
      <c r="AN83" s="245"/>
      <c r="AO83" s="245">
        <v>49</v>
      </c>
      <c r="AP83" s="431">
        <f>_xlfn.IFS(AG9&gt;=15,54,AG9&gt;=11,53,AG9&gt;=7,52,AG9&gt;=3,51,1,0)</f>
        <v>0</v>
      </c>
      <c r="AQ83" s="307" t="e">
        <f t="shared" si="38"/>
        <v>#N/A</v>
      </c>
      <c r="AR83" s="224" t="e">
        <f t="shared" si="29"/>
        <v>#N/A</v>
      </c>
      <c r="AS83" s="224" t="e">
        <f t="shared" si="30"/>
        <v>#N/A</v>
      </c>
      <c r="AT83" s="374" t="e">
        <f t="shared" si="31"/>
        <v>#N/A</v>
      </c>
      <c r="AU83" s="307" t="e">
        <f t="shared" si="39"/>
        <v>#N/A</v>
      </c>
      <c r="AV83" s="224" t="e">
        <f t="shared" si="32"/>
        <v>#N/A</v>
      </c>
      <c r="AW83" s="224" t="e">
        <f t="shared" si="33"/>
        <v>#N/A</v>
      </c>
      <c r="AX83" s="374" t="e">
        <f t="shared" si="34"/>
        <v>#N/A</v>
      </c>
      <c r="AY83" s="307" t="e">
        <f t="shared" si="40"/>
        <v>#N/A</v>
      </c>
      <c r="AZ83" s="224" t="e">
        <f t="shared" si="35"/>
        <v>#N/A</v>
      </c>
      <c r="BA83" s="224" t="e">
        <f t="shared" si="36"/>
        <v>#N/A</v>
      </c>
      <c r="BB83" s="374" t="e">
        <f t="shared" si="37"/>
        <v>#N/A</v>
      </c>
      <c r="BC83" s="222" t="str">
        <f>IFERROR(INDEX($AQ$12:$BF$87,73,$BC$2),"")</f>
        <v/>
      </c>
      <c r="BD83" s="224" t="str">
        <f>IFERROR(INDEX($AQ$12:$BF$87,73,$BD$2),"")</f>
        <v/>
      </c>
      <c r="BE83" s="192" t="str">
        <f t="shared" si="28"/>
        <v/>
      </c>
      <c r="BF83" s="200" t="str">
        <f t="array" ref="BF83">INDEX(BE:BE,SMALL(IF($BE$2:$BE$143&lt;&gt;"",ROW($2:$143),144),ROW(BE82)))&amp;""</f>
        <v/>
      </c>
      <c r="BG83" s="372"/>
      <c r="BH83" s="372"/>
      <c r="BI83" s="372"/>
      <c r="BJ83" s="372"/>
      <c r="BK83" s="372"/>
      <c r="BL83" s="372"/>
      <c r="BM83" s="372"/>
      <c r="BN83" s="372"/>
      <c r="BO83" s="372"/>
      <c r="BP83" s="372"/>
      <c r="BQ83" s="372"/>
      <c r="BR83" s="372"/>
      <c r="BS83" s="372"/>
      <c r="BT83" s="372"/>
      <c r="BU83" s="372"/>
      <c r="BV83" s="372"/>
      <c r="BW83" s="372"/>
      <c r="BX83" s="372"/>
      <c r="BY83" s="372"/>
      <c r="BZ83" s="372"/>
    </row>
    <row r="84" customHeight="1" spans="1:78">
      <c r="A84" s="375">
        <v>68</v>
      </c>
      <c r="B84" s="297" t="s">
        <v>3213</v>
      </c>
      <c r="C84" s="297" t="s">
        <v>3214</v>
      </c>
      <c r="D84" s="372"/>
      <c r="E84" s="372"/>
      <c r="F84" s="226" t="str">
        <f>IF(OR(BH55&lt;1,COUNTIF($BG$2:$BG$46,"神圣打击")),"神圣打击","")</f>
        <v>神圣打击</v>
      </c>
      <c r="G84" s="226" t="s">
        <v>3215</v>
      </c>
      <c r="H84" s="372"/>
      <c r="I84" s="372"/>
      <c r="J84" s="469" t="str">
        <f>IF(OR(BI57&gt;0,COUNTIF($BG$2:$BG$46,"奥术射击-放逐箭")),"奥术射击-放逐箭","")</f>
        <v/>
      </c>
      <c r="K84" s="469" t="s">
        <v>3216</v>
      </c>
      <c r="L84" s="458" t="s">
        <v>3217</v>
      </c>
      <c r="M84" s="458" t="s">
        <v>3218</v>
      </c>
      <c r="N84" s="297" t="s">
        <v>3219</v>
      </c>
      <c r="O84" s="297" t="s">
        <v>3220</v>
      </c>
      <c r="P84" s="458" t="s">
        <v>3221</v>
      </c>
      <c r="Q84" s="458" t="s">
        <v>3222</v>
      </c>
      <c r="R84" s="372"/>
      <c r="S84" s="372"/>
      <c r="T84" s="372"/>
      <c r="U84" s="372"/>
      <c r="V84" s="434" t="str">
        <f>IF(OR(BI65&gt;0,COUNTIF($BG$2:$BG$46,"魔能祈唤-巫术视界")),"魔能祈唤-巫术视界","")</f>
        <v/>
      </c>
      <c r="W84" s="434" t="s">
        <v>3223</v>
      </c>
      <c r="X84" s="458" t="s">
        <v>3224</v>
      </c>
      <c r="Y84" s="458" t="s">
        <v>3140</v>
      </c>
      <c r="Z84" s="372"/>
      <c r="AA84" s="376"/>
      <c r="AB84" s="372"/>
      <c r="AC84" s="372"/>
      <c r="AD84" s="372"/>
      <c r="AE84" s="372"/>
      <c r="AF84" s="372"/>
      <c r="AG84" s="372"/>
      <c r="AH84" s="372"/>
      <c r="AI84" s="372"/>
      <c r="AJ84" s="372"/>
      <c r="AK84" s="372"/>
      <c r="AL84" s="372"/>
      <c r="AM84" s="283" t="s">
        <v>3225</v>
      </c>
      <c r="AN84" s="245"/>
      <c r="AO84" s="245">
        <v>55</v>
      </c>
      <c r="AP84" s="431">
        <f>_xlfn.IFS(AG9&gt;=15,60,AG9&gt;=11,59,AG9&gt;=7,58,AG9&gt;=3,57,1,0)</f>
        <v>0</v>
      </c>
      <c r="AQ84" s="307" t="e">
        <f t="shared" si="38"/>
        <v>#N/A</v>
      </c>
      <c r="AR84" s="224" t="e">
        <f t="shared" si="29"/>
        <v>#N/A</v>
      </c>
      <c r="AS84" s="224" t="e">
        <f t="shared" si="30"/>
        <v>#N/A</v>
      </c>
      <c r="AT84" s="374" t="e">
        <f t="shared" si="31"/>
        <v>#N/A</v>
      </c>
      <c r="AU84" s="307" t="e">
        <f t="shared" si="39"/>
        <v>#N/A</v>
      </c>
      <c r="AV84" s="224" t="e">
        <f t="shared" si="32"/>
        <v>#N/A</v>
      </c>
      <c r="AW84" s="224" t="e">
        <f t="shared" si="33"/>
        <v>#N/A</v>
      </c>
      <c r="AX84" s="374" t="e">
        <f t="shared" si="34"/>
        <v>#N/A</v>
      </c>
      <c r="AY84" s="307" t="e">
        <f t="shared" si="40"/>
        <v>#N/A</v>
      </c>
      <c r="AZ84" s="224" t="e">
        <f t="shared" si="35"/>
        <v>#N/A</v>
      </c>
      <c r="BA84" s="224" t="e">
        <f t="shared" si="36"/>
        <v>#N/A</v>
      </c>
      <c r="BB84" s="374" t="e">
        <f t="shared" si="37"/>
        <v>#N/A</v>
      </c>
      <c r="BC84" s="222" t="str">
        <f>IFERROR(INDEX($AQ$12:$BF$87,74,$BC$2),"")</f>
        <v/>
      </c>
      <c r="BD84" s="224" t="str">
        <f>IFERROR(INDEX($AQ$12:$BF$87,74,$BD$2),"")</f>
        <v/>
      </c>
      <c r="BE84" s="192" t="str">
        <f t="shared" si="28"/>
        <v/>
      </c>
      <c r="BF84" s="200" t="str">
        <f t="array" ref="BF84">INDEX(BE:BE,SMALL(IF($BE$2:$BE$143&lt;&gt;"",ROW($2:$143),144),ROW(BE83)))&amp;""</f>
        <v/>
      </c>
      <c r="BG84" s="372"/>
      <c r="BH84" s="372"/>
      <c r="BI84" s="372"/>
      <c r="BJ84" s="372"/>
      <c r="BK84" s="372"/>
      <c r="BL84" s="372"/>
      <c r="BM84" s="372"/>
      <c r="BN84" s="372"/>
      <c r="BO84" s="372"/>
      <c r="BP84" s="372"/>
      <c r="BQ84" s="372"/>
      <c r="BR84" s="372"/>
      <c r="BS84" s="372"/>
      <c r="BT84" s="372"/>
      <c r="BU84" s="372"/>
      <c r="BV84" s="372"/>
      <c r="BW84" s="372"/>
      <c r="BX84" s="372"/>
      <c r="BY84" s="372"/>
      <c r="BZ84" s="372"/>
    </row>
    <row r="85" customHeight="1" spans="1:78">
      <c r="A85" s="375">
        <v>69</v>
      </c>
      <c r="B85" s="297" t="s">
        <v>3226</v>
      </c>
      <c r="C85" s="297" t="s">
        <v>3227</v>
      </c>
      <c r="D85" s="372"/>
      <c r="E85" s="372"/>
      <c r="F85" s="226" t="s">
        <v>3228</v>
      </c>
      <c r="G85" s="226" t="s">
        <v>3229</v>
      </c>
      <c r="H85" s="372"/>
      <c r="I85" s="372"/>
      <c r="J85" s="469" t="str">
        <f>IF(OR(BI57&gt;0,COUNTIF($BG$2:$BG$46,"奥术射击-欺诈箭")),"奥术射击-欺诈箭","")</f>
        <v/>
      </c>
      <c r="K85" s="469" t="s">
        <v>3230</v>
      </c>
      <c r="L85" s="458" t="s">
        <v>3231</v>
      </c>
      <c r="M85" s="458" t="s">
        <v>3232</v>
      </c>
      <c r="N85" s="226" t="s">
        <v>3233</v>
      </c>
      <c r="O85" s="226" t="s">
        <v>3234</v>
      </c>
      <c r="P85" s="458" t="s">
        <v>3235</v>
      </c>
      <c r="Q85" s="458" t="s">
        <v>3236</v>
      </c>
      <c r="R85" s="372"/>
      <c r="S85" s="372"/>
      <c r="T85" s="372"/>
      <c r="U85" s="372"/>
      <c r="V85" s="435" t="str">
        <f>IF(AND(综合数据!B14=TRUE,OR(BI65&gt;0,COUNTIF($BG$2:$BG$46,"魔能祈唤-暗影寿衣"))),"魔能祈唤-暗影寿衣","")</f>
        <v/>
      </c>
      <c r="W85" s="434" t="s">
        <v>3237</v>
      </c>
      <c r="X85" s="458" t="s">
        <v>3238</v>
      </c>
      <c r="Y85" s="458" t="s">
        <v>3239</v>
      </c>
      <c r="Z85" s="372"/>
      <c r="AA85" s="376"/>
      <c r="AB85" s="372"/>
      <c r="AC85" s="372"/>
      <c r="AD85" s="372"/>
      <c r="AE85" s="372"/>
      <c r="AF85" s="372"/>
      <c r="AG85" s="372"/>
      <c r="AH85" s="372"/>
      <c r="AI85" s="372"/>
      <c r="AJ85" s="372"/>
      <c r="AK85" s="372"/>
      <c r="AL85" s="372"/>
      <c r="AM85" s="283" t="s">
        <v>3240</v>
      </c>
      <c r="AN85" s="245"/>
      <c r="AO85" s="245">
        <v>61</v>
      </c>
      <c r="AP85" s="431">
        <f>_xlfn.IFS(AG9&gt;=15,66,AG9&gt;=11,65,AG9&gt;=7,64,AG9&gt;=3,63,1,0)</f>
        <v>0</v>
      </c>
      <c r="AQ85" s="307" t="e">
        <f t="shared" si="38"/>
        <v>#N/A</v>
      </c>
      <c r="AR85" s="224" t="e">
        <f t="shared" si="29"/>
        <v>#N/A</v>
      </c>
      <c r="AS85" s="224" t="e">
        <f t="shared" si="30"/>
        <v>#N/A</v>
      </c>
      <c r="AT85" s="374" t="e">
        <f t="shared" si="31"/>
        <v>#N/A</v>
      </c>
      <c r="AU85" s="307" t="e">
        <f t="shared" si="39"/>
        <v>#N/A</v>
      </c>
      <c r="AV85" s="224" t="e">
        <f t="shared" si="32"/>
        <v>#N/A</v>
      </c>
      <c r="AW85" s="224" t="e">
        <f t="shared" si="33"/>
        <v>#N/A</v>
      </c>
      <c r="AX85" s="374" t="e">
        <f t="shared" si="34"/>
        <v>#N/A</v>
      </c>
      <c r="AY85" s="307" t="e">
        <f t="shared" si="40"/>
        <v>#N/A</v>
      </c>
      <c r="AZ85" s="224" t="e">
        <f t="shared" si="35"/>
        <v>#N/A</v>
      </c>
      <c r="BA85" s="224" t="e">
        <f t="shared" si="36"/>
        <v>#N/A</v>
      </c>
      <c r="BB85" s="374" t="e">
        <f t="shared" si="37"/>
        <v>#N/A</v>
      </c>
      <c r="BC85" s="222" t="str">
        <f>IFERROR(INDEX($AQ$12:$BF$87,75,$BC$2),"")</f>
        <v/>
      </c>
      <c r="BD85" s="224" t="str">
        <f>IFERROR(INDEX($AQ$12:$BF$87,75,$BD$2),"")</f>
        <v/>
      </c>
      <c r="BE85" s="192"/>
      <c r="BF85" s="200" t="str">
        <f t="array" ref="BF85">INDEX(BE:BE,SMALL(IF($BE$2:$BE$143&lt;&gt;"",ROW($2:$143),144),ROW(BE84)))&amp;""</f>
        <v/>
      </c>
      <c r="BG85" s="372"/>
      <c r="BH85" s="372"/>
      <c r="BI85" s="372"/>
      <c r="BJ85" s="372"/>
      <c r="BK85" s="372"/>
      <c r="BL85" s="372"/>
      <c r="BM85" s="372"/>
      <c r="BN85" s="372"/>
      <c r="BO85" s="372"/>
      <c r="BP85" s="372"/>
      <c r="BQ85" s="372"/>
      <c r="BR85" s="372"/>
      <c r="BS85" s="372"/>
      <c r="BT85" s="372"/>
      <c r="BU85" s="372"/>
      <c r="BV85" s="372"/>
      <c r="BW85" s="372"/>
      <c r="BX85" s="372"/>
      <c r="BY85" s="372"/>
      <c r="BZ85" s="372"/>
    </row>
    <row r="86" customHeight="1" spans="1:78">
      <c r="A86" s="375">
        <v>70</v>
      </c>
      <c r="B86" s="297" t="s">
        <v>3241</v>
      </c>
      <c r="C86" s="297" t="s">
        <v>3242</v>
      </c>
      <c r="D86" s="372"/>
      <c r="E86" s="372"/>
      <c r="F86" s="298" t="s">
        <v>3243</v>
      </c>
      <c r="G86" s="298" t="s">
        <v>3244</v>
      </c>
      <c r="H86" s="372"/>
      <c r="I86" s="372"/>
      <c r="J86" s="469" t="str">
        <f>IF(OR(BI57&gt;0,COUNTIF($BG$2:$BG$46,"奥术射击-爆裂箭")),"奥术射击-爆裂箭","")</f>
        <v/>
      </c>
      <c r="K86" s="469" t="s">
        <v>3245</v>
      </c>
      <c r="L86" s="458" t="s">
        <v>3246</v>
      </c>
      <c r="M86" s="458" t="s">
        <v>3247</v>
      </c>
      <c r="N86" s="489" t="s">
        <v>3248</v>
      </c>
      <c r="O86" s="489" t="s">
        <v>3249</v>
      </c>
      <c r="P86" s="458" t="s">
        <v>3250</v>
      </c>
      <c r="Q86" s="458" t="s">
        <v>3251</v>
      </c>
      <c r="R86" s="372"/>
      <c r="S86" s="372"/>
      <c r="T86" s="372"/>
      <c r="U86" s="372"/>
      <c r="V86" s="305" t="s">
        <v>3252</v>
      </c>
      <c r="W86" s="305" t="s">
        <v>3253</v>
      </c>
      <c r="X86" s="458" t="s">
        <v>3254</v>
      </c>
      <c r="Y86" s="458" t="s">
        <v>3255</v>
      </c>
      <c r="Z86" s="372"/>
      <c r="AA86" s="376"/>
      <c r="AB86" s="372"/>
      <c r="AC86" s="372"/>
      <c r="AD86" s="372"/>
      <c r="AE86" s="372"/>
      <c r="AF86" s="372"/>
      <c r="AG86" s="372"/>
      <c r="AH86" s="372"/>
      <c r="AI86" s="372"/>
      <c r="AJ86" s="372"/>
      <c r="AK86" s="372"/>
      <c r="AL86" s="372"/>
      <c r="AM86" s="287" t="s">
        <v>3256</v>
      </c>
      <c r="AN86" s="268"/>
      <c r="AO86" s="268">
        <v>67</v>
      </c>
      <c r="AP86" s="437">
        <f>_xlfn.IFS(AG9&gt;=15,71,AG9&gt;=11,70,AG9&gt;=7,69,AG9&gt;=3,68,1,0)</f>
        <v>0</v>
      </c>
      <c r="AQ86" s="307" t="e">
        <f t="shared" si="38"/>
        <v>#N/A</v>
      </c>
      <c r="AR86" s="224" t="e">
        <f t="shared" si="29"/>
        <v>#N/A</v>
      </c>
      <c r="AS86" s="224" t="e">
        <f t="shared" si="30"/>
        <v>#N/A</v>
      </c>
      <c r="AT86" s="374" t="e">
        <f t="shared" si="31"/>
        <v>#N/A</v>
      </c>
      <c r="AU86" s="307" t="e">
        <f t="shared" si="39"/>
        <v>#N/A</v>
      </c>
      <c r="AV86" s="224" t="e">
        <f t="shared" si="32"/>
        <v>#N/A</v>
      </c>
      <c r="AW86" s="224" t="e">
        <f t="shared" si="33"/>
        <v>#N/A</v>
      </c>
      <c r="AX86" s="374" t="e">
        <f t="shared" si="34"/>
        <v>#N/A</v>
      </c>
      <c r="AY86" s="307" t="e">
        <f t="shared" si="40"/>
        <v>#N/A</v>
      </c>
      <c r="AZ86" s="224" t="e">
        <f t="shared" si="35"/>
        <v>#N/A</v>
      </c>
      <c r="BA86" s="224" t="e">
        <f t="shared" si="36"/>
        <v>#N/A</v>
      </c>
      <c r="BB86" s="374" t="e">
        <f t="shared" si="37"/>
        <v>#N/A</v>
      </c>
      <c r="BC86" s="222" t="str">
        <f>IFERROR(INDEX($AQ$12:$BF$87,76,$BC$2),"")</f>
        <v/>
      </c>
      <c r="BD86" s="224" t="str">
        <f>IFERROR(INDEX($AQ$12:$BF$87,76,$BD$2),"")</f>
        <v/>
      </c>
      <c r="BE86" s="192" t="str">
        <f t="shared" ref="BE86:BE117" si="41">IFERROR(IF(OR(BC88="",COUNTIF($BG$2:$BG$46,BC88)),"",BC88),"")</f>
        <v/>
      </c>
      <c r="BF86" s="200" t="str">
        <f t="array" ref="BF86">INDEX(BE:BE,SMALL(IF($BE$2:$BE$143&lt;&gt;"",ROW($2:$143),144),ROW(BE85)))&amp;""</f>
        <v/>
      </c>
      <c r="BG86" s="372"/>
      <c r="BH86" s="372"/>
      <c r="BI86" s="372"/>
      <c r="BJ86" s="372"/>
      <c r="BK86" s="372"/>
      <c r="BL86" s="372"/>
      <c r="BM86" s="372"/>
      <c r="BN86" s="372"/>
      <c r="BO86" s="372"/>
      <c r="BP86" s="372"/>
      <c r="BQ86" s="372"/>
      <c r="BR86" s="372"/>
      <c r="BS86" s="372"/>
      <c r="BT86" s="372"/>
      <c r="BU86" s="372"/>
      <c r="BV86" s="372"/>
      <c r="BW86" s="372"/>
      <c r="BX86" s="372"/>
      <c r="BY86" s="372"/>
      <c r="BZ86" s="372"/>
    </row>
    <row r="87" customHeight="1" spans="1:78">
      <c r="A87" s="375">
        <v>71</v>
      </c>
      <c r="B87" s="226" t="s">
        <v>3257</v>
      </c>
      <c r="C87" s="226" t="s">
        <v>3258</v>
      </c>
      <c r="D87" s="372"/>
      <c r="E87" s="372"/>
      <c r="F87" s="298" t="s">
        <v>3259</v>
      </c>
      <c r="G87" s="298" t="s">
        <v>3260</v>
      </c>
      <c r="H87" s="372"/>
      <c r="I87" s="372"/>
      <c r="J87" s="469" t="str">
        <f>IF(OR(BI57&gt;0,COUNTIF($BG$2:$BG$46,"奥术射击-凋零箭")),"奥术射击-凋零箭","")</f>
        <v/>
      </c>
      <c r="K87" s="469" t="s">
        <v>3261</v>
      </c>
      <c r="L87" s="458" t="s">
        <v>3262</v>
      </c>
      <c r="M87" s="458" t="s">
        <v>3263</v>
      </c>
      <c r="N87" s="489" t="s">
        <v>3264</v>
      </c>
      <c r="O87" s="489" t="s">
        <v>3265</v>
      </c>
      <c r="P87" s="458" t="s">
        <v>3266</v>
      </c>
      <c r="Q87" s="458" t="s">
        <v>3267</v>
      </c>
      <c r="R87" s="372"/>
      <c r="S87" s="372"/>
      <c r="T87" s="372"/>
      <c r="U87" s="372"/>
      <c r="V87" s="226" t="s">
        <v>3268</v>
      </c>
      <c r="W87" s="226" t="s">
        <v>3269</v>
      </c>
      <c r="X87" s="458" t="s">
        <v>3270</v>
      </c>
      <c r="Y87" s="458" t="s">
        <v>3271</v>
      </c>
      <c r="Z87" s="372"/>
      <c r="AA87" s="376"/>
      <c r="AB87" s="372"/>
      <c r="AC87" s="372"/>
      <c r="AD87" s="372"/>
      <c r="AE87" s="372"/>
      <c r="AF87" s="372"/>
      <c r="AG87" s="372"/>
      <c r="AH87" s="372"/>
      <c r="AI87" s="372"/>
      <c r="AJ87" s="372"/>
      <c r="AK87" s="372"/>
      <c r="AL87" s="372"/>
      <c r="AM87" s="287" t="s">
        <v>3272</v>
      </c>
      <c r="AN87" s="268"/>
      <c r="AO87" s="268">
        <v>72</v>
      </c>
      <c r="AP87" s="437">
        <f>_xlfn.IFS(AG9&gt;=15,77,AG9&gt;=11,76,AG9&gt;=7,75,AG9&gt;=3,74,1,0)</f>
        <v>0</v>
      </c>
      <c r="AQ87" s="384" t="e">
        <f t="shared" si="38"/>
        <v>#N/A</v>
      </c>
      <c r="AR87" s="234" t="e">
        <f t="shared" si="29"/>
        <v>#N/A</v>
      </c>
      <c r="AS87" s="234" t="e">
        <f t="shared" si="30"/>
        <v>#N/A</v>
      </c>
      <c r="AT87" s="490" t="e">
        <f t="shared" si="31"/>
        <v>#N/A</v>
      </c>
      <c r="AU87" s="384" t="e">
        <f t="shared" si="39"/>
        <v>#N/A</v>
      </c>
      <c r="AV87" s="234" t="e">
        <f t="shared" si="32"/>
        <v>#N/A</v>
      </c>
      <c r="AW87" s="234" t="e">
        <f t="shared" si="33"/>
        <v>#N/A</v>
      </c>
      <c r="AX87" s="490" t="e">
        <f t="shared" si="34"/>
        <v>#N/A</v>
      </c>
      <c r="AY87" s="384" t="e">
        <f t="shared" si="40"/>
        <v>#N/A</v>
      </c>
      <c r="AZ87" s="234" t="e">
        <f t="shared" si="35"/>
        <v>#N/A</v>
      </c>
      <c r="BA87" s="234" t="e">
        <f t="shared" si="36"/>
        <v>#N/A</v>
      </c>
      <c r="BB87" s="490" t="e">
        <f t="shared" si="37"/>
        <v>#N/A</v>
      </c>
      <c r="BC87" s="230"/>
      <c r="BD87" s="234"/>
      <c r="BE87" s="192" t="str">
        <f t="shared" si="41"/>
        <v/>
      </c>
      <c r="BF87" s="200" t="str">
        <f t="array" ref="BF87">INDEX(BE:BE,SMALL(IF($BE$2:$BE$143&lt;&gt;"",ROW($2:$143),144),ROW(BE86)))&amp;""</f>
        <v/>
      </c>
      <c r="BG87" s="372"/>
      <c r="BH87" s="372"/>
      <c r="BI87" s="372"/>
      <c r="BJ87" s="372"/>
      <c r="BK87" s="372"/>
      <c r="BL87" s="372"/>
      <c r="BM87" s="372"/>
      <c r="BN87" s="372"/>
      <c r="BO87" s="372"/>
      <c r="BP87" s="372"/>
      <c r="BQ87" s="372"/>
      <c r="BR87" s="372"/>
      <c r="BS87" s="372"/>
      <c r="BT87" s="372"/>
      <c r="BU87" s="372"/>
      <c r="BV87" s="372"/>
      <c r="BW87" s="372"/>
      <c r="BX87" s="372"/>
      <c r="BY87" s="372"/>
      <c r="BZ87" s="372"/>
    </row>
    <row r="88" customHeight="1" spans="1:78">
      <c r="A88" s="375">
        <v>72</v>
      </c>
      <c r="B88" s="226" t="s">
        <v>2576</v>
      </c>
      <c r="C88" s="226" t="s">
        <v>3273</v>
      </c>
      <c r="D88" s="372"/>
      <c r="E88" s="372"/>
      <c r="F88" s="466" t="s">
        <v>3274</v>
      </c>
      <c r="G88" s="466" t="s">
        <v>3275</v>
      </c>
      <c r="H88" s="372"/>
      <c r="I88" s="372"/>
      <c r="J88" s="469" t="str">
        <f>IF(OR(BI57&gt;0,COUNTIF($BG$2:$BG$46,"奥术射击-缠绕箭")),"奥术射击-缠绕箭","")</f>
        <v/>
      </c>
      <c r="K88" s="469" t="s">
        <v>3276</v>
      </c>
      <c r="L88" s="297" t="s">
        <v>3277</v>
      </c>
      <c r="M88" s="297" t="s">
        <v>3278</v>
      </c>
      <c r="N88" s="226" t="s">
        <v>3279</v>
      </c>
      <c r="O88" s="226" t="s">
        <v>3280</v>
      </c>
      <c r="P88" s="297" t="s">
        <v>3281</v>
      </c>
      <c r="Q88" s="297" t="s">
        <v>3282</v>
      </c>
      <c r="R88" s="372"/>
      <c r="S88" s="372"/>
      <c r="T88" s="372"/>
      <c r="U88" s="372"/>
      <c r="V88" s="226" t="s">
        <v>3283</v>
      </c>
      <c r="W88" s="226" t="s">
        <v>3284</v>
      </c>
      <c r="X88" s="297" t="s">
        <v>3285</v>
      </c>
      <c r="Y88" s="297" t="s">
        <v>3286</v>
      </c>
      <c r="Z88" s="372"/>
      <c r="AA88" s="376"/>
      <c r="AB88" s="372"/>
      <c r="AC88" s="372"/>
      <c r="AD88" s="372"/>
      <c r="AE88" s="372"/>
      <c r="AF88" s="372"/>
      <c r="AG88" s="372"/>
      <c r="AH88" s="372"/>
      <c r="AI88" s="372"/>
      <c r="AJ88" s="372"/>
      <c r="AK88" s="372"/>
      <c r="AL88" s="372"/>
      <c r="AM88" s="481" t="s">
        <v>3287</v>
      </c>
      <c r="AN88" s="421"/>
      <c r="AO88" s="421">
        <v>78</v>
      </c>
      <c r="AP88" s="421">
        <f>_xlfn.IFS(AG9&gt;=15,82,AG9&gt;=11,81,AG9&gt;=7,80,AG9&gt;=3,79,1,0)</f>
        <v>0</v>
      </c>
      <c r="AQ88" s="372"/>
      <c r="AR88" s="372"/>
      <c r="AS88" s="372"/>
      <c r="AT88" s="372"/>
      <c r="AU88" s="373"/>
      <c r="AV88" s="224"/>
      <c r="AW88" s="224"/>
      <c r="AX88" s="373"/>
      <c r="AY88" s="373"/>
      <c r="AZ88" s="224"/>
      <c r="BA88" s="224"/>
      <c r="BB88" s="373" t="s">
        <v>3288</v>
      </c>
      <c r="BC88" s="252" t="str">
        <f t="shared" ref="BC88:BC110" si="42">IF($BB$89=1,J41,"")</f>
        <v/>
      </c>
      <c r="BD88" s="184" t="str">
        <f t="shared" ref="BD88:BD110" si="43">IF($BB$89=1,K41,"")</f>
        <v/>
      </c>
      <c r="BE88" s="192" t="str">
        <f t="shared" si="41"/>
        <v/>
      </c>
      <c r="BF88" s="200" t="str">
        <f t="array" ref="BF88">INDEX(BE:BE,SMALL(IF($BE$2:$BE$143&lt;&gt;"",ROW($2:$143),144),ROW(BE87)))&amp;""</f>
        <v/>
      </c>
      <c r="BG88" s="372"/>
      <c r="BH88" s="372"/>
      <c r="BI88" s="372"/>
      <c r="BJ88" s="372"/>
      <c r="BK88" s="372"/>
      <c r="BL88" s="372"/>
      <c r="BM88" s="372"/>
      <c r="BN88" s="372"/>
      <c r="BO88" s="372"/>
      <c r="BP88" s="372"/>
      <c r="BQ88" s="372"/>
      <c r="BR88" s="372"/>
      <c r="BS88" s="372"/>
      <c r="BT88" s="372"/>
      <c r="BU88" s="372"/>
      <c r="BV88" s="372"/>
      <c r="BW88" s="372"/>
      <c r="BX88" s="372"/>
      <c r="BY88" s="372"/>
      <c r="BZ88" s="372"/>
    </row>
    <row r="89" customHeight="1" spans="1:78">
      <c r="A89" s="375">
        <v>73</v>
      </c>
      <c r="B89" s="449" t="str">
        <f>IF(OR(BH54&lt;1,COUNTIF($BG$2:$BG$46,"兽性之魂-游泳")),"兽性之魂-游泳","")</f>
        <v>兽性之魂-游泳</v>
      </c>
      <c r="C89" s="449" t="s">
        <v>3289</v>
      </c>
      <c r="D89" s="372"/>
      <c r="E89" s="372"/>
      <c r="F89" s="298" t="s">
        <v>3290</v>
      </c>
      <c r="G89" s="298" t="s">
        <v>3291</v>
      </c>
      <c r="H89" s="372"/>
      <c r="I89" s="372"/>
      <c r="J89" s="469" t="str">
        <f>IF(OR(BI57&gt;0,COUNTIF($BG$2:$BG$46,"奥术射击-穿透箭")),"奥术射击-穿透箭","")</f>
        <v/>
      </c>
      <c r="K89" s="469" t="s">
        <v>3292</v>
      </c>
      <c r="L89" s="297" t="s">
        <v>3293</v>
      </c>
      <c r="M89" s="297" t="s">
        <v>3294</v>
      </c>
      <c r="N89" s="226" t="s">
        <v>3295</v>
      </c>
      <c r="O89" s="226" t="s">
        <v>3296</v>
      </c>
      <c r="P89" s="297" t="s">
        <v>3297</v>
      </c>
      <c r="Q89" s="297" t="s">
        <v>3298</v>
      </c>
      <c r="R89" s="372"/>
      <c r="S89" s="372"/>
      <c r="T89" s="372"/>
      <c r="U89" s="372"/>
      <c r="V89" s="226" t="s">
        <v>3299</v>
      </c>
      <c r="W89" s="226" t="s">
        <v>3300</v>
      </c>
      <c r="X89" s="297" t="s">
        <v>3301</v>
      </c>
      <c r="Y89" s="297" t="s">
        <v>3302</v>
      </c>
      <c r="Z89" s="372"/>
      <c r="AA89" s="376"/>
      <c r="AB89" s="372"/>
      <c r="AC89" s="372"/>
      <c r="AD89" s="372"/>
      <c r="AE89" s="372"/>
      <c r="AF89" s="372"/>
      <c r="AG89" s="372"/>
      <c r="AH89" s="372"/>
      <c r="AI89" s="372"/>
      <c r="AJ89" s="372"/>
      <c r="AK89" s="372"/>
      <c r="AL89" s="372"/>
      <c r="AM89" s="358" t="s">
        <v>1701</v>
      </c>
      <c r="AN89" s="413">
        <v>9</v>
      </c>
      <c r="AO89" s="413">
        <v>1</v>
      </c>
      <c r="AP89" s="438">
        <f>_xlfn.IFS(AG10=20,13,AG10&gt;=18,12,AG10&gt;=15,11,AG10=14,10,AG10&gt;=11,9,AG10&gt;=7,8,AG10&gt;=5,7,AG10&gt;=3,6,AG10=2,4,AG10=1,6,1,0)</f>
        <v>0</v>
      </c>
      <c r="AQ89" s="372"/>
      <c r="AR89" s="372"/>
      <c r="AS89" s="372"/>
      <c r="AT89" s="372"/>
      <c r="AU89" s="372"/>
      <c r="AV89" s="372"/>
      <c r="AW89" s="372"/>
      <c r="AX89" s="372"/>
      <c r="AY89" s="372"/>
      <c r="AZ89" s="372"/>
      <c r="BA89" s="372"/>
      <c r="BB89" s="372">
        <f>IF(AND(OR(COUNTIF(专长数据!E2:E7,专长数据!A24),COUNTIF(BG2:BG46,J26)),NOT(AND(AG6&gt;=3,COUNTIF(AD16:AD18,C6)))),1,0)</f>
        <v>0</v>
      </c>
      <c r="BC89" s="192" t="str">
        <f t="shared" si="42"/>
        <v/>
      </c>
      <c r="BD89" s="193" t="str">
        <f t="shared" si="43"/>
        <v/>
      </c>
      <c r="BE89" s="192" t="str">
        <f t="shared" si="41"/>
        <v/>
      </c>
      <c r="BF89" s="200" t="str">
        <f t="array" ref="BF89">INDEX(BE:BE,SMALL(IF($BE$2:$BE$143&lt;&gt;"",ROW($2:$143),144),ROW(BE88)))&amp;""</f>
        <v/>
      </c>
      <c r="BG89" s="372"/>
      <c r="BH89" s="372"/>
      <c r="BI89" s="372"/>
      <c r="BJ89" s="372"/>
      <c r="BK89" s="372"/>
      <c r="BL89" s="372"/>
      <c r="BM89" s="372"/>
      <c r="BN89" s="372"/>
      <c r="BO89" s="372"/>
      <c r="BP89" s="372"/>
      <c r="BQ89" s="372"/>
      <c r="BR89" s="372"/>
      <c r="BS89" s="372"/>
      <c r="BT89" s="372"/>
      <c r="BU89" s="372"/>
      <c r="BV89" s="372"/>
      <c r="BW89" s="372"/>
      <c r="BX89" s="372"/>
      <c r="BY89" s="372"/>
      <c r="BZ89" s="372"/>
    </row>
    <row r="90" customHeight="1" spans="1:78">
      <c r="A90" s="375">
        <v>74</v>
      </c>
      <c r="B90" s="449" t="str">
        <f>IF(OR(BH54&lt;1,COUNTIF($BG$2:$BG$46,"兽性之魂-攀爬")),"兽性之魂-攀爬","")</f>
        <v>兽性之魂-攀爬</v>
      </c>
      <c r="C90" s="449" t="s">
        <v>3303</v>
      </c>
      <c r="D90" s="372"/>
      <c r="E90" s="372"/>
      <c r="F90" s="298" t="str">
        <f>IF(OR(BH55&lt;1,COUNTIF($BG$2:$BG$46,"强力施法")),"强力施法","")</f>
        <v>强力施法</v>
      </c>
      <c r="G90" s="298" t="s">
        <v>3304</v>
      </c>
      <c r="H90" s="372"/>
      <c r="I90" s="372"/>
      <c r="J90" s="469" t="str">
        <f>IF(OR(BI57&gt;0,COUNTIF($BG$2:$BG$46,"奥术射击-追踪箭")),"奥术射击-追踪箭","")</f>
        <v/>
      </c>
      <c r="K90" s="469" t="s">
        <v>3305</v>
      </c>
      <c r="L90" s="297" t="s">
        <v>3306</v>
      </c>
      <c r="M90" s="297" t="s">
        <v>3307</v>
      </c>
      <c r="N90" s="226" t="s">
        <v>3308</v>
      </c>
      <c r="O90" s="226" t="s">
        <v>3309</v>
      </c>
      <c r="P90" s="297" t="s">
        <v>3310</v>
      </c>
      <c r="Q90" s="297" t="s">
        <v>3311</v>
      </c>
      <c r="R90" s="372"/>
      <c r="S90" s="372"/>
      <c r="T90" s="372"/>
      <c r="U90" s="372"/>
      <c r="V90" s="226" t="s">
        <v>3312</v>
      </c>
      <c r="W90" s="226" t="s">
        <v>3313</v>
      </c>
      <c r="X90" s="297" t="s">
        <v>3314</v>
      </c>
      <c r="Y90" s="297" t="s">
        <v>3315</v>
      </c>
      <c r="Z90" s="372"/>
      <c r="AA90" s="376"/>
      <c r="AB90" s="372"/>
      <c r="AC90" s="372"/>
      <c r="AD90" s="372"/>
      <c r="AE90" s="372"/>
      <c r="AF90" s="372"/>
      <c r="AG90" s="372"/>
      <c r="AH90" s="372"/>
      <c r="AI90" s="372"/>
      <c r="AJ90" s="372"/>
      <c r="AK90" s="372"/>
      <c r="AL90" s="372"/>
      <c r="AM90" s="307" t="s">
        <v>1702</v>
      </c>
      <c r="AN90" s="373"/>
      <c r="AO90" s="373">
        <v>14</v>
      </c>
      <c r="AP90" s="374">
        <f>_xlfn.IFS(AG10&gt;=17,18,AG10&gt;=13,17,AG10&gt;=9,16,AG10&gt;=3,15,1,0)</f>
        <v>0</v>
      </c>
      <c r="AQ90" s="372"/>
      <c r="AR90" s="372"/>
      <c r="AS90" s="372"/>
      <c r="AT90" s="373"/>
      <c r="AU90" s="372"/>
      <c r="AV90" s="372"/>
      <c r="AW90" s="372"/>
      <c r="AX90" s="372"/>
      <c r="AY90" s="372"/>
      <c r="AZ90" s="372"/>
      <c r="BA90" s="372"/>
      <c r="BB90" s="372"/>
      <c r="BC90" s="192" t="str">
        <f t="shared" si="42"/>
        <v/>
      </c>
      <c r="BD90" s="193" t="str">
        <f t="shared" si="43"/>
        <v/>
      </c>
      <c r="BE90" s="192" t="str">
        <f t="shared" si="41"/>
        <v/>
      </c>
      <c r="BF90" s="200" t="str">
        <f t="array" ref="BF90">INDEX(BE:BE,SMALL(IF($BE$2:$BE$143&lt;&gt;"",ROW($2:$143),144),ROW(BE89)))&amp;""</f>
        <v/>
      </c>
      <c r="BG90" s="372"/>
      <c r="BH90" s="372"/>
      <c r="BI90" s="372"/>
      <c r="BJ90" s="372"/>
      <c r="BK90" s="372"/>
      <c r="BL90" s="372"/>
      <c r="BM90" s="372"/>
      <c r="BN90" s="372"/>
      <c r="BO90" s="372"/>
      <c r="BP90" s="372"/>
      <c r="BQ90" s="372"/>
      <c r="BR90" s="372"/>
      <c r="BS90" s="372"/>
      <c r="BT90" s="372"/>
      <c r="BU90" s="372"/>
      <c r="BV90" s="372"/>
      <c r="BW90" s="372"/>
      <c r="BX90" s="372"/>
      <c r="BY90" s="372"/>
      <c r="BZ90" s="372"/>
    </row>
    <row r="91" customHeight="1" spans="1:78">
      <c r="A91" s="375">
        <v>75</v>
      </c>
      <c r="B91" s="449" t="str">
        <f>IF(OR(BH54&lt;1,COUNTIF($BG$2:$BG$46,"兽性之魂-跳跃")),"兽性之魂-跳跃","")</f>
        <v>兽性之魂-跳跃</v>
      </c>
      <c r="C91" s="449" t="s">
        <v>3316</v>
      </c>
      <c r="D91" s="372"/>
      <c r="E91" s="372"/>
      <c r="F91" s="298" t="s">
        <v>3317</v>
      </c>
      <c r="G91" s="298" t="s">
        <v>3318</v>
      </c>
      <c r="H91" s="372"/>
      <c r="I91" s="372"/>
      <c r="J91" s="469" t="str">
        <f>IF(OR(BI57&gt;0,COUNTIF($BG$2:$BG$46,"奥术射击-暗影箭")),"奥术射击-暗影箭","")</f>
        <v/>
      </c>
      <c r="K91" s="469" t="s">
        <v>3319</v>
      </c>
      <c r="L91" s="297" t="s">
        <v>3320</v>
      </c>
      <c r="M91" s="297" t="s">
        <v>3321</v>
      </c>
      <c r="N91" s="298" t="s">
        <v>3322</v>
      </c>
      <c r="O91" s="298" t="s">
        <v>3323</v>
      </c>
      <c r="P91" s="297" t="s">
        <v>3324</v>
      </c>
      <c r="Q91" s="297" t="s">
        <v>3325</v>
      </c>
      <c r="R91" s="372"/>
      <c r="S91" s="372"/>
      <c r="T91" s="372"/>
      <c r="U91" s="372"/>
      <c r="V91" s="226" t="s">
        <v>3326</v>
      </c>
      <c r="W91" s="226" t="s">
        <v>3327</v>
      </c>
      <c r="X91" s="297" t="s">
        <v>3328</v>
      </c>
      <c r="Y91" s="297" t="s">
        <v>3329</v>
      </c>
      <c r="Z91" s="372"/>
      <c r="AA91" s="376"/>
      <c r="AB91" s="372"/>
      <c r="AC91" s="372"/>
      <c r="AD91" s="372"/>
      <c r="AE91" s="372"/>
      <c r="AF91" s="372"/>
      <c r="AG91" s="372"/>
      <c r="AH91" s="372"/>
      <c r="AI91" s="372"/>
      <c r="AJ91" s="372"/>
      <c r="AK91" s="372"/>
      <c r="AL91" s="372"/>
      <c r="AM91" s="307" t="s">
        <v>1703</v>
      </c>
      <c r="AN91" s="373"/>
      <c r="AO91" s="373">
        <v>19</v>
      </c>
      <c r="AP91" s="374">
        <f>_xlfn.IFS(AG10&gt;=17,23,AG10&gt;=13,22,AG10&gt;=9,21,AG10&gt;=3,20,1,0)</f>
        <v>0</v>
      </c>
      <c r="AQ91" s="372"/>
      <c r="AR91" s="372"/>
      <c r="AS91" s="372"/>
      <c r="AT91" s="373"/>
      <c r="AU91" s="372"/>
      <c r="AV91" s="372"/>
      <c r="AW91" s="372"/>
      <c r="AX91" s="372"/>
      <c r="AY91" s="372"/>
      <c r="AZ91" s="372"/>
      <c r="BA91" s="372"/>
      <c r="BB91" s="372"/>
      <c r="BC91" s="192" t="str">
        <f t="shared" si="42"/>
        <v/>
      </c>
      <c r="BD91" s="193" t="str">
        <f t="shared" si="43"/>
        <v/>
      </c>
      <c r="BE91" s="192" t="str">
        <f t="shared" si="41"/>
        <v/>
      </c>
      <c r="BF91" s="200" t="str">
        <f t="array" ref="BF91">INDEX(BE:BE,SMALL(IF($BE$2:$BE$143&lt;&gt;"",ROW($2:$143),144),ROW(BE90)))&amp;""</f>
        <v/>
      </c>
      <c r="BG91" s="372"/>
      <c r="BH91" s="372"/>
      <c r="BI91" s="372"/>
      <c r="BJ91" s="372"/>
      <c r="BK91" s="372"/>
      <c r="BL91" s="372"/>
      <c r="BM91" s="372"/>
      <c r="BN91" s="372"/>
      <c r="BO91" s="372"/>
      <c r="BP91" s="372"/>
      <c r="BQ91" s="372"/>
      <c r="BR91" s="372"/>
      <c r="BS91" s="372"/>
      <c r="BT91" s="372"/>
      <c r="BU91" s="372"/>
      <c r="BV91" s="372"/>
      <c r="BW91" s="372"/>
      <c r="BX91" s="372"/>
      <c r="BY91" s="372"/>
      <c r="BZ91" s="372"/>
    </row>
    <row r="92" customHeight="1" spans="1:78">
      <c r="A92" s="375">
        <v>76</v>
      </c>
      <c r="B92" s="226" t="s">
        <v>3330</v>
      </c>
      <c r="C92" s="226" t="s">
        <v>3331</v>
      </c>
      <c r="D92" s="372"/>
      <c r="E92" s="372"/>
      <c r="F92" s="359" t="s">
        <v>3332</v>
      </c>
      <c r="G92" s="359" t="s">
        <v>3333</v>
      </c>
      <c r="H92" s="372"/>
      <c r="I92" s="372"/>
      <c r="J92" s="360" t="s">
        <v>3334</v>
      </c>
      <c r="K92" s="360" t="s">
        <v>3335</v>
      </c>
      <c r="L92" s="226" t="s">
        <v>3336</v>
      </c>
      <c r="M92" s="226" t="s">
        <v>3337</v>
      </c>
      <c r="N92" s="466" t="s">
        <v>3338</v>
      </c>
      <c r="O92" s="466" t="s">
        <v>3339</v>
      </c>
      <c r="P92" s="297" t="s">
        <v>3340</v>
      </c>
      <c r="Q92" s="297" t="s">
        <v>3341</v>
      </c>
      <c r="R92" s="372"/>
      <c r="S92" s="372"/>
      <c r="T92" s="372"/>
      <c r="U92" s="372"/>
      <c r="V92" s="298" t="s">
        <v>3342</v>
      </c>
      <c r="W92" s="298" t="s">
        <v>3343</v>
      </c>
      <c r="X92" s="226" t="s">
        <v>3344</v>
      </c>
      <c r="Y92" s="226" t="s">
        <v>3345</v>
      </c>
      <c r="Z92" s="372"/>
      <c r="AA92" s="376"/>
      <c r="AB92" s="372"/>
      <c r="AC92" s="372"/>
      <c r="AD92" s="372"/>
      <c r="AE92" s="372"/>
      <c r="AF92" s="372"/>
      <c r="AG92" s="372"/>
      <c r="AH92" s="372"/>
      <c r="AI92" s="372"/>
      <c r="AJ92" s="372"/>
      <c r="AK92" s="372"/>
      <c r="AL92" s="372"/>
      <c r="AM92" s="307" t="s">
        <v>1704</v>
      </c>
      <c r="AN92" s="373"/>
      <c r="AO92" s="373">
        <v>24</v>
      </c>
      <c r="AP92" s="374">
        <f>_xlfn.IFS(AG10&gt;=17,32,AG10&gt;=13,31,AG10&gt;=9,30,AG10&gt;=3,29,1,0)</f>
        <v>0</v>
      </c>
      <c r="AQ92" s="372"/>
      <c r="AR92" s="372"/>
      <c r="AS92" s="372"/>
      <c r="AT92" s="373"/>
      <c r="AU92" s="372"/>
      <c r="AV92" s="372"/>
      <c r="AW92" s="372"/>
      <c r="AX92" s="372"/>
      <c r="AY92" s="372"/>
      <c r="AZ92" s="372"/>
      <c r="BA92" s="372"/>
      <c r="BB92" s="372"/>
      <c r="BC92" s="192" t="str">
        <f t="shared" si="42"/>
        <v/>
      </c>
      <c r="BD92" s="193" t="str">
        <f t="shared" si="43"/>
        <v/>
      </c>
      <c r="BE92" s="192" t="str">
        <f t="shared" si="41"/>
        <v/>
      </c>
      <c r="BF92" s="200" t="str">
        <f t="array" ref="BF92">INDEX(BE:BE,SMALL(IF($BE$2:$BE$143&lt;&gt;"",ROW($2:$143),144),ROW(BE91)))&amp;""</f>
        <v/>
      </c>
      <c r="BG92" s="372"/>
      <c r="BH92" s="372"/>
      <c r="BI92" s="372"/>
      <c r="BJ92" s="372"/>
      <c r="BK92" s="372"/>
      <c r="BL92" s="372"/>
      <c r="BM92" s="372"/>
      <c r="BN92" s="372"/>
      <c r="BO92" s="372"/>
      <c r="BP92" s="372"/>
      <c r="BQ92" s="372"/>
      <c r="BR92" s="372"/>
      <c r="BS92" s="372"/>
      <c r="BT92" s="372"/>
      <c r="BU92" s="372"/>
      <c r="BV92" s="372"/>
      <c r="BW92" s="372"/>
      <c r="BX92" s="372"/>
      <c r="BY92" s="372"/>
      <c r="BZ92" s="372"/>
    </row>
    <row r="93" customHeight="1" spans="1:78">
      <c r="A93" s="375">
        <v>77</v>
      </c>
      <c r="B93" s="226" t="s">
        <v>3346</v>
      </c>
      <c r="C93" s="226" t="s">
        <v>3347</v>
      </c>
      <c r="D93" s="372"/>
      <c r="E93" s="372"/>
      <c r="F93" s="359" t="s">
        <v>3348</v>
      </c>
      <c r="G93" s="359" t="s">
        <v>3349</v>
      </c>
      <c r="H93" s="372"/>
      <c r="I93" s="372"/>
      <c r="J93" s="360" t="s">
        <v>3350</v>
      </c>
      <c r="K93" s="360" t="s">
        <v>3351</v>
      </c>
      <c r="L93" s="226" t="s">
        <v>3352</v>
      </c>
      <c r="M93" s="226" t="s">
        <v>3353</v>
      </c>
      <c r="N93" s="466" t="s">
        <v>3354</v>
      </c>
      <c r="O93" s="466" t="s">
        <v>3355</v>
      </c>
      <c r="P93" s="297" t="s">
        <v>3356</v>
      </c>
      <c r="Q93" s="297" t="s">
        <v>3357</v>
      </c>
      <c r="R93" s="372"/>
      <c r="S93" s="372"/>
      <c r="T93" s="372"/>
      <c r="U93" s="372"/>
      <c r="V93" s="298" t="s">
        <v>3358</v>
      </c>
      <c r="W93" s="298" t="s">
        <v>3359</v>
      </c>
      <c r="X93" s="226" t="s">
        <v>3360</v>
      </c>
      <c r="Y93" s="226" t="s">
        <v>3361</v>
      </c>
      <c r="Z93" s="372"/>
      <c r="AA93" s="376"/>
      <c r="AB93" s="372"/>
      <c r="AC93" s="372"/>
      <c r="AD93" s="372"/>
      <c r="AE93" s="372"/>
      <c r="AF93" s="372"/>
      <c r="AG93" s="372"/>
      <c r="AH93" s="372"/>
      <c r="AI93" s="372"/>
      <c r="AJ93" s="372"/>
      <c r="AK93" s="372"/>
      <c r="AL93" s="372"/>
      <c r="AM93" s="283" t="s">
        <v>3362</v>
      </c>
      <c r="AN93" s="245"/>
      <c r="AO93" s="245">
        <v>33</v>
      </c>
      <c r="AP93" s="431">
        <f>_xlfn.IFS(AG10&gt;=17,38,AG10&gt;=13,37,AG10&gt;=9,36,AG10&gt;=3,35,1,0)</f>
        <v>0</v>
      </c>
      <c r="AQ93" s="372"/>
      <c r="AR93" s="372"/>
      <c r="AS93" s="372"/>
      <c r="AT93" s="373"/>
      <c r="AU93" s="372"/>
      <c r="AV93" s="372"/>
      <c r="AW93" s="372"/>
      <c r="AX93" s="372"/>
      <c r="AY93" s="372"/>
      <c r="AZ93" s="372"/>
      <c r="BA93" s="372"/>
      <c r="BB93" s="372"/>
      <c r="BC93" s="192" t="str">
        <f t="shared" si="42"/>
        <v/>
      </c>
      <c r="BD93" s="193" t="str">
        <f t="shared" si="43"/>
        <v/>
      </c>
      <c r="BE93" s="192" t="str">
        <f t="shared" si="41"/>
        <v/>
      </c>
      <c r="BF93" s="200" t="str">
        <f t="array" ref="BF93">INDEX(BE:BE,SMALL(IF($BE$2:$BE$143&lt;&gt;"",ROW($2:$143),144),ROW(BE92)))&amp;""</f>
        <v/>
      </c>
      <c r="BG93" s="372"/>
      <c r="BH93" s="372"/>
      <c r="BI93" s="372"/>
      <c r="BJ93" s="372"/>
      <c r="BK93" s="372"/>
      <c r="BL93" s="372"/>
      <c r="BM93" s="372"/>
      <c r="BN93" s="372"/>
      <c r="BO93" s="372"/>
      <c r="BP93" s="372"/>
      <c r="BQ93" s="372"/>
      <c r="BR93" s="372"/>
      <c r="BS93" s="372"/>
      <c r="BT93" s="372"/>
      <c r="BU93" s="372"/>
      <c r="BV93" s="372"/>
      <c r="BW93" s="372"/>
      <c r="BX93" s="372"/>
      <c r="BY93" s="372"/>
      <c r="BZ93" s="372"/>
    </row>
    <row r="94" customHeight="1" spans="1:78">
      <c r="A94" s="375">
        <v>78</v>
      </c>
      <c r="B94" s="298" t="s">
        <v>3363</v>
      </c>
      <c r="C94" s="298" t="s">
        <v>3364</v>
      </c>
      <c r="D94" s="372"/>
      <c r="E94" s="372"/>
      <c r="F94" s="359" t="s">
        <v>3365</v>
      </c>
      <c r="G94" s="359" t="s">
        <v>3366</v>
      </c>
      <c r="H94" s="372"/>
      <c r="I94" s="372"/>
      <c r="J94" s="360" t="s">
        <v>3367</v>
      </c>
      <c r="K94" s="360" t="s">
        <v>3368</v>
      </c>
      <c r="L94" s="226" t="s">
        <v>3369</v>
      </c>
      <c r="M94" s="226" t="s">
        <v>3370</v>
      </c>
      <c r="N94" s="298" t="s">
        <v>3371</v>
      </c>
      <c r="O94" s="298" t="s">
        <v>3372</v>
      </c>
      <c r="P94" s="226" t="s">
        <v>3373</v>
      </c>
      <c r="Q94" s="226" t="s">
        <v>3374</v>
      </c>
      <c r="R94" s="372"/>
      <c r="S94" s="372"/>
      <c r="T94" s="372"/>
      <c r="U94" s="372"/>
      <c r="V94" s="298" t="s">
        <v>3375</v>
      </c>
      <c r="W94" s="298" t="s">
        <v>3376</v>
      </c>
      <c r="X94" s="226" t="s">
        <v>3377</v>
      </c>
      <c r="Y94" s="226" t="s">
        <v>3378</v>
      </c>
      <c r="Z94" s="372"/>
      <c r="AA94" s="376"/>
      <c r="AB94" s="372"/>
      <c r="AC94" s="372"/>
      <c r="AD94" s="372"/>
      <c r="AE94" s="372"/>
      <c r="AF94" s="372"/>
      <c r="AG94" s="372"/>
      <c r="AH94" s="372"/>
      <c r="AI94" s="372"/>
      <c r="AJ94" s="372"/>
      <c r="AK94" s="372"/>
      <c r="AL94" s="372"/>
      <c r="AM94" s="283" t="s">
        <v>3379</v>
      </c>
      <c r="AN94" s="245"/>
      <c r="AO94" s="245">
        <v>39</v>
      </c>
      <c r="AP94" s="431">
        <f>_xlfn.IFS(AG10&gt;=17,43,AG10&gt;=13,42,AG10&gt;=9,41,AG10&gt;=3,40,1,0)</f>
        <v>0</v>
      </c>
      <c r="AQ94" s="372"/>
      <c r="AR94" s="372"/>
      <c r="AS94" s="372"/>
      <c r="AT94" s="373"/>
      <c r="AU94" s="372"/>
      <c r="AV94" s="372"/>
      <c r="AW94" s="372"/>
      <c r="AX94" s="372"/>
      <c r="AY94" s="372"/>
      <c r="AZ94" s="372"/>
      <c r="BA94" s="372"/>
      <c r="BB94" s="372"/>
      <c r="BC94" s="192" t="str">
        <f t="shared" si="42"/>
        <v/>
      </c>
      <c r="BD94" s="193" t="str">
        <f t="shared" si="43"/>
        <v/>
      </c>
      <c r="BE94" s="192" t="str">
        <f t="shared" si="41"/>
        <v/>
      </c>
      <c r="BF94" s="200" t="str">
        <f t="array" ref="BF94">INDEX(BE:BE,SMALL(IF($BE$2:$BE$143&lt;&gt;"",ROW($2:$143),144),ROW(BE93)))&amp;""</f>
        <v/>
      </c>
      <c r="BG94" s="372"/>
      <c r="BH94" s="372"/>
      <c r="BI94" s="372"/>
      <c r="BJ94" s="372"/>
      <c r="BK94" s="372"/>
      <c r="BL94" s="372"/>
      <c r="BM94" s="372"/>
      <c r="BN94" s="372"/>
      <c r="BO94" s="372"/>
      <c r="BP94" s="372"/>
      <c r="BQ94" s="372"/>
      <c r="BR94" s="372"/>
      <c r="BS94" s="372"/>
      <c r="BT94" s="372"/>
      <c r="BU94" s="372"/>
      <c r="BV94" s="372"/>
      <c r="BW94" s="372"/>
      <c r="BX94" s="372"/>
      <c r="BY94" s="372"/>
      <c r="BZ94" s="372"/>
    </row>
    <row r="95" customHeight="1" spans="1:78">
      <c r="A95" s="375">
        <v>79</v>
      </c>
      <c r="B95" s="298" t="s">
        <v>3380</v>
      </c>
      <c r="C95" s="298" t="s">
        <v>3381</v>
      </c>
      <c r="D95" s="372"/>
      <c r="E95" s="372"/>
      <c r="F95" s="470" t="s">
        <v>3382</v>
      </c>
      <c r="G95" s="470" t="s">
        <v>3383</v>
      </c>
      <c r="H95" s="372"/>
      <c r="I95" s="372"/>
      <c r="J95" s="458" t="s">
        <v>3384</v>
      </c>
      <c r="K95" s="458" t="s">
        <v>3385</v>
      </c>
      <c r="L95" s="226" t="s">
        <v>3386</v>
      </c>
      <c r="M95" s="226" t="s">
        <v>3387</v>
      </c>
      <c r="N95" s="298" t="s">
        <v>3388</v>
      </c>
      <c r="O95" s="298" t="s">
        <v>3389</v>
      </c>
      <c r="P95" s="226" t="s">
        <v>3390</v>
      </c>
      <c r="Q95" s="226" t="s">
        <v>3391</v>
      </c>
      <c r="R95" s="372"/>
      <c r="S95" s="372"/>
      <c r="T95" s="372"/>
      <c r="U95" s="372"/>
      <c r="V95" s="298" t="s">
        <v>3392</v>
      </c>
      <c r="W95" s="298" t="s">
        <v>3393</v>
      </c>
      <c r="X95" s="226" t="s">
        <v>3394</v>
      </c>
      <c r="Y95" s="226" t="s">
        <v>3395</v>
      </c>
      <c r="Z95" s="372"/>
      <c r="AA95" s="376"/>
      <c r="AB95" s="372"/>
      <c r="AC95" s="372"/>
      <c r="AD95" s="372"/>
      <c r="AE95" s="372"/>
      <c r="AF95" s="372"/>
      <c r="AG95" s="372"/>
      <c r="AH95" s="372"/>
      <c r="AI95" s="372"/>
      <c r="AJ95" s="372"/>
      <c r="AK95" s="372"/>
      <c r="AL95" s="372"/>
      <c r="AM95" s="283" t="s">
        <v>3396</v>
      </c>
      <c r="AN95" s="245"/>
      <c r="AO95" s="245">
        <v>44</v>
      </c>
      <c r="AP95" s="431">
        <f>_xlfn.IFS(AG10&gt;=17,48,AG10&gt;=13,47,AG10&gt;=9,46,AG10&gt;=3,45,1,0)</f>
        <v>0</v>
      </c>
      <c r="AQ95" s="372"/>
      <c r="AR95" s="372"/>
      <c r="AS95" s="372"/>
      <c r="AT95" s="373"/>
      <c r="AU95" s="372"/>
      <c r="AV95" s="372"/>
      <c r="AW95" s="372"/>
      <c r="AX95" s="372"/>
      <c r="AY95" s="372"/>
      <c r="AZ95" s="372"/>
      <c r="BA95" s="372"/>
      <c r="BB95" s="372"/>
      <c r="BC95" s="192" t="str">
        <f t="shared" si="42"/>
        <v/>
      </c>
      <c r="BD95" s="193" t="str">
        <f t="shared" si="43"/>
        <v/>
      </c>
      <c r="BE95" s="192" t="str">
        <f t="shared" si="41"/>
        <v/>
      </c>
      <c r="BF95" s="200" t="str">
        <f t="array" ref="BF95">INDEX(BE:BE,SMALL(IF($BE$2:$BE$143&lt;&gt;"",ROW($2:$143),144),ROW(BE94)))&amp;""</f>
        <v/>
      </c>
      <c r="BG95" s="372"/>
      <c r="BH95" s="372"/>
      <c r="BI95" s="372"/>
      <c r="BJ95" s="372"/>
      <c r="BK95" s="372"/>
      <c r="BL95" s="372"/>
      <c r="BM95" s="372"/>
      <c r="BN95" s="372"/>
      <c r="BO95" s="372"/>
      <c r="BP95" s="372"/>
      <c r="BQ95" s="372"/>
      <c r="BR95" s="372"/>
      <c r="BS95" s="372"/>
      <c r="BT95" s="372"/>
      <c r="BU95" s="372"/>
      <c r="BV95" s="372"/>
      <c r="BW95" s="372"/>
      <c r="BX95" s="372"/>
      <c r="BY95" s="372"/>
      <c r="BZ95" s="372"/>
    </row>
    <row r="96" customHeight="1" spans="1:78">
      <c r="A96" s="375">
        <v>80</v>
      </c>
      <c r="B96" s="298" t="s">
        <v>3397</v>
      </c>
      <c r="C96" s="298" t="s">
        <v>3398</v>
      </c>
      <c r="D96" s="372"/>
      <c r="E96" s="372"/>
      <c r="F96" s="359" t="s">
        <v>3399</v>
      </c>
      <c r="G96" s="359" t="s">
        <v>3400</v>
      </c>
      <c r="H96" s="372"/>
      <c r="I96" s="372"/>
      <c r="J96" s="458" t="s">
        <v>3401</v>
      </c>
      <c r="K96" s="458" t="s">
        <v>3402</v>
      </c>
      <c r="L96" s="226" t="s">
        <v>3403</v>
      </c>
      <c r="M96" s="226" t="s">
        <v>3404</v>
      </c>
      <c r="N96" s="298" t="s">
        <v>3405</v>
      </c>
      <c r="O96" s="298" t="s">
        <v>3406</v>
      </c>
      <c r="P96" s="226" t="s">
        <v>3407</v>
      </c>
      <c r="Q96" s="226" t="s">
        <v>3408</v>
      </c>
      <c r="R96" s="372"/>
      <c r="S96" s="372"/>
      <c r="T96" s="372"/>
      <c r="U96" s="372"/>
      <c r="V96" s="298" t="s">
        <v>3409</v>
      </c>
      <c r="W96" s="298" t="s">
        <v>3410</v>
      </c>
      <c r="X96" s="226" t="s">
        <v>3411</v>
      </c>
      <c r="Y96" s="226" t="s">
        <v>3412</v>
      </c>
      <c r="Z96" s="372"/>
      <c r="AA96" s="376"/>
      <c r="AB96" s="372"/>
      <c r="AC96" s="372"/>
      <c r="AD96" s="372"/>
      <c r="AE96" s="372"/>
      <c r="AF96" s="372"/>
      <c r="AG96" s="372"/>
      <c r="AH96" s="372"/>
      <c r="AI96" s="372"/>
      <c r="AJ96" s="372"/>
      <c r="AK96" s="372"/>
      <c r="AL96" s="372"/>
      <c r="AM96" s="283" t="s">
        <v>3413</v>
      </c>
      <c r="AN96" s="245"/>
      <c r="AO96" s="245">
        <v>49</v>
      </c>
      <c r="AP96" s="431">
        <f>_xlfn.IFS(AG10&gt;=17,53,AG10&gt;=13,52,AG10&gt;=9,51,AG10&gt;=3,50,1,0)</f>
        <v>0</v>
      </c>
      <c r="AQ96" s="372"/>
      <c r="AR96" s="372"/>
      <c r="AS96" s="372"/>
      <c r="AT96" s="373"/>
      <c r="AU96" s="372"/>
      <c r="AV96" s="372"/>
      <c r="AW96" s="372"/>
      <c r="AX96" s="372"/>
      <c r="AY96" s="372"/>
      <c r="AZ96" s="372"/>
      <c r="BA96" s="372"/>
      <c r="BB96" s="372"/>
      <c r="BC96" s="192" t="str">
        <f t="shared" si="42"/>
        <v/>
      </c>
      <c r="BD96" s="193" t="str">
        <f t="shared" si="43"/>
        <v/>
      </c>
      <c r="BE96" s="192" t="str">
        <f t="shared" si="41"/>
        <v/>
      </c>
      <c r="BF96" s="200" t="str">
        <f t="array" ref="BF96">INDEX(BE:BE,SMALL(IF($BE$2:$BE$143&lt;&gt;"",ROW($2:$143),144),ROW(BE95)))&amp;""</f>
        <v/>
      </c>
      <c r="BG96" s="372"/>
      <c r="BH96" s="372"/>
      <c r="BI96" s="372"/>
      <c r="BJ96" s="372"/>
      <c r="BK96" s="372"/>
      <c r="BL96" s="372"/>
      <c r="BM96" s="372"/>
      <c r="BN96" s="372"/>
      <c r="BO96" s="372"/>
      <c r="BP96" s="372"/>
      <c r="BQ96" s="372"/>
      <c r="BR96" s="372"/>
      <c r="BS96" s="372"/>
      <c r="BT96" s="372"/>
      <c r="BU96" s="372"/>
      <c r="BV96" s="372"/>
      <c r="BW96" s="372"/>
      <c r="BX96" s="372"/>
      <c r="BY96" s="372"/>
      <c r="BZ96" s="372"/>
    </row>
    <row r="97" customHeight="1" spans="1:78">
      <c r="A97" s="375">
        <v>81</v>
      </c>
      <c r="B97" s="298" t="s">
        <v>3414</v>
      </c>
      <c r="C97" s="298" t="s">
        <v>3415</v>
      </c>
      <c r="D97" s="372"/>
      <c r="E97" s="372"/>
      <c r="F97" s="359" t="str">
        <f>IF(OR(BH55&lt;1,COUNTIF($BG$2:$BG$46,"神圣打击")),"神圣打击","")</f>
        <v>神圣打击</v>
      </c>
      <c r="G97" s="359" t="s">
        <v>3416</v>
      </c>
      <c r="H97" s="372"/>
      <c r="I97" s="372"/>
      <c r="J97" s="458" t="s">
        <v>3417</v>
      </c>
      <c r="K97" s="458" t="s">
        <v>3418</v>
      </c>
      <c r="L97" s="226" t="s">
        <v>3419</v>
      </c>
      <c r="M97" s="226" t="s">
        <v>3420</v>
      </c>
      <c r="N97" s="372"/>
      <c r="O97" s="372"/>
      <c r="P97" s="226" t="s">
        <v>3421</v>
      </c>
      <c r="Q97" s="226" t="s">
        <v>3422</v>
      </c>
      <c r="R97" s="372"/>
      <c r="S97" s="372"/>
      <c r="T97" s="372"/>
      <c r="U97" s="372"/>
      <c r="V97" s="359" t="s">
        <v>3423</v>
      </c>
      <c r="W97" s="359" t="s">
        <v>3424</v>
      </c>
      <c r="X97" s="372"/>
      <c r="Y97" s="372"/>
      <c r="Z97" s="372"/>
      <c r="AA97" s="376"/>
      <c r="AB97" s="372"/>
      <c r="AC97" s="372"/>
      <c r="AD97" s="372"/>
      <c r="AE97" s="372"/>
      <c r="AF97" s="372"/>
      <c r="AG97" s="372"/>
      <c r="AH97" s="372"/>
      <c r="AI97" s="372"/>
      <c r="AJ97" s="372"/>
      <c r="AK97" s="372"/>
      <c r="AL97" s="372"/>
      <c r="AM97" s="287" t="s">
        <v>3425</v>
      </c>
      <c r="AN97" s="268"/>
      <c r="AO97" s="268">
        <v>54</v>
      </c>
      <c r="AP97" s="437">
        <f>_xlfn.IFS(AG10&gt;=17,58,AG10&gt;=13,57,AG10&gt;=9,56,AG10&gt;=3,55,1,0)</f>
        <v>0</v>
      </c>
      <c r="AQ97" s="372"/>
      <c r="AR97" s="372"/>
      <c r="AS97" s="372"/>
      <c r="AT97" s="373"/>
      <c r="AU97" s="372"/>
      <c r="AV97" s="372"/>
      <c r="AW97" s="372"/>
      <c r="AX97" s="372"/>
      <c r="AY97" s="372"/>
      <c r="AZ97" s="372"/>
      <c r="BA97" s="372"/>
      <c r="BB97" s="372"/>
      <c r="BC97" s="192" t="str">
        <f t="shared" si="42"/>
        <v/>
      </c>
      <c r="BD97" s="193" t="str">
        <f t="shared" si="43"/>
        <v/>
      </c>
      <c r="BE97" s="192" t="str">
        <f t="shared" si="41"/>
        <v/>
      </c>
      <c r="BF97" s="200" t="str">
        <f t="array" ref="BF97">INDEX(BE:BE,SMALL(IF($BE$2:$BE$143&lt;&gt;"",ROW($2:$143),144),ROW(BE96)))&amp;""</f>
        <v/>
      </c>
      <c r="BG97" s="372"/>
      <c r="BH97" s="372"/>
      <c r="BI97" s="372"/>
      <c r="BJ97" s="372"/>
      <c r="BK97" s="372"/>
      <c r="BL97" s="372"/>
      <c r="BM97" s="372"/>
      <c r="BN97" s="372"/>
      <c r="BO97" s="372"/>
      <c r="BP97" s="372"/>
      <c r="BQ97" s="372"/>
      <c r="BR97" s="372"/>
      <c r="BS97" s="372"/>
      <c r="BT97" s="372"/>
      <c r="BU97" s="372"/>
      <c r="BV97" s="372"/>
      <c r="BW97" s="372"/>
      <c r="BX97" s="372"/>
      <c r="BY97" s="372"/>
      <c r="BZ97" s="372"/>
    </row>
    <row r="98" customHeight="1" spans="1:78">
      <c r="A98" s="375">
        <v>82</v>
      </c>
      <c r="B98" s="298" t="s">
        <v>3426</v>
      </c>
      <c r="C98" s="298" t="s">
        <v>3427</v>
      </c>
      <c r="D98" s="372"/>
      <c r="E98" s="372"/>
      <c r="F98" s="359" t="s">
        <v>3428</v>
      </c>
      <c r="G98" s="359" t="s">
        <v>3429</v>
      </c>
      <c r="H98" s="372"/>
      <c r="I98" s="372"/>
      <c r="J98" s="458" t="s">
        <v>3430</v>
      </c>
      <c r="K98" s="458" t="s">
        <v>3431</v>
      </c>
      <c r="L98" s="298" t="s">
        <v>3432</v>
      </c>
      <c r="M98" s="298" t="s">
        <v>3433</v>
      </c>
      <c r="N98" s="372"/>
      <c r="O98" s="372"/>
      <c r="P98" s="226" t="s">
        <v>3434</v>
      </c>
      <c r="Q98" s="226" t="s">
        <v>3435</v>
      </c>
      <c r="R98" s="372"/>
      <c r="S98" s="372"/>
      <c r="T98" s="372"/>
      <c r="U98" s="372"/>
      <c r="V98" s="359" t="s">
        <v>3436</v>
      </c>
      <c r="W98" s="359" t="s">
        <v>3437</v>
      </c>
      <c r="X98" s="372"/>
      <c r="Y98" s="372"/>
      <c r="Z98" s="372"/>
      <c r="AA98" s="376"/>
      <c r="AB98" s="372"/>
      <c r="AC98" s="372"/>
      <c r="AD98" s="372"/>
      <c r="AE98" s="372"/>
      <c r="AF98" s="372"/>
      <c r="AG98" s="372"/>
      <c r="AH98" s="372"/>
      <c r="AI98" s="372"/>
      <c r="AJ98" s="372"/>
      <c r="AK98" s="372"/>
      <c r="AL98" s="372"/>
      <c r="AM98" s="287" t="s">
        <v>3438</v>
      </c>
      <c r="AN98" s="268"/>
      <c r="AO98" s="268">
        <v>59</v>
      </c>
      <c r="AP98" s="437">
        <f>_xlfn.IFS(AG10&gt;=17,67,AG10&gt;=13,66,AG10&gt;=9,65,AG10&gt;=3,62,1,0)</f>
        <v>0</v>
      </c>
      <c r="AQ98" s="372"/>
      <c r="AR98" s="372"/>
      <c r="AS98" s="372"/>
      <c r="AT98" s="373"/>
      <c r="AU98" s="372"/>
      <c r="AV98" s="372"/>
      <c r="AW98" s="372"/>
      <c r="AX98" s="372"/>
      <c r="AY98" s="372"/>
      <c r="AZ98" s="372"/>
      <c r="BA98" s="372"/>
      <c r="BB98" s="372"/>
      <c r="BC98" s="192" t="str">
        <f t="shared" si="42"/>
        <v/>
      </c>
      <c r="BD98" s="193" t="str">
        <f t="shared" si="43"/>
        <v/>
      </c>
      <c r="BE98" s="192" t="str">
        <f t="shared" si="41"/>
        <v/>
      </c>
      <c r="BF98" s="200" t="str">
        <f t="array" ref="BF98">INDEX(BE:BE,SMALL(IF($BE$2:$BE$143&lt;&gt;"",ROW($2:$143),144),ROW(BE97)))&amp;""</f>
        <v/>
      </c>
      <c r="BG98" s="372"/>
      <c r="BH98" s="372"/>
      <c r="BI98" s="372"/>
      <c r="BJ98" s="372"/>
      <c r="BK98" s="372"/>
      <c r="BL98" s="372"/>
      <c r="BM98" s="372"/>
      <c r="BN98" s="372"/>
      <c r="BO98" s="372"/>
      <c r="BP98" s="372"/>
      <c r="BQ98" s="372"/>
      <c r="BR98" s="372"/>
      <c r="BS98" s="372"/>
      <c r="BT98" s="372"/>
      <c r="BU98" s="372"/>
      <c r="BV98" s="372"/>
      <c r="BW98" s="372"/>
      <c r="BX98" s="372"/>
      <c r="BY98" s="372"/>
      <c r="BZ98" s="372"/>
    </row>
    <row r="99" customHeight="1" spans="1:78">
      <c r="A99" s="375">
        <v>83</v>
      </c>
      <c r="B99" s="372"/>
      <c r="C99" s="372"/>
      <c r="D99" s="372"/>
      <c r="E99" s="372"/>
      <c r="F99" s="360" t="s">
        <v>3439</v>
      </c>
      <c r="G99" s="360" t="s">
        <v>3440</v>
      </c>
      <c r="H99" s="372"/>
      <c r="I99" s="372"/>
      <c r="J99" s="458" t="s">
        <v>3441</v>
      </c>
      <c r="K99" s="458" t="s">
        <v>3442</v>
      </c>
      <c r="L99" s="298" t="s">
        <v>3443</v>
      </c>
      <c r="M99" s="298" t="s">
        <v>3444</v>
      </c>
      <c r="N99" s="372"/>
      <c r="O99" s="372"/>
      <c r="P99" s="372"/>
      <c r="Q99" s="372"/>
      <c r="R99" s="372"/>
      <c r="S99" s="372"/>
      <c r="T99" s="372"/>
      <c r="U99" s="372"/>
      <c r="V99" s="359" t="s">
        <v>3445</v>
      </c>
      <c r="W99" s="359" t="s">
        <v>3446</v>
      </c>
      <c r="X99" s="372"/>
      <c r="Y99" s="372"/>
      <c r="Z99" s="372"/>
      <c r="AA99" s="376"/>
      <c r="AB99" s="372"/>
      <c r="AC99" s="372"/>
      <c r="AD99" s="372"/>
      <c r="AE99" s="372"/>
      <c r="AF99" s="372"/>
      <c r="AG99" s="372"/>
      <c r="AH99" s="372"/>
      <c r="AI99" s="372"/>
      <c r="AJ99" s="372"/>
      <c r="AK99" s="372"/>
      <c r="AL99" s="372"/>
      <c r="AM99" s="358" t="s">
        <v>1711</v>
      </c>
      <c r="AN99" s="413">
        <v>10</v>
      </c>
      <c r="AO99" s="413">
        <v>1</v>
      </c>
      <c r="AP99" s="438">
        <f>_xlfn.IFS(AG11=20,26,AG11&gt;=3,25,AG11=2,12,AG11=1,7,1,0)</f>
        <v>0</v>
      </c>
      <c r="AQ99" s="372"/>
      <c r="AR99" s="372"/>
      <c r="AS99" s="372"/>
      <c r="AT99" s="373"/>
      <c r="AU99" s="372"/>
      <c r="AV99" s="372"/>
      <c r="AW99" s="372"/>
      <c r="AX99" s="372"/>
      <c r="AY99" s="372"/>
      <c r="AZ99" s="372"/>
      <c r="BA99" s="372"/>
      <c r="BB99" s="372"/>
      <c r="BC99" s="192" t="str">
        <f t="shared" si="42"/>
        <v/>
      </c>
      <c r="BD99" s="193" t="str">
        <f t="shared" si="43"/>
        <v/>
      </c>
      <c r="BE99" s="192" t="str">
        <f t="shared" si="41"/>
        <v/>
      </c>
      <c r="BF99" s="200" t="str">
        <f t="array" ref="BF99">INDEX(BE:BE,SMALL(IF($BE$2:$BE$143&lt;&gt;"",ROW($2:$143),144),ROW(BE98)))&amp;""</f>
        <v/>
      </c>
      <c r="BG99" s="372"/>
      <c r="BH99" s="372"/>
      <c r="BI99" s="372"/>
      <c r="BJ99" s="372"/>
      <c r="BK99" s="372"/>
      <c r="BL99" s="372"/>
      <c r="BM99" s="372"/>
      <c r="BN99" s="372"/>
      <c r="BO99" s="372"/>
      <c r="BP99" s="372"/>
      <c r="BQ99" s="372"/>
      <c r="BR99" s="372"/>
      <c r="BS99" s="372"/>
      <c r="BT99" s="372"/>
      <c r="BU99" s="372"/>
      <c r="BV99" s="372"/>
      <c r="BW99" s="372"/>
      <c r="BX99" s="372"/>
      <c r="BY99" s="372"/>
      <c r="BZ99" s="372"/>
    </row>
    <row r="100" customHeight="1" spans="1:78">
      <c r="A100" s="375">
        <v>84</v>
      </c>
      <c r="B100" s="372"/>
      <c r="C100" s="372"/>
      <c r="D100" s="372"/>
      <c r="E100" s="372"/>
      <c r="F100" s="360" t="s">
        <v>3447</v>
      </c>
      <c r="G100" s="360" t="s">
        <v>3448</v>
      </c>
      <c r="H100" s="372"/>
      <c r="I100" s="372"/>
      <c r="J100" s="458" t="s">
        <v>3449</v>
      </c>
      <c r="K100" s="458" t="s">
        <v>3450</v>
      </c>
      <c r="L100" s="298" t="s">
        <v>3451</v>
      </c>
      <c r="M100" s="298" t="s">
        <v>3452</v>
      </c>
      <c r="N100" s="372"/>
      <c r="O100" s="372"/>
      <c r="P100" s="372"/>
      <c r="Q100" s="372"/>
      <c r="R100" s="372"/>
      <c r="S100" s="372"/>
      <c r="T100" s="372"/>
      <c r="U100" s="372"/>
      <c r="V100" s="359" t="s">
        <v>3453</v>
      </c>
      <c r="W100" s="359" t="s">
        <v>3454</v>
      </c>
      <c r="X100" s="372"/>
      <c r="Y100" s="372"/>
      <c r="Z100" s="372"/>
      <c r="AA100" s="376"/>
      <c r="AB100" s="372"/>
      <c r="AC100" s="372"/>
      <c r="AD100" s="372"/>
      <c r="AE100" s="372"/>
      <c r="AF100" s="372"/>
      <c r="AG100" s="372"/>
      <c r="AH100" s="372"/>
      <c r="AI100" s="372"/>
      <c r="AJ100" s="372"/>
      <c r="AK100" s="372"/>
      <c r="AL100" s="372"/>
      <c r="AM100" s="307" t="s">
        <v>1712</v>
      </c>
      <c r="AN100" s="373"/>
      <c r="AO100" s="373">
        <v>27</v>
      </c>
      <c r="AP100" s="374">
        <f>_xlfn.IFS(AG11&gt;=18,31,AG11&gt;=14,30,AG11&gt;=6,29,AG11&gt;=1,28,1,0)</f>
        <v>0</v>
      </c>
      <c r="AQ100" s="372"/>
      <c r="AR100" s="372"/>
      <c r="AS100" s="372"/>
      <c r="AT100" s="373"/>
      <c r="AU100" s="372"/>
      <c r="AV100" s="372"/>
      <c r="AW100" s="372"/>
      <c r="AX100" s="372"/>
      <c r="AY100" s="372"/>
      <c r="AZ100" s="372"/>
      <c r="BA100" s="372"/>
      <c r="BB100" s="372"/>
      <c r="BC100" s="192" t="str">
        <f t="shared" si="42"/>
        <v/>
      </c>
      <c r="BD100" s="193" t="str">
        <f t="shared" si="43"/>
        <v/>
      </c>
      <c r="BE100" s="192" t="str">
        <f t="shared" si="41"/>
        <v/>
      </c>
      <c r="BF100" s="200" t="str">
        <f t="array" ref="BF100">INDEX(BE:BE,SMALL(IF($BE$2:$BE$143&lt;&gt;"",ROW($2:$143),144),ROW(BE99)))&amp;""</f>
        <v/>
      </c>
      <c r="BG100" s="372"/>
      <c r="BH100" s="372"/>
      <c r="BI100" s="372"/>
      <c r="BJ100" s="372"/>
      <c r="BK100" s="372"/>
      <c r="BL100" s="372"/>
      <c r="BM100" s="372"/>
      <c r="BN100" s="372"/>
      <c r="BO100" s="372"/>
      <c r="BP100" s="372"/>
      <c r="BQ100" s="372"/>
      <c r="BR100" s="372"/>
      <c r="BS100" s="372"/>
      <c r="BT100" s="372"/>
      <c r="BU100" s="372"/>
      <c r="BV100" s="372"/>
      <c r="BW100" s="372"/>
      <c r="BX100" s="372"/>
      <c r="BY100" s="372"/>
      <c r="BZ100" s="372"/>
    </row>
    <row r="101" customHeight="1" spans="1:78">
      <c r="A101" s="375">
        <v>85</v>
      </c>
      <c r="B101" s="372"/>
      <c r="C101" s="372"/>
      <c r="D101" s="372"/>
      <c r="E101" s="372"/>
      <c r="F101" s="360" t="s">
        <v>3455</v>
      </c>
      <c r="G101" s="360" t="s">
        <v>3456</v>
      </c>
      <c r="H101" s="372"/>
      <c r="I101" s="372"/>
      <c r="J101" s="458" t="s">
        <v>3457</v>
      </c>
      <c r="K101" s="458" t="s">
        <v>3458</v>
      </c>
      <c r="L101" s="298" t="s">
        <v>3459</v>
      </c>
      <c r="M101" s="298" t="s">
        <v>3460</v>
      </c>
      <c r="N101" s="372"/>
      <c r="O101" s="372"/>
      <c r="P101" s="372"/>
      <c r="Q101" s="372"/>
      <c r="R101" s="372"/>
      <c r="S101" s="372"/>
      <c r="T101" s="372"/>
      <c r="U101" s="372"/>
      <c r="V101" s="359" t="s">
        <v>3461</v>
      </c>
      <c r="W101" s="359" t="s">
        <v>3462</v>
      </c>
      <c r="X101" s="372"/>
      <c r="Y101" s="372"/>
      <c r="Z101" s="372"/>
      <c r="AA101" s="376"/>
      <c r="AB101" s="372"/>
      <c r="AC101" s="372"/>
      <c r="AD101" s="372"/>
      <c r="AE101" s="372"/>
      <c r="AF101" s="372"/>
      <c r="AG101" s="372"/>
      <c r="AH101" s="372"/>
      <c r="AI101" s="372"/>
      <c r="AJ101" s="372"/>
      <c r="AK101" s="372"/>
      <c r="AL101" s="372"/>
      <c r="AM101" s="307" t="s">
        <v>1713</v>
      </c>
      <c r="AN101" s="373"/>
      <c r="AO101" s="373">
        <v>32</v>
      </c>
      <c r="AP101" s="374">
        <f>_xlfn.IFS(AG11&gt;=18,36,AG11&gt;=14,35,AG11&gt;=6,34,AG11&gt;=1,33,1,0)</f>
        <v>0</v>
      </c>
      <c r="AQ101" s="372"/>
      <c r="AR101" s="372"/>
      <c r="AS101" s="372"/>
      <c r="AT101" s="373"/>
      <c r="AU101" s="372"/>
      <c r="AV101" s="372"/>
      <c r="AW101" s="372"/>
      <c r="AX101" s="372"/>
      <c r="AY101" s="372"/>
      <c r="AZ101" s="372"/>
      <c r="BA101" s="372"/>
      <c r="BB101" s="372"/>
      <c r="BC101" s="192" t="str">
        <f t="shared" si="42"/>
        <v/>
      </c>
      <c r="BD101" s="193" t="str">
        <f t="shared" si="43"/>
        <v/>
      </c>
      <c r="BE101" s="192" t="str">
        <f t="shared" si="41"/>
        <v/>
      </c>
      <c r="BF101" s="200" t="str">
        <f t="array" ref="BF101">INDEX(BE:BE,SMALL(IF($BE$2:$BE$143&lt;&gt;"",ROW($2:$143),144),ROW(BE100)))&amp;""</f>
        <v/>
      </c>
      <c r="BG101" s="372"/>
      <c r="BH101" s="372"/>
      <c r="BI101" s="372"/>
      <c r="BJ101" s="372"/>
      <c r="BK101" s="372"/>
      <c r="BL101" s="372"/>
      <c r="BM101" s="372"/>
      <c r="BN101" s="372"/>
      <c r="BO101" s="372"/>
      <c r="BP101" s="372"/>
      <c r="BQ101" s="372"/>
      <c r="BR101" s="372"/>
      <c r="BS101" s="372"/>
      <c r="BT101" s="372"/>
      <c r="BU101" s="372"/>
      <c r="BV101" s="372"/>
      <c r="BW101" s="372"/>
      <c r="BX101" s="372"/>
      <c r="BY101" s="372"/>
      <c r="BZ101" s="372"/>
    </row>
    <row r="102" customHeight="1" spans="1:78">
      <c r="A102" s="375">
        <v>86</v>
      </c>
      <c r="B102" s="372"/>
      <c r="C102" s="372"/>
      <c r="D102" s="372"/>
      <c r="E102" s="372"/>
      <c r="F102" s="479" t="s">
        <v>3463</v>
      </c>
      <c r="G102" s="479" t="s">
        <v>3464</v>
      </c>
      <c r="H102" s="372"/>
      <c r="I102" s="372"/>
      <c r="J102" s="297" t="s">
        <v>3384</v>
      </c>
      <c r="K102" s="297" t="s">
        <v>3465</v>
      </c>
      <c r="L102" s="359" t="s">
        <v>3466</v>
      </c>
      <c r="M102" s="359" t="s">
        <v>3467</v>
      </c>
      <c r="N102" s="372"/>
      <c r="O102" s="372"/>
      <c r="P102" s="372"/>
      <c r="Q102" s="372"/>
      <c r="R102" s="372"/>
      <c r="S102" s="372"/>
      <c r="T102" s="372"/>
      <c r="U102" s="372"/>
      <c r="V102" s="360" t="s">
        <v>3468</v>
      </c>
      <c r="W102" s="360" t="s">
        <v>3469</v>
      </c>
      <c r="X102" s="372"/>
      <c r="Y102" s="372"/>
      <c r="Z102" s="372"/>
      <c r="AA102" s="376"/>
      <c r="AB102" s="372"/>
      <c r="AC102" s="372"/>
      <c r="AD102" s="372"/>
      <c r="AE102" s="372"/>
      <c r="AF102" s="372"/>
      <c r="AG102" s="372"/>
      <c r="AH102" s="372"/>
      <c r="AI102" s="372"/>
      <c r="AJ102" s="372"/>
      <c r="AK102" s="372"/>
      <c r="AL102" s="372"/>
      <c r="AM102" s="283" t="s">
        <v>3470</v>
      </c>
      <c r="AN102" s="245"/>
      <c r="AO102" s="245">
        <v>37</v>
      </c>
      <c r="AP102" s="431">
        <f>_xlfn.IFS(AG11&gt;=18,41,AG11&gt;=14,40,AG11&gt;=6,39,AG11&gt;=1,38,1,0)</f>
        <v>0</v>
      </c>
      <c r="AQ102" s="372"/>
      <c r="AR102" s="372"/>
      <c r="AS102" s="372"/>
      <c r="AT102" s="373"/>
      <c r="AU102" s="372"/>
      <c r="AV102" s="372"/>
      <c r="AW102" s="372"/>
      <c r="AX102" s="372"/>
      <c r="AY102" s="372"/>
      <c r="AZ102" s="372"/>
      <c r="BA102" s="372"/>
      <c r="BB102" s="372"/>
      <c r="BC102" s="192" t="str">
        <f t="shared" si="42"/>
        <v/>
      </c>
      <c r="BD102" s="193" t="str">
        <f t="shared" si="43"/>
        <v/>
      </c>
      <c r="BE102" s="192" t="str">
        <f t="shared" si="41"/>
        <v/>
      </c>
      <c r="BF102" s="200" t="str">
        <f t="array" ref="BF102">INDEX(BE:BE,SMALL(IF($BE$2:$BE$143&lt;&gt;"",ROW($2:$143),144),ROW(BE101)))&amp;""</f>
        <v/>
      </c>
      <c r="BG102" s="372"/>
      <c r="BH102" s="372"/>
      <c r="BI102" s="372"/>
      <c r="BJ102" s="372"/>
      <c r="BK102" s="372"/>
      <c r="BL102" s="372"/>
      <c r="BM102" s="372"/>
      <c r="BN102" s="372"/>
      <c r="BO102" s="372"/>
      <c r="BP102" s="372"/>
      <c r="BQ102" s="372"/>
      <c r="BR102" s="372"/>
      <c r="BS102" s="372"/>
      <c r="BT102" s="372"/>
      <c r="BU102" s="372"/>
      <c r="BV102" s="372"/>
      <c r="BW102" s="372"/>
      <c r="BX102" s="372"/>
      <c r="BY102" s="372"/>
      <c r="BZ102" s="372"/>
    </row>
    <row r="103" customHeight="1" spans="1:78">
      <c r="A103" s="375">
        <v>87</v>
      </c>
      <c r="B103" s="372"/>
      <c r="C103" s="372"/>
      <c r="D103" s="372"/>
      <c r="E103" s="372"/>
      <c r="F103" s="360" t="s">
        <v>3471</v>
      </c>
      <c r="G103" s="360" t="s">
        <v>3472</v>
      </c>
      <c r="H103" s="372"/>
      <c r="I103" s="372"/>
      <c r="J103" s="297" t="s">
        <v>3473</v>
      </c>
      <c r="K103" s="297" t="s">
        <v>3474</v>
      </c>
      <c r="L103" s="359" t="s">
        <v>3475</v>
      </c>
      <c r="M103" s="359" t="s">
        <v>3476</v>
      </c>
      <c r="N103" s="372"/>
      <c r="O103" s="372"/>
      <c r="P103" s="372"/>
      <c r="Q103" s="372"/>
      <c r="R103" s="372"/>
      <c r="S103" s="372"/>
      <c r="T103" s="372"/>
      <c r="U103" s="372"/>
      <c r="V103" s="360" t="s">
        <v>3477</v>
      </c>
      <c r="W103" s="360" t="s">
        <v>3478</v>
      </c>
      <c r="X103" s="372"/>
      <c r="Y103" s="372"/>
      <c r="Z103" s="372"/>
      <c r="AA103" s="376"/>
      <c r="AB103" s="372"/>
      <c r="AC103" s="372"/>
      <c r="AD103" s="372"/>
      <c r="AE103" s="372"/>
      <c r="AF103" s="372"/>
      <c r="AG103" s="372"/>
      <c r="AH103" s="372"/>
      <c r="AI103" s="372"/>
      <c r="AJ103" s="372"/>
      <c r="AK103" s="372"/>
      <c r="AL103" s="372"/>
      <c r="AM103" s="283" t="s">
        <v>3479</v>
      </c>
      <c r="AN103" s="245"/>
      <c r="AO103" s="245">
        <v>42</v>
      </c>
      <c r="AP103" s="431">
        <f>_xlfn.IFS(AG11&gt;=18,46,AG11&gt;=14,45,AG11&gt;=6,44,AG11&gt;=1,43,1,0)</f>
        <v>0</v>
      </c>
      <c r="AQ103" s="372"/>
      <c r="AR103" s="372"/>
      <c r="AS103" s="372"/>
      <c r="AT103" s="372"/>
      <c r="AU103" s="372"/>
      <c r="AV103" s="372"/>
      <c r="AW103" s="372"/>
      <c r="AX103" s="372"/>
      <c r="AY103" s="372"/>
      <c r="AZ103" s="372"/>
      <c r="BA103" s="372"/>
      <c r="BB103" s="372"/>
      <c r="BC103" s="192" t="str">
        <f t="shared" si="42"/>
        <v/>
      </c>
      <c r="BD103" s="193" t="str">
        <f t="shared" si="43"/>
        <v/>
      </c>
      <c r="BE103" s="192" t="str">
        <f t="shared" si="41"/>
        <v/>
      </c>
      <c r="BF103" s="200" t="str">
        <f t="array" ref="BF103">INDEX(BE:BE,SMALL(IF($BE$2:$BE$143&lt;&gt;"",ROW($2:$143),144),ROW(BE102)))&amp;""</f>
        <v/>
      </c>
      <c r="BG103" s="372"/>
      <c r="BH103" s="372"/>
      <c r="BI103" s="372"/>
      <c r="BJ103" s="372"/>
      <c r="BK103" s="372"/>
      <c r="BL103" s="372"/>
      <c r="BM103" s="372"/>
      <c r="BN103" s="372"/>
      <c r="BO103" s="372"/>
      <c r="BP103" s="372"/>
      <c r="BQ103" s="372"/>
      <c r="BR103" s="372"/>
      <c r="BS103" s="372"/>
      <c r="BT103" s="372"/>
      <c r="BU103" s="372"/>
      <c r="BV103" s="372"/>
      <c r="BW103" s="372"/>
      <c r="BX103" s="372"/>
      <c r="BY103" s="372"/>
      <c r="BZ103" s="372"/>
    </row>
    <row r="104" customHeight="1" spans="1:78">
      <c r="A104" s="375">
        <v>88</v>
      </c>
      <c r="B104" s="372"/>
      <c r="C104" s="372"/>
      <c r="D104" s="372"/>
      <c r="E104" s="372"/>
      <c r="F104" s="360" t="str">
        <f>IF(OR(BH55&lt;1,COUNTIF($BG$2:$BG$46,"强力施法")),"强力施法","")</f>
        <v>强力施法</v>
      </c>
      <c r="G104" s="360" t="s">
        <v>3480</v>
      </c>
      <c r="H104" s="372"/>
      <c r="I104" s="372"/>
      <c r="J104" s="297" t="s">
        <v>3481</v>
      </c>
      <c r="K104" s="297" t="s">
        <v>3482</v>
      </c>
      <c r="L104" s="359" t="s">
        <v>3483</v>
      </c>
      <c r="M104" s="359" t="s">
        <v>3484</v>
      </c>
      <c r="N104" s="372"/>
      <c r="O104" s="372"/>
      <c r="P104" s="372"/>
      <c r="Q104" s="372"/>
      <c r="R104" s="372"/>
      <c r="S104" s="372"/>
      <c r="T104" s="372"/>
      <c r="U104" s="372"/>
      <c r="V104" s="360" t="s">
        <v>3485</v>
      </c>
      <c r="W104" s="360" t="s">
        <v>3486</v>
      </c>
      <c r="X104" s="372"/>
      <c r="Y104" s="372"/>
      <c r="Z104" s="372"/>
      <c r="AA104" s="376"/>
      <c r="AB104" s="372"/>
      <c r="AC104" s="372"/>
      <c r="AD104" s="372"/>
      <c r="AE104" s="372"/>
      <c r="AF104" s="372"/>
      <c r="AG104" s="372"/>
      <c r="AH104" s="372"/>
      <c r="AI104" s="372"/>
      <c r="AJ104" s="372"/>
      <c r="AK104" s="372"/>
      <c r="AL104" s="372"/>
      <c r="AM104" s="283" t="s">
        <v>3487</v>
      </c>
      <c r="AN104" s="245"/>
      <c r="AO104" s="245">
        <v>47</v>
      </c>
      <c r="AP104" s="431">
        <f>_xlfn.IFS(AG11&gt;=18,52,AG11&gt;=14,51,AG11&gt;=6,50,AG11&gt;=1,48,1,0)</f>
        <v>0</v>
      </c>
      <c r="AQ104" s="372"/>
      <c r="AR104" s="372"/>
      <c r="AS104" s="372"/>
      <c r="AT104" s="372"/>
      <c r="AU104" s="372"/>
      <c r="AV104" s="372"/>
      <c r="AW104" s="372"/>
      <c r="AX104" s="372"/>
      <c r="AY104" s="372"/>
      <c r="AZ104" s="372"/>
      <c r="BA104" s="372"/>
      <c r="BB104" s="372"/>
      <c r="BC104" s="192" t="str">
        <f t="shared" si="42"/>
        <v/>
      </c>
      <c r="BD104" s="193" t="str">
        <f t="shared" si="43"/>
        <v/>
      </c>
      <c r="BE104" s="192" t="str">
        <f t="shared" si="41"/>
        <v/>
      </c>
      <c r="BF104" s="200" t="str">
        <f t="array" ref="BF104">INDEX(BE:BE,SMALL(IF($BE$2:$BE$143&lt;&gt;"",ROW($2:$143),144),ROW(BE103)))&amp;""</f>
        <v/>
      </c>
      <c r="BG104" s="372"/>
      <c r="BH104" s="372"/>
      <c r="BI104" s="372"/>
      <c r="BJ104" s="372"/>
      <c r="BK104" s="372"/>
      <c r="BL104" s="372"/>
      <c r="BM104" s="372"/>
      <c r="BN104" s="372"/>
      <c r="BO104" s="372"/>
      <c r="BP104" s="372"/>
      <c r="BQ104" s="372"/>
      <c r="BR104" s="372"/>
      <c r="BS104" s="372"/>
      <c r="BT104" s="372"/>
      <c r="BU104" s="372"/>
      <c r="BV104" s="372"/>
      <c r="BW104" s="372"/>
      <c r="BX104" s="372"/>
      <c r="BY104" s="372"/>
      <c r="BZ104" s="372"/>
    </row>
    <row r="105" customHeight="1" spans="1:78">
      <c r="A105" s="375">
        <v>89</v>
      </c>
      <c r="B105" s="372"/>
      <c r="C105" s="372"/>
      <c r="D105" s="372"/>
      <c r="E105" s="372"/>
      <c r="F105" s="360" t="s">
        <v>3488</v>
      </c>
      <c r="G105" s="360" t="s">
        <v>3489</v>
      </c>
      <c r="H105" s="372"/>
      <c r="I105" s="372"/>
      <c r="J105" s="297" t="s">
        <v>3490</v>
      </c>
      <c r="K105" s="297" t="s">
        <v>3491</v>
      </c>
      <c r="L105" s="359" t="s">
        <v>3492</v>
      </c>
      <c r="M105" s="359" t="s">
        <v>3493</v>
      </c>
      <c r="N105" s="372"/>
      <c r="O105" s="372"/>
      <c r="P105" s="372"/>
      <c r="Q105" s="372"/>
      <c r="R105" s="372"/>
      <c r="S105" s="372"/>
      <c r="T105" s="372"/>
      <c r="U105" s="372"/>
      <c r="V105" s="360" t="s">
        <v>3494</v>
      </c>
      <c r="W105" s="360" t="s">
        <v>3495</v>
      </c>
      <c r="X105" s="372"/>
      <c r="Y105" s="372"/>
      <c r="Z105" s="372"/>
      <c r="AA105" s="376"/>
      <c r="AB105" s="372"/>
      <c r="AC105" s="372"/>
      <c r="AD105" s="372"/>
      <c r="AE105" s="372"/>
      <c r="AF105" s="372"/>
      <c r="AG105" s="372"/>
      <c r="AH105" s="372"/>
      <c r="AI105" s="372"/>
      <c r="AJ105" s="372"/>
      <c r="AK105" s="372"/>
      <c r="AL105" s="372"/>
      <c r="AM105" s="287" t="s">
        <v>3496</v>
      </c>
      <c r="AN105" s="268"/>
      <c r="AO105" s="268">
        <v>53</v>
      </c>
      <c r="AP105" s="437">
        <f>_xlfn.IFS(AG11&gt;=18,58,AG11&gt;=14,57,AG11&gt;=6,56,AG11&gt;=1,54,1,0)</f>
        <v>0</v>
      </c>
      <c r="AQ105" s="372"/>
      <c r="AR105" s="372"/>
      <c r="AS105" s="372"/>
      <c r="AT105" s="372"/>
      <c r="AU105" s="372"/>
      <c r="AV105" s="372"/>
      <c r="AW105" s="372"/>
      <c r="AX105" s="372"/>
      <c r="AY105" s="372"/>
      <c r="AZ105" s="372"/>
      <c r="BA105" s="372"/>
      <c r="BB105" s="372"/>
      <c r="BC105" s="192" t="str">
        <f t="shared" si="42"/>
        <v/>
      </c>
      <c r="BD105" s="193" t="str">
        <f t="shared" si="43"/>
        <v/>
      </c>
      <c r="BE105" s="192" t="str">
        <f t="shared" si="41"/>
        <v/>
      </c>
      <c r="BF105" s="200" t="str">
        <f t="array" ref="BF105">INDEX(BE:BE,SMALL(IF($BE$2:$BE$143&lt;&gt;"",ROW($2:$143),144),ROW(BE104)))&amp;""</f>
        <v/>
      </c>
      <c r="BG105" s="372"/>
      <c r="BH105" s="372"/>
      <c r="BI105" s="372"/>
      <c r="BJ105" s="372"/>
      <c r="BK105" s="372"/>
      <c r="BL105" s="372"/>
      <c r="BM105" s="372"/>
      <c r="BN105" s="372"/>
      <c r="BO105" s="372"/>
      <c r="BP105" s="372"/>
      <c r="BQ105" s="372"/>
      <c r="BR105" s="372"/>
      <c r="BS105" s="372"/>
      <c r="BT105" s="372"/>
      <c r="BU105" s="372"/>
      <c r="BV105" s="372"/>
      <c r="BW105" s="372"/>
      <c r="BX105" s="372"/>
      <c r="BY105" s="372"/>
      <c r="BZ105" s="372"/>
    </row>
    <row r="106" customHeight="1" spans="1:78">
      <c r="A106" s="375">
        <v>90</v>
      </c>
      <c r="B106" s="372"/>
      <c r="C106" s="372"/>
      <c r="D106" s="372"/>
      <c r="E106" s="372"/>
      <c r="F106" s="458" t="s">
        <v>3497</v>
      </c>
      <c r="G106" s="458" t="s">
        <v>3498</v>
      </c>
      <c r="H106" s="372"/>
      <c r="I106" s="372"/>
      <c r="J106" s="297" t="s">
        <v>3499</v>
      </c>
      <c r="K106" s="297" t="s">
        <v>3500</v>
      </c>
      <c r="L106" s="359" t="s">
        <v>3501</v>
      </c>
      <c r="M106" s="359" t="s">
        <v>3502</v>
      </c>
      <c r="N106" s="372"/>
      <c r="O106" s="372"/>
      <c r="P106" s="372"/>
      <c r="Q106" s="372"/>
      <c r="R106" s="372"/>
      <c r="S106" s="372"/>
      <c r="T106" s="372"/>
      <c r="U106" s="372"/>
      <c r="V106" s="360" t="s">
        <v>3503</v>
      </c>
      <c r="W106" s="360" t="s">
        <v>3504</v>
      </c>
      <c r="X106" s="372"/>
      <c r="Y106" s="372"/>
      <c r="Z106" s="372"/>
      <c r="AA106" s="376"/>
      <c r="AB106" s="372"/>
      <c r="AC106" s="372"/>
      <c r="AD106" s="372"/>
      <c r="AE106" s="372"/>
      <c r="AF106" s="372"/>
      <c r="AG106" s="372"/>
      <c r="AH106" s="372"/>
      <c r="AI106" s="372"/>
      <c r="AJ106" s="372"/>
      <c r="AK106" s="372"/>
      <c r="AL106" s="372"/>
      <c r="AM106" s="287" t="s">
        <v>3505</v>
      </c>
      <c r="AN106" s="268"/>
      <c r="AO106" s="268">
        <v>59</v>
      </c>
      <c r="AP106" s="437">
        <f>_xlfn.IFS(AG11&gt;=18,63,AG11&gt;=14,62,AG11&gt;=6,61,AG11&gt;=1,60,1,0)</f>
        <v>0</v>
      </c>
      <c r="AQ106" s="372"/>
      <c r="AR106" s="372"/>
      <c r="AS106" s="372"/>
      <c r="AT106" s="372"/>
      <c r="AU106" s="372"/>
      <c r="AV106" s="372"/>
      <c r="AW106" s="372"/>
      <c r="AX106" s="372"/>
      <c r="AY106" s="372"/>
      <c r="AZ106" s="372"/>
      <c r="BA106" s="372"/>
      <c r="BB106" s="372"/>
      <c r="BC106" s="192" t="str">
        <f t="shared" si="42"/>
        <v/>
      </c>
      <c r="BD106" s="193" t="str">
        <f t="shared" si="43"/>
        <v/>
      </c>
      <c r="BE106" s="192" t="str">
        <f t="shared" si="41"/>
        <v/>
      </c>
      <c r="BF106" s="200" t="str">
        <f t="array" ref="BF106">INDEX(BE:BE,SMALL(IF($BE$2:$BE$143&lt;&gt;"",ROW($2:$143),144),ROW(BE105)))&amp;""</f>
        <v/>
      </c>
      <c r="BG106" s="372"/>
      <c r="BH106" s="372"/>
      <c r="BI106" s="372"/>
      <c r="BJ106" s="372"/>
      <c r="BK106" s="372"/>
      <c r="BL106" s="372"/>
      <c r="BM106" s="372"/>
      <c r="BN106" s="372"/>
      <c r="BO106" s="372"/>
      <c r="BP106" s="372"/>
      <c r="BQ106" s="372"/>
      <c r="BR106" s="372"/>
      <c r="BS106" s="372"/>
      <c r="BT106" s="372"/>
      <c r="BU106" s="372"/>
      <c r="BV106" s="372"/>
      <c r="BW106" s="372"/>
      <c r="BX106" s="372"/>
      <c r="BY106" s="372"/>
      <c r="BZ106" s="372"/>
    </row>
    <row r="107" customHeight="1" spans="1:78">
      <c r="A107" s="375">
        <v>91</v>
      </c>
      <c r="B107" s="372"/>
      <c r="C107" s="372"/>
      <c r="D107" s="372"/>
      <c r="E107" s="372"/>
      <c r="F107" s="458" t="s">
        <v>2229</v>
      </c>
      <c r="G107" s="458" t="s">
        <v>3506</v>
      </c>
      <c r="H107" s="372"/>
      <c r="I107" s="372"/>
      <c r="J107" s="297" t="s">
        <v>3507</v>
      </c>
      <c r="K107" s="297" t="s">
        <v>3508</v>
      </c>
      <c r="L107" s="359" t="s">
        <v>3509</v>
      </c>
      <c r="M107" s="359" t="s">
        <v>3510</v>
      </c>
      <c r="N107" s="372"/>
      <c r="O107" s="372"/>
      <c r="P107" s="372"/>
      <c r="Q107" s="372"/>
      <c r="R107" s="372"/>
      <c r="S107" s="372"/>
      <c r="T107" s="372"/>
      <c r="U107" s="372"/>
      <c r="V107" s="458" t="s">
        <v>3511</v>
      </c>
      <c r="W107" s="458" t="s">
        <v>3512</v>
      </c>
      <c r="X107" s="372"/>
      <c r="Y107" s="372"/>
      <c r="Z107" s="372"/>
      <c r="AA107" s="376"/>
      <c r="AB107" s="372"/>
      <c r="AC107" s="372"/>
      <c r="AD107" s="372"/>
      <c r="AE107" s="372"/>
      <c r="AF107" s="372"/>
      <c r="AG107" s="372"/>
      <c r="AH107" s="372"/>
      <c r="AI107" s="372"/>
      <c r="AJ107" s="372"/>
      <c r="AK107" s="372"/>
      <c r="AL107" s="372"/>
      <c r="AM107" s="358" t="s">
        <v>1720</v>
      </c>
      <c r="AN107" s="413">
        <v>11</v>
      </c>
      <c r="AO107" s="413">
        <v>1</v>
      </c>
      <c r="AP107" s="438">
        <f>_xlfn.IFS(AG12=20,70,AG12&gt;=15,69,AG12&gt;=12,64,AG12=11,62,AG12&gt;=9,61,AG12&gt;=7,56,AG12&gt;=5,49,AG12=4,38,AG12=3,37,AG12=2,25,AG12=1,7,1,0)</f>
        <v>0</v>
      </c>
      <c r="AQ107" s="372"/>
      <c r="AR107" s="372"/>
      <c r="AS107" s="372"/>
      <c r="AT107" s="372"/>
      <c r="AU107" s="372"/>
      <c r="AV107" s="372"/>
      <c r="AW107" s="372"/>
      <c r="AX107" s="372"/>
      <c r="AY107" s="372"/>
      <c r="AZ107" s="372"/>
      <c r="BA107" s="372"/>
      <c r="BB107" s="372"/>
      <c r="BC107" s="192" t="str">
        <f t="shared" si="42"/>
        <v/>
      </c>
      <c r="BD107" s="193" t="str">
        <f t="shared" si="43"/>
        <v/>
      </c>
      <c r="BE107" s="192" t="str">
        <f t="shared" si="41"/>
        <v/>
      </c>
      <c r="BF107" s="200" t="str">
        <f t="array" ref="BF107">INDEX(BE:BE,SMALL(IF($BE$2:$BE$143&lt;&gt;"",ROW($2:$143),144),ROW(BE106)))&amp;""</f>
        <v/>
      </c>
      <c r="BG107" s="372"/>
      <c r="BH107" s="372"/>
      <c r="BI107" s="372"/>
      <c r="BJ107" s="372"/>
      <c r="BK107" s="372"/>
      <c r="BL107" s="372"/>
      <c r="BM107" s="372"/>
      <c r="BN107" s="372"/>
      <c r="BO107" s="372"/>
      <c r="BP107" s="372"/>
      <c r="BQ107" s="372"/>
      <c r="BR107" s="372"/>
      <c r="BS107" s="372"/>
      <c r="BT107" s="372"/>
      <c r="BU107" s="372"/>
      <c r="BV107" s="372"/>
      <c r="BW107" s="372"/>
      <c r="BX107" s="372"/>
      <c r="BY107" s="372"/>
      <c r="BZ107" s="372"/>
    </row>
    <row r="108" customHeight="1" spans="1:78">
      <c r="A108" s="375">
        <v>92</v>
      </c>
      <c r="B108" s="372"/>
      <c r="C108" s="372"/>
      <c r="D108" s="372"/>
      <c r="E108" s="372"/>
      <c r="F108" s="458" t="s">
        <v>3513</v>
      </c>
      <c r="G108" s="458" t="s">
        <v>3514</v>
      </c>
      <c r="H108" s="372"/>
      <c r="I108" s="372"/>
      <c r="J108" s="226" t="s">
        <v>3515</v>
      </c>
      <c r="K108" s="226" t="s">
        <v>3516</v>
      </c>
      <c r="L108" s="359" t="s">
        <v>3517</v>
      </c>
      <c r="M108" s="359" t="s">
        <v>3518</v>
      </c>
      <c r="N108" s="372"/>
      <c r="O108" s="372"/>
      <c r="P108" s="372"/>
      <c r="Q108" s="372"/>
      <c r="R108" s="372"/>
      <c r="S108" s="372"/>
      <c r="T108" s="372"/>
      <c r="U108" s="372"/>
      <c r="V108" s="458" t="s">
        <v>3519</v>
      </c>
      <c r="W108" s="458" t="s">
        <v>3520</v>
      </c>
      <c r="X108" s="372"/>
      <c r="Y108" s="372"/>
      <c r="Z108" s="372"/>
      <c r="AA108" s="376"/>
      <c r="AB108" s="372"/>
      <c r="AC108" s="372"/>
      <c r="AD108" s="372"/>
      <c r="AE108" s="372"/>
      <c r="AF108" s="372"/>
      <c r="AG108" s="372"/>
      <c r="AH108" s="372"/>
      <c r="AI108" s="372"/>
      <c r="AJ108" s="372"/>
      <c r="AK108" s="372"/>
      <c r="AL108" s="372"/>
      <c r="AM108" s="307" t="s">
        <v>1721</v>
      </c>
      <c r="AN108" s="373"/>
      <c r="AO108" s="373">
        <v>71</v>
      </c>
      <c r="AP108" s="374">
        <f>_xlfn.IFS(AG12&gt;=14,75,AG12&gt;=10,74,AG12&gt;=6,73,AG12&gt;=1,72,1,0)</f>
        <v>0</v>
      </c>
      <c r="AQ108" s="372"/>
      <c r="AR108" s="372"/>
      <c r="AS108" s="372"/>
      <c r="AT108" s="372"/>
      <c r="AU108" s="372"/>
      <c r="AV108" s="372"/>
      <c r="AW108" s="372"/>
      <c r="AX108" s="372"/>
      <c r="AY108" s="372"/>
      <c r="AZ108" s="372"/>
      <c r="BA108" s="372"/>
      <c r="BB108" s="372"/>
      <c r="BC108" s="192" t="str">
        <f t="shared" si="42"/>
        <v/>
      </c>
      <c r="BD108" s="193" t="str">
        <f t="shared" si="43"/>
        <v/>
      </c>
      <c r="BE108" s="192" t="str">
        <f t="shared" si="41"/>
        <v/>
      </c>
      <c r="BF108" s="200" t="str">
        <f t="array" ref="BF108">INDEX(BE:BE,SMALL(IF($BE$2:$BE$143&lt;&gt;"",ROW($2:$143),144),ROW(BE107)))&amp;""</f>
        <v/>
      </c>
      <c r="BG108" s="372"/>
      <c r="BH108" s="372"/>
      <c r="BI108" s="372"/>
      <c r="BJ108" s="372"/>
      <c r="BK108" s="372"/>
      <c r="BL108" s="372"/>
      <c r="BM108" s="372"/>
      <c r="BN108" s="372"/>
      <c r="BO108" s="372"/>
      <c r="BP108" s="372"/>
      <c r="BQ108" s="372"/>
      <c r="BR108" s="372"/>
      <c r="BS108" s="372"/>
      <c r="BT108" s="372"/>
      <c r="BU108" s="372"/>
      <c r="BV108" s="372"/>
      <c r="BW108" s="372"/>
      <c r="BX108" s="372"/>
      <c r="BY108" s="372"/>
      <c r="BZ108" s="372"/>
    </row>
    <row r="109" customHeight="1" spans="1:78">
      <c r="A109" s="375">
        <v>93</v>
      </c>
      <c r="B109" s="372"/>
      <c r="C109" s="372"/>
      <c r="D109" s="372"/>
      <c r="E109" s="372"/>
      <c r="F109" s="482" t="s">
        <v>3521</v>
      </c>
      <c r="G109" s="482" t="s">
        <v>3522</v>
      </c>
      <c r="H109" s="372"/>
      <c r="I109" s="372"/>
      <c r="J109" s="226" t="s">
        <v>3523</v>
      </c>
      <c r="K109" s="226" t="s">
        <v>3524</v>
      </c>
      <c r="L109" s="359" t="s">
        <v>3525</v>
      </c>
      <c r="M109" s="359" t="s">
        <v>3526</v>
      </c>
      <c r="N109" s="372"/>
      <c r="O109" s="372"/>
      <c r="P109" s="372"/>
      <c r="Q109" s="372"/>
      <c r="R109" s="372"/>
      <c r="S109" s="372"/>
      <c r="T109" s="372"/>
      <c r="U109" s="372"/>
      <c r="V109" s="458" t="s">
        <v>3527</v>
      </c>
      <c r="W109" s="458" t="s">
        <v>3528</v>
      </c>
      <c r="X109" s="372"/>
      <c r="Y109" s="372"/>
      <c r="Z109" s="372"/>
      <c r="AA109" s="376"/>
      <c r="AB109" s="372"/>
      <c r="AC109" s="372"/>
      <c r="AD109" s="372"/>
      <c r="AE109" s="372"/>
      <c r="AF109" s="372"/>
      <c r="AG109" s="372"/>
      <c r="AH109" s="372"/>
      <c r="AI109" s="372"/>
      <c r="AJ109" s="372"/>
      <c r="AK109" s="372"/>
      <c r="AL109" s="372"/>
      <c r="AM109" s="307" t="s">
        <v>349</v>
      </c>
      <c r="AN109" s="373"/>
      <c r="AO109" s="373">
        <v>76</v>
      </c>
      <c r="AP109" s="374">
        <f>_xlfn.IFS(AG12&gt;=14,80,AG12&gt;=10,79,AG12&gt;=6,78,AG12&gt;=1,77,1,0)</f>
        <v>0</v>
      </c>
      <c r="AQ109" s="372"/>
      <c r="AR109" s="372"/>
      <c r="AS109" s="372"/>
      <c r="AT109" s="372"/>
      <c r="AU109" s="372"/>
      <c r="AV109" s="372"/>
      <c r="AW109" s="372"/>
      <c r="AX109" s="372"/>
      <c r="AY109" s="372"/>
      <c r="AZ109" s="372"/>
      <c r="BA109" s="372"/>
      <c r="BB109" s="372"/>
      <c r="BC109" s="192" t="str">
        <f t="shared" si="42"/>
        <v/>
      </c>
      <c r="BD109" s="193" t="str">
        <f t="shared" si="43"/>
        <v/>
      </c>
      <c r="BE109" s="192" t="str">
        <f t="shared" si="41"/>
        <v/>
      </c>
      <c r="BF109" s="200" t="str">
        <f t="array" ref="BF109">INDEX(BE:BE,SMALL(IF($BE$2:$BE$143&lt;&gt;"",ROW($2:$143),144),ROW(BE108)))&amp;""</f>
        <v/>
      </c>
      <c r="BG109" s="372"/>
      <c r="BH109" s="372"/>
      <c r="BI109" s="372"/>
      <c r="BJ109" s="372"/>
      <c r="BK109" s="372"/>
      <c r="BL109" s="372"/>
      <c r="BM109" s="372"/>
      <c r="BN109" s="372"/>
      <c r="BO109" s="372"/>
      <c r="BP109" s="372"/>
      <c r="BQ109" s="372"/>
      <c r="BR109" s="372"/>
      <c r="BS109" s="372"/>
      <c r="BT109" s="372"/>
      <c r="BU109" s="372"/>
      <c r="BV109" s="372"/>
      <c r="BW109" s="372"/>
      <c r="BX109" s="372"/>
      <c r="BY109" s="372"/>
      <c r="BZ109" s="372"/>
    </row>
    <row r="110" customHeight="1" spans="1:78">
      <c r="A110" s="375">
        <v>94</v>
      </c>
      <c r="B110" s="372"/>
      <c r="C110" s="372"/>
      <c r="D110" s="372"/>
      <c r="E110" s="372"/>
      <c r="F110" s="458" t="s">
        <v>3529</v>
      </c>
      <c r="G110" s="458" t="s">
        <v>3530</v>
      </c>
      <c r="H110" s="372"/>
      <c r="I110" s="372"/>
      <c r="J110" s="226" t="s">
        <v>3531</v>
      </c>
      <c r="K110" s="226" t="s">
        <v>3532</v>
      </c>
      <c r="L110" s="359" t="s">
        <v>3533</v>
      </c>
      <c r="M110" s="359" t="s">
        <v>3534</v>
      </c>
      <c r="N110" s="372"/>
      <c r="O110" s="372"/>
      <c r="P110" s="372"/>
      <c r="Q110" s="372"/>
      <c r="R110" s="372"/>
      <c r="S110" s="372"/>
      <c r="T110" s="372"/>
      <c r="U110" s="372"/>
      <c r="V110" s="458" t="s">
        <v>3535</v>
      </c>
      <c r="W110" s="458" t="s">
        <v>3536</v>
      </c>
      <c r="X110" s="372"/>
      <c r="Y110" s="372"/>
      <c r="Z110" s="372"/>
      <c r="AA110" s="376"/>
      <c r="AB110" s="372"/>
      <c r="AC110" s="372"/>
      <c r="AD110" s="372"/>
      <c r="AE110" s="372"/>
      <c r="AF110" s="372"/>
      <c r="AG110" s="372"/>
      <c r="AH110" s="372"/>
      <c r="AI110" s="372"/>
      <c r="AJ110" s="372"/>
      <c r="AK110" s="372"/>
      <c r="AL110" s="372"/>
      <c r="AM110" s="307" t="s">
        <v>1722</v>
      </c>
      <c r="AN110" s="373"/>
      <c r="AO110" s="373">
        <v>81</v>
      </c>
      <c r="AP110" s="374">
        <f>_xlfn.IFS(AG12&gt;=14,85,AG12&gt;=10,84,AG12&gt;=6,83,AG12&gt;=1,82,1,0)</f>
        <v>0</v>
      </c>
      <c r="AQ110" s="372"/>
      <c r="AR110" s="372"/>
      <c r="AS110" s="372"/>
      <c r="AT110" s="372"/>
      <c r="AU110" s="372"/>
      <c r="AV110" s="372"/>
      <c r="AW110" s="372"/>
      <c r="AX110" s="372"/>
      <c r="AY110" s="372"/>
      <c r="AZ110" s="372"/>
      <c r="BA110" s="372"/>
      <c r="BB110" s="372"/>
      <c r="BC110" s="204" t="str">
        <f t="shared" si="42"/>
        <v/>
      </c>
      <c r="BD110" s="235" t="str">
        <f t="shared" si="43"/>
        <v/>
      </c>
      <c r="BE110" s="192" t="str">
        <f t="shared" si="41"/>
        <v/>
      </c>
      <c r="BF110" s="200" t="str">
        <f t="array" ref="BF110">INDEX(BE:BE,SMALL(IF($BE$2:$BE$143&lt;&gt;"",ROW($2:$143),144),ROW(BE109)))&amp;""</f>
        <v/>
      </c>
      <c r="BG110" s="372"/>
      <c r="BH110" s="372"/>
      <c r="BI110" s="372"/>
      <c r="BJ110" s="372"/>
      <c r="BK110" s="372"/>
      <c r="BL110" s="372"/>
      <c r="BM110" s="372"/>
      <c r="BN110" s="372"/>
      <c r="BO110" s="372"/>
      <c r="BP110" s="372"/>
      <c r="BQ110" s="372"/>
      <c r="BR110" s="372"/>
      <c r="BS110" s="372"/>
      <c r="BT110" s="372"/>
      <c r="BU110" s="372"/>
      <c r="BV110" s="372"/>
      <c r="BW110" s="372"/>
      <c r="BX110" s="372"/>
      <c r="BY110" s="372"/>
      <c r="BZ110" s="372"/>
    </row>
    <row r="111" customHeight="1" spans="1:78">
      <c r="A111" s="375">
        <v>95</v>
      </c>
      <c r="B111" s="372"/>
      <c r="C111" s="372"/>
      <c r="D111" s="372"/>
      <c r="E111" s="372"/>
      <c r="F111" s="458" t="str">
        <f>IF(OR(BH55&lt;1,COUNTIF($BG$2:$BG$46,"神圣打击")),"神圣打击","")</f>
        <v>神圣打击</v>
      </c>
      <c r="G111" s="458" t="s">
        <v>3537</v>
      </c>
      <c r="H111" s="372"/>
      <c r="I111" s="372"/>
      <c r="J111" s="226" t="s">
        <v>3538</v>
      </c>
      <c r="K111" s="226" t="s">
        <v>3539</v>
      </c>
      <c r="L111" s="372"/>
      <c r="M111" s="372"/>
      <c r="N111" s="372"/>
      <c r="O111" s="372"/>
      <c r="P111" s="372"/>
      <c r="Q111" s="372"/>
      <c r="R111" s="372"/>
      <c r="S111" s="372"/>
      <c r="T111" s="372"/>
      <c r="U111" s="372"/>
      <c r="V111" s="458" t="s">
        <v>3540</v>
      </c>
      <c r="W111" s="458" t="s">
        <v>3541</v>
      </c>
      <c r="X111" s="372"/>
      <c r="Y111" s="372"/>
      <c r="Z111" s="372"/>
      <c r="AA111" s="376"/>
      <c r="AB111" s="372"/>
      <c r="AC111" s="372"/>
      <c r="AD111" s="372"/>
      <c r="AE111" s="372"/>
      <c r="AF111" s="372"/>
      <c r="AG111" s="372"/>
      <c r="AH111" s="372"/>
      <c r="AI111" s="372"/>
      <c r="AJ111" s="372"/>
      <c r="AK111" s="372"/>
      <c r="AL111" s="372"/>
      <c r="AM111" s="483" t="s">
        <v>3542</v>
      </c>
      <c r="AN111" s="420"/>
      <c r="AO111" s="420">
        <v>86</v>
      </c>
      <c r="AP111" s="484">
        <f>_xlfn.IFS(AG12&gt;=14,90,AG12&gt;=10,89,AG12&gt;=6,88,AG12&gt;=1,87,1,0)</f>
        <v>0</v>
      </c>
      <c r="AQ111" s="372"/>
      <c r="AR111" s="372"/>
      <c r="AS111" s="372"/>
      <c r="AT111" s="372"/>
      <c r="AU111" s="372"/>
      <c r="AV111" s="372"/>
      <c r="AW111" s="372"/>
      <c r="AX111" s="372"/>
      <c r="AY111" s="372"/>
      <c r="AZ111" s="372"/>
      <c r="BA111" s="372"/>
      <c r="BB111" s="372" t="s">
        <v>1927</v>
      </c>
      <c r="BC111" s="192" t="str">
        <f t="shared" ref="BC111:BD115" si="44">IF($BB$112=1,V26,"")</f>
        <v/>
      </c>
      <c r="BD111" s="193" t="str">
        <f t="shared" si="44"/>
        <v/>
      </c>
      <c r="BE111" s="192" t="str">
        <f t="shared" si="41"/>
        <v/>
      </c>
      <c r="BF111" s="200" t="str">
        <f t="array" ref="BF111">INDEX(BE:BE,SMALL(IF($BE$2:$BE$143&lt;&gt;"",ROW($2:$143),144),ROW(BE110)))&amp;""</f>
        <v/>
      </c>
      <c r="BG111" s="372"/>
      <c r="BH111" s="372"/>
      <c r="BI111" s="372"/>
      <c r="BJ111" s="372"/>
      <c r="BK111" s="372"/>
      <c r="BL111" s="372"/>
      <c r="BM111" s="372"/>
      <c r="BN111" s="372"/>
      <c r="BO111" s="372"/>
      <c r="BP111" s="372"/>
      <c r="BQ111" s="372"/>
      <c r="BR111" s="372"/>
      <c r="BS111" s="372"/>
      <c r="BT111" s="372"/>
      <c r="BU111" s="372"/>
      <c r="BV111" s="372"/>
      <c r="BW111" s="372"/>
      <c r="BX111" s="372"/>
      <c r="BY111" s="372"/>
      <c r="BZ111" s="372"/>
    </row>
    <row r="112" customHeight="1" spans="1:78">
      <c r="A112" s="375">
        <v>96</v>
      </c>
      <c r="B112" s="372"/>
      <c r="C112" s="372"/>
      <c r="D112" s="372"/>
      <c r="E112" s="372"/>
      <c r="F112" s="458" t="s">
        <v>3543</v>
      </c>
      <c r="G112" s="458" t="s">
        <v>3544</v>
      </c>
      <c r="H112" s="372"/>
      <c r="I112" s="372"/>
      <c r="J112" s="226" t="s">
        <v>3545</v>
      </c>
      <c r="K112" s="226" t="s">
        <v>3546</v>
      </c>
      <c r="L112" s="372"/>
      <c r="M112" s="372"/>
      <c r="N112" s="372"/>
      <c r="O112" s="372"/>
      <c r="P112" s="372"/>
      <c r="Q112" s="372"/>
      <c r="R112" s="372"/>
      <c r="S112" s="372"/>
      <c r="T112" s="372"/>
      <c r="U112" s="372"/>
      <c r="V112" s="458" t="s">
        <v>3547</v>
      </c>
      <c r="W112" s="458" t="s">
        <v>3548</v>
      </c>
      <c r="X112" s="372"/>
      <c r="Y112" s="372"/>
      <c r="Z112" s="372"/>
      <c r="AA112" s="376"/>
      <c r="AB112" s="372"/>
      <c r="AC112" s="372"/>
      <c r="AD112" s="372"/>
      <c r="AE112" s="372"/>
      <c r="AF112" s="372"/>
      <c r="AG112" s="372"/>
      <c r="AH112" s="372"/>
      <c r="AI112" s="372"/>
      <c r="AJ112" s="372"/>
      <c r="AK112" s="372"/>
      <c r="AL112" s="372"/>
      <c r="AM112" s="283" t="s">
        <v>3549</v>
      </c>
      <c r="AN112" s="245"/>
      <c r="AO112" s="245">
        <v>91</v>
      </c>
      <c r="AP112" s="431">
        <f>_xlfn.IFS(AG12&gt;=14,96,AG12&gt;=10,95,AG12&gt;=6,94,AG12&gt;=1,93,1,0)</f>
        <v>0</v>
      </c>
      <c r="AQ112" s="372"/>
      <c r="AR112" s="372"/>
      <c r="AS112" s="372"/>
      <c r="AT112" s="372"/>
      <c r="AU112" s="372"/>
      <c r="AV112" s="372"/>
      <c r="AW112" s="372"/>
      <c r="AX112" s="372"/>
      <c r="AY112" s="372"/>
      <c r="AZ112" s="372"/>
      <c r="BA112" s="372"/>
      <c r="BB112" s="372">
        <f>IF(AND(COUNTIF(专长数据!E2:E7,专长数据!A79),AG12&lt;2),1,0)</f>
        <v>0</v>
      </c>
      <c r="BC112" s="192" t="str">
        <f t="shared" si="44"/>
        <v/>
      </c>
      <c r="BD112" s="193" t="str">
        <f t="shared" si="44"/>
        <v/>
      </c>
      <c r="BE112" s="192" t="str">
        <f t="shared" si="41"/>
        <v/>
      </c>
      <c r="BF112" s="200" t="str">
        <f t="array" ref="BF112">INDEX(BE:BE,SMALL(IF($BE$2:$BE$143&lt;&gt;"",ROW($2:$143),144),ROW(BE111)))&amp;""</f>
        <v/>
      </c>
      <c r="BG112" s="372"/>
      <c r="BH112" s="372"/>
      <c r="BI112" s="372"/>
      <c r="BJ112" s="372"/>
      <c r="BK112" s="372"/>
      <c r="BL112" s="372"/>
      <c r="BM112" s="372"/>
      <c r="BN112" s="372"/>
      <c r="BO112" s="372"/>
      <c r="BP112" s="372"/>
      <c r="BQ112" s="372"/>
      <c r="BR112" s="372"/>
      <c r="BS112" s="372"/>
      <c r="BT112" s="372"/>
      <c r="BU112" s="372"/>
      <c r="BV112" s="372"/>
      <c r="BW112" s="372"/>
      <c r="BX112" s="372"/>
      <c r="BY112" s="372"/>
      <c r="BZ112" s="372"/>
    </row>
    <row r="113" customHeight="1" spans="1:78">
      <c r="A113" s="375">
        <v>97</v>
      </c>
      <c r="B113" s="372"/>
      <c r="C113" s="372"/>
      <c r="D113" s="372"/>
      <c r="E113" s="372"/>
      <c r="F113" s="297" t="s">
        <v>3550</v>
      </c>
      <c r="G113" s="297" t="s">
        <v>3551</v>
      </c>
      <c r="H113" s="372"/>
      <c r="I113" s="372"/>
      <c r="J113" s="226" t="s">
        <v>3552</v>
      </c>
      <c r="K113" s="226" t="s">
        <v>3553</v>
      </c>
      <c r="L113" s="372"/>
      <c r="M113" s="372"/>
      <c r="N113" s="372"/>
      <c r="O113" s="372"/>
      <c r="P113" s="372"/>
      <c r="Q113" s="372"/>
      <c r="R113" s="372"/>
      <c r="S113" s="372"/>
      <c r="T113" s="372"/>
      <c r="U113" s="372"/>
      <c r="V113" s="297" t="s">
        <v>3554</v>
      </c>
      <c r="W113" s="297" t="s">
        <v>3555</v>
      </c>
      <c r="X113" s="372"/>
      <c r="Y113" s="372"/>
      <c r="Z113" s="372"/>
      <c r="AA113" s="376"/>
      <c r="AB113" s="372"/>
      <c r="AC113" s="372"/>
      <c r="AD113" s="372"/>
      <c r="AE113" s="372"/>
      <c r="AF113" s="372"/>
      <c r="AG113" s="372"/>
      <c r="AH113" s="372"/>
      <c r="AI113" s="372"/>
      <c r="AJ113" s="372"/>
      <c r="AK113" s="372"/>
      <c r="AL113" s="372"/>
      <c r="AM113" s="283" t="s">
        <v>3556</v>
      </c>
      <c r="AN113" s="245"/>
      <c r="AO113" s="245">
        <v>97</v>
      </c>
      <c r="AP113" s="431">
        <f>_xlfn.IFS(AG12&gt;=14,102,AG12&gt;=10,101,AG12&gt;=6,100,AG12&gt;=1,99,1,0)</f>
        <v>0</v>
      </c>
      <c r="AQ113" s="372"/>
      <c r="AR113" s="372"/>
      <c r="AS113" s="372"/>
      <c r="AT113" s="372"/>
      <c r="AU113" s="372"/>
      <c r="AV113" s="372"/>
      <c r="AW113" s="372"/>
      <c r="AX113" s="372"/>
      <c r="AY113" s="372"/>
      <c r="AZ113" s="372"/>
      <c r="BA113" s="372"/>
      <c r="BB113" s="372"/>
      <c r="BC113" s="192" t="str">
        <f t="shared" si="44"/>
        <v/>
      </c>
      <c r="BD113" s="193" t="str">
        <f t="shared" si="44"/>
        <v/>
      </c>
      <c r="BE113" s="192" t="str">
        <f t="shared" si="41"/>
        <v/>
      </c>
      <c r="BF113" s="200" t="str">
        <f t="array" ref="BF113">INDEX(BE:BE,SMALL(IF($BE$2:$BE$143&lt;&gt;"",ROW($2:$143),144),ROW(BE112)))&amp;""</f>
        <v/>
      </c>
      <c r="BG113" s="372"/>
      <c r="BH113" s="372"/>
      <c r="BI113" s="372"/>
      <c r="BJ113" s="372"/>
      <c r="BK113" s="372"/>
      <c r="BL113" s="372"/>
      <c r="BM113" s="372"/>
      <c r="BN113" s="372"/>
      <c r="BO113" s="372"/>
      <c r="BP113" s="372"/>
      <c r="BQ113" s="372"/>
      <c r="BR113" s="372"/>
      <c r="BS113" s="372"/>
      <c r="BT113" s="372"/>
      <c r="BU113" s="372"/>
      <c r="BV113" s="372"/>
      <c r="BW113" s="372"/>
      <c r="BX113" s="372"/>
      <c r="BY113" s="372"/>
      <c r="BZ113" s="372"/>
    </row>
    <row r="114" customHeight="1" spans="1:78">
      <c r="A114" s="375">
        <v>98</v>
      </c>
      <c r="B114" s="372"/>
      <c r="C114" s="372"/>
      <c r="D114" s="372"/>
      <c r="E114" s="372"/>
      <c r="F114" s="297" t="s">
        <v>3557</v>
      </c>
      <c r="G114" s="297" t="s">
        <v>3558</v>
      </c>
      <c r="H114" s="372"/>
      <c r="I114" s="372"/>
      <c r="J114" s="298" t="s">
        <v>3559</v>
      </c>
      <c r="K114" s="298" t="s">
        <v>3560</v>
      </c>
      <c r="L114" s="372"/>
      <c r="M114" s="372"/>
      <c r="N114" s="372"/>
      <c r="O114" s="372"/>
      <c r="P114" s="372"/>
      <c r="Q114" s="372"/>
      <c r="R114" s="372"/>
      <c r="S114" s="372"/>
      <c r="T114" s="372"/>
      <c r="U114" s="372"/>
      <c r="V114" s="297" t="s">
        <v>3561</v>
      </c>
      <c r="W114" s="297" t="s">
        <v>3562</v>
      </c>
      <c r="X114" s="372"/>
      <c r="Y114" s="372"/>
      <c r="Z114" s="372"/>
      <c r="AA114" s="376"/>
      <c r="AB114" s="372"/>
      <c r="AC114" s="372"/>
      <c r="AD114" s="372"/>
      <c r="AE114" s="372"/>
      <c r="AF114" s="372"/>
      <c r="AG114" s="372"/>
      <c r="AH114" s="372"/>
      <c r="AI114" s="372"/>
      <c r="AJ114" s="372"/>
      <c r="AK114" s="372"/>
      <c r="AL114" s="372"/>
      <c r="AM114" s="287" t="s">
        <v>3563</v>
      </c>
      <c r="AN114" s="268"/>
      <c r="AO114" s="268">
        <v>103</v>
      </c>
      <c r="AP114" s="437">
        <f>_xlfn.IFS(AG12&gt;=14,113,AG12&gt;=10,112,AG12&gt;=6,111,AG12&gt;=1,110,1,0)</f>
        <v>0</v>
      </c>
      <c r="AQ114" s="372"/>
      <c r="AR114" s="372"/>
      <c r="AS114" s="372"/>
      <c r="AT114" s="372"/>
      <c r="AU114" s="372"/>
      <c r="AV114" s="372"/>
      <c r="AW114" s="372"/>
      <c r="AX114" s="372"/>
      <c r="AY114" s="372"/>
      <c r="AZ114" s="372"/>
      <c r="BA114" s="372"/>
      <c r="BB114" s="372"/>
      <c r="BC114" s="192" t="str">
        <f t="shared" si="44"/>
        <v/>
      </c>
      <c r="BD114" s="193" t="str">
        <f t="shared" si="44"/>
        <v/>
      </c>
      <c r="BE114" s="192" t="str">
        <f t="shared" si="41"/>
        <v/>
      </c>
      <c r="BF114" s="200" t="str">
        <f t="array" ref="BF114">INDEX(BE:BE,SMALL(IF($BE$2:$BE$143&lt;&gt;"",ROW($2:$143),144),ROW(BE113)))&amp;""</f>
        <v/>
      </c>
      <c r="BG114" s="372"/>
      <c r="BH114" s="372"/>
      <c r="BI114" s="372"/>
      <c r="BJ114" s="372"/>
      <c r="BK114" s="372"/>
      <c r="BL114" s="372"/>
      <c r="BM114" s="372"/>
      <c r="BN114" s="372"/>
      <c r="BO114" s="372"/>
      <c r="BP114" s="372"/>
      <c r="BQ114" s="372"/>
      <c r="BR114" s="372"/>
      <c r="BS114" s="372"/>
      <c r="BT114" s="372"/>
      <c r="BU114" s="372"/>
      <c r="BV114" s="372"/>
      <c r="BW114" s="372"/>
      <c r="BX114" s="372"/>
      <c r="BY114" s="372"/>
      <c r="BZ114" s="372"/>
    </row>
    <row r="115" customHeight="1" spans="1:78">
      <c r="A115" s="375">
        <v>99</v>
      </c>
      <c r="B115" s="372"/>
      <c r="C115" s="372"/>
      <c r="D115" s="372"/>
      <c r="E115" s="372"/>
      <c r="F115" s="297" t="s">
        <v>3564</v>
      </c>
      <c r="G115" s="297" t="s">
        <v>3565</v>
      </c>
      <c r="H115" s="372"/>
      <c r="I115" s="372"/>
      <c r="J115" s="298" t="s">
        <v>3566</v>
      </c>
      <c r="K115" s="298" t="s">
        <v>3567</v>
      </c>
      <c r="L115" s="372"/>
      <c r="M115" s="372"/>
      <c r="N115" s="372"/>
      <c r="O115" s="372"/>
      <c r="P115" s="372"/>
      <c r="Q115" s="372"/>
      <c r="R115" s="372"/>
      <c r="S115" s="372"/>
      <c r="T115" s="372"/>
      <c r="U115" s="372"/>
      <c r="V115" s="297" t="s">
        <v>3568</v>
      </c>
      <c r="W115" s="297" t="s">
        <v>3569</v>
      </c>
      <c r="X115" s="372"/>
      <c r="Y115" s="372"/>
      <c r="Z115" s="372"/>
      <c r="AA115" s="376"/>
      <c r="AB115" s="372"/>
      <c r="AC115" s="372"/>
      <c r="AD115" s="372"/>
      <c r="AE115" s="372"/>
      <c r="AF115" s="372"/>
      <c r="AG115" s="372"/>
      <c r="AH115" s="372"/>
      <c r="AI115" s="372"/>
      <c r="AJ115" s="372"/>
      <c r="AK115" s="372"/>
      <c r="AL115" s="372"/>
      <c r="AM115" s="287" t="s">
        <v>3570</v>
      </c>
      <c r="AN115" s="268"/>
      <c r="AO115" s="268">
        <v>114</v>
      </c>
      <c r="AP115" s="437">
        <f>_xlfn.IFS(AG12&gt;=14,120,AG12&gt;=10,119,AG12&gt;=6,118,AG12&gt;=1,116,1,0)</f>
        <v>0</v>
      </c>
      <c r="AQ115" s="372"/>
      <c r="AR115" s="372"/>
      <c r="AS115" s="372"/>
      <c r="AT115" s="372"/>
      <c r="AU115" s="372"/>
      <c r="AV115" s="372"/>
      <c r="AW115" s="372"/>
      <c r="AX115" s="372"/>
      <c r="AY115" s="372"/>
      <c r="AZ115" s="372"/>
      <c r="BA115" s="372"/>
      <c r="BB115" s="372"/>
      <c r="BC115" s="192" t="str">
        <f t="shared" si="44"/>
        <v/>
      </c>
      <c r="BD115" s="193" t="str">
        <f t="shared" si="44"/>
        <v/>
      </c>
      <c r="BE115" s="192" t="str">
        <f t="shared" si="41"/>
        <v/>
      </c>
      <c r="BF115" s="200" t="str">
        <f t="array" ref="BF115">INDEX(BE:BE,SMALL(IF($BE$2:$BE$143&lt;&gt;"",ROW($2:$143),144),ROW(BE114)))&amp;""</f>
        <v/>
      </c>
      <c r="BG115" s="372"/>
      <c r="BH115" s="372"/>
      <c r="BI115" s="372"/>
      <c r="BJ115" s="372"/>
      <c r="BK115" s="372"/>
      <c r="BL115" s="372"/>
      <c r="BM115" s="372"/>
      <c r="BN115" s="372"/>
      <c r="BO115" s="372"/>
      <c r="BP115" s="372"/>
      <c r="BQ115" s="372"/>
      <c r="BR115" s="372"/>
      <c r="BS115" s="372"/>
      <c r="BT115" s="372"/>
      <c r="BU115" s="372"/>
      <c r="BV115" s="372"/>
      <c r="BW115" s="372"/>
      <c r="BX115" s="372"/>
      <c r="BY115" s="372"/>
      <c r="BZ115" s="372"/>
    </row>
    <row r="116" customHeight="1" spans="1:78">
      <c r="A116" s="375">
        <v>100</v>
      </c>
      <c r="B116" s="372"/>
      <c r="C116" s="372"/>
      <c r="D116" s="372"/>
      <c r="E116" s="372"/>
      <c r="F116" s="488" t="s">
        <v>3571</v>
      </c>
      <c r="G116" s="488" t="s">
        <v>3572</v>
      </c>
      <c r="H116" s="372"/>
      <c r="I116" s="372"/>
      <c r="J116" s="453" t="str">
        <f>IF(OR(BI59&gt;0,COUNTIF($BG$2:$BG$46,"符文-云")),"符文-云","")</f>
        <v/>
      </c>
      <c r="K116" s="453" t="s">
        <v>3573</v>
      </c>
      <c r="L116" s="372"/>
      <c r="M116" s="372"/>
      <c r="N116" s="372"/>
      <c r="O116" s="372"/>
      <c r="P116" s="372"/>
      <c r="Q116" s="372"/>
      <c r="R116" s="372"/>
      <c r="S116" s="372"/>
      <c r="T116" s="372"/>
      <c r="U116" s="372"/>
      <c r="V116" s="297" t="s">
        <v>3574</v>
      </c>
      <c r="W116" s="297" t="s">
        <v>3575</v>
      </c>
      <c r="X116" s="372"/>
      <c r="Y116" s="372"/>
      <c r="Z116" s="372"/>
      <c r="AA116" s="376"/>
      <c r="AB116" s="372"/>
      <c r="AC116" s="372"/>
      <c r="AD116" s="372"/>
      <c r="AE116" s="372"/>
      <c r="AF116" s="372"/>
      <c r="AG116" s="372"/>
      <c r="AH116" s="372"/>
      <c r="AI116" s="372"/>
      <c r="AJ116" s="372"/>
      <c r="AK116" s="372"/>
      <c r="AL116" s="372"/>
      <c r="AM116" s="407" t="s">
        <v>3576</v>
      </c>
      <c r="AN116" s="425"/>
      <c r="AO116" s="425">
        <v>121</v>
      </c>
      <c r="AP116" s="425">
        <f>_xlfn.IFS(AG12&gt;=14,125,AG12&gt;=10,124,AG12&gt;=6,123,AG12&gt;=1,122,1,0)</f>
        <v>0</v>
      </c>
      <c r="AQ116" s="372"/>
      <c r="AR116" s="372"/>
      <c r="AS116" s="372"/>
      <c r="AT116" s="372"/>
      <c r="AU116" s="372"/>
      <c r="AV116" s="372"/>
      <c r="AW116" s="372"/>
      <c r="AX116" s="372"/>
      <c r="AY116" s="372"/>
      <c r="AZ116" s="372"/>
      <c r="BA116" s="372"/>
      <c r="BB116" s="372"/>
      <c r="BC116" s="192" t="str">
        <f t="shared" ref="BC116:BD120" si="45">IF($BB$112=1,V32,"")</f>
        <v/>
      </c>
      <c r="BD116" s="193" t="str">
        <f t="shared" si="45"/>
        <v/>
      </c>
      <c r="BE116" s="192" t="str">
        <f t="shared" si="41"/>
        <v/>
      </c>
      <c r="BF116" s="200" t="str">
        <f t="array" ref="BF116">INDEX(BE:BE,SMALL(IF($BE$2:$BE$143&lt;&gt;"",ROW($2:$143),144),ROW(BE115)))&amp;""</f>
        <v/>
      </c>
      <c r="BG116" s="372"/>
      <c r="BH116" s="372"/>
      <c r="BI116" s="372"/>
      <c r="BJ116" s="372"/>
      <c r="BK116" s="372"/>
      <c r="BL116" s="372"/>
      <c r="BM116" s="372"/>
      <c r="BN116" s="372"/>
      <c r="BO116" s="372"/>
      <c r="BP116" s="372"/>
      <c r="BQ116" s="372"/>
      <c r="BR116" s="372"/>
      <c r="BS116" s="372"/>
      <c r="BT116" s="372"/>
      <c r="BU116" s="372"/>
      <c r="BV116" s="372"/>
      <c r="BW116" s="372"/>
      <c r="BX116" s="372"/>
      <c r="BY116" s="372"/>
      <c r="BZ116" s="372"/>
    </row>
    <row r="117" customHeight="1" spans="1:78">
      <c r="A117" s="375">
        <v>101</v>
      </c>
      <c r="B117" s="372"/>
      <c r="C117" s="372"/>
      <c r="D117" s="372"/>
      <c r="E117" s="372"/>
      <c r="F117" s="297" t="s">
        <v>3577</v>
      </c>
      <c r="G117" s="297" t="s">
        <v>3578</v>
      </c>
      <c r="H117" s="372"/>
      <c r="I117" s="372"/>
      <c r="J117" s="453" t="str">
        <f>IF(OR(BI59&gt;0,COUNTIF($BG$2:$BG$46,"符文-火")),"符文-火","")</f>
        <v/>
      </c>
      <c r="K117" s="453" t="s">
        <v>3579</v>
      </c>
      <c r="L117" s="372"/>
      <c r="M117" s="372"/>
      <c r="N117" s="372"/>
      <c r="O117" s="372"/>
      <c r="P117" s="372"/>
      <c r="Q117" s="372"/>
      <c r="R117" s="372"/>
      <c r="S117" s="372"/>
      <c r="T117" s="372"/>
      <c r="U117" s="372"/>
      <c r="V117" s="297" t="s">
        <v>3580</v>
      </c>
      <c r="W117" s="297" t="s">
        <v>3581</v>
      </c>
      <c r="X117" s="372"/>
      <c r="Y117" s="372"/>
      <c r="Z117" s="372"/>
      <c r="AA117" s="376"/>
      <c r="AB117" s="372"/>
      <c r="AC117" s="372"/>
      <c r="AD117" s="372"/>
      <c r="AE117" s="372"/>
      <c r="AF117" s="372"/>
      <c r="AG117" s="372"/>
      <c r="AH117" s="372"/>
      <c r="AI117" s="372"/>
      <c r="AJ117" s="372"/>
      <c r="AK117" s="372"/>
      <c r="AL117" s="372"/>
      <c r="AM117" s="358" t="s">
        <v>1725</v>
      </c>
      <c r="AN117" s="413">
        <v>12</v>
      </c>
      <c r="AO117" s="413">
        <v>1</v>
      </c>
      <c r="AP117" s="438">
        <f>_xlfn.IFS(AG13=20,16,AG13&gt;=18,15,AG13&gt;=3,14,AG13=2,13,AG13=1,12,1,0)</f>
        <v>0</v>
      </c>
      <c r="AQ117" s="372"/>
      <c r="AR117" s="372"/>
      <c r="AS117" s="372"/>
      <c r="AT117" s="372"/>
      <c r="AU117" s="372"/>
      <c r="AV117" s="372"/>
      <c r="AW117" s="372"/>
      <c r="AX117" s="372"/>
      <c r="AY117" s="372"/>
      <c r="AZ117" s="372"/>
      <c r="BA117" s="372"/>
      <c r="BB117" s="372"/>
      <c r="BC117" s="192" t="str">
        <f t="shared" si="45"/>
        <v/>
      </c>
      <c r="BD117" s="193" t="str">
        <f t="shared" si="45"/>
        <v/>
      </c>
      <c r="BE117" s="192" t="str">
        <f t="shared" si="41"/>
        <v/>
      </c>
      <c r="BF117" s="200" t="str">
        <f t="array" ref="BF117">INDEX(BE:BE,SMALL(IF($BE$2:$BE$143&lt;&gt;"",ROW($2:$143),144),ROW(BE116)))&amp;""</f>
        <v/>
      </c>
      <c r="BG117" s="372"/>
      <c r="BH117" s="372"/>
      <c r="BI117" s="372"/>
      <c r="BJ117" s="372"/>
      <c r="BK117" s="372"/>
      <c r="BL117" s="372"/>
      <c r="BM117" s="372"/>
      <c r="BN117" s="372"/>
      <c r="BO117" s="372"/>
      <c r="BP117" s="372"/>
      <c r="BQ117" s="372"/>
      <c r="BR117" s="372"/>
      <c r="BS117" s="372"/>
      <c r="BT117" s="372"/>
      <c r="BU117" s="372"/>
      <c r="BV117" s="372"/>
      <c r="BW117" s="372"/>
      <c r="BX117" s="372"/>
      <c r="BY117" s="372"/>
      <c r="BZ117" s="372"/>
    </row>
    <row r="118" customHeight="1" spans="1:78">
      <c r="A118" s="375">
        <v>102</v>
      </c>
      <c r="B118" s="372"/>
      <c r="C118" s="372"/>
      <c r="D118" s="372"/>
      <c r="E118" s="372"/>
      <c r="F118" s="297" t="str">
        <f>IF(OR(BH55&lt;1,COUNTIF($BG$2:$BG$46,"强力施法")),"强力施法","")</f>
        <v>强力施法</v>
      </c>
      <c r="G118" s="297" t="s">
        <v>2170</v>
      </c>
      <c r="H118" s="372"/>
      <c r="I118" s="372"/>
      <c r="J118" s="453" t="str">
        <f>IF(OR(BI59&gt;0,COUNTIF($BG$2:$BG$46,"符文-霜")),"符文-霜","")</f>
        <v/>
      </c>
      <c r="K118" s="453" t="s">
        <v>3582</v>
      </c>
      <c r="L118" s="372"/>
      <c r="M118" s="372"/>
      <c r="N118" s="372"/>
      <c r="O118" s="372"/>
      <c r="P118" s="372"/>
      <c r="Q118" s="372"/>
      <c r="R118" s="372"/>
      <c r="S118" s="372"/>
      <c r="T118" s="372"/>
      <c r="U118" s="372"/>
      <c r="V118" s="297" t="s">
        <v>3583</v>
      </c>
      <c r="W118" s="297" t="s">
        <v>3584</v>
      </c>
      <c r="X118" s="372"/>
      <c r="Y118" s="372"/>
      <c r="Z118" s="372"/>
      <c r="AA118" s="376"/>
      <c r="AB118" s="372"/>
      <c r="AC118" s="372"/>
      <c r="AD118" s="372"/>
      <c r="AE118" s="372"/>
      <c r="AF118" s="372"/>
      <c r="AG118" s="372"/>
      <c r="AH118" s="372"/>
      <c r="AI118" s="372"/>
      <c r="AJ118" s="372"/>
      <c r="AK118" s="372"/>
      <c r="AL118" s="372"/>
      <c r="AM118" s="307" t="s">
        <v>1726</v>
      </c>
      <c r="AN118" s="373"/>
      <c r="AO118" s="373">
        <v>17</v>
      </c>
      <c r="AP118" s="374">
        <f>_xlfn.IFS(AG13&gt;=14,21,AG13&gt;=10,20,AG13&gt;=6,19,AG13&gt;=2,18,1,0)</f>
        <v>0</v>
      </c>
      <c r="AQ118" s="372"/>
      <c r="AR118" s="372"/>
      <c r="AS118" s="372"/>
      <c r="AT118" s="372"/>
      <c r="AU118" s="372"/>
      <c r="AV118" s="372"/>
      <c r="AW118" s="372"/>
      <c r="AX118" s="372"/>
      <c r="AY118" s="372"/>
      <c r="AZ118" s="372"/>
      <c r="BA118" s="372"/>
      <c r="BB118" s="372"/>
      <c r="BC118" s="192" t="str">
        <f t="shared" si="45"/>
        <v/>
      </c>
      <c r="BD118" s="193" t="str">
        <f t="shared" si="45"/>
        <v/>
      </c>
      <c r="BE118" s="192" t="str">
        <f t="shared" ref="BE118:BE141" si="46">IFERROR(IF(OR(BC120="",COUNTIF($BG$2:$BG$46,BC120)),"",BC120),"")</f>
        <v/>
      </c>
      <c r="BF118" s="200" t="str">
        <f t="array" ref="BF118">INDEX(BE:BE,SMALL(IF($BE$2:$BE$143&lt;&gt;"",ROW($2:$143),144),ROW(BE117)))&amp;""</f>
        <v/>
      </c>
      <c r="BG118" s="372"/>
      <c r="BH118" s="372"/>
      <c r="BI118" s="372"/>
      <c r="BJ118" s="372"/>
      <c r="BK118" s="372"/>
      <c r="BL118" s="372"/>
      <c r="BM118" s="372"/>
      <c r="BN118" s="372"/>
      <c r="BO118" s="372"/>
      <c r="BP118" s="372"/>
      <c r="BQ118" s="372"/>
      <c r="BR118" s="372"/>
      <c r="BS118" s="372"/>
      <c r="BT118" s="372"/>
      <c r="BU118" s="372"/>
      <c r="BV118" s="372"/>
      <c r="BW118" s="372"/>
      <c r="BX118" s="372"/>
      <c r="BY118" s="372"/>
      <c r="BZ118" s="372"/>
    </row>
    <row r="119" customHeight="1" spans="1:78">
      <c r="A119" s="375">
        <v>103</v>
      </c>
      <c r="B119" s="372"/>
      <c r="C119" s="372"/>
      <c r="D119" s="372"/>
      <c r="E119" s="372"/>
      <c r="F119" s="297" t="s">
        <v>3585</v>
      </c>
      <c r="G119" s="297" t="s">
        <v>3586</v>
      </c>
      <c r="H119" s="372"/>
      <c r="I119" s="372"/>
      <c r="J119" s="453" t="str">
        <f>IF(OR(BI59&gt;0,COUNTIF($BG$2:$BG$46,"符文-石")),"符文-石","")</f>
        <v/>
      </c>
      <c r="K119" s="453" t="s">
        <v>3587</v>
      </c>
      <c r="L119" s="372"/>
      <c r="M119" s="372"/>
      <c r="N119" s="372"/>
      <c r="O119" s="372"/>
      <c r="P119" s="372"/>
      <c r="Q119" s="372"/>
      <c r="R119" s="372"/>
      <c r="S119" s="372"/>
      <c r="T119" s="372"/>
      <c r="U119" s="372"/>
      <c r="V119" s="226" t="s">
        <v>3588</v>
      </c>
      <c r="W119" s="226" t="s">
        <v>3589</v>
      </c>
      <c r="X119" s="372"/>
      <c r="Y119" s="372"/>
      <c r="Z119" s="372"/>
      <c r="AA119" s="376"/>
      <c r="AB119" s="372"/>
      <c r="AC119" s="372"/>
      <c r="AD119" s="372"/>
      <c r="AE119" s="372"/>
      <c r="AF119" s="372"/>
      <c r="AG119" s="372"/>
      <c r="AH119" s="372"/>
      <c r="AI119" s="372"/>
      <c r="AJ119" s="372"/>
      <c r="AK119" s="372"/>
      <c r="AL119" s="372"/>
      <c r="AM119" s="307" t="s">
        <v>1727</v>
      </c>
      <c r="AN119" s="373"/>
      <c r="AO119" s="373">
        <v>22</v>
      </c>
      <c r="AP119" s="374">
        <f>_xlfn.IFS(AG13&gt;=14,26,AG13&gt;=10,25,AG13&gt;=6,24,AG13&gt;=2,23,1,0)</f>
        <v>0</v>
      </c>
      <c r="AQ119" s="372"/>
      <c r="AR119" s="372"/>
      <c r="AS119" s="372"/>
      <c r="AT119" s="372"/>
      <c r="AU119" s="372"/>
      <c r="AV119" s="372"/>
      <c r="AW119" s="372"/>
      <c r="AX119" s="372"/>
      <c r="AY119" s="372"/>
      <c r="AZ119" s="372"/>
      <c r="BA119" s="372"/>
      <c r="BB119" s="372"/>
      <c r="BC119" s="192" t="str">
        <f t="shared" si="45"/>
        <v/>
      </c>
      <c r="BD119" s="193" t="str">
        <f t="shared" si="45"/>
        <v/>
      </c>
      <c r="BE119" s="192" t="str">
        <f t="shared" si="46"/>
        <v/>
      </c>
      <c r="BF119" s="200" t="str">
        <f t="array" ref="BF119">INDEX(BE:BE,SMALL(IF($BE$2:$BE$143&lt;&gt;"",ROW($2:$143),144),ROW(BE118)))&amp;""</f>
        <v/>
      </c>
      <c r="BG119" s="372"/>
      <c r="BH119" s="372"/>
      <c r="BI119" s="372"/>
      <c r="BJ119" s="372"/>
      <c r="BK119" s="372"/>
      <c r="BL119" s="372"/>
      <c r="BM119" s="372"/>
      <c r="BN119" s="372"/>
      <c r="BO119" s="372"/>
      <c r="BP119" s="372"/>
      <c r="BQ119" s="372"/>
      <c r="BR119" s="372"/>
      <c r="BS119" s="372"/>
      <c r="BT119" s="372"/>
      <c r="BU119" s="372"/>
      <c r="BV119" s="372"/>
      <c r="BW119" s="372"/>
      <c r="BX119" s="372"/>
      <c r="BY119" s="372"/>
      <c r="BZ119" s="372"/>
    </row>
    <row r="120" customHeight="1" spans="1:78">
      <c r="A120" s="375">
        <v>104</v>
      </c>
      <c r="B120" s="372"/>
      <c r="C120" s="372"/>
      <c r="D120" s="372"/>
      <c r="E120" s="372"/>
      <c r="F120" s="226" t="s">
        <v>3590</v>
      </c>
      <c r="G120" s="226" t="s">
        <v>3591</v>
      </c>
      <c r="H120" s="372"/>
      <c r="I120" s="372"/>
      <c r="J120" s="298" t="s">
        <v>3363</v>
      </c>
      <c r="K120" s="298" t="s">
        <v>3592</v>
      </c>
      <c r="L120" s="372"/>
      <c r="M120" s="372"/>
      <c r="N120" s="372"/>
      <c r="O120" s="372"/>
      <c r="P120" s="372"/>
      <c r="Q120" s="372"/>
      <c r="R120" s="372"/>
      <c r="S120" s="372"/>
      <c r="T120" s="372"/>
      <c r="U120" s="372"/>
      <c r="V120" s="449" t="str">
        <f>IF(OR(BH67&lt;1,COUNTIF($BG$2:$BG$46,"巨灵宗主扩展法术-土")),"巨灵宗主扩展法术-土","")</f>
        <v>巨灵宗主扩展法术-土</v>
      </c>
      <c r="W120" s="449" t="s">
        <v>3593</v>
      </c>
      <c r="X120" s="372"/>
      <c r="Y120" s="372"/>
      <c r="Z120" s="372"/>
      <c r="AA120" s="376"/>
      <c r="AB120" s="372"/>
      <c r="AC120" s="372"/>
      <c r="AD120" s="372"/>
      <c r="AE120" s="372"/>
      <c r="AF120" s="372"/>
      <c r="AG120" s="372"/>
      <c r="AH120" s="372"/>
      <c r="AI120" s="372"/>
      <c r="AJ120" s="372"/>
      <c r="AK120" s="372"/>
      <c r="AL120" s="372"/>
      <c r="AM120" s="307" t="s">
        <v>1728</v>
      </c>
      <c r="AN120" s="373"/>
      <c r="AO120" s="373">
        <v>27</v>
      </c>
      <c r="AP120" s="374">
        <f>_xlfn.IFS(AG13&gt;=14,31,AG13&gt;=10,30,AG13&gt;=6,29,AG13&gt;=2,28,1,0)</f>
        <v>0</v>
      </c>
      <c r="AQ120" s="372"/>
      <c r="AR120" s="372"/>
      <c r="AS120" s="372"/>
      <c r="AT120" s="372"/>
      <c r="AU120" s="372"/>
      <c r="AV120" s="372"/>
      <c r="AW120" s="372"/>
      <c r="AX120" s="372"/>
      <c r="AY120" s="372"/>
      <c r="AZ120" s="372"/>
      <c r="BA120" s="372"/>
      <c r="BB120" s="372"/>
      <c r="BC120" s="192" t="str">
        <f t="shared" si="45"/>
        <v/>
      </c>
      <c r="BD120" s="193" t="str">
        <f t="shared" si="45"/>
        <v/>
      </c>
      <c r="BE120" s="192" t="str">
        <f t="shared" si="46"/>
        <v/>
      </c>
      <c r="BF120" s="200" t="str">
        <f t="array" ref="BF120">INDEX(BE:BE,SMALL(IF($BE$2:$BE$143&lt;&gt;"",ROW($2:$143),144),ROW(BE119)))&amp;""</f>
        <v/>
      </c>
      <c r="BG120" s="372"/>
      <c r="BH120" s="372"/>
      <c r="BI120" s="372"/>
      <c r="BJ120" s="372"/>
      <c r="BK120" s="372"/>
      <c r="BL120" s="372"/>
      <c r="BM120" s="372"/>
      <c r="BN120" s="372"/>
      <c r="BO120" s="372"/>
      <c r="BP120" s="372"/>
      <c r="BQ120" s="372"/>
      <c r="BR120" s="372"/>
      <c r="BS120" s="372"/>
      <c r="BT120" s="372"/>
      <c r="BU120" s="372"/>
      <c r="BV120" s="372"/>
      <c r="BW120" s="372"/>
      <c r="BX120" s="372"/>
      <c r="BY120" s="372"/>
      <c r="BZ120" s="372"/>
    </row>
    <row r="121" customHeight="1" spans="1:78">
      <c r="A121" s="375">
        <v>105</v>
      </c>
      <c r="B121" s="372"/>
      <c r="C121" s="372"/>
      <c r="D121" s="372"/>
      <c r="E121" s="372"/>
      <c r="F121" s="226" t="s">
        <v>2229</v>
      </c>
      <c r="G121" s="226" t="s">
        <v>2698</v>
      </c>
      <c r="H121" s="372"/>
      <c r="I121" s="372"/>
      <c r="J121" s="298" t="s">
        <v>3594</v>
      </c>
      <c r="K121" s="298" t="s">
        <v>3595</v>
      </c>
      <c r="L121" s="372"/>
      <c r="M121" s="372"/>
      <c r="N121" s="372"/>
      <c r="O121" s="372"/>
      <c r="P121" s="372"/>
      <c r="Q121" s="372"/>
      <c r="R121" s="372"/>
      <c r="S121" s="372"/>
      <c r="T121" s="372"/>
      <c r="U121" s="372"/>
      <c r="V121" s="449" t="str">
        <f>IF(OR(BH67&lt;1,COUNTIF($BG$2:$BG$46,"巨灵宗主扩展法术-气")),"巨灵宗主扩展法术-气","")</f>
        <v>巨灵宗主扩展法术-气</v>
      </c>
      <c r="W121" s="449" t="s">
        <v>3596</v>
      </c>
      <c r="X121" s="372"/>
      <c r="Y121" s="372"/>
      <c r="Z121" s="372"/>
      <c r="AA121" s="376"/>
      <c r="AB121" s="372"/>
      <c r="AC121" s="372"/>
      <c r="AD121" s="372"/>
      <c r="AE121" s="372"/>
      <c r="AF121" s="372"/>
      <c r="AG121" s="372"/>
      <c r="AH121" s="372"/>
      <c r="AI121" s="372"/>
      <c r="AJ121" s="372"/>
      <c r="AK121" s="372"/>
      <c r="AL121" s="372"/>
      <c r="AM121" s="307" t="s">
        <v>1729</v>
      </c>
      <c r="AN121" s="373"/>
      <c r="AO121" s="373">
        <v>32</v>
      </c>
      <c r="AP121" s="374">
        <f>_xlfn.IFS(AG13&gt;=14,36,AG13&gt;=10,35,AG13&gt;=6,34,AG13&gt;=2,33,1,0)</f>
        <v>0</v>
      </c>
      <c r="AQ121" s="372"/>
      <c r="AR121" s="372"/>
      <c r="AS121" s="372"/>
      <c r="AT121" s="372"/>
      <c r="AU121" s="372"/>
      <c r="AV121" s="372"/>
      <c r="AW121" s="372"/>
      <c r="AX121" s="372"/>
      <c r="AY121" s="372"/>
      <c r="AZ121" s="372"/>
      <c r="BA121" s="372"/>
      <c r="BB121" s="372"/>
      <c r="BC121" s="192" t="str">
        <f>IF($BB$112=1,V38,"")</f>
        <v/>
      </c>
      <c r="BD121" s="193" t="str">
        <f>IF($BB$112=1,W38,"")</f>
        <v/>
      </c>
      <c r="BE121" s="192" t="str">
        <f t="shared" si="46"/>
        <v/>
      </c>
      <c r="BF121" s="200" t="str">
        <f t="array" ref="BF121">INDEX(BE:BE,SMALL(IF($BE$2:$BE$143&lt;&gt;"",ROW($2:$143),144),ROW(BE120)))&amp;""</f>
        <v/>
      </c>
      <c r="BG121" s="372"/>
      <c r="BH121" s="372"/>
      <c r="BI121" s="372"/>
      <c r="BJ121" s="372"/>
      <c r="BK121" s="372"/>
      <c r="BL121" s="372"/>
      <c r="BM121" s="372"/>
      <c r="BN121" s="372"/>
      <c r="BO121" s="372"/>
      <c r="BP121" s="372"/>
      <c r="BQ121" s="372"/>
      <c r="BR121" s="372"/>
      <c r="BS121" s="372"/>
      <c r="BT121" s="372"/>
      <c r="BU121" s="372"/>
      <c r="BV121" s="372"/>
      <c r="BW121" s="372"/>
      <c r="BX121" s="372"/>
      <c r="BY121" s="372"/>
      <c r="BZ121" s="372"/>
    </row>
    <row r="122" customHeight="1" spans="1:78">
      <c r="A122" s="375">
        <v>106</v>
      </c>
      <c r="B122" s="372"/>
      <c r="C122" s="372"/>
      <c r="D122" s="372"/>
      <c r="E122" s="372"/>
      <c r="F122" s="226" t="s">
        <v>3597</v>
      </c>
      <c r="G122" s="226" t="s">
        <v>3598</v>
      </c>
      <c r="H122" s="372"/>
      <c r="I122" s="372"/>
      <c r="J122" s="453" t="str">
        <f>IF(OR(BI59&gt;0,COUNTIF($BG$2:$BG$46,"符文-山丘")),"符文-山丘","")</f>
        <v/>
      </c>
      <c r="K122" s="453" t="s">
        <v>3599</v>
      </c>
      <c r="L122" s="372"/>
      <c r="M122" s="372"/>
      <c r="N122" s="372"/>
      <c r="O122" s="372"/>
      <c r="P122" s="372"/>
      <c r="Q122" s="372"/>
      <c r="R122" s="372"/>
      <c r="S122" s="372"/>
      <c r="T122" s="372"/>
      <c r="U122" s="372"/>
      <c r="V122" s="449" t="str">
        <f>IF(OR(BH67&lt;1,COUNTIF($BG$2:$BG$46,"巨灵宗主扩展法术-火")),"巨灵宗主扩展法术-火","")</f>
        <v>巨灵宗主扩展法术-火</v>
      </c>
      <c r="W122" s="449" t="s">
        <v>3600</v>
      </c>
      <c r="X122" s="372"/>
      <c r="Y122" s="372"/>
      <c r="Z122" s="372"/>
      <c r="AA122" s="376"/>
      <c r="AB122" s="372"/>
      <c r="AC122" s="372"/>
      <c r="AD122" s="372"/>
      <c r="AE122" s="372"/>
      <c r="AF122" s="372"/>
      <c r="AG122" s="372"/>
      <c r="AH122" s="372"/>
      <c r="AI122" s="372"/>
      <c r="AJ122" s="372"/>
      <c r="AK122" s="372"/>
      <c r="AL122" s="372"/>
      <c r="AM122" s="307" t="s">
        <v>1730</v>
      </c>
      <c r="AN122" s="373"/>
      <c r="AO122" s="373">
        <v>37</v>
      </c>
      <c r="AP122" s="374">
        <f>_xlfn.IFS(AG13&gt;=14,41,AG13&gt;=10,40,AG13&gt;=6,39,AG13&gt;=2,38,1,0)</f>
        <v>0</v>
      </c>
      <c r="AQ122" s="372"/>
      <c r="AR122" s="372"/>
      <c r="AS122" s="372"/>
      <c r="AT122" s="372"/>
      <c r="AU122" s="372"/>
      <c r="AV122" s="372"/>
      <c r="AW122" s="372"/>
      <c r="AX122" s="372"/>
      <c r="AY122" s="372"/>
      <c r="AZ122" s="372"/>
      <c r="BA122" s="372"/>
      <c r="BB122" s="372"/>
      <c r="BC122" s="204" t="str">
        <f>IF($BB$112=1,V41,"")</f>
        <v/>
      </c>
      <c r="BD122" s="235" t="str">
        <f>IF($BB$112=1,W41,"")</f>
        <v/>
      </c>
      <c r="BE122" s="192" t="str">
        <f t="shared" si="46"/>
        <v/>
      </c>
      <c r="BF122" s="200" t="str">
        <f t="array" ref="BF122">INDEX(BE:BE,SMALL(IF($BE$2:$BE$143&lt;&gt;"",ROW($2:$143),144),ROW(BE121)))&amp;""</f>
        <v/>
      </c>
      <c r="BG122" s="372"/>
      <c r="BH122" s="372"/>
      <c r="BI122" s="372"/>
      <c r="BJ122" s="372"/>
      <c r="BK122" s="372"/>
      <c r="BL122" s="372"/>
      <c r="BM122" s="372"/>
      <c r="BN122" s="372"/>
      <c r="BO122" s="372"/>
      <c r="BP122" s="372"/>
      <c r="BQ122" s="372"/>
      <c r="BR122" s="372"/>
      <c r="BS122" s="372"/>
      <c r="BT122" s="372"/>
      <c r="BU122" s="372"/>
      <c r="BV122" s="372"/>
      <c r="BW122" s="372"/>
      <c r="BX122" s="372"/>
      <c r="BY122" s="372"/>
      <c r="BZ122" s="372"/>
    </row>
    <row r="123" customHeight="1" spans="1:78">
      <c r="A123" s="375">
        <v>107</v>
      </c>
      <c r="B123" s="372"/>
      <c r="C123" s="372"/>
      <c r="D123" s="372"/>
      <c r="E123" s="372"/>
      <c r="F123" s="226" t="s">
        <v>3601</v>
      </c>
      <c r="G123" s="226" t="s">
        <v>3602</v>
      </c>
      <c r="H123" s="372"/>
      <c r="I123" s="372"/>
      <c r="J123" s="453" t="str">
        <f>IF(OR(BI59&gt;0,COUNTIF($BG$2:$BG$46,"符文-风暴")),"符文-风暴","")</f>
        <v/>
      </c>
      <c r="K123" s="453" t="s">
        <v>3603</v>
      </c>
      <c r="L123" s="372"/>
      <c r="M123" s="372"/>
      <c r="N123" s="372"/>
      <c r="O123" s="372"/>
      <c r="P123" s="372"/>
      <c r="Q123" s="372"/>
      <c r="R123" s="372"/>
      <c r="S123" s="372"/>
      <c r="T123" s="372"/>
      <c r="U123" s="372"/>
      <c r="V123" s="449" t="str">
        <f>IF(OR(BH67&lt;1,COUNTIF($BG$2:$BG$46,"巨灵宗主扩展法术-水")),"巨灵宗主扩展法术-水","")</f>
        <v>巨灵宗主扩展法术-水</v>
      </c>
      <c r="W123" s="449" t="s">
        <v>3604</v>
      </c>
      <c r="X123" s="372"/>
      <c r="Y123" s="372"/>
      <c r="Z123" s="372"/>
      <c r="AA123" s="376"/>
      <c r="AB123" s="372"/>
      <c r="AC123" s="372"/>
      <c r="AD123" s="372"/>
      <c r="AE123" s="372"/>
      <c r="AF123" s="372"/>
      <c r="AG123" s="372"/>
      <c r="AH123" s="372"/>
      <c r="AI123" s="372"/>
      <c r="AJ123" s="372"/>
      <c r="AK123" s="372"/>
      <c r="AL123" s="372"/>
      <c r="AM123" s="307" t="s">
        <v>1731</v>
      </c>
      <c r="AN123" s="373"/>
      <c r="AO123" s="373">
        <v>42</v>
      </c>
      <c r="AP123" s="374">
        <f>_xlfn.IFS(AG13&gt;=14,46,AG13&gt;=10,45,AG13&gt;=6,44,AG13&gt;=2,43,1,0)</f>
        <v>0</v>
      </c>
      <c r="AQ123" s="372"/>
      <c r="AR123" s="372"/>
      <c r="AS123" s="372"/>
      <c r="AT123" s="372"/>
      <c r="AU123" s="372"/>
      <c r="AV123" s="372"/>
      <c r="AW123" s="372"/>
      <c r="AX123" s="372"/>
      <c r="AY123" s="372"/>
      <c r="AZ123" s="372"/>
      <c r="BA123" s="372"/>
      <c r="BB123" s="373" t="s">
        <v>2531</v>
      </c>
      <c r="BC123" s="192" t="str">
        <f>IF(OR($BB$124=0,COUNTIF($BC$11:$BC$67,J18)),"",J18)</f>
        <v/>
      </c>
      <c r="BD123" s="193" t="str">
        <f t="shared" ref="BD123:BD133" si="47">IF($BB$124=1,K18,"")</f>
        <v/>
      </c>
      <c r="BE123" s="192" t="str">
        <f t="shared" si="46"/>
        <v/>
      </c>
      <c r="BF123" s="200" t="str">
        <f t="array" ref="BF123">INDEX(BE:BE,SMALL(IF($BE$2:$BE$143&lt;&gt;"",ROW($2:$143),144),ROW(BE122)))&amp;""</f>
        <v/>
      </c>
      <c r="BG123" s="372"/>
      <c r="BH123" s="372"/>
      <c r="BI123" s="372"/>
      <c r="BJ123" s="372"/>
      <c r="BK123" s="372"/>
      <c r="BL123" s="372"/>
      <c r="BM123" s="372"/>
      <c r="BN123" s="372"/>
      <c r="BO123" s="372"/>
      <c r="BP123" s="372"/>
      <c r="BQ123" s="372"/>
      <c r="BR123" s="372"/>
      <c r="BS123" s="372"/>
      <c r="BT123" s="372"/>
      <c r="BU123" s="372"/>
      <c r="BV123" s="372"/>
      <c r="BW123" s="372"/>
      <c r="BX123" s="372"/>
      <c r="BY123" s="372"/>
      <c r="BZ123" s="372"/>
    </row>
    <row r="124" customHeight="1" spans="1:78">
      <c r="A124" s="375">
        <v>108</v>
      </c>
      <c r="B124" s="372"/>
      <c r="C124" s="372"/>
      <c r="D124" s="372"/>
      <c r="E124" s="372"/>
      <c r="F124" s="489" t="s">
        <v>3605</v>
      </c>
      <c r="G124" s="489" t="s">
        <v>3606</v>
      </c>
      <c r="H124" s="372"/>
      <c r="I124" s="372"/>
      <c r="J124" s="298" t="s">
        <v>3607</v>
      </c>
      <c r="K124" s="298" t="s">
        <v>3608</v>
      </c>
      <c r="L124" s="372"/>
      <c r="M124" s="372"/>
      <c r="N124" s="372"/>
      <c r="O124" s="372"/>
      <c r="P124" s="372"/>
      <c r="Q124" s="372"/>
      <c r="R124" s="372"/>
      <c r="S124" s="372"/>
      <c r="T124" s="372"/>
      <c r="U124" s="372"/>
      <c r="V124" s="226" t="s">
        <v>3609</v>
      </c>
      <c r="W124" s="226" t="s">
        <v>3610</v>
      </c>
      <c r="X124" s="372"/>
      <c r="Y124" s="372"/>
      <c r="Z124" s="372"/>
      <c r="AA124" s="376"/>
      <c r="AB124" s="372"/>
      <c r="AC124" s="372"/>
      <c r="AD124" s="372"/>
      <c r="AE124" s="372"/>
      <c r="AF124" s="372"/>
      <c r="AG124" s="372"/>
      <c r="AH124" s="372"/>
      <c r="AI124" s="372"/>
      <c r="AJ124" s="372"/>
      <c r="AK124" s="372"/>
      <c r="AL124" s="372"/>
      <c r="AM124" s="307" t="s">
        <v>1732</v>
      </c>
      <c r="AN124" s="373"/>
      <c r="AO124" s="373">
        <v>47</v>
      </c>
      <c r="AP124" s="374">
        <f>_xlfn.IFS(AG13&gt;=14,51,AG13&gt;=10,50,AG13&gt;=6,49,AG13&gt;=2,48,1,0)</f>
        <v>0</v>
      </c>
      <c r="AQ124" s="372"/>
      <c r="AR124" s="372"/>
      <c r="AS124" s="372"/>
      <c r="AT124" s="372"/>
      <c r="AU124" s="372"/>
      <c r="AV124" s="372"/>
      <c r="AW124" s="372"/>
      <c r="AX124" s="372"/>
      <c r="AY124" s="372"/>
      <c r="AZ124" s="372"/>
      <c r="BA124" s="372"/>
      <c r="BB124" s="372">
        <f>IF(AND(COUNTIF(专长数据!E2:E7,专长数据!A81),AG6&lt;1),1,0)</f>
        <v>0</v>
      </c>
      <c r="BC124" s="192" t="str">
        <f t="shared" ref="BC124:BC133" si="48">IF(OR($BB$124=0,COUNTIF($BC$11:$BC$67,J19)),"",J19)</f>
        <v/>
      </c>
      <c r="BD124" s="193" t="str">
        <f t="shared" si="47"/>
        <v/>
      </c>
      <c r="BE124" s="192" t="str">
        <f t="shared" si="46"/>
        <v/>
      </c>
      <c r="BF124" s="200" t="str">
        <f t="array" ref="BF124">INDEX(BE:BE,SMALL(IF($BE$2:$BE$143&lt;&gt;"",ROW($2:$143),144),ROW(BE123)))&amp;""</f>
        <v/>
      </c>
      <c r="BG124" s="372"/>
      <c r="BH124" s="372"/>
      <c r="BI124" s="372"/>
      <c r="BJ124" s="372"/>
      <c r="BK124" s="372"/>
      <c r="BL124" s="372"/>
      <c r="BM124" s="372"/>
      <c r="BN124" s="372"/>
      <c r="BO124" s="372"/>
      <c r="BP124" s="372"/>
      <c r="BQ124" s="372"/>
      <c r="BR124" s="372"/>
      <c r="BS124" s="372"/>
      <c r="BT124" s="372"/>
      <c r="BU124" s="372"/>
      <c r="BV124" s="372"/>
      <c r="BW124" s="372"/>
      <c r="BX124" s="372"/>
      <c r="BY124" s="372"/>
      <c r="BZ124" s="372"/>
    </row>
    <row r="125" customHeight="1" spans="1:78">
      <c r="A125" s="375">
        <v>109</v>
      </c>
      <c r="B125" s="372"/>
      <c r="C125" s="372"/>
      <c r="D125" s="372"/>
      <c r="E125" s="372"/>
      <c r="F125" s="226" t="s">
        <v>3611</v>
      </c>
      <c r="G125" s="226" t="s">
        <v>3612</v>
      </c>
      <c r="H125" s="372"/>
      <c r="I125" s="372"/>
      <c r="J125" s="298" t="s">
        <v>3613</v>
      </c>
      <c r="K125" s="298" t="s">
        <v>3614</v>
      </c>
      <c r="L125" s="372"/>
      <c r="M125" s="372"/>
      <c r="N125" s="372"/>
      <c r="O125" s="372"/>
      <c r="P125" s="372"/>
      <c r="Q125" s="372"/>
      <c r="R125" s="372"/>
      <c r="S125" s="372"/>
      <c r="T125" s="372"/>
      <c r="U125" s="372"/>
      <c r="V125" s="226" t="s">
        <v>3615</v>
      </c>
      <c r="W125" s="226" t="s">
        <v>3616</v>
      </c>
      <c r="X125" s="372"/>
      <c r="Y125" s="372"/>
      <c r="Z125" s="372"/>
      <c r="AA125" s="376"/>
      <c r="AB125" s="372"/>
      <c r="AC125" s="372"/>
      <c r="AD125" s="372"/>
      <c r="AE125" s="372"/>
      <c r="AF125" s="372"/>
      <c r="AG125" s="372"/>
      <c r="AH125" s="372"/>
      <c r="AI125" s="372"/>
      <c r="AJ125" s="372"/>
      <c r="AK125" s="372"/>
      <c r="AL125" s="372"/>
      <c r="AM125" s="307" t="s">
        <v>1733</v>
      </c>
      <c r="AN125" s="373"/>
      <c r="AO125" s="373">
        <v>52</v>
      </c>
      <c r="AP125" s="374">
        <f>_xlfn.IFS(AG13&gt;=14,56,AG13&gt;=10,55,AG13&gt;=6,54,AG13&gt;=2,53,1,0)</f>
        <v>0</v>
      </c>
      <c r="AQ125" s="372"/>
      <c r="AR125" s="372"/>
      <c r="AS125" s="372"/>
      <c r="AT125" s="372"/>
      <c r="AU125" s="372"/>
      <c r="AV125" s="372"/>
      <c r="AW125" s="372"/>
      <c r="AX125" s="372"/>
      <c r="AY125" s="372"/>
      <c r="AZ125" s="372"/>
      <c r="BA125" s="372"/>
      <c r="BB125" s="372"/>
      <c r="BC125" s="192" t="str">
        <f t="shared" si="48"/>
        <v/>
      </c>
      <c r="BD125" s="193" t="str">
        <f t="shared" si="47"/>
        <v/>
      </c>
      <c r="BE125" s="192" t="str">
        <f t="shared" si="46"/>
        <v/>
      </c>
      <c r="BF125" s="200" t="str">
        <f t="array" ref="BF125">INDEX(BE:BE,SMALL(IF($BE$2:$BE$143&lt;&gt;"",ROW($2:$143),144),ROW(BE124)))&amp;""</f>
        <v/>
      </c>
      <c r="BG125" s="372"/>
      <c r="BH125" s="372"/>
      <c r="BI125" s="372"/>
      <c r="BJ125" s="372"/>
      <c r="BK125" s="372"/>
      <c r="BL125" s="372"/>
      <c r="BM125" s="372"/>
      <c r="BN125" s="372"/>
      <c r="BO125" s="372"/>
      <c r="BP125" s="372"/>
      <c r="BQ125" s="372"/>
      <c r="BR125" s="372"/>
      <c r="BS125" s="372"/>
      <c r="BT125" s="372"/>
      <c r="BU125" s="372"/>
      <c r="BV125" s="372"/>
      <c r="BW125" s="372"/>
      <c r="BX125" s="372"/>
      <c r="BY125" s="372"/>
      <c r="BZ125" s="372"/>
    </row>
    <row r="126" customHeight="1" spans="1:78">
      <c r="A126" s="375">
        <v>110</v>
      </c>
      <c r="B126" s="372"/>
      <c r="C126" s="372"/>
      <c r="D126" s="372"/>
      <c r="E126" s="372"/>
      <c r="F126" s="226" t="str">
        <f>IF(OR(BH55&lt;1,COUNTIF($BG$2:$BG$46,"神圣打击")),"神圣打击","")</f>
        <v>神圣打击</v>
      </c>
      <c r="G126" s="226" t="s">
        <v>2312</v>
      </c>
      <c r="H126" s="372"/>
      <c r="I126" s="372"/>
      <c r="J126" s="298" t="s">
        <v>3617</v>
      </c>
      <c r="K126" s="298" t="s">
        <v>3618</v>
      </c>
      <c r="L126" s="372"/>
      <c r="M126" s="372"/>
      <c r="N126" s="372"/>
      <c r="O126" s="372"/>
      <c r="P126" s="372"/>
      <c r="Q126" s="372"/>
      <c r="R126" s="372"/>
      <c r="S126" s="372"/>
      <c r="T126" s="372"/>
      <c r="U126" s="372"/>
      <c r="V126" s="226" t="s">
        <v>3619</v>
      </c>
      <c r="W126" s="226" t="s">
        <v>3620</v>
      </c>
      <c r="X126" s="372"/>
      <c r="Y126" s="372"/>
      <c r="Z126" s="372"/>
      <c r="AA126" s="376"/>
      <c r="AB126" s="372"/>
      <c r="AC126" s="372"/>
      <c r="AD126" s="372"/>
      <c r="AE126" s="372"/>
      <c r="AF126" s="372"/>
      <c r="AG126" s="372"/>
      <c r="AH126" s="372"/>
      <c r="AI126" s="372"/>
      <c r="AJ126" s="372"/>
      <c r="AK126" s="372"/>
      <c r="AL126" s="372"/>
      <c r="AM126" s="483" t="s">
        <v>3621</v>
      </c>
      <c r="AN126" s="420"/>
      <c r="AO126" s="420">
        <v>57</v>
      </c>
      <c r="AP126" s="484">
        <f>_xlfn.IFS(AG13&gt;=14,61,AG13&gt;=10,60,AG13&gt;=6,59,AG13&gt;=2,58,1,0)</f>
        <v>0</v>
      </c>
      <c r="AQ126" s="372"/>
      <c r="AR126" s="372"/>
      <c r="AS126" s="372"/>
      <c r="AT126" s="372"/>
      <c r="AU126" s="372"/>
      <c r="AV126" s="372"/>
      <c r="AW126" s="372"/>
      <c r="AX126" s="372"/>
      <c r="AY126" s="372"/>
      <c r="AZ126" s="372"/>
      <c r="BA126" s="372"/>
      <c r="BB126" s="372"/>
      <c r="BC126" s="192" t="str">
        <f t="shared" si="48"/>
        <v/>
      </c>
      <c r="BD126" s="193" t="str">
        <f t="shared" si="47"/>
        <v/>
      </c>
      <c r="BE126" s="192" t="str">
        <f t="shared" si="46"/>
        <v/>
      </c>
      <c r="BF126" s="200" t="str">
        <f t="array" ref="BF126">INDEX(BE:BE,SMALL(IF($BE$2:$BE$143&lt;&gt;"",ROW($2:$143),144),ROW(BE125)))&amp;""</f>
        <v/>
      </c>
      <c r="BG126" s="372"/>
      <c r="BH126" s="372"/>
      <c r="BI126" s="372"/>
      <c r="BJ126" s="372"/>
      <c r="BK126" s="372"/>
      <c r="BL126" s="372"/>
      <c r="BM126" s="372"/>
      <c r="BN126" s="372"/>
      <c r="BO126" s="372"/>
      <c r="BP126" s="372"/>
      <c r="BQ126" s="372"/>
      <c r="BR126" s="372"/>
      <c r="BS126" s="372"/>
      <c r="BT126" s="372"/>
      <c r="BU126" s="372"/>
      <c r="BV126" s="372"/>
      <c r="BW126" s="372"/>
      <c r="BX126" s="372"/>
      <c r="BY126" s="372"/>
      <c r="BZ126" s="372"/>
    </row>
    <row r="127" customHeight="1" spans="1:78">
      <c r="A127" s="375">
        <v>111</v>
      </c>
      <c r="B127" s="372"/>
      <c r="C127" s="372"/>
      <c r="D127" s="372"/>
      <c r="E127" s="372"/>
      <c r="F127" s="226" t="s">
        <v>3622</v>
      </c>
      <c r="G127" s="226" t="s">
        <v>3623</v>
      </c>
      <c r="H127" s="372"/>
      <c r="I127" s="372"/>
      <c r="J127" s="359" t="s">
        <v>3624</v>
      </c>
      <c r="K127" s="359" t="s">
        <v>3625</v>
      </c>
      <c r="L127" s="372"/>
      <c r="M127" s="372"/>
      <c r="N127" s="372"/>
      <c r="O127" s="372"/>
      <c r="P127" s="372"/>
      <c r="Q127" s="372"/>
      <c r="R127" s="372"/>
      <c r="S127" s="372"/>
      <c r="T127" s="372"/>
      <c r="U127" s="372"/>
      <c r="V127" s="226" t="s">
        <v>3626</v>
      </c>
      <c r="W127" s="226" t="s">
        <v>3627</v>
      </c>
      <c r="X127" s="372"/>
      <c r="Y127" s="372"/>
      <c r="Z127" s="372"/>
      <c r="AA127" s="376"/>
      <c r="AB127" s="372"/>
      <c r="AC127" s="372"/>
      <c r="AD127" s="372"/>
      <c r="AE127" s="372"/>
      <c r="AF127" s="372"/>
      <c r="AG127" s="372"/>
      <c r="AH127" s="372"/>
      <c r="AI127" s="372"/>
      <c r="AJ127" s="372"/>
      <c r="AK127" s="372"/>
      <c r="AL127" s="372"/>
      <c r="AM127" s="283" t="s">
        <v>3628</v>
      </c>
      <c r="AN127" s="245"/>
      <c r="AO127" s="245">
        <v>62</v>
      </c>
      <c r="AP127" s="431">
        <f>_xlfn.IFS(AG13&gt;=14,66,AG13&gt;=10,65,AG13&gt;=6,64,AG13&gt;=2,63,1,0)</f>
        <v>0</v>
      </c>
      <c r="AQ127" s="372"/>
      <c r="AR127" s="372"/>
      <c r="AS127" s="372"/>
      <c r="AT127" s="372"/>
      <c r="AU127" s="372"/>
      <c r="AV127" s="372"/>
      <c r="AW127" s="372"/>
      <c r="AX127" s="372"/>
      <c r="AY127" s="372"/>
      <c r="AZ127" s="372"/>
      <c r="BA127" s="372"/>
      <c r="BB127" s="372"/>
      <c r="BC127" s="192" t="str">
        <f t="shared" si="48"/>
        <v/>
      </c>
      <c r="BD127" s="193" t="str">
        <f t="shared" si="47"/>
        <v/>
      </c>
      <c r="BE127" s="192" t="str">
        <f t="shared" si="46"/>
        <v/>
      </c>
      <c r="BF127" s="200" t="str">
        <f t="array" ref="BF127">INDEX(BE:BE,SMALL(IF($BE$2:$BE$143&lt;&gt;"",ROW($2:$143),144),ROW(BE126)))&amp;""</f>
        <v/>
      </c>
      <c r="BG127" s="372"/>
      <c r="BH127" s="372"/>
      <c r="BI127" s="372"/>
      <c r="BJ127" s="372"/>
      <c r="BK127" s="372"/>
      <c r="BL127" s="372"/>
      <c r="BM127" s="372"/>
      <c r="BN127" s="372"/>
      <c r="BO127" s="372"/>
      <c r="BP127" s="372"/>
      <c r="BQ127" s="372"/>
      <c r="BR127" s="372"/>
      <c r="BS127" s="372"/>
      <c r="BT127" s="372"/>
      <c r="BU127" s="372"/>
      <c r="BV127" s="372"/>
      <c r="BW127" s="372"/>
      <c r="BX127" s="372"/>
      <c r="BY127" s="372"/>
      <c r="BZ127" s="372"/>
    </row>
    <row r="128" customHeight="1" spans="1:78">
      <c r="A128" s="375">
        <v>112</v>
      </c>
      <c r="B128" s="372"/>
      <c r="C128" s="372"/>
      <c r="D128" s="372"/>
      <c r="E128" s="372"/>
      <c r="F128" s="298" t="s">
        <v>3629</v>
      </c>
      <c r="G128" s="298" t="s">
        <v>3630</v>
      </c>
      <c r="H128" s="372"/>
      <c r="I128" s="372"/>
      <c r="J128" s="359" t="s">
        <v>3631</v>
      </c>
      <c r="K128" s="359" t="s">
        <v>3632</v>
      </c>
      <c r="L128" s="372"/>
      <c r="M128" s="372"/>
      <c r="N128" s="372"/>
      <c r="O128" s="372"/>
      <c r="P128" s="372"/>
      <c r="Q128" s="372"/>
      <c r="R128" s="372"/>
      <c r="S128" s="372"/>
      <c r="T128" s="372"/>
      <c r="U128" s="372"/>
      <c r="V128" s="226" t="s">
        <v>3633</v>
      </c>
      <c r="W128" s="226" t="s">
        <v>3634</v>
      </c>
      <c r="X128" s="372"/>
      <c r="Y128" s="372"/>
      <c r="Z128" s="372"/>
      <c r="AA128" s="376"/>
      <c r="AB128" s="372"/>
      <c r="AC128" s="372"/>
      <c r="AD128" s="372"/>
      <c r="AE128" s="372"/>
      <c r="AF128" s="372"/>
      <c r="AG128" s="372"/>
      <c r="AH128" s="372"/>
      <c r="AI128" s="372"/>
      <c r="AJ128" s="372"/>
      <c r="AK128" s="372"/>
      <c r="AL128" s="372"/>
      <c r="AM128" s="491" t="s">
        <v>3635</v>
      </c>
      <c r="AN128" s="426"/>
      <c r="AO128" s="426">
        <v>67</v>
      </c>
      <c r="AP128" s="492">
        <f>_xlfn.IFS(AG13&gt;=14,71,AG13&gt;=10,70,AG13&gt;=6,69,AG13&gt;=2,68,1,0)</f>
        <v>0</v>
      </c>
      <c r="AQ128" s="372"/>
      <c r="AR128" s="372"/>
      <c r="AS128" s="372"/>
      <c r="AT128" s="372"/>
      <c r="AU128" s="372"/>
      <c r="AV128" s="372"/>
      <c r="AW128" s="372"/>
      <c r="AX128" s="372"/>
      <c r="AY128" s="372"/>
      <c r="AZ128" s="372"/>
      <c r="BA128" s="372"/>
      <c r="BB128" s="372"/>
      <c r="BC128" s="192" t="str">
        <f t="shared" si="48"/>
        <v/>
      </c>
      <c r="BD128" s="193" t="str">
        <f t="shared" si="47"/>
        <v/>
      </c>
      <c r="BE128" s="192" t="str">
        <f t="shared" si="46"/>
        <v/>
      </c>
      <c r="BF128" s="200" t="str">
        <f t="array" ref="BF128">INDEX(BE:BE,SMALL(IF($BE$2:$BE$143&lt;&gt;"",ROW($2:$143),144),ROW(BE127)))&amp;""</f>
        <v/>
      </c>
      <c r="BG128" s="372"/>
      <c r="BH128" s="372"/>
      <c r="BI128" s="372"/>
      <c r="BJ128" s="372"/>
      <c r="BK128" s="372"/>
      <c r="BL128" s="372"/>
      <c r="BM128" s="372"/>
      <c r="BN128" s="372"/>
      <c r="BO128" s="372"/>
      <c r="BP128" s="372"/>
      <c r="BQ128" s="372"/>
      <c r="BR128" s="372"/>
      <c r="BS128" s="372"/>
      <c r="BT128" s="372"/>
      <c r="BU128" s="372"/>
      <c r="BV128" s="372"/>
      <c r="BW128" s="372"/>
      <c r="BX128" s="372"/>
      <c r="BY128" s="372"/>
      <c r="BZ128" s="372"/>
    </row>
    <row r="129" customHeight="1" spans="1:78">
      <c r="A129" s="375">
        <v>113</v>
      </c>
      <c r="B129" s="372"/>
      <c r="C129" s="372"/>
      <c r="D129" s="372"/>
      <c r="E129" s="372"/>
      <c r="F129" s="298" t="s">
        <v>2229</v>
      </c>
      <c r="G129" s="298" t="s">
        <v>2230</v>
      </c>
      <c r="H129" s="372"/>
      <c r="I129" s="372"/>
      <c r="J129" s="359" t="s">
        <v>3636</v>
      </c>
      <c r="K129" s="359" t="s">
        <v>3637</v>
      </c>
      <c r="L129" s="372"/>
      <c r="M129" s="372"/>
      <c r="N129" s="372"/>
      <c r="O129" s="372"/>
      <c r="P129" s="372"/>
      <c r="Q129" s="372"/>
      <c r="R129" s="372"/>
      <c r="S129" s="372"/>
      <c r="T129" s="372"/>
      <c r="U129" s="372"/>
      <c r="V129" s="226" t="s">
        <v>3638</v>
      </c>
      <c r="W129" s="226" t="s">
        <v>3639</v>
      </c>
      <c r="X129" s="372"/>
      <c r="Y129" s="372"/>
      <c r="Z129" s="372"/>
      <c r="AA129" s="376"/>
      <c r="AB129" s="372"/>
      <c r="AC129" s="372"/>
      <c r="AD129" s="372"/>
      <c r="AE129" s="372"/>
      <c r="AF129" s="372"/>
      <c r="AG129" s="372"/>
      <c r="AH129" s="372"/>
      <c r="AI129" s="372"/>
      <c r="AJ129" s="372"/>
      <c r="AK129" s="372"/>
      <c r="AL129" s="372"/>
      <c r="AM129" s="491" t="s">
        <v>3640</v>
      </c>
      <c r="AN129" s="426"/>
      <c r="AO129" s="426">
        <v>72</v>
      </c>
      <c r="AP129" s="492">
        <f>_xlfn.IFS(AG13&gt;=14,75,AG13&gt;=10,74,AG13&gt;=6,73,AG13&gt;=2,72,1,0)</f>
        <v>0</v>
      </c>
      <c r="AQ129" s="372"/>
      <c r="AR129" s="372"/>
      <c r="AS129" s="372"/>
      <c r="AT129" s="372"/>
      <c r="AU129" s="372"/>
      <c r="AV129" s="372"/>
      <c r="AW129" s="372"/>
      <c r="AX129" s="372"/>
      <c r="AY129" s="372"/>
      <c r="AZ129" s="372"/>
      <c r="BA129" s="372"/>
      <c r="BB129" s="372"/>
      <c r="BC129" s="192" t="str">
        <f t="shared" si="48"/>
        <v/>
      </c>
      <c r="BD129" s="193" t="str">
        <f t="shared" si="47"/>
        <v/>
      </c>
      <c r="BE129" s="192" t="str">
        <f t="shared" si="46"/>
        <v/>
      </c>
      <c r="BF129" s="200" t="str">
        <f t="array" ref="BF129">INDEX(BE:BE,SMALL(IF($BE$2:$BE$143&lt;&gt;"",ROW($2:$143),144),ROW(BE128)))&amp;""</f>
        <v/>
      </c>
      <c r="BG129" s="372"/>
      <c r="BH129" s="372"/>
      <c r="BI129" s="372"/>
      <c r="BJ129" s="372"/>
      <c r="BK129" s="372"/>
      <c r="BL129" s="372"/>
      <c r="BM129" s="372"/>
      <c r="BN129" s="372"/>
      <c r="BO129" s="372"/>
      <c r="BP129" s="372"/>
      <c r="BQ129" s="372"/>
      <c r="BR129" s="372"/>
      <c r="BS129" s="372"/>
      <c r="BT129" s="372"/>
      <c r="BU129" s="372"/>
      <c r="BV129" s="372"/>
      <c r="BW129" s="372"/>
      <c r="BX129" s="372"/>
      <c r="BY129" s="372"/>
      <c r="BZ129" s="372"/>
    </row>
    <row r="130" customHeight="1" spans="1:78">
      <c r="A130" s="375">
        <v>114</v>
      </c>
      <c r="B130" s="372"/>
      <c r="C130" s="372"/>
      <c r="D130" s="372"/>
      <c r="E130" s="372"/>
      <c r="F130" s="298" t="s">
        <v>3641</v>
      </c>
      <c r="G130" s="298" t="s">
        <v>3642</v>
      </c>
      <c r="H130" s="372"/>
      <c r="I130" s="372"/>
      <c r="J130" s="359" t="s">
        <v>3643</v>
      </c>
      <c r="K130" s="359" t="s">
        <v>3644</v>
      </c>
      <c r="L130" s="372"/>
      <c r="M130" s="372"/>
      <c r="N130" s="372"/>
      <c r="O130" s="372"/>
      <c r="P130" s="372"/>
      <c r="Q130" s="372"/>
      <c r="R130" s="372"/>
      <c r="S130" s="372"/>
      <c r="T130" s="372"/>
      <c r="U130" s="372"/>
      <c r="V130" s="298" t="s">
        <v>3645</v>
      </c>
      <c r="W130" s="298" t="s">
        <v>3646</v>
      </c>
      <c r="X130" s="372"/>
      <c r="Y130" s="372"/>
      <c r="Z130" s="372"/>
      <c r="AA130" s="376"/>
      <c r="AB130" s="372"/>
      <c r="AC130" s="372"/>
      <c r="AD130" s="372"/>
      <c r="AE130" s="372"/>
      <c r="AF130" s="372"/>
      <c r="AG130" s="372"/>
      <c r="AH130" s="372"/>
      <c r="AI130" s="372"/>
      <c r="AJ130" s="372"/>
      <c r="AK130" s="372"/>
      <c r="AL130" s="372"/>
      <c r="AM130" s="287" t="s">
        <v>3647</v>
      </c>
      <c r="AN130" s="268"/>
      <c r="AO130" s="268">
        <v>76</v>
      </c>
      <c r="AP130" s="437">
        <f>_xlfn.IFS(AG13&gt;=14,80,AG13&gt;=10,79,AG13&gt;=6,78,AG13&gt;=2,77,1,0)</f>
        <v>0</v>
      </c>
      <c r="AQ130" s="372"/>
      <c r="AR130" s="372"/>
      <c r="AS130" s="372"/>
      <c r="AT130" s="372"/>
      <c r="AU130" s="372"/>
      <c r="AV130" s="372"/>
      <c r="AW130" s="372"/>
      <c r="AX130" s="372"/>
      <c r="AY130" s="372"/>
      <c r="AZ130" s="372"/>
      <c r="BA130" s="372"/>
      <c r="BB130" s="372"/>
      <c r="BC130" s="192" t="str">
        <f t="shared" si="48"/>
        <v/>
      </c>
      <c r="BD130" s="193" t="str">
        <f t="shared" si="47"/>
        <v/>
      </c>
      <c r="BE130" s="192" t="str">
        <f t="shared" si="46"/>
        <v/>
      </c>
      <c r="BF130" s="200" t="str">
        <f t="array" ref="BF130">INDEX(BE:BE,SMALL(IF($BE$2:$BE$143&lt;&gt;"",ROW($2:$143),144),ROW(BE129)))&amp;""</f>
        <v/>
      </c>
      <c r="BG130" s="372"/>
      <c r="BH130" s="372"/>
      <c r="BI130" s="372"/>
      <c r="BJ130" s="372"/>
      <c r="BK130" s="372"/>
      <c r="BL130" s="372"/>
      <c r="BM130" s="372"/>
      <c r="BN130" s="372"/>
      <c r="BO130" s="372"/>
      <c r="BP130" s="372"/>
      <c r="BQ130" s="372"/>
      <c r="BR130" s="372"/>
      <c r="BS130" s="372"/>
      <c r="BT130" s="372"/>
      <c r="BU130" s="372"/>
      <c r="BV130" s="372"/>
      <c r="BW130" s="372"/>
      <c r="BX130" s="372"/>
      <c r="BY130" s="372"/>
      <c r="BZ130" s="372"/>
    </row>
    <row r="131" customHeight="1" spans="1:78">
      <c r="A131" s="375">
        <v>115</v>
      </c>
      <c r="B131" s="372"/>
      <c r="C131" s="372"/>
      <c r="D131" s="372"/>
      <c r="E131" s="372"/>
      <c r="F131" s="466" t="s">
        <v>2270</v>
      </c>
      <c r="G131" s="466" t="s">
        <v>3648</v>
      </c>
      <c r="H131" s="372"/>
      <c r="I131" s="372"/>
      <c r="J131" s="359" t="s">
        <v>3649</v>
      </c>
      <c r="K131" s="359" t="s">
        <v>3650</v>
      </c>
      <c r="L131" s="372"/>
      <c r="M131" s="372"/>
      <c r="N131" s="372"/>
      <c r="O131" s="372"/>
      <c r="P131" s="372"/>
      <c r="Q131" s="372"/>
      <c r="R131" s="372"/>
      <c r="S131" s="372"/>
      <c r="T131" s="372"/>
      <c r="U131" s="372"/>
      <c r="V131" s="298" t="s">
        <v>3651</v>
      </c>
      <c r="W131" s="298" t="s">
        <v>3652</v>
      </c>
      <c r="X131" s="372"/>
      <c r="Y131" s="372"/>
      <c r="Z131" s="372"/>
      <c r="AA131" s="376"/>
      <c r="AB131" s="372"/>
      <c r="AC131" s="372"/>
      <c r="AD131" s="372"/>
      <c r="AE131" s="372"/>
      <c r="AF131" s="372"/>
      <c r="AG131" s="372"/>
      <c r="AH131" s="372"/>
      <c r="AI131" s="372"/>
      <c r="AJ131" s="372"/>
      <c r="AK131" s="372"/>
      <c r="AL131" s="372"/>
      <c r="AM131" s="493" t="s">
        <v>39</v>
      </c>
      <c r="AN131" s="494">
        <v>13</v>
      </c>
      <c r="AO131" s="494">
        <v>1</v>
      </c>
      <c r="AP131" s="495">
        <f>_xlfn.IFS(AG14=20,34,AG14&gt;=18,33,AG14&gt;=14,32,AG14&gt;=11,30,AG14=10,29,AG14&gt;=7,27,AG14=6,26,AG14&gt;=3,20,AG14=2,18,AG14=1,7,1,0)</f>
        <v>7</v>
      </c>
      <c r="AQ131" s="372"/>
      <c r="AR131" s="372"/>
      <c r="AS131" s="372"/>
      <c r="AT131" s="372"/>
      <c r="AU131" s="372"/>
      <c r="AV131" s="372"/>
      <c r="AW131" s="372"/>
      <c r="AX131" s="372"/>
      <c r="AY131" s="372"/>
      <c r="AZ131" s="372"/>
      <c r="BA131" s="372"/>
      <c r="BB131" s="372"/>
      <c r="BC131" s="192" t="str">
        <f t="shared" si="48"/>
        <v/>
      </c>
      <c r="BD131" s="193" t="str">
        <f t="shared" si="47"/>
        <v/>
      </c>
      <c r="BE131" s="192" t="str">
        <f t="shared" si="46"/>
        <v/>
      </c>
      <c r="BF131" s="200" t="str">
        <f t="array" ref="BF131">INDEX(BE:BE,SMALL(IF($BE$2:$BE$143&lt;&gt;"",ROW($2:$143),144),ROW(BE130)))&amp;""</f>
        <v/>
      </c>
      <c r="BG131" s="372"/>
      <c r="BH131" s="372"/>
      <c r="BI131" s="372"/>
      <c r="BJ131" s="372"/>
      <c r="BK131" s="372"/>
      <c r="BL131" s="372"/>
      <c r="BM131" s="372"/>
      <c r="BN131" s="372"/>
      <c r="BO131" s="372"/>
      <c r="BP131" s="372"/>
      <c r="BQ131" s="372"/>
      <c r="BR131" s="372"/>
      <c r="BS131" s="372"/>
      <c r="BT131" s="372"/>
      <c r="BU131" s="372"/>
      <c r="BV131" s="372"/>
      <c r="BW131" s="372"/>
      <c r="BX131" s="372"/>
      <c r="BY131" s="372"/>
      <c r="BZ131" s="372"/>
    </row>
    <row r="132" customHeight="1" spans="1:78">
      <c r="A132" s="375">
        <v>116</v>
      </c>
      <c r="B132" s="372"/>
      <c r="C132" s="372"/>
      <c r="D132" s="372"/>
      <c r="E132" s="372"/>
      <c r="F132" s="466" t="s">
        <v>3653</v>
      </c>
      <c r="G132" s="466" t="s">
        <v>3654</v>
      </c>
      <c r="H132" s="372"/>
      <c r="I132" s="372"/>
      <c r="J132" s="359" t="s">
        <v>3655</v>
      </c>
      <c r="K132" s="359" t="s">
        <v>3656</v>
      </c>
      <c r="L132" s="372"/>
      <c r="M132" s="372"/>
      <c r="N132" s="372"/>
      <c r="O132" s="372"/>
      <c r="P132" s="372"/>
      <c r="Q132" s="372"/>
      <c r="R132" s="372"/>
      <c r="S132" s="372"/>
      <c r="T132" s="372"/>
      <c r="U132" s="372"/>
      <c r="V132" s="298" t="s">
        <v>3657</v>
      </c>
      <c r="W132" s="298" t="s">
        <v>3658</v>
      </c>
      <c r="X132" s="372"/>
      <c r="Y132" s="372"/>
      <c r="Z132" s="372"/>
      <c r="AA132" s="376"/>
      <c r="AB132" s="372"/>
      <c r="AC132" s="372"/>
      <c r="AD132" s="372"/>
      <c r="AE132" s="372"/>
      <c r="AF132" s="372"/>
      <c r="AG132" s="372"/>
      <c r="AH132" s="372"/>
      <c r="AI132" s="372"/>
      <c r="AJ132" s="372"/>
      <c r="AK132" s="372"/>
      <c r="AL132" s="372"/>
      <c r="AM132" s="307" t="s">
        <v>1735</v>
      </c>
      <c r="AN132" s="373"/>
      <c r="AO132" s="373">
        <v>35</v>
      </c>
      <c r="AP132" s="374">
        <f>_xlfn.IFS(AG14&gt;=15,40,AG14&gt;=9,39,AG14&gt;=5,38,AG14&gt;=3,37,1,0)</f>
        <v>0</v>
      </c>
      <c r="AQ132" s="372"/>
      <c r="AR132" s="372"/>
      <c r="AS132" s="372"/>
      <c r="AT132" s="372"/>
      <c r="AU132" s="372"/>
      <c r="AV132" s="372"/>
      <c r="AW132" s="372"/>
      <c r="AX132" s="372"/>
      <c r="AY132" s="372"/>
      <c r="AZ132" s="372"/>
      <c r="BA132" s="372"/>
      <c r="BB132" s="372"/>
      <c r="BC132" s="192" t="str">
        <f t="shared" si="48"/>
        <v/>
      </c>
      <c r="BD132" s="193" t="str">
        <f t="shared" si="47"/>
        <v/>
      </c>
      <c r="BE132" s="192" t="str">
        <f t="shared" si="46"/>
        <v/>
      </c>
      <c r="BF132" s="200" t="str">
        <f t="array" ref="BF132">INDEX(BE:BE,SMALL(IF($BE$2:$BE$143&lt;&gt;"",ROW($2:$143),144),ROW(BE131)))&amp;""</f>
        <v/>
      </c>
      <c r="BG132" s="372"/>
      <c r="BH132" s="372"/>
      <c r="BI132" s="372"/>
      <c r="BJ132" s="372"/>
      <c r="BK132" s="372"/>
      <c r="BL132" s="372"/>
      <c r="BM132" s="372"/>
      <c r="BN132" s="372"/>
      <c r="BO132" s="372"/>
      <c r="BP132" s="372"/>
      <c r="BQ132" s="372"/>
      <c r="BR132" s="372"/>
      <c r="BS132" s="372"/>
      <c r="BT132" s="372"/>
      <c r="BU132" s="372"/>
      <c r="BV132" s="372"/>
      <c r="BW132" s="372"/>
      <c r="BX132" s="372"/>
      <c r="BY132" s="372"/>
      <c r="BZ132" s="372"/>
    </row>
    <row r="133" customHeight="1" spans="1:78">
      <c r="A133" s="375">
        <v>117</v>
      </c>
      <c r="B133" s="372"/>
      <c r="C133" s="372"/>
      <c r="D133" s="372"/>
      <c r="E133" s="372"/>
      <c r="F133" s="298" t="str">
        <f>IF(OR(BH55&lt;1,COUNTIF($BG$2:$BG$46,"神圣打击")),"神圣打击","")</f>
        <v>神圣打击</v>
      </c>
      <c r="G133" s="298" t="s">
        <v>3659</v>
      </c>
      <c r="H133" s="372"/>
      <c r="I133" s="372"/>
      <c r="J133" s="359" t="s">
        <v>3660</v>
      </c>
      <c r="K133" s="359" t="s">
        <v>3661</v>
      </c>
      <c r="L133" s="372"/>
      <c r="M133" s="372"/>
      <c r="N133" s="372"/>
      <c r="O133" s="372"/>
      <c r="P133" s="372"/>
      <c r="Q133" s="372"/>
      <c r="R133" s="372"/>
      <c r="S133" s="372"/>
      <c r="T133" s="372"/>
      <c r="U133" s="372"/>
      <c r="V133" s="298" t="s">
        <v>3662</v>
      </c>
      <c r="W133" s="298" t="s">
        <v>3663</v>
      </c>
      <c r="X133" s="372"/>
      <c r="Y133" s="372"/>
      <c r="Z133" s="372"/>
      <c r="AA133" s="376"/>
      <c r="AB133" s="372"/>
      <c r="AC133" s="372"/>
      <c r="AD133" s="372"/>
      <c r="AE133" s="372"/>
      <c r="AF133" s="372"/>
      <c r="AG133" s="372"/>
      <c r="AH133" s="372"/>
      <c r="AI133" s="372"/>
      <c r="AJ133" s="372"/>
      <c r="AK133" s="372"/>
      <c r="AL133" s="372"/>
      <c r="AM133" s="307" t="s">
        <v>1736</v>
      </c>
      <c r="AN133" s="373"/>
      <c r="AO133" s="373">
        <v>41</v>
      </c>
      <c r="AP133" s="374">
        <f>_xlfn.IFS(AG14&gt;=15,49,AG14&gt;=9,48,AG14&gt;=5,47,AG14&gt;=3,46,1,0)</f>
        <v>0</v>
      </c>
      <c r="AQ133" s="372"/>
      <c r="AR133" s="372"/>
      <c r="AS133" s="372"/>
      <c r="AT133" s="372"/>
      <c r="AU133" s="372"/>
      <c r="AV133" s="372"/>
      <c r="AW133" s="372"/>
      <c r="AX133" s="372"/>
      <c r="AY133" s="372"/>
      <c r="AZ133" s="372"/>
      <c r="BA133" s="372"/>
      <c r="BB133" s="372"/>
      <c r="BC133" s="204" t="str">
        <f t="shared" si="48"/>
        <v/>
      </c>
      <c r="BD133" s="235" t="str">
        <f t="shared" si="47"/>
        <v/>
      </c>
      <c r="BE133" s="192" t="str">
        <f t="shared" si="46"/>
        <v/>
      </c>
      <c r="BF133" s="200" t="str">
        <f t="array" ref="BF133">INDEX(BE:BE,SMALL(IF($BE$2:$BE$143&lt;&gt;"",ROW($2:$143),144),ROW(BE132)))&amp;""</f>
        <v/>
      </c>
      <c r="BG133" s="372"/>
      <c r="BH133" s="372"/>
      <c r="BI133" s="372"/>
      <c r="BJ133" s="372"/>
      <c r="BK133" s="372"/>
      <c r="BL133" s="372"/>
      <c r="BM133" s="372"/>
      <c r="BN133" s="372"/>
      <c r="BO133" s="372"/>
      <c r="BP133" s="372"/>
      <c r="BQ133" s="372"/>
      <c r="BR133" s="372"/>
      <c r="BS133" s="372"/>
      <c r="BT133" s="372"/>
      <c r="BU133" s="372"/>
      <c r="BV133" s="372"/>
      <c r="BW133" s="372"/>
      <c r="BX133" s="372"/>
      <c r="BY133" s="372"/>
      <c r="BZ133" s="372"/>
    </row>
    <row r="134" customHeight="1" spans="1:78">
      <c r="A134" s="375">
        <v>118</v>
      </c>
      <c r="B134" s="372"/>
      <c r="C134" s="372"/>
      <c r="D134" s="372"/>
      <c r="E134" s="372"/>
      <c r="F134" s="298" t="s">
        <v>2335</v>
      </c>
      <c r="G134" s="298" t="s">
        <v>3664</v>
      </c>
      <c r="H134" s="372"/>
      <c r="I134" s="372"/>
      <c r="J134" s="359" t="s">
        <v>3665</v>
      </c>
      <c r="K134" s="359" t="s">
        <v>3666</v>
      </c>
      <c r="L134" s="372"/>
      <c r="M134" s="372"/>
      <c r="N134" s="372"/>
      <c r="O134" s="372"/>
      <c r="P134" s="372"/>
      <c r="Q134" s="372"/>
      <c r="R134" s="372"/>
      <c r="S134" s="372"/>
      <c r="T134" s="372"/>
      <c r="U134" s="372"/>
      <c r="V134" s="298" t="s">
        <v>3667</v>
      </c>
      <c r="W134" s="298" t="s">
        <v>3668</v>
      </c>
      <c r="X134" s="372"/>
      <c r="Y134" s="372"/>
      <c r="Z134" s="372"/>
      <c r="AA134" s="376"/>
      <c r="AB134" s="372"/>
      <c r="AC134" s="372"/>
      <c r="AD134" s="372"/>
      <c r="AE134" s="372"/>
      <c r="AF134" s="372"/>
      <c r="AG134" s="372"/>
      <c r="AH134" s="372"/>
      <c r="AI134" s="372"/>
      <c r="AJ134" s="372"/>
      <c r="AK134" s="372"/>
      <c r="AL134" s="372"/>
      <c r="AM134" s="307" t="s">
        <v>1737</v>
      </c>
      <c r="AN134" s="373"/>
      <c r="AO134" s="373">
        <v>50</v>
      </c>
      <c r="AP134" s="374">
        <f>_xlfn.IFS(AG14&gt;=15,56,AG14&gt;=9,55,AG14&gt;=5,54,AG14&gt;=3,53,1,0)</f>
        <v>0</v>
      </c>
      <c r="AQ134" s="372"/>
      <c r="AR134" s="372"/>
      <c r="AS134" s="372"/>
      <c r="AT134" s="372"/>
      <c r="AU134" s="372"/>
      <c r="AV134" s="372"/>
      <c r="AW134" s="372"/>
      <c r="AX134" s="372"/>
      <c r="AY134" s="372"/>
      <c r="AZ134" s="372"/>
      <c r="BA134" s="372"/>
      <c r="BB134" s="373" t="s">
        <v>2027</v>
      </c>
      <c r="BC134" s="192" t="str">
        <f t="shared" ref="BC134:BC143" si="49">IF($BB$135=1,T30,"")</f>
        <v/>
      </c>
      <c r="BD134" s="193" t="str">
        <f t="shared" ref="BD134:BD143" si="50">IF($BB$135=1,U30,"")</f>
        <v/>
      </c>
      <c r="BE134" s="192" t="str">
        <f t="shared" si="46"/>
        <v/>
      </c>
      <c r="BF134" s="200" t="str">
        <f t="array" ref="BF134">INDEX(BE:BE,SMALL(IF($BE$2:$BE$143&lt;&gt;"",ROW($2:$143),144),ROW(BE133)))&amp;""</f>
        <v/>
      </c>
      <c r="BG134" s="372"/>
      <c r="BH134" s="372"/>
      <c r="BI134" s="372"/>
      <c r="BJ134" s="372"/>
      <c r="BK134" s="372"/>
      <c r="BL134" s="372"/>
      <c r="BM134" s="372"/>
      <c r="BN134" s="372"/>
      <c r="BO134" s="372"/>
      <c r="BP134" s="372"/>
      <c r="BQ134" s="372"/>
      <c r="BR134" s="372"/>
      <c r="BS134" s="372"/>
      <c r="BT134" s="372"/>
      <c r="BU134" s="372"/>
      <c r="BV134" s="372"/>
      <c r="BW134" s="372"/>
      <c r="BX134" s="372"/>
      <c r="BY134" s="372"/>
      <c r="BZ134" s="372"/>
    </row>
    <row r="135" customHeight="1" spans="1:78">
      <c r="A135" s="375">
        <v>119</v>
      </c>
      <c r="B135" s="372"/>
      <c r="C135" s="372"/>
      <c r="D135" s="372"/>
      <c r="E135" s="372"/>
      <c r="F135" s="359" t="s">
        <v>3669</v>
      </c>
      <c r="G135" s="359" t="s">
        <v>3670</v>
      </c>
      <c r="H135" s="372"/>
      <c r="I135" s="372"/>
      <c r="J135" s="359" t="s">
        <v>3671</v>
      </c>
      <c r="K135" s="359" t="s">
        <v>3672</v>
      </c>
      <c r="L135" s="372"/>
      <c r="M135" s="372"/>
      <c r="N135" s="372"/>
      <c r="O135" s="372"/>
      <c r="P135" s="372"/>
      <c r="Q135" s="372"/>
      <c r="R135" s="372"/>
      <c r="S135" s="372"/>
      <c r="T135" s="372"/>
      <c r="U135" s="372"/>
      <c r="V135" s="298" t="s">
        <v>3673</v>
      </c>
      <c r="W135" s="298" t="s">
        <v>3674</v>
      </c>
      <c r="X135" s="372"/>
      <c r="Y135" s="372"/>
      <c r="Z135" s="372"/>
      <c r="AA135" s="376"/>
      <c r="AB135" s="372"/>
      <c r="AC135" s="372"/>
      <c r="AD135" s="372"/>
      <c r="AE135" s="372"/>
      <c r="AF135" s="372"/>
      <c r="AG135" s="372"/>
      <c r="AH135" s="372"/>
      <c r="AI135" s="372"/>
      <c r="AJ135" s="372"/>
      <c r="AK135" s="372"/>
      <c r="AL135" s="372"/>
      <c r="AM135" s="496" t="s">
        <v>3675</v>
      </c>
      <c r="AN135" s="427"/>
      <c r="AO135" s="427">
        <v>57</v>
      </c>
      <c r="AP135" s="497">
        <f>_xlfn.IFS(AG14&gt;=15,65,AG14&gt;=9,64,AG14&gt;=5,63,AG14&gt;=3,62,1,0)</f>
        <v>0</v>
      </c>
      <c r="AQ135" s="372"/>
      <c r="AR135" s="372"/>
      <c r="AS135" s="372"/>
      <c r="AT135" s="372"/>
      <c r="AU135" s="372"/>
      <c r="AV135" s="372"/>
      <c r="AW135" s="372"/>
      <c r="AX135" s="372"/>
      <c r="AY135" s="372"/>
      <c r="AZ135" s="372"/>
      <c r="BA135" s="372"/>
      <c r="BB135" s="372">
        <f>IF(AND(COUNTIF(专长数据!E2:E7,专长数据!A83),AG11&lt;3),1,0)</f>
        <v>0</v>
      </c>
      <c r="BC135" s="192" t="str">
        <f t="shared" si="49"/>
        <v/>
      </c>
      <c r="BD135" s="193" t="str">
        <f t="shared" si="50"/>
        <v/>
      </c>
      <c r="BE135" s="192" t="str">
        <f t="shared" si="46"/>
        <v/>
      </c>
      <c r="BF135" s="200" t="str">
        <f t="array" ref="BF135">INDEX(BE:BE,SMALL(IF($BE$2:$BE$143&lt;&gt;"",ROW($2:$143),144),ROW(BE134)))&amp;""</f>
        <v/>
      </c>
      <c r="BG135" s="372"/>
      <c r="BH135" s="372"/>
      <c r="BI135" s="372"/>
      <c r="BJ135" s="372"/>
      <c r="BK135" s="372"/>
      <c r="BL135" s="372"/>
      <c r="BM135" s="372"/>
      <c r="BN135" s="372"/>
      <c r="BO135" s="372"/>
      <c r="BP135" s="372"/>
      <c r="BQ135" s="372"/>
      <c r="BR135" s="372"/>
      <c r="BS135" s="372"/>
      <c r="BT135" s="372"/>
      <c r="BU135" s="372"/>
      <c r="BV135" s="372"/>
      <c r="BW135" s="372"/>
      <c r="BX135" s="372"/>
      <c r="BY135" s="372"/>
      <c r="BZ135" s="372"/>
    </row>
    <row r="136" customHeight="1" spans="1:78">
      <c r="A136" s="375">
        <v>120</v>
      </c>
      <c r="B136" s="372"/>
      <c r="C136" s="372"/>
      <c r="D136" s="372"/>
      <c r="E136" s="372"/>
      <c r="F136" s="359" t="s">
        <v>2229</v>
      </c>
      <c r="G136" s="359" t="s">
        <v>2230</v>
      </c>
      <c r="H136" s="372"/>
      <c r="I136" s="372"/>
      <c r="J136" s="359" t="s">
        <v>3676</v>
      </c>
      <c r="K136" s="359" t="s">
        <v>3677</v>
      </c>
      <c r="L136" s="372"/>
      <c r="M136" s="372"/>
      <c r="N136" s="372"/>
      <c r="O136" s="372"/>
      <c r="P136" s="372"/>
      <c r="Q136" s="372"/>
      <c r="R136" s="372"/>
      <c r="S136" s="372"/>
      <c r="T136" s="372"/>
      <c r="U136" s="372"/>
      <c r="V136" s="298" t="s">
        <v>3678</v>
      </c>
      <c r="W136" s="298" t="s">
        <v>3679</v>
      </c>
      <c r="X136" s="372"/>
      <c r="Y136" s="372"/>
      <c r="Z136" s="372"/>
      <c r="AA136" s="376"/>
      <c r="AB136" s="372"/>
      <c r="AC136" s="372"/>
      <c r="AD136" s="372"/>
      <c r="AE136" s="372"/>
      <c r="AF136" s="372"/>
      <c r="AG136" s="372"/>
      <c r="AH136" s="372"/>
      <c r="AI136" s="372"/>
      <c r="AJ136" s="372"/>
      <c r="AK136" s="372"/>
      <c r="AL136" s="372"/>
      <c r="AQ136" s="372"/>
      <c r="AR136" s="372"/>
      <c r="AS136" s="372"/>
      <c r="AT136" s="372"/>
      <c r="AU136" s="372"/>
      <c r="AV136" s="372"/>
      <c r="AW136" s="372"/>
      <c r="AX136" s="372"/>
      <c r="AY136" s="372"/>
      <c r="AZ136" s="372"/>
      <c r="BA136" s="372"/>
      <c r="BB136" s="372"/>
      <c r="BC136" s="192" t="str">
        <f t="shared" si="49"/>
        <v/>
      </c>
      <c r="BD136" s="193" t="str">
        <f t="shared" si="50"/>
        <v/>
      </c>
      <c r="BE136" s="192" t="str">
        <f t="shared" si="46"/>
        <v/>
      </c>
      <c r="BF136" s="200" t="str">
        <f t="array" ref="BF136">INDEX(BE:BE,SMALL(IF($BE$2:$BE$143&lt;&gt;"",ROW($2:$143),144),ROW(BE135)))&amp;""</f>
        <v/>
      </c>
      <c r="BG136" s="372"/>
      <c r="BH136" s="372"/>
      <c r="BI136" s="372"/>
      <c r="BJ136" s="372"/>
      <c r="BK136" s="372"/>
      <c r="BL136" s="372"/>
      <c r="BM136" s="372"/>
      <c r="BN136" s="372"/>
      <c r="BO136" s="372"/>
      <c r="BP136" s="372"/>
      <c r="BQ136" s="372"/>
      <c r="BR136" s="372"/>
      <c r="BS136" s="372"/>
      <c r="BT136" s="372"/>
      <c r="BU136" s="372"/>
      <c r="BV136" s="372"/>
      <c r="BW136" s="372"/>
      <c r="BX136" s="372"/>
      <c r="BY136" s="372"/>
      <c r="BZ136" s="372"/>
    </row>
    <row r="137" customHeight="1" spans="1:78">
      <c r="A137" s="375">
        <v>121</v>
      </c>
      <c r="B137" s="372"/>
      <c r="C137" s="372"/>
      <c r="D137" s="372"/>
      <c r="E137" s="372"/>
      <c r="F137" s="359" t="s">
        <v>3680</v>
      </c>
      <c r="G137" s="359" t="s">
        <v>3681</v>
      </c>
      <c r="H137" s="372"/>
      <c r="I137" s="372"/>
      <c r="J137" s="372"/>
      <c r="K137" s="372"/>
      <c r="L137" s="372"/>
      <c r="M137" s="372"/>
      <c r="N137" s="372"/>
      <c r="O137" s="372"/>
      <c r="P137" s="372"/>
      <c r="Q137" s="372"/>
      <c r="R137" s="372"/>
      <c r="S137" s="372"/>
      <c r="T137" s="372"/>
      <c r="U137" s="372"/>
      <c r="V137" s="359" t="s">
        <v>3682</v>
      </c>
      <c r="W137" s="359" t="s">
        <v>3683</v>
      </c>
      <c r="X137" s="372"/>
      <c r="Y137" s="372"/>
      <c r="Z137" s="372"/>
      <c r="AA137" s="376"/>
      <c r="AB137" s="372"/>
      <c r="AC137" s="372"/>
      <c r="AD137" s="372"/>
      <c r="AE137" s="372"/>
      <c r="AF137" s="372"/>
      <c r="AG137" s="372"/>
      <c r="AH137" s="372"/>
      <c r="AI137" s="372"/>
      <c r="AJ137" s="372"/>
      <c r="AK137" s="372"/>
      <c r="AL137" s="372"/>
      <c r="AQ137" s="372"/>
      <c r="AR137" s="372"/>
      <c r="AS137" s="372"/>
      <c r="AT137" s="372"/>
      <c r="AU137" s="372"/>
      <c r="AV137" s="372"/>
      <c r="AW137" s="372"/>
      <c r="AX137" s="372"/>
      <c r="AY137" s="372"/>
      <c r="AZ137" s="372"/>
      <c r="BA137" s="372"/>
      <c r="BB137" s="372"/>
      <c r="BC137" s="192" t="str">
        <f t="shared" si="49"/>
        <v/>
      </c>
      <c r="BD137" s="193" t="str">
        <f t="shared" si="50"/>
        <v/>
      </c>
      <c r="BE137" s="192" t="str">
        <f t="shared" si="46"/>
        <v/>
      </c>
      <c r="BF137" s="200" t="str">
        <f t="array" ref="BF137">INDEX(BE:BE,SMALL(IF($BE$2:$BE$143&lt;&gt;"",ROW($2:$143),144),ROW(BE136)))&amp;""</f>
        <v/>
      </c>
      <c r="BG137" s="372"/>
      <c r="BH137" s="372"/>
      <c r="BI137" s="372"/>
      <c r="BJ137" s="372"/>
      <c r="BK137" s="372"/>
      <c r="BL137" s="372"/>
      <c r="BM137" s="372"/>
      <c r="BN137" s="372"/>
      <c r="BO137" s="372"/>
      <c r="BP137" s="372"/>
      <c r="BQ137" s="372"/>
      <c r="BR137" s="372"/>
      <c r="BS137" s="372"/>
      <c r="BT137" s="372"/>
      <c r="BU137" s="372"/>
      <c r="BV137" s="372"/>
      <c r="BW137" s="372"/>
      <c r="BX137" s="372"/>
      <c r="BY137" s="372"/>
      <c r="BZ137" s="372"/>
    </row>
    <row r="138" customHeight="1" spans="1:78">
      <c r="A138" s="375">
        <v>122</v>
      </c>
      <c r="B138" s="372"/>
      <c r="C138" s="372"/>
      <c r="D138" s="372"/>
      <c r="E138" s="372"/>
      <c r="F138" s="470" t="s">
        <v>3684</v>
      </c>
      <c r="G138" s="470" t="s">
        <v>3685</v>
      </c>
      <c r="H138" s="372"/>
      <c r="I138" s="372"/>
      <c r="J138" s="372"/>
      <c r="K138" s="372"/>
      <c r="L138" s="372"/>
      <c r="M138" s="372"/>
      <c r="N138" s="372"/>
      <c r="O138" s="372"/>
      <c r="P138" s="372"/>
      <c r="Q138" s="372"/>
      <c r="R138" s="372"/>
      <c r="S138" s="372"/>
      <c r="T138" s="372"/>
      <c r="U138" s="372"/>
      <c r="V138" s="359" t="s">
        <v>3686</v>
      </c>
      <c r="W138" s="359" t="s">
        <v>3687</v>
      </c>
      <c r="X138" s="372"/>
      <c r="Y138" s="372"/>
      <c r="Z138" s="372"/>
      <c r="AA138" s="376"/>
      <c r="AB138" s="372"/>
      <c r="AC138" s="372"/>
      <c r="AD138" s="372"/>
      <c r="AE138" s="372"/>
      <c r="AF138" s="372"/>
      <c r="AG138" s="372"/>
      <c r="AH138" s="372"/>
      <c r="AI138" s="372"/>
      <c r="AJ138" s="372"/>
      <c r="AK138" s="372"/>
      <c r="AL138" s="372"/>
      <c r="AQ138" s="372"/>
      <c r="AR138" s="372"/>
      <c r="AS138" s="372"/>
      <c r="AT138" s="372"/>
      <c r="AU138" s="372"/>
      <c r="AV138" s="372"/>
      <c r="AW138" s="372"/>
      <c r="AX138" s="372"/>
      <c r="AY138" s="372"/>
      <c r="AZ138" s="372"/>
      <c r="BA138" s="372"/>
      <c r="BB138" s="372"/>
      <c r="BC138" s="192" t="str">
        <f t="shared" si="49"/>
        <v/>
      </c>
      <c r="BD138" s="193" t="str">
        <f t="shared" si="50"/>
        <v/>
      </c>
      <c r="BE138" s="192" t="str">
        <f t="shared" si="46"/>
        <v/>
      </c>
      <c r="BF138" s="200" t="str">
        <f t="array" ref="BF138">INDEX(BE:BE,SMALL(IF($BE$2:$BE$143&lt;&gt;"",ROW($2:$143),144),ROW(BE137)))&amp;""</f>
        <v/>
      </c>
      <c r="BG138" s="372"/>
      <c r="BH138" s="372"/>
      <c r="BI138" s="372"/>
      <c r="BJ138" s="372"/>
      <c r="BK138" s="372"/>
      <c r="BL138" s="372"/>
      <c r="BM138" s="372"/>
      <c r="BN138" s="372"/>
      <c r="BO138" s="372"/>
      <c r="BP138" s="372"/>
      <c r="BQ138" s="372"/>
      <c r="BR138" s="372"/>
      <c r="BS138" s="372"/>
      <c r="BT138" s="372"/>
      <c r="BU138" s="372"/>
      <c r="BV138" s="372"/>
      <c r="BW138" s="372"/>
      <c r="BX138" s="372"/>
      <c r="BY138" s="372"/>
      <c r="BZ138" s="372"/>
    </row>
    <row r="139" customHeight="1" spans="1:78">
      <c r="A139" s="375">
        <v>123</v>
      </c>
      <c r="B139" s="372"/>
      <c r="C139" s="372"/>
      <c r="D139" s="372"/>
      <c r="E139" s="372"/>
      <c r="F139" s="470" t="s">
        <v>3688</v>
      </c>
      <c r="G139" s="470" t="s">
        <v>3689</v>
      </c>
      <c r="H139" s="372"/>
      <c r="I139" s="372"/>
      <c r="J139" s="372"/>
      <c r="K139" s="372"/>
      <c r="L139" s="372"/>
      <c r="M139" s="372"/>
      <c r="N139" s="372"/>
      <c r="O139" s="372"/>
      <c r="P139" s="372"/>
      <c r="Q139" s="372"/>
      <c r="R139" s="372"/>
      <c r="S139" s="372"/>
      <c r="T139" s="372"/>
      <c r="U139" s="372"/>
      <c r="V139" s="359" t="s">
        <v>3690</v>
      </c>
      <c r="W139" s="359" t="s">
        <v>3691</v>
      </c>
      <c r="X139" s="372"/>
      <c r="Y139" s="372"/>
      <c r="Z139" s="372"/>
      <c r="AA139" s="376"/>
      <c r="AB139" s="372"/>
      <c r="AC139" s="372"/>
      <c r="AD139" s="372"/>
      <c r="AE139" s="372"/>
      <c r="AF139" s="372"/>
      <c r="AG139" s="372"/>
      <c r="AH139" s="372"/>
      <c r="AI139" s="372"/>
      <c r="AJ139" s="372"/>
      <c r="AK139" s="372"/>
      <c r="AL139" s="372"/>
      <c r="AQ139" s="372"/>
      <c r="AR139" s="372"/>
      <c r="AS139" s="372"/>
      <c r="AT139" s="372"/>
      <c r="AU139" s="372"/>
      <c r="AV139" s="372"/>
      <c r="AW139" s="372"/>
      <c r="AX139" s="372"/>
      <c r="AY139" s="372"/>
      <c r="AZ139" s="372"/>
      <c r="BA139" s="372"/>
      <c r="BB139" s="372"/>
      <c r="BC139" s="192" t="str">
        <f t="shared" si="49"/>
        <v/>
      </c>
      <c r="BD139" s="193" t="str">
        <f t="shared" si="50"/>
        <v/>
      </c>
      <c r="BE139" s="192" t="str">
        <f t="shared" si="46"/>
        <v/>
      </c>
      <c r="BF139" s="200" t="str">
        <f t="array" ref="BF139">INDEX(BE:BE,SMALL(IF($BE$2:$BE$143&lt;&gt;"",ROW($2:$143),144),ROW(BE138)))&amp;""</f>
        <v/>
      </c>
      <c r="BG139" s="372"/>
      <c r="BH139" s="372"/>
      <c r="BI139" s="372"/>
      <c r="BJ139" s="372"/>
      <c r="BK139" s="372"/>
      <c r="BL139" s="372"/>
      <c r="BM139" s="372"/>
      <c r="BN139" s="372"/>
      <c r="BO139" s="372"/>
      <c r="BP139" s="372"/>
      <c r="BQ139" s="372"/>
      <c r="BR139" s="372"/>
      <c r="BS139" s="372"/>
      <c r="BT139" s="372"/>
      <c r="BU139" s="372"/>
      <c r="BV139" s="372"/>
      <c r="BW139" s="372"/>
      <c r="BX139" s="372"/>
      <c r="BY139" s="372"/>
      <c r="BZ139" s="372"/>
    </row>
    <row r="140" customHeight="1" spans="1:78">
      <c r="A140" s="375">
        <v>124</v>
      </c>
      <c r="B140" s="372"/>
      <c r="C140" s="372"/>
      <c r="D140" s="372"/>
      <c r="E140" s="372"/>
      <c r="F140" s="359" t="str">
        <f>IF(OR(BH55&lt;1,COUNTIF($BG$2:$BG$46,"神圣打击")),"神圣打击","")</f>
        <v>神圣打击</v>
      </c>
      <c r="G140" s="359" t="s">
        <v>3659</v>
      </c>
      <c r="H140" s="372"/>
      <c r="I140" s="372"/>
      <c r="J140" s="372"/>
      <c r="K140" s="372"/>
      <c r="L140" s="372"/>
      <c r="M140" s="372"/>
      <c r="N140" s="372"/>
      <c r="O140" s="372"/>
      <c r="P140" s="372"/>
      <c r="Q140" s="372"/>
      <c r="R140" s="372"/>
      <c r="S140" s="372"/>
      <c r="T140" s="372"/>
      <c r="U140" s="372"/>
      <c r="V140" s="359" t="s">
        <v>3692</v>
      </c>
      <c r="W140" s="359" t="s">
        <v>3693</v>
      </c>
      <c r="X140" s="372"/>
      <c r="Y140" s="372"/>
      <c r="Z140" s="372"/>
      <c r="AA140" s="376"/>
      <c r="AB140" s="372"/>
      <c r="AC140" s="372"/>
      <c r="AD140" s="372"/>
      <c r="AE140" s="372"/>
      <c r="AF140" s="372"/>
      <c r="AG140" s="372"/>
      <c r="AH140" s="372"/>
      <c r="AI140" s="372"/>
      <c r="AJ140" s="372"/>
      <c r="AK140" s="372"/>
      <c r="AL140" s="372"/>
      <c r="AQ140" s="372"/>
      <c r="AR140" s="372"/>
      <c r="AS140" s="372"/>
      <c r="AT140" s="372"/>
      <c r="AU140" s="372"/>
      <c r="AV140" s="372"/>
      <c r="AW140" s="372"/>
      <c r="AX140" s="372"/>
      <c r="AY140" s="372"/>
      <c r="AZ140" s="372"/>
      <c r="BA140" s="372"/>
      <c r="BB140" s="372"/>
      <c r="BC140" s="192" t="str">
        <f t="shared" si="49"/>
        <v/>
      </c>
      <c r="BD140" s="193" t="str">
        <f t="shared" si="50"/>
        <v/>
      </c>
      <c r="BE140" s="192" t="str">
        <f t="shared" si="46"/>
        <v/>
      </c>
      <c r="BF140" s="200" t="str">
        <f t="array" ref="BF140">INDEX(BE:BE,SMALL(IF($BE$2:$BE$143&lt;&gt;"",ROW($2:$143),144),ROW(BE139)))&amp;""</f>
        <v/>
      </c>
      <c r="BG140" s="372"/>
      <c r="BH140" s="372"/>
      <c r="BI140" s="372"/>
      <c r="BJ140" s="372"/>
      <c r="BK140" s="372"/>
      <c r="BL140" s="372"/>
      <c r="BM140" s="372"/>
      <c r="BN140" s="372"/>
      <c r="BO140" s="372"/>
      <c r="BP140" s="372"/>
      <c r="BQ140" s="372"/>
      <c r="BR140" s="372"/>
      <c r="BS140" s="372"/>
      <c r="BT140" s="372"/>
      <c r="BU140" s="372"/>
      <c r="BV140" s="372"/>
      <c r="BW140" s="372"/>
      <c r="BX140" s="372"/>
      <c r="BY140" s="372"/>
      <c r="BZ140" s="372"/>
    </row>
    <row r="141" customHeight="1" spans="1:78">
      <c r="A141" s="375">
        <v>125</v>
      </c>
      <c r="B141" s="372"/>
      <c r="C141" s="372"/>
      <c r="D141" s="372"/>
      <c r="E141" s="372"/>
      <c r="F141" s="359" t="s">
        <v>3102</v>
      </c>
      <c r="G141" s="359" t="s">
        <v>3694</v>
      </c>
      <c r="H141" s="372"/>
      <c r="I141" s="372"/>
      <c r="J141" s="372"/>
      <c r="K141" s="372"/>
      <c r="L141" s="372"/>
      <c r="M141" s="372"/>
      <c r="N141" s="372"/>
      <c r="O141" s="372"/>
      <c r="P141" s="372"/>
      <c r="Q141" s="372"/>
      <c r="R141" s="372"/>
      <c r="S141" s="372"/>
      <c r="T141" s="372"/>
      <c r="U141" s="372"/>
      <c r="V141" s="359" t="s">
        <v>3695</v>
      </c>
      <c r="W141" s="359" t="s">
        <v>3696</v>
      </c>
      <c r="X141" s="372"/>
      <c r="Y141" s="372"/>
      <c r="Z141" s="372"/>
      <c r="AA141" s="376"/>
      <c r="AB141" s="372"/>
      <c r="AC141" s="372"/>
      <c r="AD141" s="372"/>
      <c r="AE141" s="372"/>
      <c r="AF141" s="372"/>
      <c r="AG141" s="372"/>
      <c r="AH141" s="372"/>
      <c r="AI141" s="372"/>
      <c r="AJ141" s="372"/>
      <c r="AK141" s="372"/>
      <c r="AL141" s="372"/>
      <c r="AQ141" s="372"/>
      <c r="AR141" s="372"/>
      <c r="AS141" s="372"/>
      <c r="AT141" s="372"/>
      <c r="AU141" s="372"/>
      <c r="AV141" s="372"/>
      <c r="AW141" s="372"/>
      <c r="AX141" s="372"/>
      <c r="AY141" s="372"/>
      <c r="AZ141" s="372"/>
      <c r="BA141" s="372"/>
      <c r="BB141" s="372"/>
      <c r="BC141" s="192" t="str">
        <f t="shared" si="49"/>
        <v/>
      </c>
      <c r="BD141" s="193" t="str">
        <f t="shared" si="50"/>
        <v/>
      </c>
      <c r="BE141" s="192" t="str">
        <f t="shared" si="46"/>
        <v/>
      </c>
      <c r="BF141" s="200" t="str">
        <f t="array" ref="BF141">INDEX(BE:BE,SMALL(IF($BE$2:$BE$143&lt;&gt;"",ROW($2:$143),144),ROW(BE140)))&amp;""</f>
        <v/>
      </c>
      <c r="BG141" s="372"/>
      <c r="BH141" s="372"/>
      <c r="BI141" s="372"/>
      <c r="BJ141" s="372"/>
      <c r="BK141" s="372"/>
      <c r="BL141" s="372"/>
      <c r="BM141" s="372"/>
      <c r="BN141" s="372"/>
      <c r="BO141" s="372"/>
      <c r="BP141" s="372"/>
      <c r="BQ141" s="372"/>
      <c r="BR141" s="372"/>
      <c r="BS141" s="372"/>
      <c r="BT141" s="372"/>
      <c r="BU141" s="372"/>
      <c r="BV141" s="372"/>
      <c r="BW141" s="372"/>
      <c r="BX141" s="372"/>
      <c r="BY141" s="372"/>
      <c r="BZ141" s="372"/>
    </row>
    <row r="142" customHeight="1" spans="1:78">
      <c r="A142" s="375">
        <v>126</v>
      </c>
      <c r="B142" s="372"/>
      <c r="C142" s="372"/>
      <c r="D142" s="372"/>
      <c r="E142" s="372"/>
      <c r="F142" s="360" t="s">
        <v>3697</v>
      </c>
      <c r="G142" s="360" t="s">
        <v>3698</v>
      </c>
      <c r="H142" s="372"/>
      <c r="I142" s="372"/>
      <c r="J142" s="372"/>
      <c r="K142" s="372"/>
      <c r="L142" s="372"/>
      <c r="M142" s="372"/>
      <c r="N142" s="372"/>
      <c r="O142" s="372"/>
      <c r="P142" s="372"/>
      <c r="Q142" s="372"/>
      <c r="R142" s="372"/>
      <c r="S142" s="372"/>
      <c r="T142" s="372"/>
      <c r="U142" s="372"/>
      <c r="V142" s="372"/>
      <c r="W142" s="372"/>
      <c r="X142" s="372"/>
      <c r="Y142" s="372"/>
      <c r="Z142" s="372"/>
      <c r="AA142" s="376"/>
      <c r="AB142" s="372"/>
      <c r="AC142" s="372"/>
      <c r="AD142" s="372"/>
      <c r="AE142" s="372"/>
      <c r="AF142" s="372"/>
      <c r="AG142" s="372"/>
      <c r="AH142" s="372"/>
      <c r="AI142" s="372"/>
      <c r="AJ142" s="372"/>
      <c r="AK142" s="372"/>
      <c r="AL142" s="372"/>
      <c r="AQ142" s="372"/>
      <c r="AR142" s="372"/>
      <c r="AS142" s="372"/>
      <c r="AT142" s="372"/>
      <c r="AU142" s="372"/>
      <c r="AV142" s="372"/>
      <c r="AW142" s="372"/>
      <c r="AX142" s="372"/>
      <c r="AY142" s="372"/>
      <c r="AZ142" s="372"/>
      <c r="BA142" s="372"/>
      <c r="BB142" s="372"/>
      <c r="BC142" s="192" t="str">
        <f t="shared" si="49"/>
        <v/>
      </c>
      <c r="BD142" s="193" t="str">
        <f t="shared" si="50"/>
        <v/>
      </c>
      <c r="BE142" s="192" t="str">
        <f>IFERROR(IF(OR(#REF!="",COUNTIF($BG$2:$BG$46,#REF!)),"",#REF!),"")</f>
        <v/>
      </c>
      <c r="BF142" s="200" t="str">
        <f t="array" ref="BF142">INDEX(BE:BE,SMALL(IF($BE$2:$BE$143&lt;&gt;"",ROW($2:$143),144),ROW(BE141)))&amp;""</f>
        <v/>
      </c>
      <c r="BG142" s="372"/>
      <c r="BH142" s="372"/>
      <c r="BI142" s="372"/>
      <c r="BJ142" s="372"/>
      <c r="BK142" s="372"/>
      <c r="BL142" s="372"/>
      <c r="BM142" s="372"/>
      <c r="BN142" s="372"/>
      <c r="BO142" s="372"/>
      <c r="BP142" s="372"/>
      <c r="BQ142" s="372"/>
      <c r="BR142" s="372"/>
      <c r="BS142" s="372"/>
      <c r="BT142" s="372"/>
      <c r="BU142" s="372"/>
      <c r="BV142" s="372"/>
      <c r="BW142" s="372"/>
      <c r="BX142" s="372"/>
      <c r="BY142" s="372"/>
      <c r="BZ142" s="372"/>
    </row>
    <row r="143" customHeight="1" spans="1:78">
      <c r="A143" s="375">
        <v>127</v>
      </c>
      <c r="B143" s="372"/>
      <c r="C143" s="372"/>
      <c r="D143" s="372"/>
      <c r="E143" s="372"/>
      <c r="F143" s="360" t="s">
        <v>2403</v>
      </c>
      <c r="G143" s="360" t="s">
        <v>3699</v>
      </c>
      <c r="H143" s="372"/>
      <c r="I143" s="372"/>
      <c r="J143" s="372"/>
      <c r="K143" s="372"/>
      <c r="L143" s="372"/>
      <c r="M143" s="372"/>
      <c r="N143" s="372"/>
      <c r="O143" s="372"/>
      <c r="P143" s="372"/>
      <c r="Q143" s="372"/>
      <c r="R143" s="372"/>
      <c r="S143" s="372"/>
      <c r="T143" s="372"/>
      <c r="U143" s="372"/>
      <c r="V143" s="372"/>
      <c r="W143" s="372"/>
      <c r="X143" s="372"/>
      <c r="Y143" s="372"/>
      <c r="Z143" s="372"/>
      <c r="AA143" s="376"/>
      <c r="AB143" s="372"/>
      <c r="AC143" s="372"/>
      <c r="AD143" s="372"/>
      <c r="AE143" s="372"/>
      <c r="AF143" s="372"/>
      <c r="AG143" s="372"/>
      <c r="AH143" s="372"/>
      <c r="AI143" s="372"/>
      <c r="AJ143" s="372"/>
      <c r="AK143" s="372"/>
      <c r="AL143" s="372"/>
      <c r="AQ143" s="372"/>
      <c r="AR143" s="372"/>
      <c r="AS143" s="372"/>
      <c r="AT143" s="372"/>
      <c r="AU143" s="372"/>
      <c r="AV143" s="372"/>
      <c r="AW143" s="372"/>
      <c r="AX143" s="372"/>
      <c r="AY143" s="372"/>
      <c r="AZ143" s="372"/>
      <c r="BA143" s="372"/>
      <c r="BB143" s="372"/>
      <c r="BC143" s="204" t="str">
        <f t="shared" si="49"/>
        <v/>
      </c>
      <c r="BD143" s="235" t="str">
        <f t="shared" si="50"/>
        <v/>
      </c>
      <c r="BE143" s="204" t="str">
        <f>IFERROR(IF(OR(#REF!="",COUNTIF($BG$2:$BG$46,#REF!)),"",#REF!),"")</f>
        <v/>
      </c>
      <c r="BF143" s="205" t="str">
        <f t="array" ref="BF143">INDEX(BE:BE,SMALL(IF($BE$2:$BE$143&lt;&gt;"",ROW($2:$143),144),ROW(BE142)))&amp;""</f>
        <v/>
      </c>
      <c r="BG143" s="372"/>
      <c r="BH143" s="372"/>
      <c r="BI143" s="372"/>
      <c r="BJ143" s="372"/>
      <c r="BK143" s="372"/>
      <c r="BL143" s="372"/>
      <c r="BM143" s="372"/>
      <c r="BN143" s="372"/>
      <c r="BO143" s="372"/>
      <c r="BP143" s="372"/>
      <c r="BQ143" s="372"/>
      <c r="BR143" s="372"/>
      <c r="BS143" s="372"/>
      <c r="BT143" s="372"/>
      <c r="BU143" s="372"/>
      <c r="BV143" s="372"/>
      <c r="BW143" s="372"/>
      <c r="BX143" s="372"/>
      <c r="BY143" s="372"/>
      <c r="BZ143" s="372"/>
    </row>
    <row r="144" customHeight="1" spans="1:78">
      <c r="A144" s="375">
        <v>128</v>
      </c>
      <c r="B144" s="372"/>
      <c r="C144" s="372"/>
      <c r="D144" s="372"/>
      <c r="E144" s="372"/>
      <c r="F144" s="479" t="s">
        <v>2884</v>
      </c>
      <c r="G144" s="479" t="s">
        <v>3700</v>
      </c>
      <c r="H144" s="372"/>
      <c r="I144" s="372"/>
      <c r="J144" s="372"/>
      <c r="K144" s="372"/>
      <c r="L144" s="372"/>
      <c r="M144" s="372"/>
      <c r="N144" s="372"/>
      <c r="O144" s="372"/>
      <c r="P144" s="372"/>
      <c r="Q144" s="372"/>
      <c r="R144" s="372"/>
      <c r="S144" s="372"/>
      <c r="T144" s="372"/>
      <c r="U144" s="372"/>
      <c r="V144" s="372"/>
      <c r="W144" s="372"/>
      <c r="X144" s="372"/>
      <c r="Y144" s="372"/>
      <c r="Z144" s="372"/>
      <c r="AA144" s="376"/>
      <c r="AB144" s="372"/>
      <c r="AC144" s="372"/>
      <c r="AD144" s="372"/>
      <c r="AE144" s="372"/>
      <c r="AF144" s="372"/>
      <c r="AG144" s="372"/>
      <c r="AH144" s="372"/>
      <c r="AI144" s="372"/>
      <c r="AJ144" s="372"/>
      <c r="AK144" s="372"/>
      <c r="AL144" s="372"/>
      <c r="BJ144" s="372"/>
      <c r="BK144" s="372"/>
      <c r="BL144" s="372"/>
      <c r="BM144" s="372"/>
      <c r="BN144" s="372"/>
      <c r="BO144" s="372"/>
      <c r="BP144" s="372"/>
      <c r="BQ144" s="372"/>
      <c r="BR144" s="372"/>
      <c r="BS144" s="372"/>
      <c r="BT144" s="372"/>
      <c r="BU144" s="372"/>
      <c r="BV144" s="372"/>
      <c r="BW144" s="372"/>
      <c r="BX144" s="372"/>
      <c r="BY144" s="372"/>
      <c r="BZ144" s="372"/>
    </row>
    <row r="145" customHeight="1" spans="1:78">
      <c r="A145" s="375">
        <v>129</v>
      </c>
      <c r="B145" s="372"/>
      <c r="C145" s="372"/>
      <c r="D145" s="372"/>
      <c r="E145" s="372"/>
      <c r="F145" s="479" t="s">
        <v>2909</v>
      </c>
      <c r="G145" s="479" t="s">
        <v>3701</v>
      </c>
      <c r="H145" s="372"/>
      <c r="I145" s="372"/>
      <c r="J145" s="372"/>
      <c r="K145" s="372"/>
      <c r="L145" s="372"/>
      <c r="M145" s="372"/>
      <c r="N145" s="372"/>
      <c r="O145" s="372"/>
      <c r="P145" s="372"/>
      <c r="Q145" s="372"/>
      <c r="R145" s="372"/>
      <c r="S145" s="372"/>
      <c r="T145" s="372"/>
      <c r="U145" s="372"/>
      <c r="V145" s="372"/>
      <c r="W145" s="372"/>
      <c r="X145" s="372"/>
      <c r="Y145" s="372"/>
      <c r="Z145" s="372"/>
      <c r="AA145" s="376"/>
      <c r="AB145" s="372"/>
      <c r="AC145" s="372"/>
      <c r="AD145" s="372"/>
      <c r="AE145" s="372"/>
      <c r="AF145" s="372"/>
      <c r="AG145" s="372"/>
      <c r="AH145" s="372"/>
      <c r="AI145" s="372"/>
      <c r="AJ145" s="372"/>
      <c r="AK145" s="372"/>
      <c r="AL145" s="372"/>
      <c r="BJ145" s="372"/>
      <c r="BK145" s="372"/>
      <c r="BL145" s="372"/>
      <c r="BM145" s="372"/>
      <c r="BN145" s="372"/>
      <c r="BO145" s="372"/>
      <c r="BP145" s="372"/>
      <c r="BQ145" s="372"/>
      <c r="BR145" s="372"/>
      <c r="BS145" s="372"/>
      <c r="BT145" s="372"/>
      <c r="BU145" s="372"/>
      <c r="BV145" s="372"/>
      <c r="BW145" s="372"/>
      <c r="BX145" s="372"/>
      <c r="BY145" s="372"/>
      <c r="BZ145" s="372"/>
    </row>
    <row r="146" customHeight="1" spans="1:78">
      <c r="A146" s="375">
        <v>130</v>
      </c>
      <c r="B146" s="372"/>
      <c r="C146" s="372"/>
      <c r="D146" s="372"/>
      <c r="E146" s="372"/>
      <c r="F146" s="360" t="str">
        <f>IF(OR(BH55&lt;1,COUNTIF($BG$2:$BG$46,"强力施法")),"强力施法","")</f>
        <v>强力施法</v>
      </c>
      <c r="G146" s="360" t="s">
        <v>2170</v>
      </c>
      <c r="H146" s="372"/>
      <c r="I146" s="372"/>
      <c r="J146" s="372"/>
      <c r="K146" s="372"/>
      <c r="L146" s="372"/>
      <c r="M146" s="372"/>
      <c r="N146" s="372"/>
      <c r="O146" s="372"/>
      <c r="P146" s="372"/>
      <c r="Q146" s="372"/>
      <c r="R146" s="372"/>
      <c r="S146" s="372"/>
      <c r="T146" s="372"/>
      <c r="U146" s="372"/>
      <c r="V146" s="372"/>
      <c r="W146" s="372"/>
      <c r="X146" s="372"/>
      <c r="Y146" s="372"/>
      <c r="Z146" s="372"/>
      <c r="AA146" s="376"/>
      <c r="AB146" s="372"/>
      <c r="AC146" s="372"/>
      <c r="AD146" s="372"/>
      <c r="AE146" s="372"/>
      <c r="AF146" s="372"/>
      <c r="AG146" s="372"/>
      <c r="AH146" s="372"/>
      <c r="AI146" s="372"/>
      <c r="AJ146" s="372"/>
      <c r="AK146" s="372"/>
      <c r="AL146" s="372"/>
      <c r="BK146" s="372"/>
      <c r="BL146" s="372"/>
      <c r="BM146" s="372"/>
      <c r="BN146" s="372"/>
      <c r="BO146" s="372"/>
      <c r="BP146" s="372"/>
      <c r="BQ146" s="372"/>
      <c r="BR146" s="372"/>
      <c r="BS146" s="372"/>
      <c r="BT146" s="372"/>
      <c r="BU146" s="372"/>
      <c r="BV146" s="372"/>
      <c r="BW146" s="372"/>
      <c r="BX146" s="372"/>
      <c r="BY146" s="372"/>
      <c r="BZ146" s="372"/>
    </row>
    <row r="147" customHeight="1" spans="1:78">
      <c r="A147" s="375">
        <v>131</v>
      </c>
      <c r="B147" s="372"/>
      <c r="C147" s="372"/>
      <c r="D147" s="372"/>
      <c r="E147" s="372"/>
      <c r="F147" s="360" t="s">
        <v>3702</v>
      </c>
      <c r="G147" s="360" t="s">
        <v>3703</v>
      </c>
      <c r="H147" s="372"/>
      <c r="I147" s="372"/>
      <c r="J147" s="372"/>
      <c r="K147" s="372"/>
      <c r="L147" s="372"/>
      <c r="M147" s="372"/>
      <c r="N147" s="372"/>
      <c r="O147" s="372"/>
      <c r="P147" s="372"/>
      <c r="Q147" s="372"/>
      <c r="R147" s="372"/>
      <c r="S147" s="372"/>
      <c r="T147" s="372"/>
      <c r="U147" s="372"/>
      <c r="V147" s="372"/>
      <c r="W147" s="372"/>
      <c r="X147" s="372"/>
      <c r="Y147" s="372"/>
      <c r="Z147" s="372"/>
      <c r="AA147" s="376"/>
      <c r="AB147" s="372"/>
      <c r="AC147" s="372"/>
      <c r="AD147" s="372"/>
      <c r="AE147" s="372"/>
      <c r="AF147" s="372"/>
      <c r="AG147" s="372"/>
      <c r="AH147" s="372"/>
      <c r="AI147" s="372"/>
      <c r="AJ147" s="372"/>
      <c r="AK147" s="372"/>
      <c r="AL147" s="372"/>
      <c r="BJ147" s="372"/>
      <c r="BK147" s="372"/>
      <c r="BL147" s="372"/>
      <c r="BM147" s="372"/>
      <c r="BN147" s="372"/>
      <c r="BO147" s="372"/>
      <c r="BP147" s="372"/>
      <c r="BQ147" s="372"/>
      <c r="BR147" s="372"/>
      <c r="BS147" s="372"/>
      <c r="BT147" s="372"/>
      <c r="BU147" s="372"/>
      <c r="BV147" s="372"/>
      <c r="BW147" s="372"/>
      <c r="BX147" s="372"/>
      <c r="BY147" s="372"/>
      <c r="BZ147" s="372"/>
    </row>
    <row r="148" customHeight="1" spans="1:78">
      <c r="A148" s="375">
        <v>132</v>
      </c>
      <c r="B148" s="372"/>
      <c r="C148" s="372"/>
      <c r="D148" s="372"/>
      <c r="E148" s="372"/>
      <c r="F148" s="458" t="s">
        <v>3704</v>
      </c>
      <c r="G148" s="458" t="s">
        <v>3705</v>
      </c>
      <c r="H148" s="372"/>
      <c r="I148" s="372"/>
      <c r="J148" s="372"/>
      <c r="K148" s="372"/>
      <c r="L148" s="372"/>
      <c r="M148" s="372"/>
      <c r="N148" s="372"/>
      <c r="O148" s="372"/>
      <c r="P148" s="372"/>
      <c r="Q148" s="372"/>
      <c r="R148" s="372"/>
      <c r="S148" s="372"/>
      <c r="T148" s="372"/>
      <c r="U148" s="372"/>
      <c r="V148" s="372"/>
      <c r="W148" s="372"/>
      <c r="X148" s="372"/>
      <c r="Y148" s="372"/>
      <c r="Z148" s="372"/>
      <c r="AA148" s="376"/>
      <c r="AB148" s="372"/>
      <c r="AC148" s="372"/>
      <c r="AD148" s="372"/>
      <c r="AE148" s="372"/>
      <c r="AF148" s="372"/>
      <c r="AG148" s="372"/>
      <c r="AH148" s="372"/>
      <c r="AI148" s="372"/>
      <c r="AJ148" s="372"/>
      <c r="AK148" s="372"/>
      <c r="AL148" s="372"/>
      <c r="BJ148" s="372"/>
      <c r="BK148" s="372"/>
      <c r="BL148" s="372"/>
      <c r="BM148" s="372"/>
      <c r="BN148" s="372"/>
      <c r="BO148" s="372"/>
      <c r="BP148" s="372"/>
      <c r="BQ148" s="372"/>
      <c r="BR148" s="372"/>
      <c r="BS148" s="372"/>
      <c r="BT148" s="372"/>
      <c r="BU148" s="372"/>
      <c r="BV148" s="372"/>
      <c r="BW148" s="372"/>
      <c r="BX148" s="372"/>
      <c r="BY148" s="372"/>
      <c r="BZ148" s="372"/>
    </row>
    <row r="149" customHeight="1" spans="1:78">
      <c r="A149" s="375">
        <v>133</v>
      </c>
      <c r="B149" s="372"/>
      <c r="C149" s="372"/>
      <c r="D149" s="372"/>
      <c r="E149" s="372"/>
      <c r="F149" s="458" t="s">
        <v>2229</v>
      </c>
      <c r="G149" s="458" t="s">
        <v>2698</v>
      </c>
      <c r="H149" s="372"/>
      <c r="I149" s="372"/>
      <c r="J149" s="372"/>
      <c r="K149" s="372"/>
      <c r="L149" s="372"/>
      <c r="M149" s="372"/>
      <c r="N149" s="372"/>
      <c r="O149" s="372"/>
      <c r="P149" s="372"/>
      <c r="Q149" s="372"/>
      <c r="R149" s="372"/>
      <c r="S149" s="372"/>
      <c r="T149" s="372"/>
      <c r="U149" s="372"/>
      <c r="V149" s="372"/>
      <c r="W149" s="372"/>
      <c r="X149" s="372"/>
      <c r="Y149" s="372"/>
      <c r="Z149" s="372"/>
      <c r="AA149" s="376"/>
      <c r="AB149" s="372"/>
      <c r="AC149" s="372"/>
      <c r="AD149" s="372"/>
      <c r="AE149" s="372"/>
      <c r="AF149" s="372"/>
      <c r="AG149" s="372"/>
      <c r="AH149" s="372"/>
      <c r="AI149" s="372"/>
      <c r="AJ149" s="372"/>
      <c r="AK149" s="372"/>
      <c r="AL149" s="372"/>
      <c r="BJ149" s="372"/>
      <c r="BK149" s="372"/>
      <c r="BL149" s="372"/>
      <c r="BM149" s="372"/>
      <c r="BN149" s="372"/>
      <c r="BO149" s="372"/>
      <c r="BP149" s="372"/>
      <c r="BQ149" s="372"/>
      <c r="BR149" s="372"/>
      <c r="BS149" s="372"/>
      <c r="BT149" s="372"/>
      <c r="BU149" s="372"/>
      <c r="BV149" s="372"/>
      <c r="BW149" s="372"/>
      <c r="BX149" s="372"/>
      <c r="BY149" s="372"/>
      <c r="BZ149" s="372"/>
    </row>
    <row r="150" customHeight="1" spans="1:78">
      <c r="A150" s="375">
        <v>134</v>
      </c>
      <c r="B150" s="372"/>
      <c r="C150" s="372"/>
      <c r="D150" s="372"/>
      <c r="E150" s="372"/>
      <c r="F150" s="458" t="s">
        <v>3706</v>
      </c>
      <c r="G150" s="458" t="s">
        <v>3707</v>
      </c>
      <c r="H150" s="372"/>
      <c r="I150" s="372"/>
      <c r="J150" s="372"/>
      <c r="K150" s="372"/>
      <c r="L150" s="372"/>
      <c r="M150" s="372"/>
      <c r="N150" s="372"/>
      <c r="O150" s="372"/>
      <c r="P150" s="372"/>
      <c r="Q150" s="372"/>
      <c r="R150" s="372"/>
      <c r="S150" s="372"/>
      <c r="T150" s="372"/>
      <c r="U150" s="372"/>
      <c r="V150" s="372"/>
      <c r="W150" s="372"/>
      <c r="X150" s="372"/>
      <c r="Y150" s="372"/>
      <c r="Z150" s="372"/>
      <c r="AA150" s="376"/>
      <c r="AB150" s="372"/>
      <c r="AC150" s="372"/>
      <c r="AD150" s="372"/>
      <c r="AE150" s="372"/>
      <c r="AF150" s="372"/>
      <c r="AG150" s="372"/>
      <c r="AH150" s="372"/>
      <c r="AI150" s="372"/>
      <c r="AJ150" s="372"/>
      <c r="AK150" s="372"/>
      <c r="AL150" s="372"/>
      <c r="BJ150" s="372"/>
      <c r="BK150" s="372"/>
      <c r="BL150" s="372"/>
      <c r="BM150" s="372"/>
      <c r="BN150" s="372"/>
      <c r="BO150" s="372"/>
      <c r="BP150" s="372"/>
      <c r="BQ150" s="372"/>
      <c r="BR150" s="372"/>
      <c r="BS150" s="372"/>
      <c r="BT150" s="372"/>
      <c r="BU150" s="372"/>
      <c r="BV150" s="372"/>
      <c r="BW150" s="372"/>
      <c r="BX150" s="372"/>
      <c r="BY150" s="372"/>
      <c r="BZ150" s="372"/>
    </row>
    <row r="151" customHeight="1" spans="1:78">
      <c r="A151" s="375">
        <v>135</v>
      </c>
      <c r="B151" s="372"/>
      <c r="C151" s="372"/>
      <c r="D151" s="372"/>
      <c r="E151" s="372"/>
      <c r="F151" s="482" t="s">
        <v>3708</v>
      </c>
      <c r="G151" s="482" t="s">
        <v>3709</v>
      </c>
      <c r="H151" s="372"/>
      <c r="I151" s="372"/>
      <c r="J151" s="372"/>
      <c r="K151" s="372"/>
      <c r="L151" s="372"/>
      <c r="M151" s="372"/>
      <c r="N151" s="372"/>
      <c r="O151" s="372"/>
      <c r="P151" s="372"/>
      <c r="Q151" s="372"/>
      <c r="R151" s="372"/>
      <c r="S151" s="372"/>
      <c r="T151" s="372"/>
      <c r="U151" s="372"/>
      <c r="V151" s="372"/>
      <c r="W151" s="372"/>
      <c r="X151" s="372"/>
      <c r="Y151" s="372"/>
      <c r="Z151" s="372"/>
      <c r="AA151" s="376"/>
      <c r="AB151" s="372"/>
      <c r="AC151" s="372"/>
      <c r="AD151" s="372"/>
      <c r="AE151" s="372"/>
      <c r="AF151" s="372"/>
      <c r="AG151" s="372"/>
      <c r="AH151" s="372"/>
      <c r="AI151" s="372"/>
      <c r="AJ151" s="372"/>
      <c r="AK151" s="372"/>
      <c r="AL151" s="372"/>
      <c r="BJ151" s="372"/>
      <c r="BK151" s="372"/>
      <c r="BL151" s="372"/>
      <c r="BM151" s="372"/>
      <c r="BN151" s="372"/>
      <c r="BO151" s="372"/>
      <c r="BP151" s="372"/>
      <c r="BQ151" s="372"/>
      <c r="BR151" s="372"/>
      <c r="BS151" s="372"/>
      <c r="BT151" s="372"/>
      <c r="BU151" s="372"/>
      <c r="BV151" s="372"/>
      <c r="BW151" s="372"/>
      <c r="BX151" s="372"/>
      <c r="BY151" s="372"/>
      <c r="BZ151" s="372"/>
    </row>
    <row r="152" customHeight="1" spans="1:78">
      <c r="A152" s="375">
        <v>136</v>
      </c>
      <c r="B152" s="372"/>
      <c r="C152" s="372"/>
      <c r="D152" s="372"/>
      <c r="E152" s="372"/>
      <c r="F152" s="458" t="s">
        <v>3710</v>
      </c>
      <c r="G152" s="458" t="s">
        <v>3711</v>
      </c>
      <c r="H152" s="372"/>
      <c r="I152" s="372"/>
      <c r="J152" s="372"/>
      <c r="K152" s="372"/>
      <c r="L152" s="372"/>
      <c r="M152" s="372"/>
      <c r="N152" s="372"/>
      <c r="O152" s="372"/>
      <c r="P152" s="372"/>
      <c r="Q152" s="372"/>
      <c r="R152" s="372"/>
      <c r="S152" s="372"/>
      <c r="T152" s="372"/>
      <c r="U152" s="372"/>
      <c r="V152" s="372"/>
      <c r="W152" s="372"/>
      <c r="X152" s="372"/>
      <c r="Y152" s="372"/>
      <c r="Z152" s="372"/>
      <c r="AA152" s="376"/>
      <c r="AB152" s="372"/>
      <c r="AC152" s="372"/>
      <c r="AD152" s="372"/>
      <c r="AE152" s="372"/>
      <c r="AF152" s="372"/>
      <c r="AG152" s="372"/>
      <c r="AH152" s="372"/>
      <c r="AI152" s="372"/>
      <c r="AJ152" s="372"/>
      <c r="AK152" s="372"/>
      <c r="AL152" s="372"/>
      <c r="BJ152" s="372"/>
      <c r="BK152" s="372"/>
      <c r="BL152" s="372"/>
      <c r="BM152" s="372"/>
      <c r="BN152" s="372"/>
      <c r="BO152" s="372"/>
      <c r="BP152" s="372"/>
      <c r="BQ152" s="372"/>
      <c r="BR152" s="372"/>
      <c r="BS152" s="372"/>
      <c r="BT152" s="372"/>
      <c r="BU152" s="372"/>
      <c r="BV152" s="372"/>
      <c r="BW152" s="372"/>
      <c r="BX152" s="372"/>
      <c r="BY152" s="372"/>
      <c r="BZ152" s="372"/>
    </row>
    <row r="153" customHeight="1" spans="1:78">
      <c r="A153" s="375">
        <v>137</v>
      </c>
      <c r="B153" s="372"/>
      <c r="C153" s="372"/>
      <c r="D153" s="372"/>
      <c r="E153" s="372"/>
      <c r="F153" s="458" t="str">
        <f>IF(OR(BH55&lt;1,COUNTIF($BG$2:$BG$46,"神圣打击")),"神圣打击","")</f>
        <v>神圣打击</v>
      </c>
      <c r="G153" s="458" t="s">
        <v>3659</v>
      </c>
      <c r="H153" s="372"/>
      <c r="I153" s="372"/>
      <c r="J153" s="372"/>
      <c r="K153" s="372"/>
      <c r="L153" s="372"/>
      <c r="M153" s="372"/>
      <c r="N153" s="372"/>
      <c r="O153" s="372"/>
      <c r="P153" s="372"/>
      <c r="Q153" s="372"/>
      <c r="R153" s="372"/>
      <c r="S153" s="372"/>
      <c r="T153" s="372"/>
      <c r="U153" s="372"/>
      <c r="V153" s="372"/>
      <c r="W153" s="372"/>
      <c r="X153" s="372"/>
      <c r="Y153" s="372"/>
      <c r="Z153" s="372"/>
      <c r="AA153" s="376"/>
      <c r="AB153" s="372"/>
      <c r="AC153" s="372"/>
      <c r="AD153" s="372"/>
      <c r="AE153" s="372"/>
      <c r="AF153" s="372"/>
      <c r="AG153" s="372"/>
      <c r="AH153" s="372"/>
      <c r="AI153" s="372"/>
      <c r="AJ153" s="372"/>
      <c r="AK153" s="372"/>
      <c r="AL153" s="372"/>
      <c r="BJ153" s="372"/>
      <c r="BK153" s="372"/>
      <c r="BL153" s="372"/>
      <c r="BM153" s="372"/>
      <c r="BN153" s="372"/>
      <c r="BO153" s="372"/>
      <c r="BP153" s="372"/>
      <c r="BQ153" s="372"/>
      <c r="BR153" s="372"/>
      <c r="BS153" s="372"/>
      <c r="BT153" s="372"/>
      <c r="BU153" s="372"/>
      <c r="BV153" s="372"/>
      <c r="BW153" s="372"/>
      <c r="BX153" s="372"/>
      <c r="BY153" s="372"/>
      <c r="BZ153" s="372"/>
    </row>
    <row r="154" customHeight="1" spans="1:78">
      <c r="A154" s="380">
        <v>138</v>
      </c>
      <c r="B154" s="382"/>
      <c r="C154" s="382"/>
      <c r="D154" s="382"/>
      <c r="E154" s="382"/>
      <c r="F154" s="498" t="s">
        <v>3712</v>
      </c>
      <c r="G154" s="498" t="s">
        <v>3713</v>
      </c>
      <c r="H154" s="382"/>
      <c r="I154" s="382"/>
      <c r="J154" s="382"/>
      <c r="K154" s="382"/>
      <c r="L154" s="382"/>
      <c r="M154" s="382"/>
      <c r="N154" s="382"/>
      <c r="O154" s="382"/>
      <c r="P154" s="382"/>
      <c r="Q154" s="382"/>
      <c r="R154" s="382"/>
      <c r="S154" s="382"/>
      <c r="T154" s="382"/>
      <c r="U154" s="382"/>
      <c r="V154" s="382"/>
      <c r="W154" s="382"/>
      <c r="X154" s="382"/>
      <c r="Y154" s="382"/>
      <c r="Z154" s="382"/>
      <c r="AA154" s="383"/>
      <c r="AB154" s="372"/>
      <c r="AC154" s="372"/>
      <c r="AD154" s="372"/>
      <c r="AE154" s="372"/>
      <c r="AF154" s="372"/>
      <c r="AG154" s="372"/>
      <c r="AH154" s="372"/>
      <c r="AI154" s="372"/>
      <c r="AJ154" s="372"/>
      <c r="AK154" s="372"/>
      <c r="AL154" s="372"/>
      <c r="BJ154" s="372"/>
      <c r="BK154" s="372"/>
      <c r="BL154" s="372"/>
      <c r="BM154" s="372"/>
      <c r="BN154" s="372"/>
      <c r="BO154" s="372"/>
      <c r="BP154" s="372"/>
      <c r="BQ154" s="372"/>
      <c r="BR154" s="372"/>
      <c r="BS154" s="372"/>
      <c r="BT154" s="372"/>
      <c r="BU154" s="372"/>
      <c r="BV154" s="372"/>
      <c r="BW154" s="372"/>
      <c r="BX154" s="372"/>
      <c r="BY154" s="372"/>
      <c r="BZ154" s="372"/>
    </row>
    <row r="155" customHeight="1" spans="1:78">
      <c r="B155" s="372"/>
      <c r="C155" s="372"/>
      <c r="D155" s="372"/>
      <c r="E155" s="372"/>
      <c r="F155" s="372"/>
      <c r="G155" s="372"/>
      <c r="H155" s="372"/>
      <c r="I155" s="372"/>
      <c r="J155" s="372"/>
      <c r="K155" s="372"/>
      <c r="L155" s="372"/>
      <c r="M155" s="372"/>
      <c r="N155" s="372"/>
      <c r="O155" s="372"/>
      <c r="P155" s="372"/>
      <c r="Q155" s="372"/>
      <c r="R155" s="372"/>
      <c r="S155" s="372"/>
      <c r="T155" s="372"/>
      <c r="U155" s="372"/>
      <c r="V155" s="372"/>
      <c r="W155" s="372"/>
      <c r="X155" s="372"/>
      <c r="Y155" s="372"/>
      <c r="Z155" s="372"/>
      <c r="AA155" s="372"/>
      <c r="AB155" s="372"/>
      <c r="AC155" s="372"/>
      <c r="AD155" s="372"/>
      <c r="AE155" s="372"/>
      <c r="AF155" s="372"/>
      <c r="AG155" s="372"/>
      <c r="AH155" s="372"/>
      <c r="AI155" s="372"/>
      <c r="AJ155" s="372"/>
      <c r="AK155" s="372"/>
      <c r="AL155" s="372"/>
      <c r="BJ155" s="372"/>
      <c r="BK155" s="372"/>
      <c r="BL155" s="372"/>
      <c r="BM155" s="372"/>
      <c r="BN155" s="372"/>
      <c r="BO155" s="372"/>
      <c r="BP155" s="372"/>
      <c r="BQ155" s="372"/>
      <c r="BR155" s="372"/>
      <c r="BS155" s="372"/>
      <c r="BT155" s="372"/>
      <c r="BU155" s="372"/>
      <c r="BV155" s="372"/>
      <c r="BW155" s="372"/>
      <c r="BX155" s="372"/>
      <c r="BY155" s="372"/>
      <c r="BZ155" s="372"/>
    </row>
    <row r="156" customHeight="1" spans="1:78">
      <c r="B156" s="372"/>
      <c r="C156" s="372"/>
      <c r="D156" s="372"/>
      <c r="E156" s="372"/>
      <c r="F156" s="372"/>
      <c r="G156" s="372"/>
      <c r="H156" s="372"/>
      <c r="I156" s="372"/>
      <c r="J156" s="372"/>
      <c r="K156" s="372"/>
      <c r="L156" s="372"/>
      <c r="M156" s="372"/>
      <c r="N156" s="372"/>
      <c r="O156" s="372"/>
      <c r="P156" s="372"/>
      <c r="Q156" s="372"/>
      <c r="R156" s="372"/>
      <c r="S156" s="372"/>
      <c r="T156" s="372"/>
      <c r="U156" s="372"/>
      <c r="V156" s="372"/>
      <c r="W156" s="372"/>
      <c r="X156" s="372"/>
      <c r="Y156" s="372"/>
      <c r="Z156" s="372"/>
      <c r="AA156" s="372"/>
      <c r="AB156" s="372"/>
      <c r="AC156" s="372"/>
      <c r="AD156" s="372"/>
      <c r="AE156" s="372"/>
      <c r="AF156" s="372"/>
      <c r="AG156" s="372"/>
      <c r="AH156" s="372"/>
      <c r="AI156" s="372"/>
      <c r="AJ156" s="372"/>
      <c r="AK156" s="372"/>
      <c r="AL156" s="372"/>
      <c r="BJ156" s="372"/>
      <c r="BK156" s="372"/>
      <c r="BL156" s="372"/>
      <c r="BM156" s="372"/>
      <c r="BN156" s="372"/>
      <c r="BO156" s="372"/>
      <c r="BP156" s="372"/>
      <c r="BQ156" s="372"/>
      <c r="BR156" s="372"/>
      <c r="BS156" s="372"/>
      <c r="BT156" s="372"/>
      <c r="BU156" s="372"/>
      <c r="BV156" s="372"/>
      <c r="BW156" s="372"/>
      <c r="BX156" s="372"/>
      <c r="BY156" s="372"/>
      <c r="BZ156" s="372"/>
    </row>
    <row r="157" customHeight="1" spans="1:78">
      <c r="B157" s="372"/>
      <c r="C157" s="372"/>
      <c r="D157" s="372"/>
      <c r="E157" s="372"/>
      <c r="F157" s="372"/>
      <c r="G157" s="372"/>
      <c r="H157" s="372"/>
      <c r="I157" s="372"/>
      <c r="J157" s="372"/>
      <c r="K157" s="372"/>
      <c r="L157" s="372"/>
      <c r="M157" s="372"/>
      <c r="N157" s="372"/>
      <c r="O157" s="372"/>
      <c r="P157" s="372"/>
      <c r="Q157" s="372"/>
      <c r="R157" s="372"/>
      <c r="S157" s="372"/>
      <c r="T157" s="372"/>
      <c r="U157" s="372"/>
      <c r="V157" s="372"/>
      <c r="W157" s="372"/>
      <c r="X157" s="372"/>
      <c r="Y157" s="372"/>
      <c r="Z157" s="372"/>
      <c r="AA157" s="372"/>
      <c r="AB157" s="372"/>
      <c r="AC157" s="372"/>
      <c r="AD157" s="372"/>
      <c r="AE157" s="372"/>
      <c r="AF157" s="372"/>
      <c r="AG157" s="372"/>
      <c r="AH157" s="372"/>
      <c r="AI157" s="372"/>
      <c r="AJ157" s="372"/>
      <c r="AK157" s="372"/>
      <c r="AL157" s="372"/>
      <c r="BJ157" s="372"/>
      <c r="BK157" s="372"/>
      <c r="BL157" s="372"/>
      <c r="BM157" s="372"/>
      <c r="BN157" s="372"/>
      <c r="BO157" s="372"/>
      <c r="BP157" s="372"/>
      <c r="BQ157" s="372"/>
      <c r="BR157" s="372"/>
      <c r="BS157" s="372"/>
      <c r="BT157" s="372"/>
      <c r="BU157" s="372"/>
      <c r="BV157" s="372"/>
      <c r="BW157" s="372"/>
      <c r="BX157" s="372"/>
      <c r="BY157" s="372"/>
      <c r="BZ157" s="372"/>
    </row>
    <row r="158" customHeight="1" spans="1:78">
      <c r="B158" s="372"/>
      <c r="C158" s="372"/>
      <c r="D158" s="372"/>
      <c r="E158" s="372"/>
      <c r="F158" s="372"/>
      <c r="G158" s="372"/>
      <c r="H158" s="372"/>
      <c r="I158" s="372"/>
      <c r="J158" s="372"/>
      <c r="K158" s="372"/>
      <c r="L158" s="372"/>
      <c r="M158" s="372"/>
      <c r="N158" s="372"/>
      <c r="O158" s="372"/>
      <c r="P158" s="372"/>
      <c r="Q158" s="372"/>
      <c r="R158" s="372"/>
      <c r="S158" s="372"/>
      <c r="T158" s="372"/>
      <c r="U158" s="372"/>
      <c r="V158" s="372"/>
      <c r="W158" s="372"/>
      <c r="X158" s="372"/>
      <c r="Y158" s="372"/>
      <c r="Z158" s="372"/>
      <c r="AA158" s="372"/>
      <c r="AB158" s="372"/>
      <c r="AC158" s="372"/>
      <c r="AD158" s="372"/>
      <c r="AE158" s="372"/>
      <c r="AF158" s="372"/>
      <c r="AG158" s="372"/>
      <c r="AH158" s="372"/>
      <c r="AI158" s="372"/>
      <c r="AJ158" s="372"/>
      <c r="AK158" s="372"/>
      <c r="AL158" s="372"/>
      <c r="BJ158" s="372"/>
      <c r="BK158" s="372"/>
      <c r="BL158" s="372"/>
      <c r="BM158" s="372"/>
      <c r="BN158" s="372"/>
      <c r="BO158" s="372"/>
      <c r="BP158" s="372"/>
      <c r="BQ158" s="372"/>
      <c r="BR158" s="372"/>
      <c r="BS158" s="372"/>
      <c r="BT158" s="372"/>
      <c r="BU158" s="372"/>
      <c r="BV158" s="372"/>
      <c r="BW158" s="372"/>
      <c r="BX158" s="372"/>
      <c r="BY158" s="372"/>
      <c r="BZ158" s="372"/>
    </row>
  </sheetData>
  <sheetProtection sheet="1" objects="1" scenarios="1"/>
  <mergeCells count="21">
    <mergeCell ref="AQ1:AT1"/>
    <mergeCell ref="AU1:AX1"/>
    <mergeCell ref="AY1:BB1"/>
    <mergeCell ref="BC1:BD1"/>
    <mergeCell ref="BE1:BF1"/>
    <mergeCell ref="BG1:BI1"/>
    <mergeCell ref="B16:C16"/>
    <mergeCell ref="D16:E16"/>
    <mergeCell ref="F16:G16"/>
    <mergeCell ref="H16:I16"/>
    <mergeCell ref="J16:K16"/>
    <mergeCell ref="L16:M16"/>
    <mergeCell ref="N16:O16"/>
    <mergeCell ref="P16:Q16"/>
    <mergeCell ref="R16:S16"/>
    <mergeCell ref="T16:U16"/>
    <mergeCell ref="V16:W16"/>
    <mergeCell ref="X16:Y16"/>
    <mergeCell ref="Z16:AA16"/>
    <mergeCell ref="AG16:AH16"/>
    <mergeCell ref="AB23:AD23"/>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AW249"/>
  <sheetViews>
    <sheetView topLeftCell="K1" workbookViewId="0">
      <selection activeCell="O121" sqref="O121"/>
    </sheetView>
  </sheetViews>
  <sheetFormatPr defaultColWidth="9" defaultRowHeight="14.4" customHeight="1"/>
  <cols>
    <col min="5" max="5" width="8.89090909090909" style="365"/>
    <col min="10" max="10" width="8.89090909090909" style="181"/>
    <col min="19" max="19" width="8.89090909090909" style="277"/>
    <col min="22" max="22" width="8.89090909090909" style="181"/>
  </cols>
  <sheetData>
    <row r="1" customHeight="1" spans="1:49">
      <c r="A1" s="183" t="s">
        <v>125</v>
      </c>
      <c r="B1" s="218"/>
      <c r="C1" s="218"/>
      <c r="D1" s="218"/>
      <c r="E1" s="218"/>
      <c r="F1" s="218"/>
      <c r="G1" s="218"/>
      <c r="H1" s="220"/>
      <c r="I1" s="264" t="s">
        <v>112</v>
      </c>
      <c r="J1" s="264"/>
      <c r="K1" s="264"/>
      <c r="L1" s="264"/>
      <c r="M1" s="264"/>
      <c r="N1" s="264"/>
      <c r="O1" s="264"/>
      <c r="P1" s="264"/>
      <c r="Q1" s="265"/>
      <c r="R1" s="263" t="s">
        <v>3714</v>
      </c>
      <c r="S1" s="263" t="s">
        <v>3715</v>
      </c>
      <c r="T1" s="264"/>
      <c r="U1" s="264"/>
      <c r="V1" s="264"/>
      <c r="W1" s="265"/>
      <c r="X1" s="263" t="s">
        <v>3716</v>
      </c>
      <c r="Y1" s="264"/>
      <c r="Z1" s="265"/>
      <c r="AA1" s="218" t="s">
        <v>3717</v>
      </c>
      <c r="AB1" s="218" t="s">
        <v>3718</v>
      </c>
      <c r="AC1" s="218" t="s">
        <v>3719</v>
      </c>
      <c r="AD1" s="220">
        <f>SUM(AD2:AD6)</f>
        <v>0</v>
      </c>
      <c r="AE1" s="183" t="s">
        <v>3720</v>
      </c>
      <c r="AF1" s="218"/>
      <c r="AG1" s="218"/>
      <c r="AH1" s="218" t="s">
        <v>3721</v>
      </c>
      <c r="AI1" s="220" t="s">
        <v>1483</v>
      </c>
      <c r="AJ1" s="366" t="s">
        <v>3722</v>
      </c>
      <c r="AK1" s="366" t="s">
        <v>3723</v>
      </c>
      <c r="AL1" s="367" t="s">
        <v>112</v>
      </c>
      <c r="AM1" s="264" t="s">
        <v>90</v>
      </c>
      <c r="AN1" s="264" t="s">
        <v>3724</v>
      </c>
      <c r="AO1" s="264" t="s">
        <v>118</v>
      </c>
      <c r="AP1" s="264" t="s">
        <v>3725</v>
      </c>
      <c r="AQ1" s="264" t="s">
        <v>116</v>
      </c>
      <c r="AR1" s="265" t="s">
        <v>3726</v>
      </c>
      <c r="AS1" s="368" t="s">
        <v>1519</v>
      </c>
      <c r="AT1" s="367" t="s">
        <v>3727</v>
      </c>
      <c r="AU1" s="369">
        <f>IF(COUNTIF(J34:J45,AL2),AU4,IF(COUNTIF(J16:J33,AL2),AU3,IF(COUNTIF(J7:J15,AL2),AU2,0)))</f>
        <v>0</v>
      </c>
      <c r="AV1" s="263" t="s">
        <v>3728</v>
      </c>
      <c r="AW1" s="370" t="b">
        <v>0</v>
      </c>
    </row>
    <row r="2" customHeight="1" spans="1:49">
      <c r="A2" s="222"/>
      <c r="B2" s="224"/>
      <c r="C2" s="224" t="s">
        <v>3729</v>
      </c>
      <c r="D2" s="224" t="s">
        <v>3730</v>
      </c>
      <c r="E2" s="371" t="s">
        <v>116</v>
      </c>
      <c r="F2" s="224" t="s">
        <v>68</v>
      </c>
      <c r="G2" s="224" t="s">
        <v>3731</v>
      </c>
      <c r="H2" s="223" t="s">
        <v>3732</v>
      </c>
      <c r="I2" s="372"/>
      <c r="J2" s="193"/>
      <c r="K2" s="373" t="s">
        <v>90</v>
      </c>
      <c r="L2" s="373" t="s">
        <v>3724</v>
      </c>
      <c r="M2" s="373" t="s">
        <v>118</v>
      </c>
      <c r="N2" s="373" t="s">
        <v>3725</v>
      </c>
      <c r="O2" s="373" t="s">
        <v>116</v>
      </c>
      <c r="P2" s="373" t="s">
        <v>3731</v>
      </c>
      <c r="Q2" s="374" t="s">
        <v>3726</v>
      </c>
      <c r="R2" s="375">
        <v>5</v>
      </c>
      <c r="S2" s="307" t="s">
        <v>114</v>
      </c>
      <c r="T2" s="373" t="s">
        <v>3731</v>
      </c>
      <c r="U2" s="373" t="s">
        <v>116</v>
      </c>
      <c r="V2" s="224" t="s">
        <v>3726</v>
      </c>
      <c r="W2" s="374" t="s">
        <v>3733</v>
      </c>
      <c r="X2" s="375" t="str">
        <f>主要!P47</f>
        <v>普通服装</v>
      </c>
      <c r="Y2" s="372" t="str">
        <f t="shared" ref="Y2:Y10" si="0">IFERROR(VLOOKUP(X2,S:V,4,0),"")</f>
        <v/>
      </c>
      <c r="Z2" s="376">
        <f t="shared" ref="Z2:Z10" si="1">IFERROR(VLOOKUP(X2,S:U,3,0),"")</f>
        <v>3</v>
      </c>
      <c r="AA2" s="224" t="s">
        <v>135</v>
      </c>
      <c r="AB2" s="224">
        <v>1</v>
      </c>
      <c r="AC2" s="224">
        <v>20</v>
      </c>
      <c r="AD2" s="223">
        <f>IFERROR(INT(主要!AR41/AC2)*AB2,0)</f>
        <v>0</v>
      </c>
      <c r="AE2" s="222" t="s">
        <v>3734</v>
      </c>
      <c r="AF2" s="224" t="s">
        <v>3735</v>
      </c>
      <c r="AG2" s="224" t="s">
        <v>3736</v>
      </c>
      <c r="AH2" s="181" t="str">
        <f>IF(COUNTIF($AL$12:$AL$20,AF2),"",AF2)</f>
        <v>工匠工具-炼金</v>
      </c>
      <c r="AI2" s="196" t="str">
        <f t="array" ref="AI2">INDEX(AH:AH,SMALL(IF($AH$2:$AH$40&lt;&gt;"",ROW($2:$40),41),ROW(AH1)))&amp;""</f>
        <v>工匠工具-炼金</v>
      </c>
      <c r="AJ2" s="377" t="str">
        <f t="array" ref="AJ2">INDEX(J:J,SMALL(IF($J$3:$J$45&lt;&gt;"",ROW($3:$45),46),ROW(J1)))&amp;""</f>
        <v>无甲</v>
      </c>
      <c r="AK2" s="377" t="str">
        <f t="array" ref="AK2">INDEX(B:B,SMALL(IF($B$3:$B$177&lt;&gt;"",ROW($3:$177),178),ROW(J1)))&amp;""</f>
        <v>徒手打击</v>
      </c>
      <c r="AL2" s="294" t="str">
        <f>IF(主要!L39="",0,主要!L39)</f>
        <v>无甲</v>
      </c>
      <c r="AM2" s="372">
        <f>IFERROR(VLOOKUP(AL2,J:K,2,0),10)</f>
        <v>10</v>
      </c>
      <c r="AN2" s="372">
        <f>IFERROR(VLOOKUP(AL2,J:L,3,0),0)</f>
        <v>0</v>
      </c>
      <c r="AO2" s="372" t="str">
        <f>IFERROR(VLOOKUP(AL2,J:M,4,0),"")</f>
        <v/>
      </c>
      <c r="AP2" s="372">
        <f>IFERROR(VLOOKUP(AL2,J:N,5,0),0)</f>
        <v>0</v>
      </c>
      <c r="AQ2" s="372">
        <f>IFERROR(VLOOKUP(AL2,J:O,6,0),"")</f>
        <v>0</v>
      </c>
      <c r="AR2" s="200" t="str">
        <f>IFERROR(VLOOKUP(AL2,J:Q,8,0),"")</f>
        <v/>
      </c>
      <c r="AS2" s="378" t="b">
        <v>0</v>
      </c>
      <c r="AT2" s="277" t="s">
        <v>1544</v>
      </c>
      <c r="AU2" s="374">
        <f>IF(OR(COUNTIF(职业数据!BD5,"轻甲*"),COUNTIF(职业数据!BD5,"全部*"),COUNTIF(职业数据!AD16:AD18,职业数据!J13),种族数据!V4=种族数据!C2,种族数据!V4=种族数据!C18,种族数据!V4=种族数据!B22,COUNTIF(专长数据!E2:E7,专长数据!A14)),1,0)</f>
        <v>1</v>
      </c>
      <c r="AV2" s="263" t="s">
        <v>3737</v>
      </c>
      <c r="AW2" s="369">
        <f>IF(OR(AL2=0,AL2=J3),0,1)</f>
        <v>0</v>
      </c>
    </row>
    <row r="3" customHeight="1" spans="1:49">
      <c r="A3" s="192"/>
      <c r="B3" s="224" t="str">
        <f>IF(B4="","徒手打击","")</f>
        <v>徒手打击</v>
      </c>
      <c r="C3" s="193" t="str">
        <f>IF(OR(AU6=1,COUNTIF(职业数据!BG2:BG44,职业数据!J28)),"1D","")&amp;MAX(IF(AU6=1,_xlfn.IFS(职业数据!AG7&gt;=17,10,职业数据!AG7&gt;=11,8,职业数据!AG7&gt;=5,6,职业数据!AG7&gt;=1,4,1,1),1),IF(COUNTIF(职业数据!BG2:BG44,职业数据!J28),IF(AS2=FALSE,8,6),1))</f>
        <v>1</v>
      </c>
      <c r="D3" s="224" t="s">
        <v>134</v>
      </c>
      <c r="E3" s="379"/>
      <c r="F3" s="193" t="str">
        <f>""</f>
        <v/>
      </c>
      <c r="G3" s="193"/>
      <c r="H3" s="200">
        <f>IF(AU6=1,MAX(主要!R15,主要!R14),主要!R14)</f>
        <v>-1</v>
      </c>
      <c r="I3" s="372"/>
      <c r="J3" s="224" t="str">
        <f>IF(COUNTIF(J4:J5,"")=2,"无甲","")</f>
        <v>无甲</v>
      </c>
      <c r="K3" s="372">
        <v>10</v>
      </c>
      <c r="L3" s="372"/>
      <c r="M3" s="372" t="str">
        <f t="shared" ref="M3:M15" si="2">""</f>
        <v/>
      </c>
      <c r="N3" s="372"/>
      <c r="O3" s="373"/>
      <c r="P3" s="372"/>
      <c r="Q3" s="376" t="str">
        <f>""</f>
        <v/>
      </c>
      <c r="R3" s="380">
        <v>15</v>
      </c>
      <c r="S3" s="307" t="s">
        <v>3738</v>
      </c>
      <c r="T3" s="372">
        <v>2</v>
      </c>
      <c r="U3" s="193">
        <v>2</v>
      </c>
      <c r="V3" s="193" t="str">
        <f>""</f>
        <v/>
      </c>
      <c r="W3" s="376"/>
      <c r="X3" s="375">
        <f>主要!P48</f>
        <v>0</v>
      </c>
      <c r="Y3" s="372" t="str">
        <f t="shared" si="0"/>
        <v/>
      </c>
      <c r="Z3" s="376" t="str">
        <f t="shared" si="1"/>
        <v/>
      </c>
      <c r="AA3" s="224" t="s">
        <v>137</v>
      </c>
      <c r="AB3" s="224">
        <v>1</v>
      </c>
      <c r="AC3" s="224">
        <v>50</v>
      </c>
      <c r="AD3" s="223">
        <f>IFERROR(INT(主要!AR42/AC3)*AB3,0)</f>
        <v>0</v>
      </c>
      <c r="AE3" s="192"/>
      <c r="AF3" s="224" t="s">
        <v>3739</v>
      </c>
      <c r="AG3" s="224" t="s">
        <v>3740</v>
      </c>
      <c r="AH3" s="181" t="str">
        <f t="shared" ref="AH3:AH40" si="3">IF(COUNTIF($AL$12:$AL$20,AF3),"",AF3)</f>
        <v>工匠工具-酿酒</v>
      </c>
      <c r="AI3" s="196" t="str">
        <f t="array" ref="AI3">INDEX(AH:AH,SMALL(IF($AH$2:$AH$40&lt;&gt;"",ROW($2:$40),41),ROW(AH2)))&amp;""</f>
        <v>工匠工具-酿酒</v>
      </c>
      <c r="AJ3" s="377" t="str">
        <f t="array" ref="AJ3">INDEX(J:J,SMALL(IF($J$3:$J$45&lt;&gt;"",ROW($3:$45),46),ROW(J2)))&amp;""</f>
        <v>法师护甲</v>
      </c>
      <c r="AK3" s="377" t="str">
        <f t="array" ref="AK3">INDEX(B:B,SMALL(IF($B$3:$B$177&lt;&gt;"",ROW($3:$177),178),ROW(J2)))&amp;""</f>
        <v>短棒</v>
      </c>
      <c r="AL3" s="381" t="s">
        <v>1519</v>
      </c>
      <c r="AM3" s="382" t="str">
        <f>IF(主要!AJ39=AL3,2,"")</f>
        <v/>
      </c>
      <c r="AN3" s="281"/>
      <c r="AO3" s="281"/>
      <c r="AP3" s="382"/>
      <c r="AQ3" s="381" t="str">
        <f>IF(主要!AJ39=AL3,6,"")</f>
        <v/>
      </c>
      <c r="AR3" s="383"/>
      <c r="AT3" s="274" t="s">
        <v>3741</v>
      </c>
      <c r="AU3" s="374">
        <f>IF(OR(COUNTIF(职业数据!BD5,"*中甲*"),COUNTIF(职业数据!BD5,"全部*"),COUNTIF(职业数据!AD16:AD18,职业数据!D3),COUNTIF(职业数据!AD16:AD18,职业数据!E3),COUNTIF(职业数据!AD16:AD18,职业数据!G12),种族数据!V4=种族数据!C2,种族数据!V4=种族数据!B22,COUNTIF(专长数据!E2:E7,"中甲运用")),1,0)</f>
        <v>1</v>
      </c>
      <c r="AV3" s="384" t="s">
        <v>3742</v>
      </c>
      <c r="AW3" s="383">
        <f>COUNTIF(J3:J45,AL2)</f>
        <v>1</v>
      </c>
    </row>
    <row r="4" customHeight="1" spans="1:49">
      <c r="A4" s="192"/>
      <c r="B4" s="193" t="str">
        <f>IF(OR(种族数据!V4=种族数据!C9,种族数据!V3=种族数据!A15,种族数据!V3=种族数据!A16,种族数据!V3=种族数据!A23,种族数据!V3=种族数据!A24,COUNTIF(种族数据!AB2:AB15,种族数据!G102),种族数据!V3=种族数据!A36,种族数据!V3=种族数据!A37,种族数据!V3=种族数据!A32,种族数据!V3=种族数据!A34,种族数据!V3=种族数据!A48,COUNTIF(专长数据!E2:E7,专长数据!A61),COUNTIF(专长数据!E2:E7,专长数据!A139)),"天生武器","")</f>
        <v/>
      </c>
      <c r="C4" s="193" t="str">
        <f>"1D"&amp;MAX(IF(AU6=1,_xlfn.IFS(职业数据!AG7&gt;=17,10,职业数据!AG7&gt;=11,8,职业数据!AG7&gt;=5,6,职业数据!AG7&gt;=1,4,1,1),1),IF(COUNTIF(职业数据!BG2:BG44,职业数据!J28),IF(AS2=FALSE,8,6),1),IF(OR(种族数据!V3=种族数据!C9,种族数据!V3=种族数据!A15,种族数据!V3=种族数据!A16,种族数据!V3=种族数据!A23,种族数据!V3=种族数据!A24,种族数据!V3=种族数据!A32,种族数据!V3=种族数据!A34,种族数据!V3=种族数据!A37,COUNTIF(种族数据!AB5:AB15,种族数据!G102),COUNTIF(专长数据!E2:E7,专长数据!A139)),6,4))</f>
        <v>1D4</v>
      </c>
      <c r="D4" s="224" t="str">
        <f>IF(OR(种族数据!V3=种族数据!A24,种族数据!V3=种族数据!A48,COUNTIF(专长数据!E2:E7,专长数据!A139)),"穿刺",IF(OR(种族数据!V3=种族数据!A15,种族数据!V3=种族数据!A16,种族数据!V3=种族数据!A32,种族数据!V3=种族数据!A34,COUNTIF(专长数据!E2:E7,专长数据!A61)),"挥砍","钝击"))</f>
        <v>钝击</v>
      </c>
      <c r="E4" s="379"/>
      <c r="F4" s="193" t="str">
        <f>""</f>
        <v/>
      </c>
      <c r="G4" s="193"/>
      <c r="H4" s="223">
        <f>H$3</f>
        <v>-1</v>
      </c>
      <c r="I4" s="372"/>
      <c r="J4" s="224" t="str">
        <f>IF(OR(职业数据!AG2&gt;=1,AND(职业数据!AG7&gt;=1,AS2=FALSE),COUNTIF(职业数据!AD16:AD18,职业数据!B11)),"无甲防御","")</f>
        <v/>
      </c>
      <c r="K4" s="372">
        <f>IF(OR(COUNTIF(职业数据!AD16:AD18,职业数据!B11)=0,AND(职业数据!AG2&gt;=1,主要!R16&gt;=3),AND(职业数据!AG7&gt;=1,主要!R18&gt;=3,AS2=FALSE)),10,13)</f>
        <v>10</v>
      </c>
      <c r="L4" s="372"/>
      <c r="M4" s="372" t="str">
        <f t="shared" si="2"/>
        <v/>
      </c>
      <c r="N4" s="372"/>
      <c r="O4" s="373"/>
      <c r="P4" s="372"/>
      <c r="Q4" s="376" t="str">
        <f>""</f>
        <v/>
      </c>
      <c r="R4" s="263" t="s">
        <v>3743</v>
      </c>
      <c r="S4" s="307" t="s">
        <v>3744</v>
      </c>
      <c r="T4" s="372">
        <v>25</v>
      </c>
      <c r="U4" s="193">
        <v>1</v>
      </c>
      <c r="V4" s="224" t="s">
        <v>3745</v>
      </c>
      <c r="W4" s="376"/>
      <c r="X4" s="375">
        <f>主要!P49</f>
        <v>0</v>
      </c>
      <c r="Y4" s="372" t="str">
        <f t="shared" si="0"/>
        <v/>
      </c>
      <c r="Z4" s="376" t="str">
        <f t="shared" si="1"/>
        <v/>
      </c>
      <c r="AA4" s="224" t="s">
        <v>139</v>
      </c>
      <c r="AB4" s="224">
        <v>1.5</v>
      </c>
      <c r="AC4" s="224">
        <v>20</v>
      </c>
      <c r="AD4" s="223">
        <f>IFERROR(INT(主要!AR43/AC4)*AB4,0)</f>
        <v>0</v>
      </c>
      <c r="AE4" s="192"/>
      <c r="AF4" s="224" t="s">
        <v>3746</v>
      </c>
      <c r="AG4" s="224" t="s">
        <v>3747</v>
      </c>
      <c r="AH4" s="181" t="str">
        <f t="shared" si="3"/>
        <v>工匠工具-书法</v>
      </c>
      <c r="AI4" s="196" t="str">
        <f t="array" ref="AI4">INDEX(AH:AH,SMALL(IF($AH$2:$AH$40&lt;&gt;"",ROW($2:$40),41),ROW(AH3)))&amp;""</f>
        <v>工匠工具-书法</v>
      </c>
      <c r="AJ4" s="377" t="str">
        <f t="array" ref="AJ4">INDEX(J:J,SMALL(IF($J$3:$J$45&lt;&gt;"",ROW($3:$45),46),ROW(J3)))&amp;""</f>
        <v>布甲</v>
      </c>
      <c r="AK4" s="377" t="str">
        <f t="array" ref="AK4">INDEX(B:B,SMALL(IF($B$3:$B$177&lt;&gt;"",ROW($3:$177),178),ROW(J3)))&amp;""</f>
        <v>匕首</v>
      </c>
      <c r="AT4" s="274" t="s">
        <v>3748</v>
      </c>
      <c r="AU4" s="374">
        <f>IF(OR(COUNTIF(职业数据!BD5,"全部*"),COUNTIF(职业数据!AD16:AD18,职业数据!C4),COUNTIF(职业数据!AD16:AD18,职业数据!E4),COUNTIF(职业数据!AD16:AD18,职业数据!H4),COUNTIF(职业数据!AD16:AD18,职业数据!K4),COUNTIF(职业数据!AD16:AD18,职业数据!M4),COUNTIF(职业数据!AD16:AD18,职业数据!O4),COUNTIF(职业数据!AD16:AD18,职业数据!C4),COUNTIF(职业数据!AD16:AD18,职业数据!P4),COUNTIF(职业数据!AD16:AD18,职业数据!Q4),COUNTIF(职业数据!AD16:AD18,职业数据!S4),COUNTIF(职业数据!AD16:AD18,职业数据!E14),COUNTIF(专长数据!E2:E7,"重甲运用")),1,0)</f>
        <v>0</v>
      </c>
    </row>
    <row r="5" customHeight="1" spans="1:49">
      <c r="A5" s="192"/>
      <c r="B5" s="224" t="str">
        <f>IF(种族数据!V3=种族数据!A48,"纠缠","")</f>
        <v/>
      </c>
      <c r="C5" s="224" t="s">
        <v>3749</v>
      </c>
      <c r="D5" s="224" t="s">
        <v>134</v>
      </c>
      <c r="E5" s="379"/>
      <c r="F5" s="193" t="str">
        <f>""</f>
        <v/>
      </c>
      <c r="G5" s="193"/>
      <c r="H5" s="200">
        <f>H$3</f>
        <v>-1</v>
      </c>
      <c r="I5" s="372"/>
      <c r="J5" s="224" t="str">
        <f>IF(OR(种族数据!V3=种族数据!A15,种族数据!V3=种族数据!A25,种族数据!V3=种族数据!A34,种族数据!V3=种族数据!A42,种族数据!V3=种族数据!A46,种族数据!V3=种族数据!A47,种族数据!V4=种族数据!E18,COUNTIF(专长数据!E2:E7,专长数据!A128),COUNTIF(专长数据!E2:E7,专长数据!A61)),"天生护甲","")</f>
        <v/>
      </c>
      <c r="K5" s="372">
        <f>IF(OR(种族数据!V3=种族数据!A15,种族数据!V3=种族数据!A42,种族数据!V3=种族数据!A46,COUNTIF(专长数据!E2:E7,专长数据!A128),COUNTIF(专长数据!E2:E7,专长数据!A61)),13,IF(OR(种族数据!V3=种族数据!A25,种族数据!V3=种族数据!A47),12,IF(种族数据!V3=种族数据!E18,11,IF(种族数据!V3=种族数据!A34,IF(COUNTIF(专长数据!E2:E7,专长数据!A140),18,17),10))))</f>
        <v>10</v>
      </c>
      <c r="L5" s="372"/>
      <c r="M5" s="372" t="str">
        <f t="shared" si="2"/>
        <v/>
      </c>
      <c r="N5" s="372"/>
      <c r="O5" s="372"/>
      <c r="P5" s="372"/>
      <c r="Q5" s="376" t="str">
        <f>""</f>
        <v/>
      </c>
      <c r="R5" s="375" t="s">
        <v>3750</v>
      </c>
      <c r="S5" s="385" t="s">
        <v>3751</v>
      </c>
      <c r="T5" s="372">
        <v>50</v>
      </c>
      <c r="U5" s="193">
        <v>1</v>
      </c>
      <c r="V5" s="224" t="s">
        <v>3752</v>
      </c>
      <c r="W5" s="376"/>
      <c r="X5" s="375">
        <f>主要!P50</f>
        <v>0</v>
      </c>
      <c r="Y5" s="372" t="str">
        <f t="shared" si="0"/>
        <v/>
      </c>
      <c r="Z5" s="376" t="str">
        <f t="shared" si="1"/>
        <v/>
      </c>
      <c r="AA5" s="224" t="s">
        <v>141</v>
      </c>
      <c r="AB5" s="224">
        <v>1.5</v>
      </c>
      <c r="AC5" s="224">
        <v>20</v>
      </c>
      <c r="AD5" s="223">
        <f>IFERROR(INT(主要!AR44/AC5)*AB5,0)</f>
        <v>0</v>
      </c>
      <c r="AE5" s="192"/>
      <c r="AF5" s="224" t="s">
        <v>3753</v>
      </c>
      <c r="AG5" s="224" t="s">
        <v>3754</v>
      </c>
      <c r="AH5" s="181" t="str">
        <f t="shared" si="3"/>
        <v>工匠工具-木匠</v>
      </c>
      <c r="AI5" s="196" t="str">
        <f t="array" ref="AI5">INDEX(AH:AH,SMALL(IF($AH$2:$AH$40&lt;&gt;"",ROW($2:$40),41),ROW(AH4)))&amp;""</f>
        <v>工匠工具-木匠</v>
      </c>
      <c r="AJ5" s="377" t="str">
        <f t="array" ref="AJ5">INDEX(J:J,SMALL(IF($J$3:$J$45&lt;&gt;"",ROW($3:$45),46),ROW(J4)))&amp;""</f>
        <v>皮甲</v>
      </c>
      <c r="AK5" s="377" t="str">
        <f t="array" ref="AK5">INDEX(B:B,SMALL(IF($B$3:$B$177&lt;&gt;"",ROW($3:$177),178),ROW(J4)))&amp;""</f>
        <v>巨棒</v>
      </c>
      <c r="AL5" s="264" t="s">
        <v>3755</v>
      </c>
      <c r="AM5" s="264" t="s">
        <v>128</v>
      </c>
      <c r="AN5" s="264" t="s">
        <v>3730</v>
      </c>
      <c r="AO5" s="264" t="s">
        <v>116</v>
      </c>
      <c r="AP5" s="264" t="s">
        <v>68</v>
      </c>
      <c r="AQ5" s="264" t="s">
        <v>60</v>
      </c>
      <c r="AR5" s="264" t="s">
        <v>3756</v>
      </c>
      <c r="AS5" s="264" t="s">
        <v>3757</v>
      </c>
      <c r="AT5" s="263" t="s">
        <v>3758</v>
      </c>
      <c r="AU5" s="265">
        <f>IF(OR(COUNTIF(职业数据!BD6,"*军用*"),COUNTIF(职业数据!AD16:AD18,职业数据!C3),COUNTIF(职业数据!AD16:AD18,职业数据!F4),COUNTIF(职业数据!AD16:AD18,职业数据!H4),COUNTIF(职业数据!AD16:AD18,职业数据!I4),COUNTIF(职业数据!AD16:AD18,职业数据!O4),COUNTIF(职业数据!AD16:AD18,职业数据!S4),COUNTIF(职业数据!AD16:AD18,职业数据!G12),COUNTIF(职业数据!AD16:AD18,职业数据!D14)),1,0)</f>
        <v>0</v>
      </c>
    </row>
    <row r="6" customHeight="1" spans="1:49">
      <c r="A6" s="192"/>
      <c r="B6" s="224" t="str">
        <f>IF(COUNTIF(职业数据!AD16:AD18,职业数据!J7),"星我之臂","")</f>
        <v/>
      </c>
      <c r="C6" s="224" t="str">
        <f>C3</f>
        <v>1</v>
      </c>
      <c r="D6" s="224" t="s">
        <v>3759</v>
      </c>
      <c r="E6" s="379"/>
      <c r="F6" s="224" t="s">
        <v>3760</v>
      </c>
      <c r="G6" s="193"/>
      <c r="H6" s="200">
        <f>MAX(主要!R18,IF(AU6=1,MAX(主要!R14,主要!R15),主要!R14))</f>
        <v>-1</v>
      </c>
      <c r="I6" s="372"/>
      <c r="J6" s="224" t="s">
        <v>3761</v>
      </c>
      <c r="K6" s="372">
        <v>13</v>
      </c>
      <c r="L6" s="372"/>
      <c r="M6" s="372" t="str">
        <f t="shared" si="2"/>
        <v/>
      </c>
      <c r="N6" s="372"/>
      <c r="O6" s="372"/>
      <c r="P6" s="372"/>
      <c r="Q6" s="376" t="str">
        <f>""</f>
        <v/>
      </c>
      <c r="R6" s="375" t="s">
        <v>3762</v>
      </c>
      <c r="S6" s="307" t="s">
        <v>3763</v>
      </c>
      <c r="T6" s="372">
        <v>50</v>
      </c>
      <c r="U6" s="193">
        <v>0</v>
      </c>
      <c r="V6" s="224" t="s">
        <v>3764</v>
      </c>
      <c r="W6" s="376"/>
      <c r="X6" s="375">
        <f>主要!P51</f>
        <v>0</v>
      </c>
      <c r="Y6" s="372" t="str">
        <f t="shared" si="0"/>
        <v/>
      </c>
      <c r="Z6" s="376" t="str">
        <f t="shared" si="1"/>
        <v/>
      </c>
      <c r="AA6" s="234" t="s">
        <v>143</v>
      </c>
      <c r="AB6" s="234">
        <v>2</v>
      </c>
      <c r="AC6" s="234">
        <v>10</v>
      </c>
      <c r="AD6" s="249">
        <f>IFERROR(INT(主要!AR45/AC6)*AB6,0)</f>
        <v>0</v>
      </c>
      <c r="AE6" s="192"/>
      <c r="AF6" s="224" t="s">
        <v>3765</v>
      </c>
      <c r="AG6" s="224" t="s">
        <v>3766</v>
      </c>
      <c r="AH6" s="181" t="str">
        <f t="shared" si="3"/>
        <v>工匠工具-制图</v>
      </c>
      <c r="AI6" s="196" t="str">
        <f t="array" ref="AI6">INDEX(AH:AH,SMALL(IF($AH$2:$AH$40&lt;&gt;"",ROW($2:$40),41),ROW(AH5)))&amp;""</f>
        <v>工匠工具-制图</v>
      </c>
      <c r="AJ6" s="377" t="str">
        <f t="array" ref="AJ6">INDEX(J:J,SMALL(IF($J$3:$J$45&lt;&gt;"",ROW($3:$45),46),ROW(J5)))&amp;""</f>
        <v>镶钉皮甲</v>
      </c>
      <c r="AK6" s="377" t="str">
        <f t="array" ref="AK6">INDEX(B:B,SMALL(IF($B$3:$B$177&lt;&gt;"",ROW($3:$177),178),ROW(J5)))&amp;""</f>
        <v>手斧</v>
      </c>
      <c r="AL6" s="294" t="str">
        <f>IF(主要!L41="",0,主要!L41)</f>
        <v>徒手打击</v>
      </c>
      <c r="AM6" s="372" t="str">
        <f>IFERROR(IF(OR(AL6="",COUNTIF($B$160:$B$162,AL6)),"",VLOOKUP(AL6,B:C,2,0)&amp;IF(AS6&gt;0,"+","")&amp;IF(AS6&lt;&gt;0,AS6,"")),"")</f>
        <v>1-1</v>
      </c>
      <c r="AN6" s="372" t="str">
        <f>IFERROR(VLOOKUP(AL6,B:D,3,0),"")</f>
        <v>钝击</v>
      </c>
      <c r="AO6" s="372">
        <f>IFERROR(VLOOKUP(AL6,B:E,4,0),"")</f>
        <v>0</v>
      </c>
      <c r="AP6" s="193" t="str">
        <f>IFERROR(VLOOKUP(AL6,B:F,5,0),"")</f>
        <v/>
      </c>
      <c r="AQ6" s="386" t="b">
        <v>0</v>
      </c>
      <c r="AR6" s="372">
        <f>IF(AQ6=TRUE,主要!$U$9,0)+AS6</f>
        <v>-1</v>
      </c>
      <c r="AS6" s="372">
        <f>IFERROR(VLOOKUP(AL6,B:H,7,0),0)</f>
        <v>-1</v>
      </c>
      <c r="AT6" s="307" t="s">
        <v>3767</v>
      </c>
      <c r="AU6" s="376">
        <f>IF(AND(职业数据!AG7&gt;=1,AS2=FALSE,COUNTIF(J3:J6,AL2)),1,0)</f>
        <v>0</v>
      </c>
    </row>
    <row r="7" customHeight="1" spans="1:49">
      <c r="A7" s="192"/>
      <c r="B7" s="193" t="str">
        <f>IF(COUNTIF(职业数据!BG2:BG44,职业数据!L53),"火蛇利牙","")</f>
        <v/>
      </c>
      <c r="C7" s="193" t="str">
        <f>IF(B4="",C3,C4)</f>
        <v>1</v>
      </c>
      <c r="D7" s="224" t="s">
        <v>3768</v>
      </c>
      <c r="E7" s="379"/>
      <c r="F7" s="224" t="s">
        <v>3769</v>
      </c>
      <c r="G7" s="193"/>
      <c r="H7" s="200">
        <f>H$3</f>
        <v>-1</v>
      </c>
      <c r="I7" s="373" t="s">
        <v>1544</v>
      </c>
      <c r="J7" s="224" t="str">
        <f>IF(OR(种族数据!V3=种族数据!A34,COUNTIF(职业数据!AD16:AD18,职业数据!E14)),"","布甲")</f>
        <v>布甲</v>
      </c>
      <c r="K7" s="373">
        <v>11</v>
      </c>
      <c r="L7" s="372"/>
      <c r="M7" s="373" t="str">
        <f t="shared" si="2"/>
        <v/>
      </c>
      <c r="N7" s="372">
        <v>1</v>
      </c>
      <c r="O7" s="372">
        <v>8</v>
      </c>
      <c r="P7" s="372">
        <v>5</v>
      </c>
      <c r="Q7" s="223" t="s">
        <v>3770</v>
      </c>
      <c r="R7" s="375" t="s">
        <v>3771</v>
      </c>
      <c r="S7" s="307" t="s">
        <v>3772</v>
      </c>
      <c r="T7" s="372">
        <v>1</v>
      </c>
      <c r="U7" s="193">
        <v>2</v>
      </c>
      <c r="V7" s="224" t="s">
        <v>3773</v>
      </c>
      <c r="W7" s="376"/>
      <c r="X7" s="375">
        <f>主要!P52</f>
        <v>0</v>
      </c>
      <c r="Y7" s="372" t="str">
        <f t="shared" si="0"/>
        <v/>
      </c>
      <c r="Z7" s="376" t="str">
        <f t="shared" si="1"/>
        <v/>
      </c>
      <c r="AC7" s="372"/>
      <c r="AD7" s="183" t="s">
        <v>3730</v>
      </c>
      <c r="AE7" s="192"/>
      <c r="AF7" s="224" t="s">
        <v>3774</v>
      </c>
      <c r="AG7" s="224" t="s">
        <v>3775</v>
      </c>
      <c r="AH7" s="181" t="str">
        <f t="shared" si="3"/>
        <v>工匠工具-鞋匠</v>
      </c>
      <c r="AI7" s="196" t="str">
        <f t="array" ref="AI7">INDEX(AH:AH,SMALL(IF($AH$2:$AH$40&lt;&gt;"",ROW($2:$40),41),ROW(AH6)))&amp;""</f>
        <v>工匠工具-鞋匠</v>
      </c>
      <c r="AJ7" s="377" t="str">
        <f t="array" ref="AJ7">INDEX(J:J,SMALL(IF($J$3:$J$45&lt;&gt;"",ROW($3:$45),46),ROW(J6)))&amp;""</f>
        <v>兽皮甲</v>
      </c>
      <c r="AK7" s="377" t="str">
        <f t="array" ref="AK7">INDEX(B:B,SMALL(IF($B$3:$B$177&lt;&gt;"",ROW($3:$177),178),ROW(J6)))&amp;""</f>
        <v>标枪</v>
      </c>
      <c r="AL7" s="294">
        <f>IF(主要!L42="",0,主要!L42)</f>
        <v>0</v>
      </c>
      <c r="AM7" s="372" t="str">
        <f>IFERROR(IF(OR(AL7="",COUNTIF($B$160:$B$162,AL7)),"",VLOOKUP(AL7,B:C,2,0)&amp;IF(AS7&gt;0,"+","")&amp;IF(AS7&lt;&gt;0,AS7,"")),"")</f>
        <v/>
      </c>
      <c r="AN7" s="372" t="str">
        <f>IFERROR(VLOOKUP(AL7,B:D,3,0),"")</f>
        <v/>
      </c>
      <c r="AO7" s="372" t="str">
        <f>IFERROR(VLOOKUP(AL7,B:E,4,0),"")</f>
        <v/>
      </c>
      <c r="AP7" s="193" t="str">
        <f>IFERROR(VLOOKUP(AL7,B:F,5,0),"")</f>
        <v/>
      </c>
      <c r="AQ7" s="386" t="b">
        <v>0</v>
      </c>
      <c r="AR7" s="372">
        <f>IF(AQ7=TRUE,主要!$U$9,0)+AS7</f>
        <v>0</v>
      </c>
      <c r="AS7" s="372">
        <f>IFERROR(VLOOKUP(AL7,B:H,7,0),0)</f>
        <v>0</v>
      </c>
      <c r="AT7" s="274" t="s">
        <v>3128</v>
      </c>
      <c r="AU7" s="376">
        <f>IF(AND(职业数据!AG7&gt;=3,COUNTIF(职业数据!AD16:AD18,职业数据!G7)),2,IF(AND(综合数据!B14=TRUE,职业数据!AG7&gt;=2),1,0))</f>
        <v>0</v>
      </c>
    </row>
    <row r="8" customHeight="1" spans="1:49">
      <c r="A8" s="192"/>
      <c r="B8" s="224" t="str">
        <f>IF(COUNTIF(法术数据!AK2:AK301,法术数据!B128),"变身术","")</f>
        <v/>
      </c>
      <c r="C8" s="224" t="str">
        <f>"1D"&amp;MAX(IF(AU6=1,_xlfn.IFS(职业数据!AG7&gt;=17,10,职业数据!AG7&gt;=11,8,1,6),6),IF(AND(COUNTIF(职业数据!BG2:BG44,职业数据!J28),AS2=FALSE),8,6))</f>
        <v>1D6</v>
      </c>
      <c r="D8" s="193" t="str">
        <f>""</f>
        <v/>
      </c>
      <c r="E8" s="379"/>
      <c r="F8" s="193" t="str">
        <f>""</f>
        <v/>
      </c>
      <c r="G8" s="193"/>
      <c r="H8" s="200">
        <f>H$3</f>
        <v>-1</v>
      </c>
      <c r="I8" s="373"/>
      <c r="J8" s="224" t="str">
        <f>IF(AND(COUNTIF(职业数据!AD16:AD18,职业数据!E14),种族数据!V3&lt;&gt;种族数据!A34),"守护布甲","")</f>
        <v/>
      </c>
      <c r="K8" s="372">
        <v>11</v>
      </c>
      <c r="L8" s="372"/>
      <c r="M8" s="373" t="str">
        <f t="shared" si="2"/>
        <v/>
      </c>
      <c r="N8" s="372">
        <v>1</v>
      </c>
      <c r="O8" s="372">
        <v>8</v>
      </c>
      <c r="P8" s="372"/>
      <c r="Q8" s="223" t="s">
        <v>3776</v>
      </c>
      <c r="R8" s="375" t="s">
        <v>3777</v>
      </c>
      <c r="S8" s="307" t="s">
        <v>3778</v>
      </c>
      <c r="T8" s="372">
        <v>1</v>
      </c>
      <c r="U8" s="193">
        <v>7</v>
      </c>
      <c r="V8" s="193" t="str">
        <f>""</f>
        <v/>
      </c>
      <c r="W8" s="376"/>
      <c r="X8" s="375">
        <f>主要!P53</f>
        <v>0</v>
      </c>
      <c r="Y8" s="372" t="str">
        <f t="shared" si="0"/>
        <v/>
      </c>
      <c r="Z8" s="376" t="str">
        <f t="shared" si="1"/>
        <v/>
      </c>
      <c r="AC8" s="372"/>
      <c r="AD8" s="375" t="s">
        <v>134</v>
      </c>
      <c r="AE8" s="192"/>
      <c r="AF8" s="224" t="s">
        <v>3779</v>
      </c>
      <c r="AG8" s="224" t="s">
        <v>3780</v>
      </c>
      <c r="AH8" s="181" t="str">
        <f t="shared" si="3"/>
        <v>工匠工具-厨师</v>
      </c>
      <c r="AI8" s="196" t="str">
        <f t="array" ref="AI8">INDEX(AH:AH,SMALL(IF($AH$2:$AH$40&lt;&gt;"",ROW($2:$40),41),ROW(AH7)))&amp;""</f>
        <v>工匠工具-厨师</v>
      </c>
      <c r="AJ8" s="377" t="str">
        <f t="array" ref="AJ8">INDEX(J:J,SMALL(IF($J$3:$J$45&lt;&gt;"",ROW($3:$45),46),ROW(J7)))&amp;""</f>
        <v>链甲衫</v>
      </c>
      <c r="AK8" s="377" t="str">
        <f t="array" ref="AK8">INDEX(B:B,SMALL(IF($B$3:$B$177&lt;&gt;"",ROW($3:$177),178),ROW(J7)))&amp;""</f>
        <v>轻锤</v>
      </c>
      <c r="AL8" s="294">
        <f>IF(主要!L43="",0,主要!L43)</f>
        <v>0</v>
      </c>
      <c r="AM8" s="372" t="str">
        <f>IFERROR(IF(OR(AL8="",COUNTIF($B$160:$B$162,AL8)),"",VLOOKUP(AL8,B:C,2,0)&amp;IF(AS8&gt;0,"+","")&amp;IF(AS8&lt;&gt;0,AS8,"")),"")</f>
        <v/>
      </c>
      <c r="AN8" s="372" t="str">
        <f>IFERROR(VLOOKUP(AL8,B:D,3,0),"")</f>
        <v/>
      </c>
      <c r="AO8" s="372" t="str">
        <f>IFERROR(VLOOKUP(AL8,B:E,4,0),"")</f>
        <v/>
      </c>
      <c r="AP8" s="193" t="str">
        <f>IFERROR(VLOOKUP(AL8,B:F,5,0),"")</f>
        <v/>
      </c>
      <c r="AQ8" s="386" t="b">
        <v>0</v>
      </c>
      <c r="AR8" s="372">
        <f>IF(AQ8=TRUE,主要!$U$9,0)+AS8</f>
        <v>0</v>
      </c>
      <c r="AS8" s="372">
        <f>IFERROR(VLOOKUP(AL8,B:H,7,0),0)</f>
        <v>0</v>
      </c>
      <c r="AT8" s="307" t="s">
        <v>3781</v>
      </c>
      <c r="AU8" s="374">
        <f>IF(COUNTIF(职业数据!AD16:AD18,职业数据!G12),IF(COUNTIF(职业数据!BG2:BG44,职业数据!V44),2,1),0)</f>
        <v>0</v>
      </c>
    </row>
    <row r="9" customHeight="1" spans="1:49">
      <c r="A9" s="275"/>
      <c r="B9" t="str">
        <f>IF(种族数据!V4=种族数据!T13,"吸血啃咬","")</f>
        <v/>
      </c>
      <c r="C9" s="373" t="str">
        <f>C11</f>
        <v>1D4</v>
      </c>
      <c r="D9" s="193" t="s">
        <v>3782</v>
      </c>
      <c r="F9" s="193" t="str">
        <f>""</f>
        <v/>
      </c>
      <c r="H9" s="200">
        <f>MAX(主要!R16,IF(AU6=1,MAX(主要!R14,主要!R15),主要!R14))</f>
        <v>-1</v>
      </c>
      <c r="I9" s="373"/>
      <c r="J9" s="224" t="str">
        <f>IF(AND(COUNTIF(职业数据!AD16:AD18,职业数据!E14),种族数据!V3&lt;&gt;种族数据!A34),"渗透布甲","")</f>
        <v/>
      </c>
      <c r="K9" s="372">
        <v>11</v>
      </c>
      <c r="L9" s="372"/>
      <c r="M9" s="373" t="str">
        <f t="shared" si="2"/>
        <v/>
      </c>
      <c r="N9" s="372"/>
      <c r="O9" s="372">
        <v>8</v>
      </c>
      <c r="P9" s="372"/>
      <c r="Q9" s="223" t="s">
        <v>3783</v>
      </c>
      <c r="R9" s="375" t="s">
        <v>3784</v>
      </c>
      <c r="S9" s="307" t="s">
        <v>3785</v>
      </c>
      <c r="T9" s="372">
        <v>1</v>
      </c>
      <c r="U9" s="193">
        <v>0</v>
      </c>
      <c r="V9" s="193" t="str">
        <f>""</f>
        <v/>
      </c>
      <c r="W9" s="376"/>
      <c r="X9" s="375">
        <f>主要!P54</f>
        <v>0</v>
      </c>
      <c r="Y9" s="372" t="str">
        <f t="shared" si="0"/>
        <v/>
      </c>
      <c r="Z9" s="376" t="str">
        <f t="shared" si="1"/>
        <v/>
      </c>
      <c r="AC9" s="372"/>
      <c r="AD9" s="375" t="s">
        <v>3782</v>
      </c>
      <c r="AE9" s="192"/>
      <c r="AF9" s="224" t="s">
        <v>3786</v>
      </c>
      <c r="AG9" s="224" t="s">
        <v>3787</v>
      </c>
      <c r="AH9" s="181" t="str">
        <f t="shared" si="3"/>
        <v>工匠工具-玻璃匠</v>
      </c>
      <c r="AI9" s="196" t="str">
        <f t="array" ref="AI9">INDEX(AH:AH,SMALL(IF($AH$2:$AH$40&lt;&gt;"",ROW($2:$40),41),ROW(AH8)))&amp;""</f>
        <v>工匠工具-玻璃匠</v>
      </c>
      <c r="AJ9" s="377" t="str">
        <f t="array" ref="AJ9">INDEX(J:J,SMALL(IF($J$3:$J$45&lt;&gt;"",ROW($3:$45),46),ROW(J8)))&amp;""</f>
        <v>鳞甲</v>
      </c>
      <c r="AK9" s="377" t="str">
        <f t="array" ref="AK9">INDEX(B:B,SMALL(IF($B$3:$B$177&lt;&gt;"",ROW($3:$177),178),ROW(J8)))&amp;""</f>
        <v>硬头锤</v>
      </c>
      <c r="AL9" s="294">
        <f>IF(主要!L44="",0,主要!L44)</f>
        <v>0</v>
      </c>
      <c r="AM9" s="372" t="str">
        <f>IFERROR(IF(OR(AL9="",COUNTIF($B$160:$B$162,AL9)),"",VLOOKUP(AL9,B:C,2,0)&amp;IF(AS9&gt;0,"+","")&amp;IF(AS9&lt;&gt;0,AS9,"")),"")</f>
        <v/>
      </c>
      <c r="AN9" s="372" t="str">
        <f>IFERROR(VLOOKUP(AL9,B:D,3,0),"")</f>
        <v/>
      </c>
      <c r="AO9" s="372" t="str">
        <f>IFERROR(VLOOKUP(AL9,B:E,4,0),"")</f>
        <v/>
      </c>
      <c r="AP9" s="193" t="str">
        <f>IFERROR(VLOOKUP(AL9,B:F,5,0),"")</f>
        <v/>
      </c>
      <c r="AQ9" s="386" t="b">
        <v>0</v>
      </c>
      <c r="AR9" s="372">
        <f>IF(AQ9=TRUE,主要!$U$9,0)+AS9</f>
        <v>0</v>
      </c>
      <c r="AS9" s="372">
        <f>IFERROR(VLOOKUP(AL9,B:H,7,0),0)</f>
        <v>0</v>
      </c>
      <c r="AT9" s="280" t="s">
        <v>3788</v>
      </c>
      <c r="AU9" s="383">
        <f>IF(AND(COUNTIF(职业数据!AD16:AD18,职业数据!D14)=1,职业数据!AG14&gt;=3),1,0)</f>
        <v>0</v>
      </c>
    </row>
    <row r="10" customHeight="1" spans="1:49">
      <c r="A10" s="275"/>
      <c r="B10" t="str">
        <f>IF(COUNTIF(种族数据!AB2:AB15,种族数据!F110),"长牙","")</f>
        <v/>
      </c>
      <c r="C10" s="372" t="str">
        <f>C5</f>
        <v>1D6</v>
      </c>
      <c r="D10" s="372" t="str">
        <f>D9</f>
        <v>穿刺</v>
      </c>
      <c r="F10" s="193" t="str">
        <f>""</f>
        <v/>
      </c>
      <c r="H10" s="376">
        <f>H$3</f>
        <v>-1</v>
      </c>
      <c r="I10" s="373"/>
      <c r="J10" s="224" t="str">
        <f>IF(OR(种族数据!V3=种族数据!A34,COUNTIF(职业数据!AD16:AD18,职业数据!E14)),"","皮甲")</f>
        <v>皮甲</v>
      </c>
      <c r="K10" s="373">
        <v>11</v>
      </c>
      <c r="L10" s="372"/>
      <c r="M10" s="373" t="str">
        <f t="shared" si="2"/>
        <v/>
      </c>
      <c r="N10" s="372"/>
      <c r="O10" s="372">
        <v>10</v>
      </c>
      <c r="P10" s="372">
        <v>10</v>
      </c>
      <c r="Q10" s="223" t="s">
        <v>3789</v>
      </c>
      <c r="R10" s="375" t="s">
        <v>147</v>
      </c>
      <c r="S10" s="307" t="s">
        <v>3790</v>
      </c>
      <c r="T10" s="372">
        <v>0.5</v>
      </c>
      <c r="U10" s="193">
        <v>3</v>
      </c>
      <c r="V10" s="193" t="str">
        <f>""</f>
        <v/>
      </c>
      <c r="W10" s="376"/>
      <c r="X10" s="375">
        <f>主要!P55</f>
        <v>0</v>
      </c>
      <c r="Y10" s="372" t="str">
        <f t="shared" si="0"/>
        <v/>
      </c>
      <c r="Z10" s="376" t="str">
        <f t="shared" si="1"/>
        <v/>
      </c>
      <c r="AC10" s="372"/>
      <c r="AD10" s="375" t="s">
        <v>3791</v>
      </c>
      <c r="AE10" s="192"/>
      <c r="AF10" s="224" t="s">
        <v>3792</v>
      </c>
      <c r="AG10" s="224" t="s">
        <v>3793</v>
      </c>
      <c r="AH10" s="181" t="str">
        <f t="shared" si="3"/>
        <v>工匠工具-珠宝匠</v>
      </c>
      <c r="AI10" s="196" t="str">
        <f t="array" ref="AI10">INDEX(AH:AH,SMALL(IF($AH$2:$AH$40&lt;&gt;"",ROW($2:$40),41),ROW(AH9)))&amp;""</f>
        <v>工匠工具-珠宝匠</v>
      </c>
      <c r="AJ10" s="377" t="str">
        <f t="array" ref="AJ10">INDEX(J:J,SMALL(IF($J$3:$J$45&lt;&gt;"",ROW($3:$45),46),ROW(J9)))&amp;""</f>
        <v>胸甲</v>
      </c>
      <c r="AK10" s="377" t="str">
        <f t="array" ref="AK10">INDEX(B:B,SMALL(IF($B$3:$B$177&lt;&gt;"",ROW($3:$177),178),ROW(J9)))&amp;""</f>
        <v>长棍</v>
      </c>
      <c r="AL10" s="387">
        <f>IF(主要!L45="",0,主要!L45)</f>
        <v>0</v>
      </c>
      <c r="AM10" s="382" t="str">
        <f>IFERROR(IF(OR(AL10="",COUNTIF($B$160:$B$162,AL10)),"",VLOOKUP(AL10,B:C,2,0)&amp;IF(AS10&gt;0,"+","")&amp;IF(AS10&lt;&gt;0,AS10,"")),"")</f>
        <v/>
      </c>
      <c r="AN10" s="382" t="str">
        <f>IFERROR(VLOOKUP(AL10,B:D,3,0),"")</f>
        <v/>
      </c>
      <c r="AO10" s="382" t="str">
        <f>IFERROR(VLOOKUP(AL10,B:E,4,0),"")</f>
        <v/>
      </c>
      <c r="AP10" s="235" t="str">
        <f>IFERROR(VLOOKUP(AL10,B:F,5,0),"")</f>
        <v/>
      </c>
      <c r="AQ10" s="388" t="b">
        <v>0</v>
      </c>
      <c r="AR10" s="382">
        <f>IF(AQ10=TRUE,主要!$U$9,0)+AS10</f>
        <v>0</v>
      </c>
      <c r="AS10" s="383">
        <f>IFERROR(VLOOKUP(AL10,B:H,7,0),0)</f>
        <v>0</v>
      </c>
    </row>
    <row r="11" customHeight="1" spans="1:49">
      <c r="A11" s="222" t="s">
        <v>3794</v>
      </c>
      <c r="B11" s="224" t="s">
        <v>3795</v>
      </c>
      <c r="C11" s="224" t="str">
        <f>"1D"&amp;IF(AU6=1,_xlfn.IFS(职业数据!AG7&gt;=17,10,职业数据!AG7&gt;=11,8,职业数据!AG7&gt;=5,6,1,4),4)</f>
        <v>1D4</v>
      </c>
      <c r="D11" s="224" t="s">
        <v>134</v>
      </c>
      <c r="E11" s="379">
        <v>2</v>
      </c>
      <c r="F11" s="224" t="s">
        <v>3796</v>
      </c>
      <c r="G11" s="193">
        <v>0.1</v>
      </c>
      <c r="H11" s="223">
        <f>H$3</f>
        <v>-1</v>
      </c>
      <c r="I11" s="373"/>
      <c r="J11" s="224" t="str">
        <f>IF(AND(COUNTIF(职业数据!AD16:AD18,职业数据!E14),种族数据!V3&lt;&gt;种族数据!A34),"守护皮甲","")</f>
        <v/>
      </c>
      <c r="K11" s="372">
        <v>11</v>
      </c>
      <c r="L11" s="372"/>
      <c r="M11" s="373" t="str">
        <f t="shared" si="2"/>
        <v/>
      </c>
      <c r="N11" s="372"/>
      <c r="O11" s="372">
        <v>10</v>
      </c>
      <c r="P11" s="372"/>
      <c r="Q11"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11" s="375" t="s">
        <v>3797</v>
      </c>
      <c r="S11" s="307" t="s">
        <v>3798</v>
      </c>
      <c r="T11" s="372">
        <v>5</v>
      </c>
      <c r="U11" s="193">
        <v>5</v>
      </c>
      <c r="V11" s="224" t="s">
        <v>3799</v>
      </c>
      <c r="W11" s="376"/>
      <c r="X11" s="307" t="str">
        <f>背包!B3</f>
        <v>背包</v>
      </c>
      <c r="Y11" s="372">
        <f>IFERROR(VLOOKUP(X11,S:W,5,0),"")</f>
        <v>30</v>
      </c>
      <c r="Z11" s="376">
        <f>IFERROR(VLOOKUP(X11,S:U,3,0),0)</f>
        <v>5</v>
      </c>
      <c r="AC11" s="372"/>
      <c r="AD11" s="375" t="s">
        <v>3800</v>
      </c>
      <c r="AE11" s="192"/>
      <c r="AF11" s="224" t="s">
        <v>3801</v>
      </c>
      <c r="AG11" s="224" t="s">
        <v>3802</v>
      </c>
      <c r="AH11" s="181" t="str">
        <f t="shared" si="3"/>
        <v>工匠工具-皮匠</v>
      </c>
      <c r="AI11" s="196" t="str">
        <f t="array" ref="AI11">INDEX(AH:AH,SMALL(IF($AH$2:$AH$40&lt;&gt;"",ROW($2:$40),41),ROW(AH10)))&amp;""</f>
        <v>工匠工具-皮匠</v>
      </c>
      <c r="AJ11" s="377" t="str">
        <f t="array" ref="AJ11">INDEX(J:J,SMALL(IF($J$3:$J$45&lt;&gt;"",ROW($3:$45),46),ROW(J10)))&amp;""</f>
        <v>半身板甲</v>
      </c>
      <c r="AK11" s="377" t="str">
        <f t="array" ref="AK11">INDEX(B:B,SMALL(IF($B$3:$B$177&lt;&gt;"",ROW($3:$177),178),ROW(J10)))&amp;""</f>
        <v>镰刀</v>
      </c>
      <c r="AL11" s="263" t="s">
        <v>3720</v>
      </c>
      <c r="AM11" s="389"/>
      <c r="AN11" s="369"/>
    </row>
    <row r="12" customHeight="1" spans="1:49">
      <c r="A12" s="222"/>
      <c r="B12" s="193" t="str">
        <f>IF(AU$7=2,"剑圣"&amp;B11,"")</f>
        <v/>
      </c>
      <c r="C12" s="193" t="str">
        <f>C$11</f>
        <v>1D4</v>
      </c>
      <c r="D12" s="193" t="str">
        <f t="shared" ref="D12:F12" si="4">D11</f>
        <v>钝击</v>
      </c>
      <c r="E12" s="379">
        <f t="shared" si="4"/>
        <v>2</v>
      </c>
      <c r="F12" s="193" t="str">
        <f t="shared" si="4"/>
        <v>轻型</v>
      </c>
      <c r="G12" s="193"/>
      <c r="H12" s="223">
        <f>H$3</f>
        <v>-1</v>
      </c>
      <c r="I12" s="373"/>
      <c r="J12" s="224" t="str">
        <f>IF(AND(COUNTIF(职业数据!AD16:AD18,职业数据!E14),种族数据!V3&lt;&gt;种族数据!A34),"渗透皮甲","")</f>
        <v/>
      </c>
      <c r="K12" s="372">
        <v>11</v>
      </c>
      <c r="L12" s="372"/>
      <c r="M12" s="373" t="str">
        <f t="shared" si="2"/>
        <v/>
      </c>
      <c r="N12" s="372"/>
      <c r="O12" s="372">
        <v>10</v>
      </c>
      <c r="P12" s="372"/>
      <c r="Q12" s="223" t="s">
        <v>3803</v>
      </c>
      <c r="R12" s="375" t="s">
        <v>3804</v>
      </c>
      <c r="S12" s="307" t="s">
        <v>3805</v>
      </c>
      <c r="T12" s="372">
        <v>25</v>
      </c>
      <c r="U12" s="193">
        <v>5</v>
      </c>
      <c r="V12" s="224" t="s">
        <v>3806</v>
      </c>
      <c r="W12" s="376"/>
      <c r="X12" s="375">
        <f>背包!B5</f>
        <v>0</v>
      </c>
      <c r="Y12" s="372" t="str">
        <f t="shared" ref="Y12:Y31" si="5">IFERROR(VLOOKUP(X12,S:V,4,0),"")</f>
        <v/>
      </c>
      <c r="Z12" s="376" t="str">
        <f t="shared" ref="Z12:Z31" si="6">IFERROR(VLOOKUP(X12,S:U,3,0),"")</f>
        <v/>
      </c>
      <c r="AC12" s="372"/>
      <c r="AD12" s="375" t="s">
        <v>3807</v>
      </c>
      <c r="AE12" s="192"/>
      <c r="AF12" s="224" t="s">
        <v>3808</v>
      </c>
      <c r="AG12" s="224" t="s">
        <v>3809</v>
      </c>
      <c r="AH12" s="181" t="str">
        <f t="shared" si="3"/>
        <v>工匠工具-泥瓦匠</v>
      </c>
      <c r="AI12" s="196" t="str">
        <f t="array" ref="AI12">INDEX(AH:AH,SMALL(IF($AH$2:$AH$40&lt;&gt;"",ROW($2:$40),41),ROW(AH11)))&amp;""</f>
        <v>工匠工具-泥瓦匠</v>
      </c>
      <c r="AJ12" s="377" t="str">
        <f t="array" ref="AJ12">INDEX(J:J,SMALL(IF($J$3:$J$45&lt;&gt;"",ROW($3:$45),46),ROW(J11)))&amp;""</f>
        <v>钉刺甲</v>
      </c>
      <c r="AK12" s="377" t="str">
        <f t="array" ref="AK12">INDEX(B:B,SMALL(IF($B$3:$B$177&lt;&gt;"",ROW($3:$177),178),ROW(J11)))&amp;""</f>
        <v>矛</v>
      </c>
      <c r="AL12" s="375">
        <f>主要!Z121</f>
        <v>0</v>
      </c>
      <c r="AM12" s="372" t="str">
        <f t="shared" ref="AM12:AM20" si="7">IFERROR(VLOOKUP(AL12,AF:AG,2,0),"")</f>
        <v/>
      </c>
      <c r="AN12" s="390" t="str">
        <f t="shared" ref="AN12:AN20" si="8">IF(AL12=0,"",COUNTIF($AL$12:$AL$20,AL12))</f>
        <v/>
      </c>
    </row>
    <row r="13" customHeight="1" spans="1:49">
      <c r="A13" s="222"/>
      <c r="B13" s="224" t="str">
        <f>IF(AU$8&gt;=1,"咒剑"&amp;B11,"")</f>
        <v/>
      </c>
      <c r="C13" s="193" t="str">
        <f>C$11</f>
        <v>1D4</v>
      </c>
      <c r="D13" s="193" t="str">
        <f>D11</f>
        <v>钝击</v>
      </c>
      <c r="E13" s="379">
        <f>E11</f>
        <v>2</v>
      </c>
      <c r="F13" s="193" t="str">
        <f>F11</f>
        <v>轻型</v>
      </c>
      <c r="G13" s="193"/>
      <c r="H13" s="200">
        <f>MAX(主要!R$19,装备数据!H11)</f>
        <v>-1</v>
      </c>
      <c r="I13" s="373"/>
      <c r="J13" s="224" t="str">
        <f>IF(OR(种族数据!V3=种族数据!A34,COUNTIF(职业数据!AD16:AD18,职业数据!E14)),"","镶钉皮甲")</f>
        <v>镶钉皮甲</v>
      </c>
      <c r="K13" s="373">
        <v>12</v>
      </c>
      <c r="L13" s="372"/>
      <c r="M13" s="373" t="str">
        <f t="shared" si="2"/>
        <v/>
      </c>
      <c r="N13" s="372"/>
      <c r="O13" s="372">
        <v>13</v>
      </c>
      <c r="P13" s="372">
        <v>45</v>
      </c>
      <c r="Q13" s="223" t="s">
        <v>3810</v>
      </c>
      <c r="R13" s="375" t="s">
        <v>3811</v>
      </c>
      <c r="S13" s="307" t="s">
        <v>3812</v>
      </c>
      <c r="T13" s="372">
        <v>1</v>
      </c>
      <c r="U13" s="193">
        <v>2</v>
      </c>
      <c r="V13" s="224" t="s">
        <v>3813</v>
      </c>
      <c r="W13" s="376"/>
      <c r="X13" s="375">
        <f>背包!B6</f>
        <v>0</v>
      </c>
      <c r="Y13" s="372" t="str">
        <f t="shared" si="5"/>
        <v/>
      </c>
      <c r="Z13" s="376" t="str">
        <f t="shared" si="6"/>
        <v/>
      </c>
      <c r="AC13" s="372"/>
      <c r="AD13" s="375" t="s">
        <v>3768</v>
      </c>
      <c r="AE13" s="192"/>
      <c r="AF13" s="224" t="s">
        <v>3814</v>
      </c>
      <c r="AG13" s="224" t="s">
        <v>3815</v>
      </c>
      <c r="AH13" s="181" t="str">
        <f t="shared" si="3"/>
        <v>工匠工具-画家</v>
      </c>
      <c r="AI13" s="196" t="str">
        <f t="array" ref="AI13">INDEX(AH:AH,SMALL(IF($AH$2:$AH$40&lt;&gt;"",ROW($2:$40),41),ROW(AH12)))&amp;""</f>
        <v>工匠工具-画家</v>
      </c>
      <c r="AJ13" s="377" t="str">
        <f t="array" ref="AJ13">INDEX(J:J,SMALL(IF($J$3:$J$45&lt;&gt;"",ROW($3:$45),46),ROW(J12)))&amp;""</f>
        <v>环甲</v>
      </c>
      <c r="AK13" s="377" t="str">
        <f t="array" ref="AK13">INDEX(B:B,SMALL(IF($B$3:$B$177&lt;&gt;"",ROW($3:$177),178),ROW(J12)))&amp;""</f>
        <v>轻弩</v>
      </c>
      <c r="AL13" s="375">
        <f>主要!Z122</f>
        <v>0</v>
      </c>
      <c r="AM13" s="372" t="str">
        <f t="shared" si="7"/>
        <v/>
      </c>
      <c r="AN13" s="390" t="str">
        <f t="shared" si="8"/>
        <v/>
      </c>
    </row>
    <row r="14" customHeight="1" spans="1:49">
      <c r="A14" s="222"/>
      <c r="B14" s="224" t="str">
        <f>IF(AU$9=1,"匠师"&amp;B11,"")</f>
        <v/>
      </c>
      <c r="C14" s="193" t="str">
        <f>C$11</f>
        <v>1D4</v>
      </c>
      <c r="D14" s="193" t="str">
        <f>D11</f>
        <v>钝击</v>
      </c>
      <c r="E14" s="379">
        <f>E11</f>
        <v>2</v>
      </c>
      <c r="F14" s="193" t="str">
        <f>F11</f>
        <v>轻型</v>
      </c>
      <c r="G14" s="193"/>
      <c r="H14" s="200">
        <f>MAX(主要!R$17,装备数据!H11)</f>
        <v>-1</v>
      </c>
      <c r="I14" s="373"/>
      <c r="J14" s="224" t="str">
        <f>IF(AND(COUNTIF(职业数据!AD16:AD18,职业数据!E14),种族数据!V3&lt;&gt;种族数据!A34),"守护镶钉皮甲","")</f>
        <v/>
      </c>
      <c r="K14" s="372">
        <v>12</v>
      </c>
      <c r="L14" s="372"/>
      <c r="M14" s="373" t="str">
        <f t="shared" si="2"/>
        <v/>
      </c>
      <c r="N14" s="372"/>
      <c r="O14" s="372">
        <v>13</v>
      </c>
      <c r="P14" s="372"/>
      <c r="Q14"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14" s="375" t="s">
        <v>3816</v>
      </c>
      <c r="S14" s="307" t="s">
        <v>3817</v>
      </c>
      <c r="T14" s="372">
        <v>0.01</v>
      </c>
      <c r="U14" s="193">
        <v>0</v>
      </c>
      <c r="V14" s="224" t="s">
        <v>3818</v>
      </c>
      <c r="W14" s="376"/>
      <c r="X14" s="375">
        <f>背包!B7</f>
        <v>0</v>
      </c>
      <c r="Y14" s="372" t="str">
        <f t="shared" si="5"/>
        <v/>
      </c>
      <c r="Z14" s="376" t="str">
        <f t="shared" si="6"/>
        <v/>
      </c>
      <c r="AB14" s="372"/>
      <c r="AC14" s="372"/>
      <c r="AD14" s="375" t="s">
        <v>3759</v>
      </c>
      <c r="AE14" s="192"/>
      <c r="AF14" s="224" t="s">
        <v>3819</v>
      </c>
      <c r="AG14" s="224" t="s">
        <v>3820</v>
      </c>
      <c r="AH14" s="181" t="str">
        <f t="shared" si="3"/>
        <v>工匠工具-陶匠</v>
      </c>
      <c r="AI14" s="196" t="str">
        <f t="array" ref="AI14">INDEX(AH:AH,SMALL(IF($AH$2:$AH$40&lt;&gt;"",ROW($2:$40),41),ROW(AH13)))&amp;""</f>
        <v>工匠工具-陶匠</v>
      </c>
      <c r="AJ14" s="377" t="str">
        <f t="array" ref="AJ14">INDEX(J:J,SMALL(IF($J$3:$J$45&lt;&gt;"",ROW($3:$45),46),ROW(J13)))&amp;""</f>
        <v>链甲</v>
      </c>
      <c r="AK14" s="377" t="str">
        <f t="array" ref="AK14">INDEX(B:B,SMALL(IF($B$3:$B$177&lt;&gt;"",ROW($3:$177),178),ROW(J13)))&amp;""</f>
        <v>飞镖</v>
      </c>
      <c r="AL14" s="375">
        <f>主要!Z123</f>
        <v>0</v>
      </c>
      <c r="AM14" s="372" t="str">
        <f t="shared" si="7"/>
        <v/>
      </c>
      <c r="AN14" s="390" t="str">
        <f t="shared" si="8"/>
        <v/>
      </c>
    </row>
    <row r="15" customHeight="1" spans="1:49">
      <c r="A15" s="222"/>
      <c r="B15" s="193" t="str">
        <f>IF(COUNTIF(法术数据!AK2:AK301,法术数据!B23)&gt;=1,"橡棍"&amp;B11,"")</f>
        <v/>
      </c>
      <c r="C15" s="193" t="str">
        <f>"1D"&amp;IF(AU6=1,IF(职业数据!AG7&gt;=17,10,8),8)</f>
        <v>1D8</v>
      </c>
      <c r="D15" s="193" t="str">
        <f>D11</f>
        <v>钝击</v>
      </c>
      <c r="E15" s="379">
        <f>E11</f>
        <v>2</v>
      </c>
      <c r="F15" s="193" t="str">
        <f>F11</f>
        <v>轻型</v>
      </c>
      <c r="G15" s="193"/>
      <c r="H15" s="200">
        <f>MAX(主要!R$18,H11)</f>
        <v>-1</v>
      </c>
      <c r="I15" s="373"/>
      <c r="J15" s="224" t="str">
        <f>IF(AND(COUNTIF(职业数据!AD16:AD18,职业数据!E14),种族数据!V3&lt;&gt;种族数据!A34),"渗透镶钉皮甲","")</f>
        <v/>
      </c>
      <c r="K15" s="372">
        <v>12</v>
      </c>
      <c r="L15" s="372"/>
      <c r="M15" s="373" t="str">
        <f t="shared" si="2"/>
        <v/>
      </c>
      <c r="N15" s="372"/>
      <c r="O15" s="372">
        <v>13</v>
      </c>
      <c r="P15" s="372"/>
      <c r="Q15" s="223" t="str">
        <f>Q12</f>
        <v>步行速度增加5尺，你在敏捷（隐匿）检定中具有优势</v>
      </c>
      <c r="R15" s="375" t="s">
        <v>3821</v>
      </c>
      <c r="S15" s="307" t="s">
        <v>3822</v>
      </c>
      <c r="T15" s="372">
        <v>5</v>
      </c>
      <c r="U15" s="193">
        <v>10</v>
      </c>
      <c r="V15" s="224" t="s">
        <v>3823</v>
      </c>
      <c r="W15" s="376"/>
      <c r="X15" s="375">
        <f>背包!B8</f>
        <v>0</v>
      </c>
      <c r="Y15" s="372" t="str">
        <f t="shared" si="5"/>
        <v/>
      </c>
      <c r="Z15" s="376" t="str">
        <f t="shared" si="6"/>
        <v/>
      </c>
      <c r="AB15" s="372"/>
      <c r="AC15" s="372"/>
      <c r="AD15" s="375" t="s">
        <v>3824</v>
      </c>
      <c r="AE15" s="192"/>
      <c r="AF15" s="224" t="s">
        <v>3825</v>
      </c>
      <c r="AG15" s="224" t="s">
        <v>3826</v>
      </c>
      <c r="AH15" s="181" t="str">
        <f t="shared" si="3"/>
        <v>工匠工具-铁匠</v>
      </c>
      <c r="AI15" s="196" t="str">
        <f t="array" ref="AI15">INDEX(AH:AH,SMALL(IF($AH$2:$AH$40&lt;&gt;"",ROW($2:$40),41),ROW(AH14)))&amp;""</f>
        <v>工匠工具-铁匠</v>
      </c>
      <c r="AJ15" s="376" t="str">
        <f t="array" ref="AJ15">INDEX(J:J,SMALL(IF($J$3:$J$45&lt;&gt;"",ROW($3:$45),46),ROW(J14)))&amp;""</f>
        <v>板条甲</v>
      </c>
      <c r="AK15" s="377" t="str">
        <f t="array" ref="AK15">INDEX(B:B,SMALL(IF($B$3:$B$177&lt;&gt;"",ROW($3:$177),178),ROW(J14)))&amp;""</f>
        <v>短弓</v>
      </c>
      <c r="AL15" s="375">
        <f>主要!Z124</f>
        <v>0</v>
      </c>
      <c r="AM15" s="372" t="str">
        <f t="shared" si="7"/>
        <v/>
      </c>
      <c r="AN15" s="390" t="str">
        <f t="shared" si="8"/>
        <v/>
      </c>
    </row>
    <row r="16" customHeight="1" spans="1:49">
      <c r="A16" s="222"/>
      <c r="B16" s="224" t="s">
        <v>3827</v>
      </c>
      <c r="C16" s="224" t="str">
        <f>C11</f>
        <v>1D4</v>
      </c>
      <c r="D16" s="224" t="s">
        <v>3782</v>
      </c>
      <c r="E16" s="379">
        <v>1</v>
      </c>
      <c r="F16" s="224" t="s">
        <v>3828</v>
      </c>
      <c r="G16" s="193">
        <v>2</v>
      </c>
      <c r="H16" s="223">
        <f>MAX(主要!R15,主要!R14)</f>
        <v>-1</v>
      </c>
      <c r="I16" s="373" t="s">
        <v>3741</v>
      </c>
      <c r="J16" s="224" t="str">
        <f>IF(OR(种族数据!V3=种族数据!A34,COUNTIF(职业数据!AD16:AD18,职业数据!E14)),"","兽皮甲")</f>
        <v>兽皮甲</v>
      </c>
      <c r="K16" s="373">
        <v>12</v>
      </c>
      <c r="L16" s="372"/>
      <c r="M16" s="372">
        <f>IF(COUNTIF(专长数据!E2:E7,"中甲大师"),3,2)</f>
        <v>2</v>
      </c>
      <c r="N16" s="372"/>
      <c r="O16" s="372">
        <v>12</v>
      </c>
      <c r="P16" s="372">
        <v>10</v>
      </c>
      <c r="Q16" s="223" t="s">
        <v>3829</v>
      </c>
      <c r="R16" s="375" t="s">
        <v>3830</v>
      </c>
      <c r="S16" s="307" t="s">
        <v>3831</v>
      </c>
      <c r="T16" s="372">
        <v>0.01</v>
      </c>
      <c r="U16" s="193">
        <v>0</v>
      </c>
      <c r="V16" s="193" t="str">
        <f>""</f>
        <v/>
      </c>
      <c r="W16" s="376"/>
      <c r="X16" s="375">
        <f>背包!B9</f>
        <v>0</v>
      </c>
      <c r="Y16" s="372" t="str">
        <f t="shared" si="5"/>
        <v/>
      </c>
      <c r="Z16" s="376" t="str">
        <f t="shared" si="6"/>
        <v/>
      </c>
      <c r="AB16" s="372"/>
      <c r="AC16" s="372"/>
      <c r="AD16" s="375" t="s">
        <v>3832</v>
      </c>
      <c r="AE16" s="192"/>
      <c r="AF16" s="224" t="s">
        <v>3833</v>
      </c>
      <c r="AG16" s="224" t="s">
        <v>3834</v>
      </c>
      <c r="AH16" s="181" t="str">
        <f t="shared" si="3"/>
        <v>工匠工具-修补</v>
      </c>
      <c r="AI16" s="196" t="str">
        <f t="array" ref="AI16">INDEX(AH:AH,SMALL(IF($AH$2:$AH$40&lt;&gt;"",ROW($2:$40),41),ROW(AH15)))&amp;""</f>
        <v>工匠工具-修补</v>
      </c>
      <c r="AJ16" s="376" t="str">
        <f t="array" ref="AJ16">INDEX(J:J,SMALL(IF($J$3:$J$45&lt;&gt;"",ROW($3:$45),46),ROW(J15)))&amp;""</f>
        <v>板甲</v>
      </c>
      <c r="AK16" s="377" t="str">
        <f t="array" ref="AK16">INDEX(B:B,SMALL(IF($B$3:$B$177&lt;&gt;"",ROW($3:$177),178),ROW(J15)))&amp;""</f>
        <v>投石索</v>
      </c>
      <c r="AL16" s="375">
        <f>主要!Z125</f>
        <v>0</v>
      </c>
      <c r="AM16" s="372" t="str">
        <f t="shared" si="7"/>
        <v/>
      </c>
      <c r="AN16" s="390" t="str">
        <f t="shared" si="8"/>
        <v/>
      </c>
    </row>
    <row r="17" customHeight="1" spans="1:40">
      <c r="A17" s="222"/>
      <c r="B17" s="193" t="str">
        <f>IF(AU$7=2,"剑圣"&amp;B16,"")</f>
        <v/>
      </c>
      <c r="C17" s="193" t="str">
        <f>C16</f>
        <v>1D4</v>
      </c>
      <c r="D17" s="193" t="str">
        <f t="shared" ref="D17" si="9">D16</f>
        <v>穿刺</v>
      </c>
      <c r="E17" s="379">
        <f t="shared" ref="E17" si="10">E16</f>
        <v>1</v>
      </c>
      <c r="F17" s="193" t="str">
        <f t="shared" ref="F17" si="11">F16</f>
        <v>灵巧，轻型，投掷（射程20/60）</v>
      </c>
      <c r="G17" s="193"/>
      <c r="H17" s="200">
        <f>H$16</f>
        <v>-1</v>
      </c>
      <c r="I17" s="373"/>
      <c r="J17" s="224" t="str">
        <f>IF(AND(COUNTIF(职业数据!AD16:AD18,职业数据!E14),种族数据!V3&lt;&gt;种族数据!A34),"守护兽皮甲","")</f>
        <v/>
      </c>
      <c r="K17" s="372">
        <v>12</v>
      </c>
      <c r="L17" s="372"/>
      <c r="M17" s="372">
        <f>M16</f>
        <v>2</v>
      </c>
      <c r="N17" s="372"/>
      <c r="O17" s="372">
        <v>12</v>
      </c>
      <c r="P17" s="372"/>
      <c r="Q17"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17" s="375" t="s">
        <v>3835</v>
      </c>
      <c r="S17" s="307" t="s">
        <v>3836</v>
      </c>
      <c r="T17" s="372">
        <v>25</v>
      </c>
      <c r="U17" s="193">
        <v>12</v>
      </c>
      <c r="V17" s="224" t="s">
        <v>3837</v>
      </c>
      <c r="W17" s="376"/>
      <c r="X17" s="375">
        <f>背包!B10</f>
        <v>0</v>
      </c>
      <c r="Y17" s="372" t="str">
        <f t="shared" si="5"/>
        <v/>
      </c>
      <c r="Z17" s="376" t="str">
        <f t="shared" si="6"/>
        <v/>
      </c>
      <c r="AB17" s="372"/>
      <c r="AC17" s="372"/>
      <c r="AD17" s="375" t="s">
        <v>3838</v>
      </c>
      <c r="AE17" s="192"/>
      <c r="AF17" s="224" t="s">
        <v>3839</v>
      </c>
      <c r="AG17" s="224" t="s">
        <v>3840</v>
      </c>
      <c r="AH17" s="181" t="str">
        <f t="shared" si="3"/>
        <v>工匠工具-织布</v>
      </c>
      <c r="AI17" s="196" t="str">
        <f t="array" ref="AI17">INDEX(AH:AH,SMALL(IF($AH$2:$AH$40&lt;&gt;"",ROW($2:$40),41),ROW(AH16)))&amp;""</f>
        <v>工匠工具-织布</v>
      </c>
      <c r="AJ17" s="376" t="str">
        <f t="array" ref="AJ17">INDEX(J:J,SMALL(IF($J$3:$J$45&lt;&gt;"",ROW($3:$45),46),ROW(J16)))&amp;""</f>
        <v/>
      </c>
      <c r="AK17" s="377" t="str">
        <f t="array" ref="AK17">INDEX(B:B,SMALL(IF($B$3:$B$177&lt;&gt;"",ROW($3:$177),178),ROW(J16)))&amp;""</f>
        <v>战斧</v>
      </c>
      <c r="AL17" s="375">
        <f>主要!Z126</f>
        <v>0</v>
      </c>
      <c r="AM17" s="372" t="str">
        <f t="shared" si="7"/>
        <v/>
      </c>
      <c r="AN17" s="390" t="str">
        <f t="shared" si="8"/>
        <v/>
      </c>
    </row>
    <row r="18" customHeight="1" spans="1:40">
      <c r="A18" s="222"/>
      <c r="B18" s="224" t="str">
        <f>IF(AU$8&gt;=1,"咒剑"&amp;B16,"")</f>
        <v/>
      </c>
      <c r="C18" s="193" t="str">
        <f>C16</f>
        <v>1D4</v>
      </c>
      <c r="D18" s="193" t="str">
        <f>D16</f>
        <v>穿刺</v>
      </c>
      <c r="E18" s="379">
        <f>E16</f>
        <v>1</v>
      </c>
      <c r="F18" s="193" t="str">
        <f>F16</f>
        <v>灵巧，轻型，投掷（射程20/60）</v>
      </c>
      <c r="G18" s="193"/>
      <c r="H18" s="200">
        <f>MAX(主要!R$19,装备数据!H16)</f>
        <v>-1</v>
      </c>
      <c r="I18" s="373"/>
      <c r="J18" s="224" t="str">
        <f>IF(AND(COUNTIF(职业数据!AD16:AD18,职业数据!E14),种族数据!V3&lt;&gt;种族数据!A34),"渗透兽皮甲","")</f>
        <v/>
      </c>
      <c r="K18" s="372">
        <v>12</v>
      </c>
      <c r="L18" s="372"/>
      <c r="M18" s="372">
        <f>M16</f>
        <v>2</v>
      </c>
      <c r="N18" s="372"/>
      <c r="O18" s="372">
        <v>12</v>
      </c>
      <c r="P18" s="372"/>
      <c r="Q18" s="223" t="str">
        <f>Q12</f>
        <v>步行速度增加5尺，你在敏捷（隐匿）检定中具有优势</v>
      </c>
      <c r="R18" s="375" t="s">
        <v>3841</v>
      </c>
      <c r="S18" s="307" t="s">
        <v>3842</v>
      </c>
      <c r="T18" s="372">
        <v>25</v>
      </c>
      <c r="U18" s="193">
        <v>2</v>
      </c>
      <c r="V18" s="224" t="s">
        <v>3843</v>
      </c>
      <c r="W18" s="376"/>
      <c r="X18" s="375">
        <f>背包!B11</f>
        <v>0</v>
      </c>
      <c r="Y18" s="372" t="str">
        <f t="shared" si="5"/>
        <v/>
      </c>
      <c r="Z18" s="376" t="str">
        <f t="shared" si="6"/>
        <v/>
      </c>
      <c r="AB18" s="372"/>
      <c r="AC18" s="372"/>
      <c r="AD18" s="375" t="s">
        <v>3844</v>
      </c>
      <c r="AE18" s="192"/>
      <c r="AF18" s="224" t="s">
        <v>3845</v>
      </c>
      <c r="AG18" s="224" t="s">
        <v>3846</v>
      </c>
      <c r="AH18" s="181" t="str">
        <f t="shared" si="3"/>
        <v>工匠工具-木雕</v>
      </c>
      <c r="AI18" s="196" t="str">
        <f t="array" ref="AI18">INDEX(AH:AH,SMALL(IF($AH$2:$AH$40&lt;&gt;"",ROW($2:$40),41),ROW(AH17)))&amp;""</f>
        <v>工匠工具-木雕</v>
      </c>
      <c r="AJ18" s="376" t="str">
        <f t="array" ref="AJ18">INDEX(J:J,SMALL(IF($J$3:$J$45&lt;&gt;"",ROW($3:$45),46),ROW(J17)))&amp;""</f>
        <v/>
      </c>
      <c r="AK18" s="377" t="str">
        <f t="array" ref="AK18">INDEX(B:B,SMALL(IF($B$3:$B$177&lt;&gt;"",ROW($3:$177),178),ROW(J17)))&amp;""</f>
        <v>链枷</v>
      </c>
      <c r="AL18" s="375">
        <f>主要!Z127</f>
        <v>0</v>
      </c>
      <c r="AM18" s="372" t="str">
        <f t="shared" si="7"/>
        <v/>
      </c>
      <c r="AN18" s="390" t="str">
        <f t="shared" si="8"/>
        <v/>
      </c>
    </row>
    <row r="19" customHeight="1" spans="1:40">
      <c r="A19" s="222"/>
      <c r="B19" s="224" t="str">
        <f>IF(AU$9=1,"匠师"&amp;B16,"")</f>
        <v/>
      </c>
      <c r="C19" s="193" t="str">
        <f>C16</f>
        <v>1D4</v>
      </c>
      <c r="D19" s="193" t="str">
        <f>D16</f>
        <v>穿刺</v>
      </c>
      <c r="E19" s="379">
        <f>E16</f>
        <v>1</v>
      </c>
      <c r="F19" s="193" t="str">
        <f>F16</f>
        <v>灵巧，轻型，投掷（射程20/60）</v>
      </c>
      <c r="G19" s="193"/>
      <c r="H19" s="200">
        <f>MAX(主要!R$17,装备数据!H16)</f>
        <v>-1</v>
      </c>
      <c r="I19" s="373"/>
      <c r="J19" s="224" t="str">
        <f>IF(OR(种族数据!V3=种族数据!A34,COUNTIF(职业数据!AD16:AD18,职业数据!E14)),"","链甲衫")</f>
        <v>链甲衫</v>
      </c>
      <c r="K19" s="373">
        <v>13</v>
      </c>
      <c r="L19" s="372"/>
      <c r="M19" s="372">
        <f>IF(COUNTIF(专长数据!E2:E7,"中甲大师"),3,2)</f>
        <v>2</v>
      </c>
      <c r="N19" s="372"/>
      <c r="O19" s="372">
        <v>20</v>
      </c>
      <c r="P19" s="372">
        <v>50</v>
      </c>
      <c r="Q19" s="223" t="s">
        <v>3847</v>
      </c>
      <c r="R19" s="375" t="s">
        <v>3848</v>
      </c>
      <c r="S19" s="307" t="s">
        <v>3849</v>
      </c>
      <c r="T19" s="372">
        <v>2</v>
      </c>
      <c r="U19" s="193">
        <v>5</v>
      </c>
      <c r="V19" s="224" t="s">
        <v>3850</v>
      </c>
      <c r="W19" s="376"/>
      <c r="X19" s="375">
        <f>背包!B12</f>
        <v>0</v>
      </c>
      <c r="Y19" s="372" t="str">
        <f t="shared" si="5"/>
        <v/>
      </c>
      <c r="Z19" s="376" t="str">
        <f t="shared" si="6"/>
        <v/>
      </c>
      <c r="AB19" s="372"/>
      <c r="AD19" s="375" t="s">
        <v>3851</v>
      </c>
      <c r="AE19" s="192"/>
      <c r="AF19" s="224" t="s">
        <v>3852</v>
      </c>
      <c r="AG19" s="224" t="s">
        <v>3853</v>
      </c>
      <c r="AH19" s="181" t="str">
        <f t="shared" si="3"/>
        <v>易容工具</v>
      </c>
      <c r="AI19" s="196" t="str">
        <f t="array" ref="AI19">INDEX(AH:AH,SMALL(IF($AH$2:$AH$40&lt;&gt;"",ROW($2:$40),41),ROW(AH18)))&amp;""</f>
        <v>易容工具</v>
      </c>
      <c r="AJ19" s="376" t="str">
        <f t="array" ref="AJ19">INDEX(J:J,SMALL(IF($J$3:$J$45&lt;&gt;"",ROW($3:$45),46),ROW(J18)))&amp;""</f>
        <v/>
      </c>
      <c r="AK19" s="377" t="str">
        <f t="array" ref="AK19">INDEX(B:B,SMALL(IF($B$3:$B$177&lt;&gt;"",ROW($3:$177),178),ROW(J18)))&amp;""</f>
        <v>长柄刀</v>
      </c>
      <c r="AL19" s="375">
        <f>主要!Z128</f>
        <v>0</v>
      </c>
      <c r="AM19" s="372" t="str">
        <f t="shared" si="7"/>
        <v/>
      </c>
      <c r="AN19" s="390" t="str">
        <f t="shared" si="8"/>
        <v/>
      </c>
    </row>
    <row r="20" customHeight="1" spans="1:40">
      <c r="A20" s="222"/>
      <c r="B20" s="224" t="s">
        <v>3854</v>
      </c>
      <c r="C20" s="224" t="s">
        <v>3855</v>
      </c>
      <c r="D20" s="224" t="s">
        <v>134</v>
      </c>
      <c r="E20" s="379">
        <v>10</v>
      </c>
      <c r="F20" s="224" t="s">
        <v>3856</v>
      </c>
      <c r="G20" s="193">
        <v>0.2</v>
      </c>
      <c r="H20" s="200">
        <f>主要!R14</f>
        <v>-1</v>
      </c>
      <c r="I20" s="373"/>
      <c r="J20" s="224" t="str">
        <f>IF(AND(COUNTIF(职业数据!AD16:AD18,职业数据!E14),种族数据!V3&lt;&gt;种族数据!A34),"守护链甲衫","")</f>
        <v/>
      </c>
      <c r="K20" s="372">
        <v>13</v>
      </c>
      <c r="L20" s="372"/>
      <c r="M20" s="372">
        <f>M19</f>
        <v>2</v>
      </c>
      <c r="N20" s="372"/>
      <c r="O20" s="372">
        <v>20</v>
      </c>
      <c r="P20" s="372"/>
      <c r="Q20"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20" s="375" t="s">
        <v>3857</v>
      </c>
      <c r="S20" s="307" t="s">
        <v>3858</v>
      </c>
      <c r="T20" s="372">
        <v>1</v>
      </c>
      <c r="U20" s="193">
        <v>4</v>
      </c>
      <c r="V20" s="224" t="s">
        <v>3859</v>
      </c>
      <c r="W20" s="376"/>
      <c r="X20" s="375">
        <f>背包!B13</f>
        <v>0</v>
      </c>
      <c r="Y20" s="372" t="str">
        <f t="shared" si="5"/>
        <v/>
      </c>
      <c r="Z20" s="376" t="str">
        <f t="shared" si="6"/>
        <v/>
      </c>
      <c r="AB20" s="372"/>
      <c r="AD20" s="380" t="s">
        <v>3860</v>
      </c>
      <c r="AE20" s="192"/>
      <c r="AF20" s="224" t="s">
        <v>3861</v>
      </c>
      <c r="AG20" s="224" t="s">
        <v>3862</v>
      </c>
      <c r="AH20" s="181" t="str">
        <f t="shared" si="3"/>
        <v>文书伪造工具</v>
      </c>
      <c r="AI20" s="196" t="str">
        <f t="array" ref="AI20">INDEX(AH:AH,SMALL(IF($AH$2:$AH$40&lt;&gt;"",ROW($2:$40),41),ROW(AH19)))&amp;""</f>
        <v>文书伪造工具</v>
      </c>
      <c r="AJ20" s="376" t="str">
        <f t="array" ref="AJ20">INDEX(J:J,SMALL(IF($J$3:$J$45&lt;&gt;"",ROW($3:$45),46),ROW(J19)))&amp;""</f>
        <v/>
      </c>
      <c r="AK20" s="377" t="str">
        <f t="array" ref="AK20">INDEX(B:B,SMALL(IF($B$3:$B$177&lt;&gt;"",ROW($3:$177),178),ROW(J19)))&amp;""</f>
        <v>巨斧</v>
      </c>
      <c r="AL20" s="375">
        <f>主要!Z117</f>
        <v>0</v>
      </c>
      <c r="AM20" s="372" t="str">
        <f t="shared" si="7"/>
        <v/>
      </c>
      <c r="AN20" s="390" t="str">
        <f t="shared" si="8"/>
        <v/>
      </c>
    </row>
    <row r="21" customHeight="1" spans="1:40">
      <c r="A21" s="222"/>
      <c r="B21" s="193" t="str">
        <f>IF(AU$7=2,"剑圣"&amp;B20,IF(AU$7&gt;=1,"专用"&amp;B20,""))</f>
        <v/>
      </c>
      <c r="C21" s="193" t="str">
        <f>C$15</f>
        <v>1D8</v>
      </c>
      <c r="D21" s="193" t="str">
        <f>D20</f>
        <v>钝击</v>
      </c>
      <c r="E21" s="379">
        <f>E20</f>
        <v>10</v>
      </c>
      <c r="F21" s="193" t="str">
        <f>F20</f>
        <v>双手</v>
      </c>
      <c r="G21" s="193"/>
      <c r="H21" s="200">
        <f>H$3</f>
        <v>-1</v>
      </c>
      <c r="I21" s="373"/>
      <c r="J21" s="224" t="str">
        <f>IF(AND(COUNTIF(职业数据!AD16:AD18,职业数据!E14),种族数据!V3&lt;&gt;种族数据!A34),"渗透链甲衫","")</f>
        <v/>
      </c>
      <c r="K21" s="372">
        <v>13</v>
      </c>
      <c r="L21" s="372"/>
      <c r="M21" s="372">
        <f>M19</f>
        <v>2</v>
      </c>
      <c r="N21" s="372"/>
      <c r="O21" s="372">
        <v>20</v>
      </c>
      <c r="P21" s="372"/>
      <c r="Q21" s="223" t="str">
        <f>Q12</f>
        <v>步行速度增加5尺，你在敏捷（隐匿）检定中具有优势</v>
      </c>
      <c r="R21" s="375" t="s">
        <v>3863</v>
      </c>
      <c r="S21" s="307" t="s">
        <v>3864</v>
      </c>
      <c r="T21" s="372">
        <v>2</v>
      </c>
      <c r="U21" s="193">
        <v>4</v>
      </c>
      <c r="V21" s="193" t="str">
        <f>""</f>
        <v/>
      </c>
      <c r="W21" s="376"/>
      <c r="X21" s="375">
        <f>背包!B14</f>
        <v>0</v>
      </c>
      <c r="Y21" s="372" t="str">
        <f t="shared" si="5"/>
        <v/>
      </c>
      <c r="Z21" s="376" t="str">
        <f t="shared" si="6"/>
        <v/>
      </c>
      <c r="AB21" s="372"/>
      <c r="AE21" s="222" t="s">
        <v>3865</v>
      </c>
      <c r="AF21" s="224" t="s">
        <v>3866</v>
      </c>
      <c r="AG21" s="224" t="s">
        <v>3867</v>
      </c>
      <c r="AH21" s="181" t="str">
        <f t="shared" si="3"/>
        <v>赌具-骰子</v>
      </c>
      <c r="AI21" s="196" t="str">
        <f t="array" ref="AI21">INDEX(AH:AH,SMALL(IF($AH$2:$AH$40&lt;&gt;"",ROW($2:$40),41),ROW(AH20)))&amp;""</f>
        <v>赌具-骰子</v>
      </c>
      <c r="AJ21" s="376" t="str">
        <f t="array" ref="AJ21">INDEX(J:J,SMALL(IF($J$3:$J$45&lt;&gt;"",ROW($3:$45),46),ROW(J20)))&amp;""</f>
        <v/>
      </c>
      <c r="AK21" s="377" t="str">
        <f t="array" ref="AK21">INDEX(B:B,SMALL(IF($B$3:$B$177&lt;&gt;"",ROW($3:$177),178),ROW(J20)))&amp;""</f>
        <v>巨剑</v>
      </c>
      <c r="AL21" s="384" t="s">
        <v>3868</v>
      </c>
      <c r="AM21" s="382">
        <f>COUNTIF(AN12:AN20,"&gt;1")</f>
        <v>0</v>
      </c>
      <c r="AN21" s="383"/>
    </row>
    <row r="22" customHeight="1" spans="1:40">
      <c r="A22" s="222"/>
      <c r="B22" s="224" t="str">
        <f>IF(AU$8=2,"咒剑"&amp;B20,"")</f>
        <v/>
      </c>
      <c r="C22" s="193" t="str">
        <f>C20</f>
        <v>1D8</v>
      </c>
      <c r="D22" s="193" t="str">
        <f>D20</f>
        <v>钝击</v>
      </c>
      <c r="E22" s="379">
        <f>E20</f>
        <v>10</v>
      </c>
      <c r="F22" s="193" t="str">
        <f>F20</f>
        <v>双手</v>
      </c>
      <c r="G22" s="193"/>
      <c r="H22" s="200">
        <f>H$13</f>
        <v>-1</v>
      </c>
      <c r="I22" s="373"/>
      <c r="J22" s="224" t="str">
        <f>IF(OR(种族数据!V3=种族数据!A34,COUNTIF(职业数据!AD16:AD18,职业数据!E14)),"","鳞甲")</f>
        <v>鳞甲</v>
      </c>
      <c r="K22" s="373">
        <v>14</v>
      </c>
      <c r="L22" s="372"/>
      <c r="M22" s="372">
        <f>IF(COUNTIF(专长数据!E2:E7,"中甲大师"),3,2)</f>
        <v>2</v>
      </c>
      <c r="N22" s="373">
        <f>IF(COUNTIF(专长数据!E2:E7,"中甲大师"),0,1)</f>
        <v>1</v>
      </c>
      <c r="O22" s="373">
        <v>45</v>
      </c>
      <c r="P22" s="372">
        <v>50</v>
      </c>
      <c r="Q22" s="223" t="s">
        <v>3869</v>
      </c>
      <c r="R22" s="375" t="s">
        <v>3870</v>
      </c>
      <c r="S22" s="307" t="s">
        <v>3871</v>
      </c>
      <c r="T22" s="372">
        <v>1</v>
      </c>
      <c r="U22" s="193">
        <v>3</v>
      </c>
      <c r="V22" s="193" t="str">
        <f>""</f>
        <v/>
      </c>
      <c r="W22" s="376"/>
      <c r="X22" s="375">
        <f>背包!B16</f>
        <v>0</v>
      </c>
      <c r="Y22" s="372" t="str">
        <f t="shared" si="5"/>
        <v/>
      </c>
      <c r="Z22" s="376" t="str">
        <f t="shared" si="6"/>
        <v/>
      </c>
      <c r="AA22" s="372"/>
      <c r="AB22" s="372"/>
      <c r="AE22" s="192"/>
      <c r="AF22" s="224" t="s">
        <v>3872</v>
      </c>
      <c r="AG22" s="193" t="str">
        <f>AG21</f>
        <v>历史：你对赌博的掌握包括对它历史的了解，以及与它有关的重要事件或与之相关的历史名人的知识
洞悉：和某人赌上一把是了解他们个性的好方法，可以让你更好地分辨他们的谎言，了解他们的情绪
巧手：想出老千的话，巧手是个很有用的技能，比如你可以棋子换位、掌中藏牌、控制骰点。亦或者，对沉浸于赌局的目标进行扒窃也是不错的选择</v>
      </c>
      <c r="AH22" s="181" t="str">
        <f t="shared" si="3"/>
        <v>赌具-龙棋</v>
      </c>
      <c r="AI22" s="196" t="str">
        <f t="array" ref="AI22">INDEX(AH:AH,SMALL(IF($AH$2:$AH$40&lt;&gt;"",ROW($2:$40),41),ROW(AH21)))&amp;""</f>
        <v>赌具-龙棋</v>
      </c>
      <c r="AJ22" s="376" t="str">
        <f t="array" ref="AJ22">INDEX(J:J,SMALL(IF($J$3:$J$45&lt;&gt;"",ROW($3:$45),46),ROW(J21)))&amp;""</f>
        <v/>
      </c>
      <c r="AK22" s="377" t="str">
        <f t="array" ref="AK22">INDEX(B:B,SMALL(IF($B$3:$B$177&lt;&gt;"",ROW($3:$177),178),ROW(J21)))&amp;""</f>
        <v>戟</v>
      </c>
    </row>
    <row r="23" customHeight="1" spans="1:40">
      <c r="A23" s="222"/>
      <c r="B23" s="224" t="str">
        <f>IF(AU$9=1,"匠师"&amp;B20,"")</f>
        <v/>
      </c>
      <c r="C23" s="193" t="str">
        <f>C20</f>
        <v>1D8</v>
      </c>
      <c r="D23" s="193" t="str">
        <f>D20</f>
        <v>钝击</v>
      </c>
      <c r="E23" s="379">
        <f>E20</f>
        <v>10</v>
      </c>
      <c r="F23" s="193" t="str">
        <f>F20</f>
        <v>双手</v>
      </c>
      <c r="G23" s="193"/>
      <c r="H23" s="200">
        <f>H$14</f>
        <v>-1</v>
      </c>
      <c r="I23" s="373"/>
      <c r="J23" s="224" t="str">
        <f>IF(AND(COUNTIF(职业数据!AD16:AD18,职业数据!E14),种族数据!V3&lt;&gt;种族数据!A34),"守护鳞甲","")</f>
        <v/>
      </c>
      <c r="K23" s="372">
        <v>14</v>
      </c>
      <c r="L23" s="372"/>
      <c r="M23" s="372">
        <f>M22</f>
        <v>2</v>
      </c>
      <c r="N23" s="372">
        <f>N22</f>
        <v>1</v>
      </c>
      <c r="O23" s="372">
        <v>45</v>
      </c>
      <c r="P23" s="372"/>
      <c r="Q23"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23" s="375" t="s">
        <v>3873</v>
      </c>
      <c r="S23" s="307" t="s">
        <v>3874</v>
      </c>
      <c r="T23" s="372">
        <v>2</v>
      </c>
      <c r="U23" s="193">
        <v>10</v>
      </c>
      <c r="V23" s="193" t="str">
        <f>""</f>
        <v/>
      </c>
      <c r="W23" s="376"/>
      <c r="X23" s="375">
        <f>背包!B17</f>
        <v>0</v>
      </c>
      <c r="Y23" s="372" t="str">
        <f t="shared" si="5"/>
        <v/>
      </c>
      <c r="Z23" s="376" t="str">
        <f t="shared" si="6"/>
        <v/>
      </c>
      <c r="AA23" s="372"/>
      <c r="AB23" s="372"/>
      <c r="AE23" s="192"/>
      <c r="AF23" s="224" t="s">
        <v>3875</v>
      </c>
      <c r="AG23" s="193" t="str">
        <f>AG21</f>
        <v>历史：你对赌博的掌握包括对它历史的了解，以及与它有关的重要事件或与之相关的历史名人的知识
洞悉：和某人赌上一把是了解他们个性的好方法，可以让你更好地分辨他们的谎言，了解他们的情绪
巧手：想出老千的话，巧手是个很有用的技能，比如你可以棋子换位、掌中藏牌、控制骰点。亦或者，对沉浸于赌局的目标进行扒窃也是不错的选择</v>
      </c>
      <c r="AH23" s="181" t="str">
        <f t="shared" si="3"/>
        <v>赌具-纸牌</v>
      </c>
      <c r="AI23" s="196" t="str">
        <f t="array" ref="AI23">INDEX(AH:AH,SMALL(IF($AH$2:$AH$40&lt;&gt;"",ROW($2:$40),41),ROW(AH22)))&amp;""</f>
        <v>赌具-纸牌</v>
      </c>
      <c r="AJ23" s="376" t="str">
        <f t="array" ref="AJ23">INDEX(J:J,SMALL(IF($J$3:$J$45&lt;&gt;"",ROW($3:$45),46),ROW(J22)))&amp;""</f>
        <v/>
      </c>
      <c r="AK23" s="377" t="str">
        <f t="array" ref="AK23">INDEX(B:B,SMALL(IF($B$3:$B$177&lt;&gt;"",ROW($3:$177),178),ROW(J22)))&amp;""</f>
        <v>骑枪</v>
      </c>
    </row>
    <row r="24" customHeight="1" spans="1:40">
      <c r="A24" s="222"/>
      <c r="B24" s="224" t="s">
        <v>3876</v>
      </c>
      <c r="C24" s="224" t="str">
        <f>"1D"&amp;IF(AU6=1,_xlfn.IFS(职业数据!AG7&gt;=17,10,职业数据!AG7&gt;=11,8,1,6),6)</f>
        <v>1D6</v>
      </c>
      <c r="D24" s="224" t="s">
        <v>3791</v>
      </c>
      <c r="E24" s="379">
        <v>2</v>
      </c>
      <c r="F24" s="224" t="s">
        <v>3877</v>
      </c>
      <c r="G24" s="193">
        <v>5</v>
      </c>
      <c r="H24" s="200">
        <f>H$3</f>
        <v>-1</v>
      </c>
      <c r="I24" s="373"/>
      <c r="J24" s="224" t="str">
        <f>IF(AND(COUNTIF(职业数据!AD16:AD18,职业数据!E14),种族数据!V3&lt;&gt;种族数据!A34),"渗透鳞甲","")</f>
        <v/>
      </c>
      <c r="K24" s="372">
        <v>14</v>
      </c>
      <c r="L24" s="372"/>
      <c r="M24" s="372">
        <f>M22</f>
        <v>2</v>
      </c>
      <c r="N24" s="372"/>
      <c r="O24" s="372">
        <v>45</v>
      </c>
      <c r="P24" s="372"/>
      <c r="Q24" s="223" t="str">
        <f>Q9</f>
        <v>步行速度增加5尺</v>
      </c>
      <c r="R24" s="375" t="s">
        <v>3856</v>
      </c>
      <c r="S24" s="307" t="s">
        <v>3878</v>
      </c>
      <c r="T24" s="372">
        <v>5</v>
      </c>
      <c r="U24" s="193">
        <v>3</v>
      </c>
      <c r="V24" s="224" t="s">
        <v>3879</v>
      </c>
      <c r="W24" s="376"/>
      <c r="X24" s="375">
        <f>背包!B18</f>
        <v>0</v>
      </c>
      <c r="Y24" s="372" t="str">
        <f t="shared" si="5"/>
        <v/>
      </c>
      <c r="Z24" s="376" t="str">
        <f t="shared" si="6"/>
        <v/>
      </c>
      <c r="AA24" s="372"/>
      <c r="AB24" s="372"/>
      <c r="AC24" s="372"/>
      <c r="AE24" s="192"/>
      <c r="AF24" s="224" t="s">
        <v>3880</v>
      </c>
      <c r="AG24" s="193" t="str">
        <f>AG21</f>
        <v>历史：你对赌博的掌握包括对它历史的了解，以及与它有关的重要事件或与之相关的历史名人的知识
洞悉：和某人赌上一把是了解他们个性的好方法，可以让你更好地分辨他们的谎言，了解他们的情绪
巧手：想出老千的话，巧手是个很有用的技能，比如你可以棋子换位、掌中藏牌、控制骰点。亦或者，对沉浸于赌局的目标进行扒窃也是不错的选择</v>
      </c>
      <c r="AH24" s="181" t="str">
        <f t="shared" si="3"/>
        <v>赌具-三龙牌</v>
      </c>
      <c r="AI24" s="196" t="str">
        <f t="array" ref="AI24">INDEX(AH:AH,SMALL(IF($AH$2:$AH$40&lt;&gt;"",ROW($2:$40),41),ROW(AH23)))&amp;""</f>
        <v>赌具-三龙牌</v>
      </c>
      <c r="AJ24" s="376" t="str">
        <f t="array" ref="AJ24">INDEX(J:J,SMALL(IF($J$3:$J$45&lt;&gt;"",ROW($3:$45),46),ROW(J23)))&amp;""</f>
        <v/>
      </c>
      <c r="AK24" s="377" t="str">
        <f t="array" ref="AK24">INDEX(B:B,SMALL(IF($B$3:$B$177&lt;&gt;"",ROW($3:$177),178),ROW(J23)))&amp;""</f>
        <v>长剑</v>
      </c>
    </row>
    <row r="25" customHeight="1" spans="1:40">
      <c r="A25" s="222"/>
      <c r="B25" s="193" t="str">
        <f>IF(AU$7=2,"剑圣"&amp;B24,"")</f>
        <v/>
      </c>
      <c r="C25" s="193" t="str">
        <f>C$24</f>
        <v>1D6</v>
      </c>
      <c r="D25" s="193" t="str">
        <f t="shared" ref="D25" si="12">D24</f>
        <v>挥砍</v>
      </c>
      <c r="E25" s="379">
        <f t="shared" ref="E25" si="13">E24</f>
        <v>2</v>
      </c>
      <c r="F25" s="193" t="str">
        <f t="shared" ref="F25" si="14">F24</f>
        <v>轻型，投掷（射程20/60）</v>
      </c>
      <c r="G25" s="193"/>
      <c r="H25" s="200">
        <f>H$3</f>
        <v>-1</v>
      </c>
      <c r="I25" s="373"/>
      <c r="J25" s="224" t="str">
        <f>IF(OR(种族数据!V3=种族数据!A34,COUNTIF(职业数据!AD16:AD18,职业数据!E14)),"","胸甲")</f>
        <v>胸甲</v>
      </c>
      <c r="K25" s="373">
        <v>14</v>
      </c>
      <c r="L25" s="372"/>
      <c r="M25" s="372">
        <f>IF(COUNTIF(专长数据!E2:E7,"中甲大师"),3,2)</f>
        <v>2</v>
      </c>
      <c r="N25" s="372"/>
      <c r="O25" s="373">
        <v>20</v>
      </c>
      <c r="P25" s="373">
        <v>400</v>
      </c>
      <c r="Q25" s="223" t="s">
        <v>3881</v>
      </c>
      <c r="R25" s="375" t="s">
        <v>3882</v>
      </c>
      <c r="S25" s="307" t="s">
        <v>3883</v>
      </c>
      <c r="T25" s="372">
        <v>25</v>
      </c>
      <c r="U25" s="193">
        <v>1</v>
      </c>
      <c r="V25" s="224" t="s">
        <v>3884</v>
      </c>
      <c r="W25" s="376"/>
      <c r="X25" s="375">
        <f>背包!B19</f>
        <v>0</v>
      </c>
      <c r="Y25" s="372" t="str">
        <f t="shared" si="5"/>
        <v/>
      </c>
      <c r="Z25" s="376" t="str">
        <f t="shared" si="6"/>
        <v/>
      </c>
      <c r="AA25" s="372"/>
      <c r="AB25" s="372"/>
      <c r="AC25" s="372"/>
      <c r="AD25" s="372"/>
      <c r="AE25" s="192"/>
      <c r="AF25" s="224" t="s">
        <v>1607</v>
      </c>
      <c r="AG25" s="224" t="s">
        <v>3885</v>
      </c>
      <c r="AH25" s="181" t="str">
        <f t="shared" si="3"/>
        <v>草药工具</v>
      </c>
      <c r="AI25" s="196" t="str">
        <f t="array" ref="AI25">INDEX(AH:AH,SMALL(IF($AH$2:$AH$40&lt;&gt;"",ROW($2:$40),41),ROW(AH24)))&amp;""</f>
        <v>草药工具</v>
      </c>
      <c r="AJ25" s="376" t="str">
        <f t="array" ref="AJ25">INDEX(J:J,SMALL(IF($J$3:$J$45&lt;&gt;"",ROW($3:$45),46),ROW(J24)))&amp;""</f>
        <v/>
      </c>
      <c r="AK25" s="377" t="str">
        <f t="array" ref="AK25">INDEX(B:B,SMALL(IF($B$3:$B$177&lt;&gt;"",ROW($3:$177),178),ROW(J24)))&amp;""</f>
        <v>巨锤</v>
      </c>
    </row>
    <row r="26" customHeight="1" spans="1:40">
      <c r="A26" s="222"/>
      <c r="B26" s="224" t="str">
        <f>IF(AU$8&gt;=1,"咒剑"&amp;B24,"")</f>
        <v/>
      </c>
      <c r="C26" s="193" t="str">
        <f>C$24</f>
        <v>1D6</v>
      </c>
      <c r="D26" s="193" t="str">
        <f>D24</f>
        <v>挥砍</v>
      </c>
      <c r="E26" s="379">
        <f>E24</f>
        <v>2</v>
      </c>
      <c r="F26" s="193" t="str">
        <f>F24</f>
        <v>轻型，投掷（射程20/60）</v>
      </c>
      <c r="G26" s="193"/>
      <c r="H26" s="200">
        <f>H$13</f>
        <v>-1</v>
      </c>
      <c r="I26" s="373"/>
      <c r="J26" s="224" t="str">
        <f>IF(AND(COUNTIF(职业数据!AD16:AD18,职业数据!E14),种族数据!V3&lt;&gt;种族数据!A34),"守护胸甲","")</f>
        <v/>
      </c>
      <c r="K26" s="372">
        <v>14</v>
      </c>
      <c r="L26" s="372"/>
      <c r="M26" s="372">
        <f>M25</f>
        <v>2</v>
      </c>
      <c r="N26" s="372"/>
      <c r="O26" s="372">
        <v>20</v>
      </c>
      <c r="P26" s="372"/>
      <c r="Q26"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26" s="375" t="s">
        <v>3886</v>
      </c>
      <c r="S26" s="307" t="s">
        <v>3887</v>
      </c>
      <c r="T26" s="372">
        <v>25</v>
      </c>
      <c r="U26" s="193">
        <v>1</v>
      </c>
      <c r="V26" s="193" t="str">
        <f>""</f>
        <v/>
      </c>
      <c r="W26" s="376"/>
      <c r="X26" s="375">
        <f>背包!B20</f>
        <v>0</v>
      </c>
      <c r="Y26" s="372" t="str">
        <f t="shared" si="5"/>
        <v/>
      </c>
      <c r="Z26" s="376" t="str">
        <f t="shared" si="6"/>
        <v/>
      </c>
      <c r="AA26" s="372"/>
      <c r="AB26" s="372"/>
      <c r="AC26" s="372"/>
      <c r="AD26" s="372"/>
      <c r="AE26" s="222" t="s">
        <v>3888</v>
      </c>
      <c r="AF26" s="224" t="s">
        <v>3889</v>
      </c>
      <c r="AG26" s="224" t="s">
        <v>3890</v>
      </c>
      <c r="AH26" s="181" t="str">
        <f t="shared" si="3"/>
        <v>乐器-风笛</v>
      </c>
      <c r="AI26" s="196" t="str">
        <f t="array" ref="AI26">INDEX(AH:AH,SMALL(IF($AH$2:$AH$40&lt;&gt;"",ROW($2:$40),41),ROW(AH25)))&amp;""</f>
        <v>乐器-风笛</v>
      </c>
      <c r="AJ26" s="376" t="str">
        <f t="array" ref="AJ26">INDEX(J:J,SMALL(IF($J$3:$J$45&lt;&gt;"",ROW($3:$45),46),ROW(J25)))&amp;""</f>
        <v/>
      </c>
      <c r="AK26" s="377" t="str">
        <f t="array" ref="AK26">INDEX(B:B,SMALL(IF($B$3:$B$177&lt;&gt;"",ROW($3:$177),178),ROW(J25)))&amp;""</f>
        <v>钉头锤</v>
      </c>
    </row>
    <row r="27" customHeight="1" spans="1:40">
      <c r="A27" s="222"/>
      <c r="B27" s="224" t="str">
        <f>IF(AU$9=1,"匠师"&amp;B24,"")</f>
        <v/>
      </c>
      <c r="C27" s="193" t="str">
        <f>C$24</f>
        <v>1D6</v>
      </c>
      <c r="D27" s="193" t="str">
        <f>D24</f>
        <v>挥砍</v>
      </c>
      <c r="E27" s="379">
        <f>E24</f>
        <v>2</v>
      </c>
      <c r="F27" s="193" t="str">
        <f>F24</f>
        <v>轻型，投掷（射程20/60）</v>
      </c>
      <c r="G27" s="193"/>
      <c r="H27" s="200">
        <f>H$14</f>
        <v>-1</v>
      </c>
      <c r="I27" s="373"/>
      <c r="J27" s="224" t="str">
        <f>IF(AND(COUNTIF(职业数据!AD16:AD18,职业数据!E14),种族数据!V3&lt;&gt;种族数据!A34),"渗透胸甲","")</f>
        <v/>
      </c>
      <c r="K27" s="372">
        <v>14</v>
      </c>
      <c r="L27" s="372"/>
      <c r="M27" s="372">
        <f>M25</f>
        <v>2</v>
      </c>
      <c r="N27" s="372"/>
      <c r="O27" s="372">
        <v>20</v>
      </c>
      <c r="P27" s="372"/>
      <c r="Q27" s="223" t="str">
        <f>Q12</f>
        <v>步行速度增加5尺，你在敏捷（隐匿）检定中具有优势</v>
      </c>
      <c r="R27" s="375" t="s">
        <v>3891</v>
      </c>
      <c r="S27" s="307" t="s">
        <v>3892</v>
      </c>
      <c r="T27" s="372">
        <v>5</v>
      </c>
      <c r="U27" s="193">
        <v>25</v>
      </c>
      <c r="V27" s="224" t="s">
        <v>3893</v>
      </c>
      <c r="W27" s="376"/>
      <c r="X27" s="375">
        <f>背包!B21</f>
        <v>0</v>
      </c>
      <c r="Y27" s="372" t="str">
        <f t="shared" si="5"/>
        <v/>
      </c>
      <c r="Z27" s="376" t="str">
        <f t="shared" si="6"/>
        <v/>
      </c>
      <c r="AA27" s="372"/>
      <c r="AB27" s="372"/>
      <c r="AC27" s="372"/>
      <c r="AD27" s="372"/>
      <c r="AE27" s="192"/>
      <c r="AF27" s="224" t="s">
        <v>3894</v>
      </c>
      <c r="AG27" s="193"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27" s="181" t="str">
        <f t="shared" si="3"/>
        <v>乐器-鼓</v>
      </c>
      <c r="AI27" s="196" t="str">
        <f t="array" ref="AI27">INDEX(AH:AH,SMALL(IF($AH$2:$AH$40&lt;&gt;"",ROW($2:$40),41),ROW(AH26)))&amp;""</f>
        <v>乐器-鼓</v>
      </c>
      <c r="AJ27" s="376" t="str">
        <f t="array" ref="AJ27">INDEX(J:J,SMALL(IF($J$3:$J$45&lt;&gt;"",ROW($3:$45),46),ROW(J26)))&amp;""</f>
        <v/>
      </c>
      <c r="AK27" s="377" t="str">
        <f t="array" ref="AK27">INDEX(B:B,SMALL(IF($B$3:$B$177&lt;&gt;"",ROW($3:$177),178),ROW(J26)))&amp;""</f>
        <v>长矛</v>
      </c>
    </row>
    <row r="28" customHeight="1" spans="1:40">
      <c r="A28" s="222"/>
      <c r="B28" s="224" t="s">
        <v>3895</v>
      </c>
      <c r="C28" s="224" t="str">
        <f>C$24</f>
        <v>1D6</v>
      </c>
      <c r="D28" s="224" t="s">
        <v>3782</v>
      </c>
      <c r="E28" s="379">
        <v>2</v>
      </c>
      <c r="F28" s="224" t="s">
        <v>3896</v>
      </c>
      <c r="G28" s="193">
        <v>0.5</v>
      </c>
      <c r="H28" s="200">
        <f>H$3</f>
        <v>-1</v>
      </c>
      <c r="I28" s="373"/>
      <c r="J28" s="224" t="str">
        <f>IF(OR(种族数据!V3=种族数据!A34,COUNTIF(职业数据!AD16:AD18,职业数据!E14)),"","半身板甲")</f>
        <v>半身板甲</v>
      </c>
      <c r="K28" s="373">
        <v>15</v>
      </c>
      <c r="L28" s="372"/>
      <c r="M28" s="372">
        <f>IF(COUNTIF(专长数据!E2:E7,"中甲大师"),3,2)</f>
        <v>2</v>
      </c>
      <c r="N28" s="373">
        <f>IF(COUNTIF(专长数据!E2:E7,"中甲大师"),0,1)</f>
        <v>1</v>
      </c>
      <c r="O28" s="373">
        <v>40</v>
      </c>
      <c r="P28" s="373">
        <v>750</v>
      </c>
      <c r="Q28" s="223" t="s">
        <v>3897</v>
      </c>
      <c r="R28" s="380" t="s">
        <v>3898</v>
      </c>
      <c r="S28" s="307" t="s">
        <v>3899</v>
      </c>
      <c r="T28" s="372">
        <v>10</v>
      </c>
      <c r="U28" s="193">
        <v>0</v>
      </c>
      <c r="V28" s="193" t="str">
        <f>""</f>
        <v/>
      </c>
      <c r="W28" s="376"/>
      <c r="X28" s="375">
        <f>背包!B22</f>
        <v>0</v>
      </c>
      <c r="Y28" s="372" t="str">
        <f t="shared" si="5"/>
        <v/>
      </c>
      <c r="Z28" s="376" t="str">
        <f t="shared" si="6"/>
        <v/>
      </c>
      <c r="AA28" s="372"/>
      <c r="AB28" s="372"/>
      <c r="AC28" s="372"/>
      <c r="AD28" s="372"/>
      <c r="AE28" s="192"/>
      <c r="AF28" s="224" t="s">
        <v>3900</v>
      </c>
      <c r="AG28" s="193"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28" s="181" t="str">
        <f t="shared" si="3"/>
        <v>乐器-扬琴</v>
      </c>
      <c r="AI28" s="196" t="str">
        <f t="array" ref="AI28">INDEX(AH:AH,SMALL(IF($AH$2:$AH$40&lt;&gt;"",ROW($2:$40),41),ROW(AH27)))&amp;""</f>
        <v>乐器-扬琴</v>
      </c>
      <c r="AJ28" s="376" t="str">
        <f t="array" ref="AJ28">INDEX(J:J,SMALL(IF($J$3:$J$45&lt;&gt;"",ROW($3:$45),46),ROW(J27)))&amp;""</f>
        <v/>
      </c>
      <c r="AK28" s="377" t="str">
        <f t="array" ref="AK28">INDEX(B:B,SMALL(IF($B$3:$B$177&lt;&gt;"",ROW($3:$177),178),ROW(J27)))&amp;""</f>
        <v>刺剑</v>
      </c>
    </row>
    <row r="29" customHeight="1" spans="1:40">
      <c r="A29" s="222"/>
      <c r="B29" s="193" t="str">
        <f>IF(AU$7=2,"剑圣"&amp;B28,"")</f>
        <v/>
      </c>
      <c r="C29" s="193" t="str">
        <f>C28</f>
        <v>1D6</v>
      </c>
      <c r="D29" s="193" t="str">
        <f t="shared" ref="D29" si="15">D28</f>
        <v>穿刺</v>
      </c>
      <c r="E29" s="379">
        <f t="shared" ref="E29" si="16">E28</f>
        <v>2</v>
      </c>
      <c r="F29" s="193" t="str">
        <f t="shared" ref="F29" si="17">F28</f>
        <v>投掷（射程30/120）</v>
      </c>
      <c r="G29" s="193"/>
      <c r="H29" s="200">
        <f>H$3</f>
        <v>-1</v>
      </c>
      <c r="I29" s="373"/>
      <c r="J29" s="224" t="str">
        <f>IF(AND(COUNTIF(职业数据!AD16:AD18,职业数据!E14),种族数据!V3&lt;&gt;种族数据!A34),"守护半身板甲","")</f>
        <v/>
      </c>
      <c r="K29" s="372">
        <v>15</v>
      </c>
      <c r="L29" s="372"/>
      <c r="M29" s="372">
        <f>M28</f>
        <v>2</v>
      </c>
      <c r="N29" s="372">
        <f>N28</f>
        <v>1</v>
      </c>
      <c r="O29" s="372">
        <v>40</v>
      </c>
      <c r="P29" s="372"/>
      <c r="Q29"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29" s="391" t="s">
        <v>113</v>
      </c>
      <c r="S29" s="307" t="s">
        <v>3901</v>
      </c>
      <c r="T29" s="372">
        <v>0.02</v>
      </c>
      <c r="U29" s="193">
        <v>0</v>
      </c>
      <c r="V29" s="193" t="str">
        <f>""</f>
        <v/>
      </c>
      <c r="W29" s="376"/>
      <c r="X29" s="375">
        <f>背包!B23</f>
        <v>0</v>
      </c>
      <c r="Y29" s="372" t="str">
        <f t="shared" si="5"/>
        <v/>
      </c>
      <c r="Z29" s="376" t="str">
        <f t="shared" si="6"/>
        <v/>
      </c>
      <c r="AA29" s="372"/>
      <c r="AB29" s="372"/>
      <c r="AC29" s="372"/>
      <c r="AD29" s="372"/>
      <c r="AE29" s="192"/>
      <c r="AF29" s="224" t="s">
        <v>3902</v>
      </c>
      <c r="AG29" s="193"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29" s="181" t="str">
        <f t="shared" si="3"/>
        <v>乐器-长笛</v>
      </c>
      <c r="AI29" s="196" t="str">
        <f t="array" ref="AI29">INDEX(AH:AH,SMALL(IF($AH$2:$AH$40&lt;&gt;"",ROW($2:$40),41),ROW(AH28)))&amp;""</f>
        <v>乐器-长笛</v>
      </c>
      <c r="AJ29" s="376" t="str">
        <f t="array" ref="AJ29">INDEX(J:J,SMALL(IF($J$3:$J$45&lt;&gt;"",ROW($3:$45),46),ROW(J28)))&amp;""</f>
        <v/>
      </c>
      <c r="AK29" s="377" t="str">
        <f t="array" ref="AK29">INDEX(B:B,SMALL(IF($B$3:$B$177&lt;&gt;"",ROW($3:$177),178),ROW(J28)))&amp;""</f>
        <v>弯刀</v>
      </c>
    </row>
    <row r="30" customHeight="1" spans="1:40">
      <c r="A30" s="222"/>
      <c r="B30" s="224" t="str">
        <f>IF(AU$8&gt;=1,"咒剑"&amp;B28,"")</f>
        <v/>
      </c>
      <c r="C30" s="193" t="str">
        <f>C28</f>
        <v>1D6</v>
      </c>
      <c r="D30" s="193" t="str">
        <f>D28</f>
        <v>穿刺</v>
      </c>
      <c r="E30" s="379">
        <f>E28</f>
        <v>2</v>
      </c>
      <c r="F30" s="193" t="str">
        <f>F28</f>
        <v>投掷（射程30/120）</v>
      </c>
      <c r="G30" s="193"/>
      <c r="H30" s="200">
        <f>H$13</f>
        <v>-1</v>
      </c>
      <c r="I30" s="373"/>
      <c r="J30" s="224" t="str">
        <f>IF(AND(COUNTIF(职业数据!AD16:AD18,职业数据!E14),种族数据!V3&lt;&gt;种族数据!A34),"渗透半身板甲","")</f>
        <v/>
      </c>
      <c r="K30" s="372">
        <v>15</v>
      </c>
      <c r="L30" s="372"/>
      <c r="M30" s="372">
        <f>M28</f>
        <v>2</v>
      </c>
      <c r="N30" s="372"/>
      <c r="O30" s="372">
        <v>40</v>
      </c>
      <c r="P30" s="372"/>
      <c r="Q30" s="223" t="str">
        <f>Q9</f>
        <v>步行速度增加5尺</v>
      </c>
      <c r="R30" s="392" t="b">
        <v>0</v>
      </c>
      <c r="S30" s="307" t="s">
        <v>3903</v>
      </c>
      <c r="T30" s="372">
        <v>0.1</v>
      </c>
      <c r="U30" s="193">
        <v>25</v>
      </c>
      <c r="V30" s="193" t="str">
        <f>""</f>
        <v/>
      </c>
      <c r="W30" s="376"/>
      <c r="X30" s="375">
        <f>背包!B24</f>
        <v>0</v>
      </c>
      <c r="Y30" s="372" t="str">
        <f t="shared" si="5"/>
        <v/>
      </c>
      <c r="Z30" s="376" t="str">
        <f t="shared" si="6"/>
        <v/>
      </c>
      <c r="AA30" s="372"/>
      <c r="AB30" s="372"/>
      <c r="AC30" s="372"/>
      <c r="AD30" s="372"/>
      <c r="AE30" s="192"/>
      <c r="AF30" s="224" t="s">
        <v>3904</v>
      </c>
      <c r="AG30" s="193"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0" s="181" t="str">
        <f t="shared" si="3"/>
        <v>乐器-鲁特琴</v>
      </c>
      <c r="AI30" s="196" t="str">
        <f t="array" ref="AI30">INDEX(AH:AH,SMALL(IF($AH$2:$AH$40&lt;&gt;"",ROW($2:$40),41),ROW(AH29)))&amp;""</f>
        <v>乐器-鲁特琴</v>
      </c>
      <c r="AJ30" s="383" t="str">
        <f t="array" ref="AJ30">INDEX(J:J,SMALL(IF($J$3:$J$45&lt;&gt;"",ROW($3:$45),46),ROW(J29)))&amp;""</f>
        <v/>
      </c>
      <c r="AK30" s="377" t="str">
        <f t="array" ref="AK30">INDEX(B:B,SMALL(IF($B$3:$B$177&lt;&gt;"",ROW($3:$177),178),ROW(J29)))&amp;""</f>
        <v>短剑</v>
      </c>
    </row>
    <row r="31" customHeight="1" spans="1:40">
      <c r="A31" s="222"/>
      <c r="B31" s="224" t="str">
        <f>IF(AU$9=1,"匠师"&amp;B28,"")</f>
        <v/>
      </c>
      <c r="C31" s="193" t="str">
        <f>C28</f>
        <v>1D6</v>
      </c>
      <c r="D31" s="193" t="str">
        <f>D28</f>
        <v>穿刺</v>
      </c>
      <c r="E31" s="379">
        <f>E28</f>
        <v>2</v>
      </c>
      <c r="F31" s="193" t="str">
        <f>F28</f>
        <v>投掷（射程30/120）</v>
      </c>
      <c r="G31" s="193"/>
      <c r="H31" s="200">
        <f>H$14</f>
        <v>-1</v>
      </c>
      <c r="I31" s="373"/>
      <c r="J31" s="193" t="str">
        <f>IF(OR(种族数据!V3=种族数据!A34,COUNTIF(职业数据!AD16:AD18,职业数据!E14),综合数据!B5=FALSE),"","钉刺甲")</f>
        <v>钉刺甲</v>
      </c>
      <c r="K31" s="372">
        <v>14</v>
      </c>
      <c r="L31" s="372"/>
      <c r="M31" s="372">
        <f>IF(COUNTIF(专长数据!E2:E7,"中甲大师"),3,2)</f>
        <v>2</v>
      </c>
      <c r="N31" s="372">
        <f>IF(COUNTIF(专长数据!E2:E7,"中甲大师"),0,1)</f>
        <v>1</v>
      </c>
      <c r="O31" s="372">
        <v>45</v>
      </c>
      <c r="P31" s="372">
        <v>75</v>
      </c>
      <c r="Q31" s="374" t="s">
        <v>3905</v>
      </c>
      <c r="R31" s="392" t="b">
        <v>0</v>
      </c>
      <c r="S31" s="307" t="s">
        <v>1536</v>
      </c>
      <c r="T31" s="372">
        <v>0.5</v>
      </c>
      <c r="U31" s="193">
        <v>1</v>
      </c>
      <c r="V31" s="224" t="s">
        <v>3906</v>
      </c>
      <c r="W31" s="376"/>
      <c r="X31" s="375">
        <f>背包!B25</f>
        <v>0</v>
      </c>
      <c r="Y31" s="372" t="str">
        <f t="shared" si="5"/>
        <v/>
      </c>
      <c r="Z31" s="376" t="str">
        <f t="shared" si="6"/>
        <v/>
      </c>
      <c r="AA31" s="372"/>
      <c r="AB31" s="372"/>
      <c r="AC31" s="372"/>
      <c r="AD31" s="372"/>
      <c r="AE31" s="192"/>
      <c r="AF31" s="224" t="s">
        <v>3907</v>
      </c>
      <c r="AG31" s="193"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1" s="181" t="str">
        <f t="shared" si="3"/>
        <v>乐器-里拉琴</v>
      </c>
      <c r="AI31" s="196" t="str">
        <f t="array" ref="AI31">INDEX(AH:AH,SMALL(IF($AH$2:$AH$40&lt;&gt;"",ROW($2:$40),41),ROW(AH30)))&amp;""</f>
        <v>乐器-里拉琴</v>
      </c>
      <c r="AJ31" s="372"/>
      <c r="AK31" s="377" t="str">
        <f t="array" ref="AK31">INDEX(B:B,SMALL(IF($B$3:$B$177&lt;&gt;"",ROW($3:$177),178),ROW(J30)))&amp;""</f>
        <v>三叉戟</v>
      </c>
    </row>
    <row r="32" customHeight="1" spans="1:40">
      <c r="A32" s="222"/>
      <c r="B32" s="224" t="s">
        <v>3908</v>
      </c>
      <c r="C32" s="224" t="str">
        <f>C$11</f>
        <v>1D4</v>
      </c>
      <c r="D32" s="224" t="s">
        <v>134</v>
      </c>
      <c r="E32" s="379">
        <v>2</v>
      </c>
      <c r="F32" s="224" t="s">
        <v>3877</v>
      </c>
      <c r="G32" s="193">
        <v>2</v>
      </c>
      <c r="H32" s="200">
        <f>H$3</f>
        <v>-1</v>
      </c>
      <c r="I32" s="373"/>
      <c r="J32" s="193" t="str">
        <f>IF(综合数据!B5=FALSE,"",IF(AND(COUNTIF(职业数据!AD16:AD18,职业数据!E14),种族数据!V3&lt;&gt;种族数据!A34),"守护钉刺甲",""))</f>
        <v/>
      </c>
      <c r="K32" s="372">
        <v>14</v>
      </c>
      <c r="L32" s="372"/>
      <c r="M32" s="372">
        <f>M31</f>
        <v>2</v>
      </c>
      <c r="N32" s="372">
        <f>N31</f>
        <v>1</v>
      </c>
      <c r="O32" s="372">
        <v>45</v>
      </c>
      <c r="P32" s="372"/>
      <c r="Q32"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32" s="392" t="b">
        <v>0</v>
      </c>
      <c r="S32" s="307" t="s">
        <v>3909</v>
      </c>
      <c r="T32" s="372">
        <v>10</v>
      </c>
      <c r="U32" s="193">
        <v>2</v>
      </c>
      <c r="V32" s="224" t="s">
        <v>3910</v>
      </c>
      <c r="W32" s="376"/>
      <c r="X32" s="307" t="str">
        <f>背包!Y3</f>
        <v>小包</v>
      </c>
      <c r="Y32" s="372">
        <f>IFERROR(VLOOKUP(X32,S:W,5,0),"")</f>
        <v>6</v>
      </c>
      <c r="Z32" s="376">
        <f>IFERROR(VLOOKUP(X32,S:U,3,0),0)</f>
        <v>1</v>
      </c>
      <c r="AA32" s="372"/>
      <c r="AB32" s="372"/>
      <c r="AC32" s="372"/>
      <c r="AD32" s="372"/>
      <c r="AE32" s="192"/>
      <c r="AF32" s="224" t="s">
        <v>3911</v>
      </c>
      <c r="AG32" s="193"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2" s="181" t="str">
        <f t="shared" si="3"/>
        <v>乐器-角号</v>
      </c>
      <c r="AI32" s="196" t="str">
        <f t="array" ref="AI32">INDEX(AH:AH,SMALL(IF($AH$2:$AH$40&lt;&gt;"",ROW($2:$40),41),ROW(AH31)))&amp;""</f>
        <v>乐器-角号</v>
      </c>
      <c r="AJ32" s="372"/>
      <c r="AK32" s="377" t="str">
        <f t="array" ref="AK32">INDEX(B:B,SMALL(IF($B$3:$B$177&lt;&gt;"",ROW($3:$177),178),ROW(J31)))&amp;""</f>
        <v>战镐</v>
      </c>
    </row>
    <row r="33" customHeight="1" spans="1:37">
      <c r="A33" s="222"/>
      <c r="B33" s="193" t="str">
        <f>IF(AU$7=2,"剑圣"&amp;B32,"")</f>
        <v/>
      </c>
      <c r="C33" s="193" t="str">
        <f>C32</f>
        <v>1D4</v>
      </c>
      <c r="D33" s="193" t="str">
        <f t="shared" ref="D33" si="18">D32</f>
        <v>钝击</v>
      </c>
      <c r="E33" s="379">
        <f t="shared" ref="E33" si="19">E32</f>
        <v>2</v>
      </c>
      <c r="F33" s="193" t="str">
        <f t="shared" ref="F33" si="20">F32</f>
        <v>轻型，投掷（射程20/60）</v>
      </c>
      <c r="G33" s="193"/>
      <c r="H33" s="200">
        <f>H$3</f>
        <v>-1</v>
      </c>
      <c r="I33" s="373"/>
      <c r="J33" s="224" t="str">
        <f>IF(综合数据!B5=FALSE,"",IF(AND(COUNTIF(职业数据!AD16:AD18,职业数据!E14),种族数据!V3&lt;&gt;种族数据!A34),"渗透钉刺甲",""))</f>
        <v/>
      </c>
      <c r="K33" s="372">
        <v>14</v>
      </c>
      <c r="L33" s="372"/>
      <c r="M33" s="372">
        <f>M31</f>
        <v>2</v>
      </c>
      <c r="N33" s="372"/>
      <c r="O33" s="372">
        <v>45</v>
      </c>
      <c r="P33" s="372"/>
      <c r="Q33" s="223" t="str">
        <f>Q9</f>
        <v>步行速度增加5尺</v>
      </c>
      <c r="R33" s="392" t="b">
        <v>0</v>
      </c>
      <c r="S33" s="307" t="s">
        <v>3912</v>
      </c>
      <c r="T33" s="372">
        <v>5</v>
      </c>
      <c r="U33" s="193">
        <v>2</v>
      </c>
      <c r="V33" s="224" t="s">
        <v>3913</v>
      </c>
      <c r="W33" s="376"/>
      <c r="X33" s="375">
        <f>背包!Y5</f>
        <v>0</v>
      </c>
      <c r="Y33" s="372" t="str">
        <f t="shared" ref="Y33:Y52" si="21">IFERROR(VLOOKUP(X33,S:V,4,0),"")</f>
        <v/>
      </c>
      <c r="Z33" s="376" t="str">
        <f t="shared" ref="Z33:Z52" si="22">IFERROR(VLOOKUP(X33,S:U,3,0),"")</f>
        <v/>
      </c>
      <c r="AE33" s="192"/>
      <c r="AF33" s="224" t="s">
        <v>3914</v>
      </c>
      <c r="AG33" s="193"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3" s="181" t="str">
        <f t="shared" si="3"/>
        <v>乐器-排箫</v>
      </c>
      <c r="AI33" s="196" t="str">
        <f t="array" ref="AI33">INDEX(AH:AH,SMALL(IF($AH$2:$AH$40&lt;&gt;"",ROW($2:$40),41),ROW(AH32)))&amp;""</f>
        <v>乐器-排箫</v>
      </c>
      <c r="AJ33" s="372"/>
      <c r="AK33" s="377" t="str">
        <f t="array" ref="AK33">INDEX(B:B,SMALL(IF($B$3:$B$177&lt;&gt;"",ROW($3:$177),178),ROW(J32)))&amp;""</f>
        <v>战锤</v>
      </c>
    </row>
    <row r="34" customHeight="1" spans="1:37">
      <c r="A34" s="222"/>
      <c r="B34" s="224" t="str">
        <f>IF(AU$8&gt;=1,"咒剑"&amp;B32,"")</f>
        <v/>
      </c>
      <c r="C34" s="193" t="str">
        <f>C32</f>
        <v>1D4</v>
      </c>
      <c r="D34" s="193" t="str">
        <f>D32</f>
        <v>钝击</v>
      </c>
      <c r="E34" s="379">
        <f>E32</f>
        <v>2</v>
      </c>
      <c r="F34" s="193" t="str">
        <f>F32</f>
        <v>轻型，投掷（射程20/60）</v>
      </c>
      <c r="G34" s="193"/>
      <c r="H34" s="200">
        <f>H$13</f>
        <v>-1</v>
      </c>
      <c r="I34" s="373" t="s">
        <v>3748</v>
      </c>
      <c r="J34" s="224" t="str">
        <f>IF(OR(种族数据!V3=种族数据!A34,COUNTIF(职业数据!AD16:AD18,职业数据!E14)),"","环甲")</f>
        <v>环甲</v>
      </c>
      <c r="K34" s="373">
        <v>14</v>
      </c>
      <c r="L34" s="372"/>
      <c r="M34" s="372">
        <v>0</v>
      </c>
      <c r="N34" s="372">
        <v>1</v>
      </c>
      <c r="O34" s="373">
        <v>40</v>
      </c>
      <c r="P34" s="373">
        <v>30</v>
      </c>
      <c r="Q34" s="223" t="s">
        <v>3915</v>
      </c>
      <c r="R34" s="392" t="b">
        <v>0</v>
      </c>
      <c r="S34" s="307" t="s">
        <v>3916</v>
      </c>
      <c r="T34" s="372">
        <v>10</v>
      </c>
      <c r="U34" s="193">
        <v>1</v>
      </c>
      <c r="V34" s="224" t="s">
        <v>3917</v>
      </c>
      <c r="W34" s="376"/>
      <c r="X34" s="375">
        <f>背包!Y6</f>
        <v>0</v>
      </c>
      <c r="Y34" s="372" t="str">
        <f t="shared" si="21"/>
        <v/>
      </c>
      <c r="Z34" s="376" t="str">
        <f t="shared" si="22"/>
        <v/>
      </c>
      <c r="AE34" s="192"/>
      <c r="AF34" s="224" t="s">
        <v>3918</v>
      </c>
      <c r="AG34" s="193"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4" s="181" t="str">
        <f t="shared" si="3"/>
        <v>乐器-芦笛</v>
      </c>
      <c r="AI34" s="196" t="str">
        <f t="array" ref="AI34">INDEX(AH:AH,SMALL(IF($AH$2:$AH$40&lt;&gt;"",ROW($2:$40),41),ROW(AH33)))&amp;""</f>
        <v>乐器-芦笛</v>
      </c>
      <c r="AJ34" s="372"/>
      <c r="AK34" s="377" t="str">
        <f t="array" ref="AK34">INDEX(B:B,SMALL(IF($B$3:$B$177&lt;&gt;"",ROW($3:$177),178),ROW(J33)))&amp;""</f>
        <v>鞭</v>
      </c>
    </row>
    <row r="35" customHeight="1" spans="1:37">
      <c r="A35" s="222"/>
      <c r="B35" s="224" t="str">
        <f>IF(AU$9=1,"匠师"&amp;B32,"")</f>
        <v/>
      </c>
      <c r="C35" s="193" t="str">
        <f>C32</f>
        <v>1D4</v>
      </c>
      <c r="D35" s="193" t="str">
        <f>D32</f>
        <v>钝击</v>
      </c>
      <c r="E35" s="379">
        <f>E32</f>
        <v>2</v>
      </c>
      <c r="F35" s="193" t="str">
        <f>F32</f>
        <v>轻型，投掷（射程20/60）</v>
      </c>
      <c r="G35" s="193"/>
      <c r="H35" s="200">
        <f>H$14</f>
        <v>-1</v>
      </c>
      <c r="I35" s="373"/>
      <c r="J35" s="224" t="str">
        <f>IF(AND(COUNTIF(职业数据!AD16:AD18,职业数据!E14),种族数据!V3&lt;&gt;种族数据!A34),"守护环甲","")</f>
        <v/>
      </c>
      <c r="K35" s="372">
        <v>14</v>
      </c>
      <c r="L35" s="372"/>
      <c r="M35" s="372">
        <v>0</v>
      </c>
      <c r="N35" s="372">
        <v>1</v>
      </c>
      <c r="O35" s="372">
        <v>40</v>
      </c>
      <c r="P35" s="372"/>
      <c r="Q35"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35" s="392" t="b">
        <v>0</v>
      </c>
      <c r="S35" s="307" t="s">
        <v>3919</v>
      </c>
      <c r="T35" s="372">
        <v>100</v>
      </c>
      <c r="U35" s="193">
        <v>0</v>
      </c>
      <c r="V35" s="224" t="s">
        <v>3920</v>
      </c>
      <c r="W35" s="376"/>
      <c r="X35" s="375">
        <f>背包!Y7</f>
        <v>0</v>
      </c>
      <c r="Y35" s="372" t="str">
        <f t="shared" si="21"/>
        <v/>
      </c>
      <c r="Z35" s="376" t="str">
        <f t="shared" si="22"/>
        <v/>
      </c>
      <c r="AE35" s="192"/>
      <c r="AF35" s="224" t="s">
        <v>3921</v>
      </c>
      <c r="AG35" s="193"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5" s="181" t="str">
        <f t="shared" si="3"/>
        <v>乐器-提琴</v>
      </c>
      <c r="AI35" s="196" t="str">
        <f t="array" ref="AI35">INDEX(AH:AH,SMALL(IF($AH$2:$AH$40&lt;&gt;"",ROW($2:$40),41),ROW(AH34)))&amp;""</f>
        <v>乐器-提琴</v>
      </c>
      <c r="AJ35" s="372"/>
      <c r="AK35" s="377" t="str">
        <f t="array" ref="AK35">INDEX(B:B,SMALL(IF($B$3:$B$177&lt;&gt;"",ROW($3:$177),178),ROW(J34)))&amp;""</f>
        <v>吹箭筒</v>
      </c>
    </row>
    <row r="36" customHeight="1" spans="1:37">
      <c r="A36" s="222"/>
      <c r="B36" s="224" t="s">
        <v>3922</v>
      </c>
      <c r="C36" s="224" t="str">
        <f>C$24</f>
        <v>1D6</v>
      </c>
      <c r="D36" s="224" t="s">
        <v>134</v>
      </c>
      <c r="E36" s="379">
        <v>4</v>
      </c>
      <c r="F36" s="224" t="s">
        <v>3923</v>
      </c>
      <c r="G36" s="193">
        <v>5</v>
      </c>
      <c r="H36" s="200">
        <f>H$3</f>
        <v>-1</v>
      </c>
      <c r="I36" s="373"/>
      <c r="J36" s="224" t="str">
        <f>IF(AND(COUNTIF(职业数据!AD16:AD18,职业数据!E14),种族数据!V3&lt;&gt;种族数据!A34),"渗透环甲","")</f>
        <v/>
      </c>
      <c r="K36" s="372">
        <v>14</v>
      </c>
      <c r="L36" s="372"/>
      <c r="M36" s="372">
        <v>0</v>
      </c>
      <c r="N36" s="372"/>
      <c r="O36" s="372">
        <v>40</v>
      </c>
      <c r="P36" s="372"/>
      <c r="Q36" s="223" t="str">
        <f>Q9</f>
        <v>步行速度增加5尺</v>
      </c>
      <c r="R36" s="392" t="b">
        <v>0</v>
      </c>
      <c r="S36" s="307" t="s">
        <v>3924</v>
      </c>
      <c r="T36" s="372">
        <v>2</v>
      </c>
      <c r="U36" s="193">
        <v>6</v>
      </c>
      <c r="V36" s="224" t="s">
        <v>3925</v>
      </c>
      <c r="W36" s="376"/>
      <c r="X36" s="375">
        <f>背包!Y8</f>
        <v>0</v>
      </c>
      <c r="Y36" s="372" t="str">
        <f t="shared" si="21"/>
        <v/>
      </c>
      <c r="Z36" s="376" t="str">
        <f t="shared" si="22"/>
        <v/>
      </c>
      <c r="AE36" s="192"/>
      <c r="AF36" s="224" t="s">
        <v>3926</v>
      </c>
      <c r="AG36" s="224" t="s">
        <v>3927</v>
      </c>
      <c r="AH36" s="181" t="str">
        <f t="shared" si="3"/>
        <v>领航工具</v>
      </c>
      <c r="AI36" s="196" t="str">
        <f t="array" ref="AI36">INDEX(AH:AH,SMALL(IF($AH$2:$AH$40&lt;&gt;"",ROW($2:$40),41),ROW(AH35)))&amp;""</f>
        <v>领航工具</v>
      </c>
      <c r="AJ36" s="372"/>
      <c r="AK36" s="377" t="str">
        <f t="array" ref="AK36">INDEX(B:B,SMALL(IF($B$3:$B$177&lt;&gt;"",ROW($3:$177),178),ROW(J35)))&amp;""</f>
        <v>手弩</v>
      </c>
    </row>
    <row r="37" customHeight="1" spans="1:37">
      <c r="A37" s="222"/>
      <c r="B37" s="193" t="str">
        <f>IF(AU$7=2,"剑圣"&amp;B36,"")</f>
        <v/>
      </c>
      <c r="C37" s="193" t="str">
        <f>C36</f>
        <v>1D6</v>
      </c>
      <c r="D37" s="193" t="str">
        <f t="shared" ref="D37" si="23">D36</f>
        <v>钝击</v>
      </c>
      <c r="E37" s="379">
        <f t="shared" ref="E37" si="24">E36</f>
        <v>4</v>
      </c>
      <c r="F37" s="193" t="str">
        <f t="shared" ref="F37" si="25">F36</f>
        <v>-</v>
      </c>
      <c r="G37" s="193"/>
      <c r="H37" s="200">
        <f>H$3</f>
        <v>-1</v>
      </c>
      <c r="I37" s="373"/>
      <c r="J37" s="224" t="str">
        <f>IF(OR(种族数据!V3=种族数据!A34,COUNTIF(职业数据!AD16:AD18,职业数据!E14)),"","链甲")</f>
        <v>链甲</v>
      </c>
      <c r="K37" s="373">
        <v>16</v>
      </c>
      <c r="L37" s="372">
        <f>IF(主要!F14&gt;=13,0,1)</f>
        <v>1</v>
      </c>
      <c r="M37" s="372">
        <v>0</v>
      </c>
      <c r="N37" s="372">
        <v>1</v>
      </c>
      <c r="O37" s="373">
        <v>55</v>
      </c>
      <c r="P37" s="373">
        <v>75</v>
      </c>
      <c r="Q37" s="223" t="s">
        <v>3928</v>
      </c>
      <c r="R37" s="392" t="b">
        <v>0</v>
      </c>
      <c r="S37" s="307" t="s">
        <v>3929</v>
      </c>
      <c r="T37" s="372">
        <v>0.2</v>
      </c>
      <c r="U37" s="193">
        <v>1</v>
      </c>
      <c r="V37" s="224" t="s">
        <v>3930</v>
      </c>
      <c r="W37" s="376"/>
      <c r="X37" s="375">
        <f>背包!Y9</f>
        <v>0</v>
      </c>
      <c r="Y37" s="372" t="str">
        <f t="shared" si="21"/>
        <v/>
      </c>
      <c r="Z37" s="376" t="str">
        <f t="shared" si="22"/>
        <v/>
      </c>
      <c r="AE37" s="192"/>
      <c r="AF37" s="224" t="s">
        <v>3931</v>
      </c>
      <c r="AG37" s="224" t="s">
        <v>3932</v>
      </c>
      <c r="AH37" s="181" t="str">
        <f t="shared" si="3"/>
        <v>制毒工具</v>
      </c>
      <c r="AI37" s="196" t="str">
        <f t="array" ref="AI37">INDEX(AH:AH,SMALL(IF($AH$2:$AH$40&lt;&gt;"",ROW($2:$40),41),ROW(AH36)))&amp;""</f>
        <v>制毒工具</v>
      </c>
      <c r="AJ37" s="372"/>
      <c r="AK37" s="377" t="str">
        <f t="array" ref="AK37">INDEX(B:B,SMALL(IF($B$3:$B$177&lt;&gt;"",ROW($3:$177),178),ROW(J36)))&amp;""</f>
        <v>重弩</v>
      </c>
    </row>
    <row r="38" customHeight="1" spans="1:37">
      <c r="A38" s="222"/>
      <c r="B38" s="224" t="str">
        <f>IF(AU$8&gt;=1,"咒剑"&amp;B36,"")</f>
        <v/>
      </c>
      <c r="C38" s="193" t="str">
        <f>C36</f>
        <v>1D6</v>
      </c>
      <c r="D38" s="193" t="str">
        <f>D36</f>
        <v>钝击</v>
      </c>
      <c r="E38" s="379">
        <f>E36</f>
        <v>4</v>
      </c>
      <c r="F38" s="193" t="str">
        <f>F36</f>
        <v>-</v>
      </c>
      <c r="G38" s="193"/>
      <c r="H38" s="200">
        <f>H$13</f>
        <v>-1</v>
      </c>
      <c r="I38" s="373"/>
      <c r="J38" s="224" t="str">
        <f>IF(AND(COUNTIF(职业数据!AD16:AD18,职业数据!E14),种族数据!V3&lt;&gt;种族数据!A34),"守护链甲","")</f>
        <v/>
      </c>
      <c r="K38" s="372">
        <v>16</v>
      </c>
      <c r="L38" s="372"/>
      <c r="M38" s="372">
        <v>0</v>
      </c>
      <c r="N38" s="372">
        <v>1</v>
      </c>
      <c r="O38" s="372">
        <v>55</v>
      </c>
      <c r="P38" s="372"/>
      <c r="Q38"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38" s="392" t="b">
        <v>0</v>
      </c>
      <c r="S38" s="307" t="s">
        <v>3933</v>
      </c>
      <c r="T38" s="372">
        <v>5</v>
      </c>
      <c r="U38" s="193">
        <v>0.5</v>
      </c>
      <c r="V38" s="193" t="str">
        <f>""</f>
        <v/>
      </c>
      <c r="W38" s="376"/>
      <c r="X38" s="375">
        <f>背包!Y10</f>
        <v>0</v>
      </c>
      <c r="Y38" s="372" t="str">
        <f t="shared" si="21"/>
        <v/>
      </c>
      <c r="Z38" s="376" t="str">
        <f t="shared" si="22"/>
        <v/>
      </c>
      <c r="AE38" s="192"/>
      <c r="AF38" s="224" t="s">
        <v>3934</v>
      </c>
      <c r="AG38" s="224" t="s">
        <v>3935</v>
      </c>
      <c r="AH38" s="181" t="str">
        <f t="shared" si="3"/>
        <v>盗贼工具</v>
      </c>
      <c r="AI38" s="196" t="str">
        <f t="array" ref="AI38">INDEX(AH:AH,SMALL(IF($AH$2:$AH$40&lt;&gt;"",ROW($2:$40),41),ROW(AH37)))&amp;""</f>
        <v>盗贼工具</v>
      </c>
      <c r="AK38" s="377" t="str">
        <f t="array" ref="AK38">INDEX(B:B,SMALL(IF($B$3:$B$177&lt;&gt;"",ROW($3:$177),178),ROW(J37)))&amp;""</f>
        <v>长弓</v>
      </c>
    </row>
    <row r="39" customHeight="1" spans="1:37">
      <c r="A39" s="222"/>
      <c r="B39" s="224" t="str">
        <f>IF(AU$9=1,"匠师"&amp;B36,"")</f>
        <v/>
      </c>
      <c r="C39" s="193" t="str">
        <f>C36</f>
        <v>1D6</v>
      </c>
      <c r="D39" s="193" t="str">
        <f>D36</f>
        <v>钝击</v>
      </c>
      <c r="E39" s="379">
        <f>E36</f>
        <v>4</v>
      </c>
      <c r="F39" s="193" t="str">
        <f>F36</f>
        <v>-</v>
      </c>
      <c r="G39" s="193"/>
      <c r="H39" s="200">
        <f>H$14</f>
        <v>-1</v>
      </c>
      <c r="I39" s="373"/>
      <c r="J39" s="224" t="str">
        <f>IF(AND(COUNTIF(职业数据!AD16:AD18,职业数据!E14),种族数据!V3&lt;&gt;种族数据!A34),"渗透链甲","")</f>
        <v/>
      </c>
      <c r="K39" s="372">
        <v>16</v>
      </c>
      <c r="L39" s="372"/>
      <c r="M39" s="372">
        <v>0</v>
      </c>
      <c r="N39" s="372"/>
      <c r="O39" s="372">
        <v>55</v>
      </c>
      <c r="P39" s="372"/>
      <c r="Q39" s="223" t="str">
        <f>Q9</f>
        <v>步行速度增加5尺</v>
      </c>
      <c r="R39" s="392" t="b">
        <v>0</v>
      </c>
      <c r="S39" s="307" t="s">
        <v>3936</v>
      </c>
      <c r="T39" s="372">
        <v>0.1</v>
      </c>
      <c r="U39" s="193">
        <v>1</v>
      </c>
      <c r="V39" s="224" t="s">
        <v>3937</v>
      </c>
      <c r="W39" s="376"/>
      <c r="X39" s="375">
        <f>背包!Y11</f>
        <v>0</v>
      </c>
      <c r="Y39" s="372" t="str">
        <f t="shared" si="21"/>
        <v/>
      </c>
      <c r="Z39" s="376" t="str">
        <f t="shared" si="22"/>
        <v/>
      </c>
      <c r="AA39" s="193"/>
      <c r="AE39" s="192"/>
      <c r="AF39" s="224" t="s">
        <v>3938</v>
      </c>
      <c r="AG39" s="224" t="s">
        <v>3939</v>
      </c>
      <c r="AH39" s="181" t="str">
        <f t="shared" si="3"/>
        <v>载具（水运）</v>
      </c>
      <c r="AI39" s="196" t="str">
        <f t="array" ref="AI39">INDEX(AH:AH,SMALL(IF($AH$2:$AH$40&lt;&gt;"",ROW($2:$40),41),ROW(AH38)))&amp;""</f>
        <v>载具（水运）</v>
      </c>
      <c r="AK39" s="377" t="str">
        <f t="array" ref="AK39">INDEX(B:B,SMALL(IF($B$3:$B$177&lt;&gt;"",ROW($3:$177),178),ROW(J38)))&amp;""</f>
        <v>捕网</v>
      </c>
    </row>
    <row r="40" customHeight="1" spans="1:37">
      <c r="A40" s="222"/>
      <c r="B40" s="224" t="s">
        <v>3940</v>
      </c>
      <c r="C40" s="224" t="str">
        <f>C$24</f>
        <v>1D6</v>
      </c>
      <c r="D40" s="224" t="s">
        <v>134</v>
      </c>
      <c r="E40" s="379">
        <v>4</v>
      </c>
      <c r="F40" s="224" t="s">
        <v>3941</v>
      </c>
      <c r="G40" s="193">
        <v>0.2</v>
      </c>
      <c r="H40" s="200">
        <f>H$3</f>
        <v>-1</v>
      </c>
      <c r="I40" s="373"/>
      <c r="J40" s="224" t="str">
        <f>IF(OR(种族数据!V3=种族数据!A34,COUNTIF(职业数据!AD16:AD18,职业数据!E14)),"","板条甲")</f>
        <v>板条甲</v>
      </c>
      <c r="K40" s="373">
        <v>17</v>
      </c>
      <c r="L40" s="372">
        <f>IF(主要!F14&gt;=15,0,1)</f>
        <v>1</v>
      </c>
      <c r="M40" s="372">
        <v>0</v>
      </c>
      <c r="N40" s="372">
        <v>1</v>
      </c>
      <c r="O40" s="373">
        <v>60</v>
      </c>
      <c r="P40" s="373">
        <v>200</v>
      </c>
      <c r="Q40" s="223" t="s">
        <v>3942</v>
      </c>
      <c r="R40" s="392" t="b">
        <v>0</v>
      </c>
      <c r="S40" s="307" t="s">
        <v>3943</v>
      </c>
      <c r="T40" s="372">
        <v>0.2</v>
      </c>
      <c r="U40" s="193">
        <v>0</v>
      </c>
      <c r="V40" s="193" t="str">
        <f>""</f>
        <v/>
      </c>
      <c r="W40" s="376"/>
      <c r="X40" s="375">
        <f>背包!Y12</f>
        <v>0</v>
      </c>
      <c r="Y40" s="372" t="str">
        <f t="shared" si="21"/>
        <v/>
      </c>
      <c r="Z40" s="376" t="str">
        <f t="shared" si="22"/>
        <v/>
      </c>
      <c r="AA40" s="372"/>
      <c r="AB40" s="372"/>
      <c r="AC40" s="372"/>
      <c r="AD40" s="372"/>
      <c r="AE40" s="204"/>
      <c r="AF40" s="234" t="s">
        <v>3944</v>
      </c>
      <c r="AG40" s="234" t="s">
        <v>3945</v>
      </c>
      <c r="AH40" s="207" t="str">
        <f t="shared" si="3"/>
        <v>载具（陆运）</v>
      </c>
      <c r="AI40" s="214" t="str">
        <f t="array" ref="AI40">INDEX(AH:AH,SMALL(IF($AH$2:$AH$40&lt;&gt;"",ROW($2:$40),41),ROW(AH39)))&amp;""</f>
        <v>载具（陆运）</v>
      </c>
      <c r="AK40" s="377" t="str">
        <f t="array" ref="AK40">INDEX(B:B,SMALL(IF($B$3:$B$177&lt;&gt;"",ROW($3:$177),178),ROW(J39)))&amp;""</f>
        <v>手枪</v>
      </c>
    </row>
    <row r="41" customHeight="1" spans="1:37">
      <c r="A41" s="222"/>
      <c r="B41" s="193" t="str">
        <f>IF(AU$7=2,"剑圣"&amp;B40,"")</f>
        <v/>
      </c>
      <c r="C41" s="193" t="str">
        <f>C40</f>
        <v>1D6</v>
      </c>
      <c r="D41" s="193" t="str">
        <f t="shared" ref="D41" si="26">D40</f>
        <v>钝击</v>
      </c>
      <c r="E41" s="379">
        <f t="shared" ref="E41" si="27">E40</f>
        <v>4</v>
      </c>
      <c r="F41" s="193" t="str">
        <f t="shared" ref="F41" si="28">F40</f>
        <v>两用（1d8）</v>
      </c>
      <c r="G41" s="193"/>
      <c r="H41" s="200">
        <f>H$3</f>
        <v>-1</v>
      </c>
      <c r="I41" s="373"/>
      <c r="J41" s="224" t="str">
        <f>IF(AND(COUNTIF(职业数据!AD16:AD18,职业数据!E14),种族数据!V3&lt;&gt;种族数据!A34),"守护板条甲","")</f>
        <v/>
      </c>
      <c r="K41" s="372">
        <v>17</v>
      </c>
      <c r="L41" s="372"/>
      <c r="M41" s="372">
        <v>0</v>
      </c>
      <c r="N41" s="372">
        <v>1</v>
      </c>
      <c r="O41" s="372">
        <v>60</v>
      </c>
      <c r="P41" s="372"/>
      <c r="Q41"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41" s="392" t="b">
        <v>0</v>
      </c>
      <c r="S41" s="307" t="s">
        <v>3946</v>
      </c>
      <c r="T41" s="372">
        <v>0.1</v>
      </c>
      <c r="U41" s="193">
        <v>0</v>
      </c>
      <c r="V41" s="193" t="str">
        <f>""</f>
        <v/>
      </c>
      <c r="W41" s="376"/>
      <c r="X41" s="375">
        <f>背包!Y13</f>
        <v>0</v>
      </c>
      <c r="Y41" s="372" t="str">
        <f t="shared" si="21"/>
        <v/>
      </c>
      <c r="Z41" s="376" t="str">
        <f t="shared" si="22"/>
        <v/>
      </c>
      <c r="AA41" s="372"/>
      <c r="AB41" s="372"/>
      <c r="AC41" s="372"/>
      <c r="AD41" s="372"/>
      <c r="AK41" s="377" t="str">
        <f t="array" ref="AK41">INDEX(B:B,SMALL(IF($B$3:$B$177&lt;&gt;"",ROW($3:$177),178),ROW(J40)))&amp;""</f>
        <v>滑膛枪</v>
      </c>
    </row>
    <row r="42" customHeight="1" spans="1:37">
      <c r="A42" s="222"/>
      <c r="B42" s="224" t="str">
        <f>IF(AU$8&gt;=1,"咒剑"&amp;B40,"")</f>
        <v/>
      </c>
      <c r="C42" s="193" t="str">
        <f>C40</f>
        <v>1D6</v>
      </c>
      <c r="D42" s="193" t="str">
        <f>D40</f>
        <v>钝击</v>
      </c>
      <c r="E42" s="379">
        <f>E40</f>
        <v>4</v>
      </c>
      <c r="F42" s="193" t="str">
        <f>F40</f>
        <v>两用（1d8）</v>
      </c>
      <c r="G42" s="193"/>
      <c r="H42" s="200">
        <f>H$13</f>
        <v>-1</v>
      </c>
      <c r="I42" s="373"/>
      <c r="J42" s="224" t="str">
        <f>IF(AND(COUNTIF(职业数据!AD16:AD18,职业数据!E14),种族数据!V3&lt;&gt;种族数据!A34),"渗透板条甲","")</f>
        <v/>
      </c>
      <c r="K42" s="372">
        <v>17</v>
      </c>
      <c r="L42" s="372"/>
      <c r="M42" s="372">
        <v>0</v>
      </c>
      <c r="N42" s="372"/>
      <c r="O42" s="372">
        <v>60</v>
      </c>
      <c r="P42" s="372"/>
      <c r="Q42" s="223" t="str">
        <f>Q9</f>
        <v>步行速度增加5尺</v>
      </c>
      <c r="R42" s="392" t="b">
        <v>0</v>
      </c>
      <c r="S42" s="307" t="s">
        <v>3947</v>
      </c>
      <c r="T42" s="372">
        <v>5</v>
      </c>
      <c r="U42" s="193">
        <v>0</v>
      </c>
      <c r="V42" s="193" t="str">
        <f>""</f>
        <v/>
      </c>
      <c r="W42" s="376"/>
      <c r="X42" s="375">
        <f>背包!Y14</f>
        <v>0</v>
      </c>
      <c r="Y42" s="372" t="str">
        <f t="shared" si="21"/>
        <v/>
      </c>
      <c r="Z42" s="376" t="str">
        <f t="shared" si="22"/>
        <v/>
      </c>
      <c r="AA42" s="372"/>
      <c r="AB42" s="372"/>
      <c r="AC42" s="372"/>
      <c r="AD42" s="372"/>
      <c r="AK42" s="377" t="str">
        <f t="array" ref="AK42">INDEX(B:B,SMALL(IF($B$3:$B$177&lt;&gt;"",ROW($3:$177),178),ROW(J41)))&amp;""</f>
        <v>动力手套</v>
      </c>
    </row>
    <row r="43" customHeight="1" spans="1:37">
      <c r="A43" s="222"/>
      <c r="B43" s="224" t="str">
        <f>IF(AU$9=1,"匠师"&amp;B40,"")</f>
        <v/>
      </c>
      <c r="C43" s="193" t="str">
        <f>C40</f>
        <v>1D6</v>
      </c>
      <c r="D43" s="193" t="str">
        <f>D40</f>
        <v>钝击</v>
      </c>
      <c r="E43" s="379">
        <f>E40</f>
        <v>4</v>
      </c>
      <c r="F43" s="193" t="str">
        <f>F40</f>
        <v>两用（1d8）</v>
      </c>
      <c r="G43" s="193"/>
      <c r="H43" s="200">
        <f>H$14</f>
        <v>-1</v>
      </c>
      <c r="I43" s="373"/>
      <c r="J43" s="224" t="str">
        <f>IF(OR(种族数据!V3=种族数据!A34,COUNTIF(职业数据!AD16:AD18,职业数据!E14)),"","板甲")</f>
        <v>板甲</v>
      </c>
      <c r="K43" s="373">
        <v>18</v>
      </c>
      <c r="L43" s="372">
        <f>IF(主要!F14&gt;=15,0,1)</f>
        <v>1</v>
      </c>
      <c r="M43" s="372">
        <v>0</v>
      </c>
      <c r="N43" s="372">
        <v>1</v>
      </c>
      <c r="O43" s="373">
        <v>65</v>
      </c>
      <c r="P43" s="373">
        <v>1500</v>
      </c>
      <c r="Q43" s="223" t="s">
        <v>3948</v>
      </c>
      <c r="R43" s="392" t="b">
        <v>0</v>
      </c>
      <c r="S43" s="307" t="s">
        <v>3949</v>
      </c>
      <c r="T43" s="372">
        <v>2</v>
      </c>
      <c r="U43" s="193">
        <v>10</v>
      </c>
      <c r="V43" s="193" t="str">
        <f>""</f>
        <v/>
      </c>
      <c r="W43" s="376"/>
      <c r="X43" s="375">
        <f>背包!Y16</f>
        <v>0</v>
      </c>
      <c r="Y43" s="372" t="str">
        <f t="shared" si="21"/>
        <v/>
      </c>
      <c r="Z43" s="376" t="str">
        <f t="shared" si="22"/>
        <v/>
      </c>
      <c r="AB43" s="372"/>
      <c r="AC43" s="372"/>
      <c r="AD43" s="372"/>
      <c r="AK43" s="377" t="str">
        <f t="array" ref="AK43">INDEX(B:B,SMALL(IF($B$3:$B$177&lt;&gt;"",ROW($3:$177),178),ROW(J42)))&amp;""</f>
        <v/>
      </c>
    </row>
    <row r="44" customHeight="1" spans="1:37">
      <c r="A44" s="222"/>
      <c r="B44" s="193" t="str">
        <f>IF(COUNTIF(法术数据!AK2:AK301,法术数据!B23)&gt;=1,"橡棍"&amp;B40,"")</f>
        <v/>
      </c>
      <c r="C44" s="193" t="str">
        <f>C$15</f>
        <v>1D8</v>
      </c>
      <c r="D44" s="193" t="str">
        <f>D40</f>
        <v>钝击</v>
      </c>
      <c r="E44" s="379">
        <f>E40</f>
        <v>4</v>
      </c>
      <c r="F44" s="193" t="str">
        <f>F40</f>
        <v>两用（1d8）</v>
      </c>
      <c r="G44" s="193"/>
      <c r="H44" s="200">
        <f>H$15</f>
        <v>-1</v>
      </c>
      <c r="I44" s="373"/>
      <c r="J44" s="224" t="str">
        <f>IF(AND(COUNTIF(职业数据!AD16:AD18,职业数据!E14),种族数据!V3&lt;&gt;种族数据!A34),"守护板甲","")</f>
        <v/>
      </c>
      <c r="K44" s="372">
        <v>18</v>
      </c>
      <c r="L44" s="372"/>
      <c r="M44" s="372">
        <v>0</v>
      </c>
      <c r="N44" s="372">
        <v>1</v>
      </c>
      <c r="O44" s="372">
        <v>65</v>
      </c>
      <c r="P44" s="372"/>
      <c r="Q44" s="223"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44" s="392" t="b">
        <v>0</v>
      </c>
      <c r="S44" s="307" t="s">
        <v>3950</v>
      </c>
      <c r="T44" s="372">
        <v>0.05</v>
      </c>
      <c r="U44" s="193">
        <v>0.25</v>
      </c>
      <c r="V44" s="193" t="str">
        <f>""</f>
        <v/>
      </c>
      <c r="W44" s="376"/>
      <c r="X44" s="375">
        <f>背包!Y17</f>
        <v>0</v>
      </c>
      <c r="Y44" s="372" t="str">
        <f t="shared" si="21"/>
        <v/>
      </c>
      <c r="Z44" s="376" t="str">
        <f t="shared" si="22"/>
        <v/>
      </c>
      <c r="AA44" s="372"/>
      <c r="AB44" s="372"/>
      <c r="AC44" s="372"/>
      <c r="AD44" s="372"/>
      <c r="AK44" s="377" t="str">
        <f t="array" ref="AK44">INDEX(B:B,SMALL(IF($B$3:$B$177&lt;&gt;"",ROW($3:$177),178),ROW(J43)))&amp;""</f>
        <v/>
      </c>
    </row>
    <row r="45" customHeight="1" spans="1:37">
      <c r="A45" s="222"/>
      <c r="B45" s="224" t="s">
        <v>3951</v>
      </c>
      <c r="C45" s="224" t="str">
        <f>C$11</f>
        <v>1D4</v>
      </c>
      <c r="D45" s="224" t="s">
        <v>3791</v>
      </c>
      <c r="E45" s="379">
        <v>2</v>
      </c>
      <c r="F45" s="224" t="s">
        <v>3796</v>
      </c>
      <c r="G45" s="193">
        <v>1</v>
      </c>
      <c r="H45" s="200">
        <f>H$3</f>
        <v>-1</v>
      </c>
      <c r="I45" s="381"/>
      <c r="J45" s="234" t="str">
        <f>IF(AND(COUNTIF(职业数据!AD16:AD18,职业数据!E14),种族数据!V3&lt;&gt;种族数据!A34),"渗透板甲","")</f>
        <v/>
      </c>
      <c r="K45" s="382">
        <v>18</v>
      </c>
      <c r="L45" s="382"/>
      <c r="M45" s="382">
        <v>0</v>
      </c>
      <c r="N45" s="382"/>
      <c r="O45" s="382">
        <v>65</v>
      </c>
      <c r="P45" s="382"/>
      <c r="Q45" s="249" t="str">
        <f>Q9</f>
        <v>步行速度增加5尺</v>
      </c>
      <c r="R45" s="392" t="b">
        <v>0</v>
      </c>
      <c r="S45" s="307" t="s">
        <v>3952</v>
      </c>
      <c r="T45" s="372">
        <v>100</v>
      </c>
      <c r="U45" s="193">
        <v>0</v>
      </c>
      <c r="V45" s="224" t="s">
        <v>3953</v>
      </c>
      <c r="W45" s="376"/>
      <c r="X45" s="375">
        <f>背包!Y18</f>
        <v>0</v>
      </c>
      <c r="Y45" s="372" t="str">
        <f t="shared" si="21"/>
        <v/>
      </c>
      <c r="Z45" s="376" t="str">
        <f t="shared" si="22"/>
        <v/>
      </c>
      <c r="AA45" s="372"/>
      <c r="AB45" s="372"/>
      <c r="AC45" s="372"/>
      <c r="AD45" s="372"/>
      <c r="AK45" s="377" t="str">
        <f t="array" ref="AK45">INDEX(B:B,SMALL(IF($B$3:$B$177&lt;&gt;"",ROW($3:$177),178),ROW(J44)))&amp;""</f>
        <v/>
      </c>
    </row>
    <row r="46" customHeight="1" spans="1:37">
      <c r="A46" s="222"/>
      <c r="B46" s="193" t="str">
        <f>IF(AU$7=2,"剑圣"&amp;B45,"")</f>
        <v/>
      </c>
      <c r="C46" s="193" t="str">
        <f>C45</f>
        <v>1D4</v>
      </c>
      <c r="D46" s="193" t="str">
        <f t="shared" ref="D46" si="29">D45</f>
        <v>挥砍</v>
      </c>
      <c r="E46" s="379">
        <f t="shared" ref="E46" si="30">E45</f>
        <v>2</v>
      </c>
      <c r="F46" s="193" t="str">
        <f t="shared" ref="F46" si="31">F45</f>
        <v>轻型</v>
      </c>
      <c r="G46" s="193"/>
      <c r="H46" s="200">
        <f>H$3</f>
        <v>-1</v>
      </c>
      <c r="R46" s="307" t="s">
        <v>3954</v>
      </c>
      <c r="S46" s="307" t="s">
        <v>3955</v>
      </c>
      <c r="T46" s="372">
        <v>0.05</v>
      </c>
      <c r="U46" s="193">
        <v>7</v>
      </c>
      <c r="V46" s="193" t="str">
        <f>""</f>
        <v/>
      </c>
      <c r="W46" s="376"/>
      <c r="X46" s="375">
        <f>背包!Y19</f>
        <v>0</v>
      </c>
      <c r="Y46" s="372" t="str">
        <f t="shared" si="21"/>
        <v/>
      </c>
      <c r="Z46" s="376" t="str">
        <f t="shared" si="22"/>
        <v/>
      </c>
      <c r="AA46" s="224"/>
      <c r="AB46" s="372"/>
      <c r="AC46" s="373"/>
      <c r="AD46" s="372"/>
      <c r="AK46" s="377" t="str">
        <f t="array" ref="AK46">INDEX(B:B,SMALL(IF($B$3:$B$177&lt;&gt;"",ROW($3:$177),178),ROW(J45)))&amp;""</f>
        <v/>
      </c>
    </row>
    <row r="47" customHeight="1" spans="1:37">
      <c r="A47" s="222"/>
      <c r="B47" s="224" t="str">
        <f>IF(AU$8&gt;=1,"咒剑"&amp;B45,"")</f>
        <v/>
      </c>
      <c r="C47" s="193" t="str">
        <f>C45</f>
        <v>1D4</v>
      </c>
      <c r="D47" s="193" t="str">
        <f>D45</f>
        <v>挥砍</v>
      </c>
      <c r="E47" s="379">
        <f>E45</f>
        <v>2</v>
      </c>
      <c r="F47" s="193" t="str">
        <f>F45</f>
        <v>轻型</v>
      </c>
      <c r="G47" s="193"/>
      <c r="H47" s="200">
        <f>H$13</f>
        <v>-1</v>
      </c>
      <c r="R47" s="380">
        <f>IF(职业数据!AG14&gt;=18,6,IF(职业数据!AG14&gt;=14,5,IF(职业数据!AG14&gt;=10,4,3)))-COUNTIF(装备数据!R30:R45,TRUE)</f>
        <v>3</v>
      </c>
      <c r="S47" s="307" t="s">
        <v>3956</v>
      </c>
      <c r="T47" s="372">
        <v>50</v>
      </c>
      <c r="U47" s="193">
        <v>0.5</v>
      </c>
      <c r="V47" s="224" t="s">
        <v>3957</v>
      </c>
      <c r="W47" s="376"/>
      <c r="X47" s="375">
        <f>背包!Y20</f>
        <v>0</v>
      </c>
      <c r="Y47" s="372" t="str">
        <f t="shared" si="21"/>
        <v/>
      </c>
      <c r="Z47" s="376" t="str">
        <f t="shared" si="22"/>
        <v/>
      </c>
      <c r="AA47" s="224"/>
      <c r="AB47" s="372"/>
      <c r="AC47" s="373"/>
      <c r="AD47" s="373"/>
      <c r="AK47" s="377" t="str">
        <f t="array" ref="AK47">INDEX(B:B,SMALL(IF($B$3:$B$177&lt;&gt;"",ROW($3:$177),178),ROW(J46)))&amp;""</f>
        <v/>
      </c>
    </row>
    <row r="48" customHeight="1" spans="1:37">
      <c r="A48" s="222"/>
      <c r="B48" s="224" t="str">
        <f>IF(AU$9=1,"匠师"&amp;B45,"")</f>
        <v/>
      </c>
      <c r="C48" s="193" t="str">
        <f>C45</f>
        <v>1D4</v>
      </c>
      <c r="D48" s="193" t="str">
        <f>D45</f>
        <v>挥砍</v>
      </c>
      <c r="E48" s="379">
        <f>E45</f>
        <v>2</v>
      </c>
      <c r="F48" s="193" t="str">
        <f>F45</f>
        <v>轻型</v>
      </c>
      <c r="G48" s="193"/>
      <c r="H48" s="200">
        <f>H$14</f>
        <v>-1</v>
      </c>
      <c r="J48" s="193"/>
      <c r="M48" s="372"/>
      <c r="N48" s="372"/>
      <c r="O48" s="372"/>
      <c r="Q48" s="372"/>
      <c r="R48" s="224"/>
      <c r="S48" s="307" t="s">
        <v>3958</v>
      </c>
      <c r="T48" s="372">
        <v>4</v>
      </c>
      <c r="U48" s="193">
        <v>35</v>
      </c>
      <c r="V48" s="224" t="s">
        <v>3959</v>
      </c>
      <c r="W48" s="376"/>
      <c r="X48" s="375">
        <f>背包!Y21</f>
        <v>0</v>
      </c>
      <c r="Y48" s="372" t="str">
        <f t="shared" si="21"/>
        <v/>
      </c>
      <c r="Z48" s="376" t="str">
        <f t="shared" si="22"/>
        <v/>
      </c>
      <c r="AA48" s="224"/>
      <c r="AB48" s="372"/>
      <c r="AC48" s="373"/>
      <c r="AD48" s="373"/>
      <c r="AK48" s="377" t="str">
        <f t="array" ref="AK48">INDEX(B:B,SMALL(IF($B$3:$B$177&lt;&gt;"",ROW($3:$177),178),ROW(J47)))&amp;""</f>
        <v/>
      </c>
    </row>
    <row r="49" customHeight="1" spans="1:37">
      <c r="A49" s="222"/>
      <c r="B49" s="224" t="s">
        <v>3960</v>
      </c>
      <c r="C49" s="224" t="str">
        <f>C$24</f>
        <v>1D6</v>
      </c>
      <c r="D49" s="224" t="s">
        <v>3782</v>
      </c>
      <c r="E49" s="379">
        <v>3</v>
      </c>
      <c r="F49" s="224" t="s">
        <v>3961</v>
      </c>
      <c r="G49" s="193">
        <v>1</v>
      </c>
      <c r="H49" s="200">
        <f>H$3</f>
        <v>-1</v>
      </c>
      <c r="R49" s="276"/>
      <c r="S49" s="307" t="s">
        <v>3962</v>
      </c>
      <c r="T49" s="372">
        <v>0.5</v>
      </c>
      <c r="U49" s="193">
        <v>2</v>
      </c>
      <c r="V49" s="224" t="s">
        <v>3963</v>
      </c>
      <c r="W49" s="376"/>
      <c r="X49" s="375">
        <f>背包!Y22</f>
        <v>0</v>
      </c>
      <c r="Y49" s="372" t="str">
        <f t="shared" si="21"/>
        <v/>
      </c>
      <c r="Z49" s="376" t="str">
        <f t="shared" si="22"/>
        <v/>
      </c>
      <c r="AA49" s="224"/>
      <c r="AB49" s="372"/>
      <c r="AC49" s="373"/>
      <c r="AD49" s="373"/>
      <c r="AK49" s="377" t="str">
        <f t="array" ref="AK49">INDEX(B:B,SMALL(IF($B$3:$B$177&lt;&gt;"",ROW($3:$177),178),ROW(J48)))&amp;""</f>
        <v/>
      </c>
    </row>
    <row r="50" customHeight="1" spans="1:37">
      <c r="A50" s="222"/>
      <c r="B50" s="193" t="str">
        <f>IF(AU$7=2,"剑圣"&amp;B49,"")</f>
        <v/>
      </c>
      <c r="C50" s="193" t="str">
        <f>C49</f>
        <v>1D6</v>
      </c>
      <c r="D50" s="193" t="str">
        <f t="shared" ref="D50" si="32">D49</f>
        <v>穿刺</v>
      </c>
      <c r="E50" s="379">
        <f t="shared" ref="E50" si="33">E49</f>
        <v>3</v>
      </c>
      <c r="F50" s="193" t="str">
        <f t="shared" ref="F50" si="34">F49</f>
        <v>投掷（射程20/60），两用（1d8）</v>
      </c>
      <c r="G50" s="193"/>
      <c r="H50" s="200">
        <f>H$3</f>
        <v>-1</v>
      </c>
      <c r="S50" s="307" t="s">
        <v>3964</v>
      </c>
      <c r="T50" s="372">
        <v>1</v>
      </c>
      <c r="U50" s="193">
        <v>10</v>
      </c>
      <c r="V50" s="224" t="s">
        <v>3965</v>
      </c>
      <c r="W50" s="376"/>
      <c r="X50" s="375">
        <f>背包!Y23</f>
        <v>0</v>
      </c>
      <c r="Y50" s="372" t="str">
        <f t="shared" si="21"/>
        <v/>
      </c>
      <c r="Z50" s="376" t="str">
        <f t="shared" si="22"/>
        <v/>
      </c>
      <c r="AA50" s="224"/>
      <c r="AB50" s="372"/>
      <c r="AC50" s="373"/>
      <c r="AD50" s="373"/>
      <c r="AK50" s="377" t="str">
        <f t="array" ref="AK50">INDEX(B:B,SMALL(IF($B$3:$B$177&lt;&gt;"",ROW($3:$177),178),ROW(J49)))&amp;""</f>
        <v/>
      </c>
    </row>
    <row r="51" customHeight="1" spans="1:37">
      <c r="A51" s="222"/>
      <c r="B51" s="224" t="str">
        <f>IF(AU$8&gt;=1,"咒剑"&amp;B49,"")</f>
        <v/>
      </c>
      <c r="C51" s="193" t="str">
        <f>C49</f>
        <v>1D6</v>
      </c>
      <c r="D51" s="193" t="str">
        <f>D49</f>
        <v>穿刺</v>
      </c>
      <c r="E51" s="379">
        <f>E49</f>
        <v>3</v>
      </c>
      <c r="F51" s="193" t="str">
        <f>F49</f>
        <v>投掷（射程20/60），两用（1d8）</v>
      </c>
      <c r="G51" s="193"/>
      <c r="H51" s="200">
        <f>H$13</f>
        <v>-1</v>
      </c>
      <c r="S51" s="307" t="s">
        <v>3966</v>
      </c>
      <c r="T51" s="372">
        <v>10</v>
      </c>
      <c r="U51" s="193">
        <v>5</v>
      </c>
      <c r="V51" s="224" t="s">
        <v>3967</v>
      </c>
      <c r="W51" s="376"/>
      <c r="X51" s="375">
        <f>背包!Y24</f>
        <v>0</v>
      </c>
      <c r="Y51" s="372" t="str">
        <f t="shared" si="21"/>
        <v/>
      </c>
      <c r="Z51" s="376" t="str">
        <f t="shared" si="22"/>
        <v/>
      </c>
      <c r="AA51" s="224"/>
      <c r="AB51" s="372"/>
      <c r="AC51" s="373"/>
      <c r="AD51" s="373"/>
      <c r="AK51" s="377" t="str">
        <f t="array" ref="AK51">INDEX(B:B,SMALL(IF($B$3:$B$177&lt;&gt;"",ROW($3:$177),178),ROW(J50)))&amp;""</f>
        <v/>
      </c>
    </row>
    <row r="52" customHeight="1" spans="1:37">
      <c r="A52" s="222"/>
      <c r="B52" s="224" t="str">
        <f>IF(AU$9=1,"匠师"&amp;B49,"")</f>
        <v/>
      </c>
      <c r="C52" s="193" t="str">
        <f>C49</f>
        <v>1D6</v>
      </c>
      <c r="D52" s="193" t="str">
        <f>D49</f>
        <v>穿刺</v>
      </c>
      <c r="E52" s="379">
        <f>E49</f>
        <v>3</v>
      </c>
      <c r="F52" s="193" t="str">
        <f>F49</f>
        <v>投掷（射程20/60），两用（1d8）</v>
      </c>
      <c r="G52" s="193"/>
      <c r="H52" s="200">
        <f>H$14</f>
        <v>-1</v>
      </c>
      <c r="S52" s="307" t="s">
        <v>3968</v>
      </c>
      <c r="T52" s="372">
        <v>5</v>
      </c>
      <c r="U52" s="193">
        <v>3</v>
      </c>
      <c r="V52" s="224" t="s">
        <v>3969</v>
      </c>
      <c r="W52" s="376"/>
      <c r="X52" s="380">
        <f>背包!Y25</f>
        <v>0</v>
      </c>
      <c r="Y52" s="382" t="str">
        <f t="shared" si="21"/>
        <v/>
      </c>
      <c r="Z52" s="383" t="str">
        <f t="shared" si="22"/>
        <v/>
      </c>
      <c r="AA52" s="224"/>
      <c r="AB52" s="372"/>
      <c r="AC52" s="373"/>
      <c r="AD52" s="373"/>
      <c r="AK52" s="377" t="str">
        <f t="array" ref="AK52">INDEX(B:B,SMALL(IF($B$3:$B$177&lt;&gt;"",ROW($3:$177),178),ROW(J51)))&amp;""</f>
        <v/>
      </c>
    </row>
    <row r="53" customHeight="1" spans="1:37">
      <c r="A53" s="222"/>
      <c r="B53" s="193" t="str">
        <f>IF(COUNTIF(职业数据!AD16:AD18,职业数据!I2),"啃咬","")</f>
        <v/>
      </c>
      <c r="C53" s="193" t="str">
        <f>C$15</f>
        <v>1D8</v>
      </c>
      <c r="D53" s="224" t="s">
        <v>3782</v>
      </c>
      <c r="E53" s="379"/>
      <c r="F53" s="193" t="str">
        <f>""</f>
        <v/>
      </c>
      <c r="G53" s="193"/>
      <c r="H53" s="200">
        <f>H$3</f>
        <v>-1</v>
      </c>
      <c r="S53" s="307" t="s">
        <v>3970</v>
      </c>
      <c r="T53" s="372">
        <v>0.5</v>
      </c>
      <c r="U53" s="193">
        <v>0</v>
      </c>
      <c r="V53" s="193" t="str">
        <f>""</f>
        <v/>
      </c>
      <c r="W53" s="376"/>
      <c r="X53" s="263" t="s">
        <v>3971</v>
      </c>
      <c r="Y53" s="389">
        <v>16</v>
      </c>
      <c r="Z53" s="220" t="s">
        <v>3972</v>
      </c>
      <c r="AA53" s="224"/>
      <c r="AB53" s="372"/>
      <c r="AC53" s="373"/>
      <c r="AD53" s="373"/>
      <c r="AK53" s="377" t="str">
        <f t="array" ref="AK53">INDEX(B:B,SMALL(IF($B$3:$B$177&lt;&gt;"",ROW($3:$177),178),ROW(J52)))&amp;""</f>
        <v/>
      </c>
    </row>
    <row r="54" customHeight="1" spans="1:37">
      <c r="A54" s="222"/>
      <c r="B54" s="193" t="str">
        <f>IF(COUNTIF(职业数据!AD16:AD18,职业数据!I2),"爪击","")</f>
        <v/>
      </c>
      <c r="C54" s="193" t="str">
        <f>C$24</f>
        <v>1D6</v>
      </c>
      <c r="D54" s="224" t="s">
        <v>3791</v>
      </c>
      <c r="E54" s="379"/>
      <c r="F54" s="193" t="str">
        <f>""</f>
        <v/>
      </c>
      <c r="G54" s="193"/>
      <c r="H54" s="200">
        <f>H$3</f>
        <v>-1</v>
      </c>
      <c r="S54" s="307" t="s">
        <v>3973</v>
      </c>
      <c r="T54" s="372">
        <v>2</v>
      </c>
      <c r="U54" s="193">
        <v>5</v>
      </c>
      <c r="V54" s="193" t="str">
        <f>""</f>
        <v/>
      </c>
      <c r="W54" s="376"/>
      <c r="X54" s="307" t="s">
        <v>3974</v>
      </c>
      <c r="Y54" s="372">
        <v>39</v>
      </c>
      <c r="Z54" s="223" t="s">
        <v>3975</v>
      </c>
      <c r="AA54" s="224"/>
      <c r="AB54" s="372"/>
      <c r="AC54" s="373"/>
      <c r="AD54" s="373"/>
      <c r="AK54" s="377" t="str">
        <f t="array" ref="AK54">INDEX(B:B,SMALL(IF($B$3:$B$177&lt;&gt;"",ROW($3:$177),178),ROW(J53)))&amp;""</f>
        <v/>
      </c>
    </row>
    <row r="55" customHeight="1" spans="1:37">
      <c r="A55" s="222"/>
      <c r="B55" s="193" t="str">
        <f>IF(COUNTIF(职业数据!AD16:AD18,职业数据!I2),"尾击","")</f>
        <v/>
      </c>
      <c r="C55" s="193" t="str">
        <f>C$15</f>
        <v>1D8</v>
      </c>
      <c r="D55" s="224" t="s">
        <v>3782</v>
      </c>
      <c r="E55" s="379"/>
      <c r="F55" s="224" t="s">
        <v>3760</v>
      </c>
      <c r="G55" s="193"/>
      <c r="H55" s="200">
        <f>H$3</f>
        <v>-1</v>
      </c>
      <c r="S55" s="307" t="s">
        <v>3976</v>
      </c>
      <c r="T55" s="372">
        <v>0.05</v>
      </c>
      <c r="U55" s="193">
        <v>0</v>
      </c>
      <c r="V55" s="193" t="str">
        <f>""</f>
        <v/>
      </c>
      <c r="W55" s="376"/>
      <c r="X55" s="307" t="s">
        <v>3977</v>
      </c>
      <c r="Y55" s="372">
        <v>12</v>
      </c>
      <c r="Z55" s="223" t="s">
        <v>3978</v>
      </c>
      <c r="AA55" s="224"/>
      <c r="AB55" s="372"/>
      <c r="AC55" s="373"/>
      <c r="AD55" s="373"/>
      <c r="AE55" s="393"/>
      <c r="AF55" s="224"/>
      <c r="AG55" s="372"/>
      <c r="AH55" s="372"/>
      <c r="AI55" s="372"/>
      <c r="AK55" s="377" t="str">
        <f t="array" ref="AK55">INDEX(B:B,SMALL(IF($B$3:$B$177&lt;&gt;"",ROW($3:$177),178),ROW(J54)))&amp;""</f>
        <v/>
      </c>
    </row>
    <row r="56" customHeight="1" spans="1:37">
      <c r="A56" s="222"/>
      <c r="B56" s="193" t="str">
        <f>IF(COUNTIF(职业数据!AD16:AD18,职业数据!J10),"念刃","")</f>
        <v/>
      </c>
      <c r="C56" s="193" t="str">
        <f>C$24</f>
        <v>1D6</v>
      </c>
      <c r="D56" s="224" t="s">
        <v>3844</v>
      </c>
      <c r="E56" s="379"/>
      <c r="F56" s="224" t="s">
        <v>3979</v>
      </c>
      <c r="G56" s="193"/>
      <c r="H56" s="200">
        <f>H$16</f>
        <v>-1</v>
      </c>
      <c r="S56" s="307" t="s">
        <v>3980</v>
      </c>
      <c r="T56" s="372">
        <v>5</v>
      </c>
      <c r="U56" s="193">
        <v>0</v>
      </c>
      <c r="V56" s="193" t="str">
        <f>""</f>
        <v/>
      </c>
      <c r="W56" s="376"/>
      <c r="X56" s="307" t="s">
        <v>3981</v>
      </c>
      <c r="Y56" s="372">
        <v>40</v>
      </c>
      <c r="Z56" s="223" t="s">
        <v>3982</v>
      </c>
      <c r="AA56" s="224"/>
      <c r="AB56" s="372"/>
      <c r="AC56" s="373"/>
      <c r="AD56" s="373"/>
      <c r="AE56" s="393"/>
      <c r="AF56" s="224"/>
      <c r="AG56" s="372"/>
      <c r="AH56" s="372"/>
      <c r="AI56" s="372"/>
      <c r="AK56" s="377" t="str">
        <f t="array" ref="AK56">INDEX(B:B,SMALL(IF($B$3:$B$177&lt;&gt;"",ROW($3:$177),178),ROW(J55)))&amp;""</f>
        <v/>
      </c>
    </row>
    <row r="57" customHeight="1" spans="1:37">
      <c r="A57" s="222"/>
      <c r="B57" s="193" t="str">
        <f>IF(COUNTIF(AL2,"守护*"),"雷霆战拳","")</f>
        <v/>
      </c>
      <c r="C57" s="224" t="str">
        <f>C15</f>
        <v>1D8</v>
      </c>
      <c r="D57" s="224" t="s">
        <v>3983</v>
      </c>
      <c r="E57" s="379"/>
      <c r="F57" s="193" t="str">
        <f>""</f>
        <v/>
      </c>
      <c r="G57" s="193"/>
      <c r="H57" s="223">
        <f>MAX(MAX(主要!R15,主要!R14),主要!R17)</f>
        <v>-1</v>
      </c>
      <c r="S57" s="307" t="s">
        <v>3984</v>
      </c>
      <c r="T57" s="372">
        <v>0.02</v>
      </c>
      <c r="U57" s="193">
        <v>0</v>
      </c>
      <c r="V57" s="193" t="str">
        <f>""</f>
        <v/>
      </c>
      <c r="W57" s="376"/>
      <c r="X57" s="307" t="s">
        <v>3985</v>
      </c>
      <c r="Y57" s="372">
        <v>10</v>
      </c>
      <c r="Z57" s="223" t="s">
        <v>3986</v>
      </c>
      <c r="AA57" s="224"/>
      <c r="AB57" s="372"/>
      <c r="AC57" s="373"/>
      <c r="AD57" s="373"/>
      <c r="AE57" s="393"/>
      <c r="AF57" s="224"/>
      <c r="AG57" s="372"/>
      <c r="AH57" s="372"/>
      <c r="AI57" s="372"/>
      <c r="AK57" s="377" t="str">
        <f t="array" ref="AK57">INDEX(B:B,SMALL(IF($B$3:$B$177&lt;&gt;"",ROW($3:$177),178),ROW(J56)))&amp;""</f>
        <v/>
      </c>
    </row>
    <row r="58" customHeight="1" spans="1:37">
      <c r="A58" s="222"/>
      <c r="B58" s="224" t="str">
        <f>IF(B57="","",IF(AU$8&gt;=1,"咒剑"&amp;B57,""))</f>
        <v/>
      </c>
      <c r="C58" s="193" t="str">
        <f>C57</f>
        <v>1D8</v>
      </c>
      <c r="D58" s="193" t="str">
        <f t="shared" ref="D58:F58" si="35">D57</f>
        <v>雷鸣</v>
      </c>
      <c r="E58" s="379">
        <f t="shared" si="35"/>
        <v>0</v>
      </c>
      <c r="F58" s="193" t="str">
        <f t="shared" si="35"/>
        <v/>
      </c>
      <c r="G58" s="193"/>
      <c r="H58" s="200">
        <f>MAX(主要!R$19,H57)</f>
        <v>-1</v>
      </c>
      <c r="S58" s="307" t="s">
        <v>283</v>
      </c>
      <c r="T58" s="372">
        <v>50</v>
      </c>
      <c r="U58" s="193">
        <v>3</v>
      </c>
      <c r="V58" s="224" t="s">
        <v>3987</v>
      </c>
      <c r="W58" s="376"/>
      <c r="X58" s="307" t="s">
        <v>3988</v>
      </c>
      <c r="Y58" s="372">
        <v>19</v>
      </c>
      <c r="Z58" s="223" t="s">
        <v>3989</v>
      </c>
      <c r="AA58" s="224"/>
      <c r="AB58" s="372"/>
      <c r="AC58" s="373"/>
      <c r="AD58" s="373"/>
      <c r="AE58" s="393"/>
      <c r="AF58" s="224"/>
      <c r="AG58" s="372"/>
      <c r="AH58" s="373"/>
      <c r="AI58" s="372"/>
      <c r="AK58" s="377" t="str">
        <f t="array" ref="AK58">INDEX(B:B,SMALL(IF($B$3:$B$177&lt;&gt;"",ROW($3:$177),178),ROW(J57)))&amp;""</f>
        <v/>
      </c>
    </row>
    <row r="59" customHeight="1" spans="1:37">
      <c r="A59" s="222" t="s">
        <v>3990</v>
      </c>
      <c r="B59" s="224" t="s">
        <v>3991</v>
      </c>
      <c r="C59" s="224" t="s">
        <v>3855</v>
      </c>
      <c r="D59" s="224" t="s">
        <v>3782</v>
      </c>
      <c r="E59" s="379">
        <v>5</v>
      </c>
      <c r="F59" s="224" t="s">
        <v>3992</v>
      </c>
      <c r="G59" s="193">
        <v>25</v>
      </c>
      <c r="H59" s="200">
        <f>主要!R15</f>
        <v>-1</v>
      </c>
      <c r="S59" s="307" t="s">
        <v>3993</v>
      </c>
      <c r="T59" s="372">
        <v>1</v>
      </c>
      <c r="U59" s="193">
        <v>5</v>
      </c>
      <c r="V59" s="193" t="str">
        <f>""</f>
        <v/>
      </c>
      <c r="W59" s="376"/>
      <c r="X59" s="384" t="s">
        <v>3994</v>
      </c>
      <c r="Y59" s="382">
        <v>40</v>
      </c>
      <c r="Z59" s="249" t="s">
        <v>3995</v>
      </c>
      <c r="AA59" s="224"/>
      <c r="AB59" s="372"/>
      <c r="AC59" s="373"/>
      <c r="AD59" s="373"/>
      <c r="AE59" s="393"/>
      <c r="AF59" s="224"/>
      <c r="AG59" s="372"/>
      <c r="AH59" s="372"/>
      <c r="AI59" s="372"/>
      <c r="AK59" s="377" t="str">
        <f t="array" ref="AK59">INDEX(B:B,SMALL(IF($B$3:$B$177&lt;&gt;"",ROW($3:$177),178),ROW(J58)))&amp;""</f>
        <v/>
      </c>
    </row>
    <row r="60" customHeight="1" spans="1:37">
      <c r="A60" s="222"/>
      <c r="B60" s="193" t="str">
        <f>IF(AU$7=2,"剑圣"&amp;B59,IF(AU$7&gt;=1,"专用"&amp;B59,""))</f>
        <v/>
      </c>
      <c r="C60" s="193" t="str">
        <f>C$15</f>
        <v>1D8</v>
      </c>
      <c r="D60" s="193" t="str">
        <f>D59</f>
        <v>穿刺</v>
      </c>
      <c r="E60" s="379">
        <f>E59</f>
        <v>5</v>
      </c>
      <c r="F60" s="193" t="str">
        <f>F59</f>
        <v>弹药（射程80/320），装填，双手</v>
      </c>
      <c r="G60" s="193"/>
      <c r="H60" s="200">
        <f>H$3</f>
        <v>-1</v>
      </c>
      <c r="S60" s="307" t="s">
        <v>3996</v>
      </c>
      <c r="T60" s="372">
        <v>1000</v>
      </c>
      <c r="U60" s="193">
        <v>1</v>
      </c>
      <c r="V60" s="224" t="s">
        <v>3997</v>
      </c>
      <c r="W60" s="376"/>
      <c r="X60" s="372"/>
      <c r="Y60" s="372"/>
      <c r="Z60" s="372"/>
      <c r="AA60" s="224"/>
      <c r="AB60" s="372"/>
      <c r="AC60" s="373"/>
      <c r="AD60" s="373"/>
      <c r="AE60" s="393"/>
      <c r="AF60" s="224"/>
      <c r="AG60" s="372"/>
      <c r="AH60" s="372"/>
      <c r="AI60" s="372"/>
      <c r="AK60" s="377" t="str">
        <f t="array" ref="AK60">INDEX(B:B,SMALL(IF($B$3:$B$177&lt;&gt;"",ROW($3:$177),178),ROW(J59)))&amp;""</f>
        <v/>
      </c>
    </row>
    <row r="61" customHeight="1" spans="1:37">
      <c r="A61" s="222"/>
      <c r="B61" s="224" t="str">
        <f>IF(AU$8=2,"咒剑"&amp;B59,"")</f>
        <v/>
      </c>
      <c r="C61" s="193" t="str">
        <f>C59</f>
        <v>1D8</v>
      </c>
      <c r="D61" s="193" t="str">
        <f>D59</f>
        <v>穿刺</v>
      </c>
      <c r="E61" s="379">
        <f>E59</f>
        <v>5</v>
      </c>
      <c r="F61" s="193" t="str">
        <f>F59</f>
        <v>弹药（射程80/320），装填，双手</v>
      </c>
      <c r="G61" s="193"/>
      <c r="H61" s="200">
        <f>MAX(主要!R$19,装备数据!H59)</f>
        <v>-1</v>
      </c>
      <c r="S61" s="307" t="s">
        <v>3998</v>
      </c>
      <c r="T61" s="372">
        <v>2</v>
      </c>
      <c r="U61" s="193">
        <v>20</v>
      </c>
      <c r="V61" s="224" t="s">
        <v>3999</v>
      </c>
      <c r="W61" s="376"/>
      <c r="X61" s="372"/>
      <c r="Y61" s="372"/>
      <c r="Z61" s="372"/>
      <c r="AA61" s="224"/>
      <c r="AB61" s="372"/>
      <c r="AC61" s="373"/>
      <c r="AD61" s="373"/>
      <c r="AE61" s="393"/>
      <c r="AF61" s="224"/>
      <c r="AG61" s="372"/>
      <c r="AH61" s="372"/>
      <c r="AI61" s="372"/>
      <c r="AK61" s="377" t="str">
        <f t="array" ref="AK61">INDEX(B:B,SMALL(IF($B$3:$B$177&lt;&gt;"",ROW($3:$177),178),ROW(J60)))&amp;""</f>
        <v/>
      </c>
    </row>
    <row r="62" customHeight="1" spans="1:37">
      <c r="A62" s="222"/>
      <c r="B62" s="224" t="str">
        <f>IF(AU$9=1,"匠师"&amp;B59,"")</f>
        <v/>
      </c>
      <c r="C62" s="193" t="str">
        <f>C59</f>
        <v>1D8</v>
      </c>
      <c r="D62" s="193" t="str">
        <f>D59</f>
        <v>穿刺</v>
      </c>
      <c r="E62" s="379">
        <f>E59</f>
        <v>5</v>
      </c>
      <c r="F62" s="193" t="str">
        <f>F59</f>
        <v>弹药（射程80/320），装填，双手</v>
      </c>
      <c r="G62" s="193"/>
      <c r="H62" s="200">
        <f>MAX(主要!R$17,装备数据!H59)</f>
        <v>-1</v>
      </c>
      <c r="S62" s="307" t="s">
        <v>4000</v>
      </c>
      <c r="T62" s="372">
        <v>0.5</v>
      </c>
      <c r="U62" s="193">
        <v>1</v>
      </c>
      <c r="V62" s="224" t="s">
        <v>4001</v>
      </c>
      <c r="W62" s="376"/>
      <c r="X62" s="372"/>
      <c r="Y62" s="372"/>
      <c r="Z62" s="372"/>
      <c r="AA62" s="224"/>
      <c r="AB62" s="372"/>
      <c r="AC62" s="373"/>
      <c r="AD62" s="373"/>
      <c r="AE62" s="393"/>
      <c r="AF62" s="224"/>
      <c r="AG62" s="372"/>
      <c r="AH62" s="372"/>
      <c r="AI62" s="372"/>
      <c r="AK62" s="377" t="str">
        <f t="array" ref="AK62">INDEX(B:B,SMALL(IF($B$3:$B$177&lt;&gt;"",ROW($3:$177),178),ROW(J61)))&amp;""</f>
        <v/>
      </c>
    </row>
    <row r="63" customHeight="1" spans="1:37">
      <c r="A63" s="222"/>
      <c r="B63" s="224" t="s">
        <v>4002</v>
      </c>
      <c r="C63" s="224" t="s">
        <v>4003</v>
      </c>
      <c r="D63" s="224" t="s">
        <v>3782</v>
      </c>
      <c r="E63" s="379">
        <v>0.25</v>
      </c>
      <c r="F63" s="224" t="s">
        <v>4004</v>
      </c>
      <c r="G63" s="193">
        <v>0.05</v>
      </c>
      <c r="H63" s="200">
        <f>H$16</f>
        <v>-1</v>
      </c>
      <c r="S63" s="307" t="s">
        <v>4005</v>
      </c>
      <c r="T63" s="372">
        <v>0.01</v>
      </c>
      <c r="U63" s="193">
        <v>1</v>
      </c>
      <c r="V63" s="224" t="s">
        <v>4006</v>
      </c>
      <c r="W63" s="376"/>
      <c r="X63" s="372"/>
      <c r="Y63" s="372"/>
      <c r="Z63" s="372"/>
      <c r="AA63" s="224"/>
      <c r="AB63" s="372"/>
      <c r="AC63" s="373"/>
      <c r="AD63" s="373"/>
      <c r="AE63" s="393"/>
      <c r="AF63" s="224"/>
      <c r="AG63" s="372"/>
      <c r="AH63" s="372"/>
      <c r="AI63" s="372"/>
      <c r="AK63" s="377" t="str">
        <f t="array" ref="AK63">INDEX(B:B,SMALL(IF($B$3:$B$177&lt;&gt;"",ROW($3:$177),178),ROW(J62)))&amp;""</f>
        <v/>
      </c>
    </row>
    <row r="64" customHeight="1" spans="1:37">
      <c r="A64" s="222"/>
      <c r="B64" s="193" t="str">
        <f>IF(AU$7=2,"剑圣"&amp;B63,IF(AU$7&gt;=1,"专用"&amp;B63,""))</f>
        <v/>
      </c>
      <c r="C64" s="193" t="str">
        <f>C$11</f>
        <v>1D4</v>
      </c>
      <c r="D64" s="193" t="str">
        <f>D63</f>
        <v>穿刺</v>
      </c>
      <c r="E64" s="379">
        <f>E63</f>
        <v>0.25</v>
      </c>
      <c r="F64" s="193" t="str">
        <f>F63</f>
        <v>灵巧，投掷（射程20/60）</v>
      </c>
      <c r="G64" s="193"/>
      <c r="H64" s="200">
        <f>H$16</f>
        <v>-1</v>
      </c>
      <c r="S64" s="307" t="s">
        <v>4007</v>
      </c>
      <c r="T64" s="372">
        <v>0.01</v>
      </c>
      <c r="U64" s="193">
        <v>1</v>
      </c>
      <c r="V64" s="193" t="str">
        <f t="shared" ref="V64:V74" si="36">""</f>
        <v/>
      </c>
      <c r="W64" s="376"/>
      <c r="X64" s="372"/>
      <c r="Y64" s="372"/>
      <c r="Z64" s="372"/>
      <c r="AA64" s="224"/>
      <c r="AB64" s="372"/>
      <c r="AC64" s="373"/>
      <c r="AD64" s="373"/>
      <c r="AE64" s="393"/>
      <c r="AF64" s="224"/>
      <c r="AG64" s="372"/>
      <c r="AH64" s="372"/>
      <c r="AI64" s="372"/>
      <c r="AK64" s="377" t="str">
        <f t="array" ref="AK64">INDEX(B:B,SMALL(IF($B$3:$B$177&lt;&gt;"",ROW($3:$177),178),ROW(J63)))&amp;""</f>
        <v/>
      </c>
    </row>
    <row r="65" customHeight="1" spans="1:37">
      <c r="A65" s="222"/>
      <c r="B65" s="224" t="str">
        <f>IF(AU$8&gt;=1,"咒剑"&amp;B63,"")</f>
        <v/>
      </c>
      <c r="C65" s="193" t="str">
        <f>C63</f>
        <v>1D4</v>
      </c>
      <c r="D65" s="193" t="str">
        <f>D63</f>
        <v>穿刺</v>
      </c>
      <c r="E65" s="379">
        <f>E63</f>
        <v>0.25</v>
      </c>
      <c r="F65" s="193" t="str">
        <f>F63</f>
        <v>灵巧，投掷（射程20/60）</v>
      </c>
      <c r="G65" s="193"/>
      <c r="H65" s="200">
        <f>H$18</f>
        <v>-1</v>
      </c>
      <c r="S65" s="307" t="s">
        <v>4008</v>
      </c>
      <c r="T65" s="372">
        <v>1</v>
      </c>
      <c r="U65" s="193">
        <v>1</v>
      </c>
      <c r="V65" s="193" t="str">
        <f t="shared" si="36"/>
        <v/>
      </c>
      <c r="W65" s="376"/>
      <c r="X65" s="372"/>
      <c r="Y65" s="372"/>
      <c r="Z65" s="372"/>
      <c r="AA65" s="224"/>
      <c r="AB65" s="372"/>
      <c r="AC65" s="373"/>
      <c r="AD65" s="373"/>
      <c r="AE65" s="393"/>
      <c r="AF65" s="224"/>
      <c r="AG65" s="372"/>
      <c r="AH65" s="372"/>
      <c r="AI65" s="372"/>
      <c r="AK65" s="377" t="str">
        <f t="array" ref="AK65">INDEX(B:B,SMALL(IF($B$3:$B$177&lt;&gt;"",ROW($3:$177),178),ROW(J64)))&amp;""</f>
        <v/>
      </c>
    </row>
    <row r="66" customHeight="1" spans="1:37">
      <c r="A66" s="222"/>
      <c r="B66" s="224" t="str">
        <f>IF(AU$9=1,"匠师"&amp;B63,"")</f>
        <v/>
      </c>
      <c r="C66" s="193" t="str">
        <f>C63</f>
        <v>1D4</v>
      </c>
      <c r="D66" s="193" t="str">
        <f>D63</f>
        <v>穿刺</v>
      </c>
      <c r="E66" s="379">
        <f>E63</f>
        <v>0.25</v>
      </c>
      <c r="F66" s="193" t="str">
        <f>F63</f>
        <v>灵巧，投掷（射程20/60）</v>
      </c>
      <c r="G66" s="193"/>
      <c r="H66" s="200">
        <f>H$19</f>
        <v>-1</v>
      </c>
      <c r="S66" s="307" t="s">
        <v>4009</v>
      </c>
      <c r="T66" s="372">
        <v>1</v>
      </c>
      <c r="U66" s="193">
        <v>1</v>
      </c>
      <c r="V66" s="193" t="str">
        <f t="shared" si="36"/>
        <v/>
      </c>
      <c r="W66" s="376"/>
      <c r="X66" s="372"/>
      <c r="Y66" s="372"/>
      <c r="Z66" s="372"/>
      <c r="AA66" s="224"/>
      <c r="AB66" s="372"/>
      <c r="AC66" s="373"/>
      <c r="AD66" s="373"/>
      <c r="AE66" s="393"/>
      <c r="AF66" s="224"/>
      <c r="AG66" s="372"/>
      <c r="AH66" s="372"/>
      <c r="AI66" s="372"/>
      <c r="AK66" s="377" t="str">
        <f t="array" ref="AK66">INDEX(B:B,SMALL(IF($B$3:$B$177&lt;&gt;"",ROW($3:$177),178),ROW(J65)))&amp;""</f>
        <v/>
      </c>
    </row>
    <row r="67" customHeight="1" spans="1:37">
      <c r="A67" s="222"/>
      <c r="B67" s="224" t="s">
        <v>4010</v>
      </c>
      <c r="C67" s="224" t="s">
        <v>3749</v>
      </c>
      <c r="D67" s="224" t="s">
        <v>3782</v>
      </c>
      <c r="E67" s="379">
        <v>2</v>
      </c>
      <c r="F67" s="224" t="s">
        <v>4011</v>
      </c>
      <c r="G67" s="193">
        <v>25</v>
      </c>
      <c r="H67" s="200">
        <f>H$59</f>
        <v>-1</v>
      </c>
      <c r="S67" s="307" t="s">
        <v>4012</v>
      </c>
      <c r="T67" s="372">
        <v>1</v>
      </c>
      <c r="U67" s="193">
        <v>1.5</v>
      </c>
      <c r="V67" s="193" t="str">
        <f t="shared" si="36"/>
        <v/>
      </c>
      <c r="W67" s="376"/>
      <c r="X67" s="372"/>
      <c r="Y67" s="372"/>
      <c r="Z67" s="372"/>
      <c r="AA67" s="224"/>
      <c r="AB67" s="372"/>
      <c r="AC67" s="373"/>
      <c r="AD67" s="373"/>
      <c r="AE67" s="393"/>
      <c r="AF67" s="224"/>
      <c r="AG67" s="372"/>
      <c r="AH67" s="372"/>
      <c r="AI67" s="372"/>
      <c r="AK67" s="377" t="str">
        <f t="array" ref="AK67">INDEX(B:B,SMALL(IF($B$3:$B$177&lt;&gt;"",ROW($3:$177),178),ROW(J66)))&amp;""</f>
        <v/>
      </c>
    </row>
    <row r="68" customHeight="1" spans="1:37">
      <c r="A68" s="222"/>
      <c r="B68" s="193" t="str">
        <f>IF(AU$7=2,"剑圣"&amp;B67,IF(AU$7&gt;=1,"专用"&amp;B67,""))</f>
        <v/>
      </c>
      <c r="C68" s="193" t="str">
        <f>C$24</f>
        <v>1D6</v>
      </c>
      <c r="D68" s="193" t="str">
        <f>D67</f>
        <v>穿刺</v>
      </c>
      <c r="E68" s="379">
        <f>E67</f>
        <v>2</v>
      </c>
      <c r="F68" s="193" t="str">
        <f>F67</f>
        <v>弹药（射程80/320），双手</v>
      </c>
      <c r="G68" s="193"/>
      <c r="H68" s="200">
        <f>H$3</f>
        <v>-1</v>
      </c>
      <c r="S68" s="307" t="s">
        <v>4013</v>
      </c>
      <c r="T68" s="372">
        <v>0.04</v>
      </c>
      <c r="U68" s="193">
        <v>1.5</v>
      </c>
      <c r="V68" s="193" t="str">
        <f t="shared" si="36"/>
        <v/>
      </c>
      <c r="W68" s="376"/>
      <c r="X68" s="372"/>
      <c r="Y68" s="372"/>
      <c r="Z68" s="372"/>
      <c r="AA68" s="224"/>
      <c r="AB68" s="372"/>
      <c r="AC68" s="373"/>
      <c r="AD68" s="373"/>
      <c r="AE68" s="393"/>
      <c r="AF68" s="224"/>
      <c r="AG68" s="372"/>
      <c r="AH68" s="372"/>
      <c r="AI68" s="372"/>
      <c r="AK68" s="377" t="str">
        <f t="array" ref="AK68">INDEX(B:B,SMALL(IF($B$3:$B$177&lt;&gt;"",ROW($3:$177),178),ROW(J67)))&amp;""</f>
        <v/>
      </c>
    </row>
    <row r="69" customHeight="1" spans="1:37">
      <c r="A69" s="222"/>
      <c r="B69" s="224" t="str">
        <f>IF(AU$8=2,"咒剑"&amp;B67,"")</f>
        <v/>
      </c>
      <c r="C69" s="193" t="str">
        <f>C67</f>
        <v>1D6</v>
      </c>
      <c r="D69" s="193" t="str">
        <f>D67</f>
        <v>穿刺</v>
      </c>
      <c r="E69" s="379">
        <f>E67</f>
        <v>2</v>
      </c>
      <c r="F69" s="193" t="str">
        <f>F67</f>
        <v>弹药（射程80/320），双手</v>
      </c>
      <c r="G69" s="193"/>
      <c r="H69" s="200">
        <f>H$61</f>
        <v>-1</v>
      </c>
      <c r="S69" s="394" t="s">
        <v>4014</v>
      </c>
      <c r="T69" s="372">
        <v>3</v>
      </c>
      <c r="U69" s="193">
        <v>2</v>
      </c>
      <c r="V69" s="193" t="str">
        <f t="shared" si="36"/>
        <v/>
      </c>
      <c r="W69" s="376"/>
      <c r="X69" s="372"/>
      <c r="Y69" s="372"/>
      <c r="Z69" s="372"/>
      <c r="AA69" s="224"/>
      <c r="AB69" s="372"/>
      <c r="AC69" s="373"/>
      <c r="AD69" s="373"/>
      <c r="AE69" s="393"/>
      <c r="AF69" s="224"/>
      <c r="AG69" s="372"/>
      <c r="AH69" s="372"/>
      <c r="AI69" s="372"/>
      <c r="AK69" s="377" t="str">
        <f t="array" ref="AK69">INDEX(B:B,SMALL(IF($B$3:$B$177&lt;&gt;"",ROW($3:$177),178),ROW(J68)))&amp;""</f>
        <v/>
      </c>
    </row>
    <row r="70" customHeight="1" spans="1:37">
      <c r="A70" s="222"/>
      <c r="B70" s="224" t="str">
        <f>IF(AU$9=1,"匠师"&amp;B67,"")</f>
        <v/>
      </c>
      <c r="C70" s="193" t="str">
        <f>C67</f>
        <v>1D6</v>
      </c>
      <c r="D70" s="193" t="str">
        <f>D67</f>
        <v>穿刺</v>
      </c>
      <c r="E70" s="379">
        <f>E67</f>
        <v>2</v>
      </c>
      <c r="F70" s="193" t="str">
        <f>F67</f>
        <v>弹药（射程80/320），双手</v>
      </c>
      <c r="G70" s="193"/>
      <c r="H70" s="200">
        <f>H$62</f>
        <v>-1</v>
      </c>
      <c r="S70" s="307" t="s">
        <v>4015</v>
      </c>
      <c r="T70" s="372">
        <v>10</v>
      </c>
      <c r="U70" s="193">
        <v>1</v>
      </c>
      <c r="V70" s="193" t="str">
        <f t="shared" si="36"/>
        <v/>
      </c>
      <c r="W70" s="376"/>
      <c r="X70" s="372"/>
      <c r="Y70" s="372"/>
      <c r="Z70" s="372"/>
      <c r="AA70" s="224"/>
      <c r="AB70" s="372"/>
      <c r="AC70" s="373"/>
      <c r="AD70" s="373"/>
      <c r="AE70" s="393"/>
      <c r="AF70" s="224"/>
      <c r="AG70" s="372"/>
      <c r="AH70" s="372"/>
      <c r="AI70" s="372"/>
      <c r="AK70" s="377" t="str">
        <f t="array" ref="AK70">INDEX(B:B,SMALL(IF($B$3:$B$177&lt;&gt;"",ROW($3:$177),178),ROW(J69)))&amp;""</f>
        <v/>
      </c>
    </row>
    <row r="71" customHeight="1" spans="1:37">
      <c r="A71" s="222"/>
      <c r="B71" s="224" t="s">
        <v>4016</v>
      </c>
      <c r="C71" s="224" t="s">
        <v>4003</v>
      </c>
      <c r="D71" s="224" t="s">
        <v>134</v>
      </c>
      <c r="E71" s="379"/>
      <c r="F71" s="224" t="s">
        <v>4017</v>
      </c>
      <c r="G71" s="193">
        <v>0.1</v>
      </c>
      <c r="H71" s="200">
        <f>H$59</f>
        <v>-1</v>
      </c>
      <c r="S71" s="307" t="s">
        <v>4018</v>
      </c>
      <c r="T71" s="372">
        <v>20</v>
      </c>
      <c r="U71" s="193">
        <v>3</v>
      </c>
      <c r="V71" s="193" t="str">
        <f t="shared" si="36"/>
        <v/>
      </c>
      <c r="W71" s="376"/>
      <c r="X71" s="372"/>
      <c r="Y71" s="372"/>
      <c r="Z71" s="372"/>
      <c r="AA71" s="224"/>
      <c r="AB71" s="372"/>
      <c r="AC71" s="373"/>
      <c r="AD71" s="373"/>
      <c r="AE71" s="393"/>
      <c r="AF71" s="224"/>
      <c r="AG71" s="372"/>
      <c r="AH71" s="372"/>
      <c r="AI71" s="372"/>
      <c r="AK71" s="377" t="str">
        <f t="array" ref="AK71">INDEX(B:B,SMALL(IF($B$3:$B$177&lt;&gt;"",ROW($3:$177),178),ROW(J70)))&amp;""</f>
        <v/>
      </c>
    </row>
    <row r="72" customHeight="1" spans="1:37">
      <c r="A72" s="222"/>
      <c r="B72" s="193" t="str">
        <f>IF(AU$7=2,"剑圣"&amp;B71,IF(AU$7&gt;=1,"专用"&amp;B71,""))</f>
        <v/>
      </c>
      <c r="C72" s="193" t="str">
        <f>C29</f>
        <v>1D6</v>
      </c>
      <c r="D72" s="193" t="str">
        <f>D71</f>
        <v>钝击</v>
      </c>
      <c r="E72" s="379">
        <f>E71</f>
        <v>0</v>
      </c>
      <c r="F72" s="193" t="str">
        <f>F71</f>
        <v>弹药（射程30/120）</v>
      </c>
      <c r="G72" s="193"/>
      <c r="H72" s="200">
        <f>H$3</f>
        <v>-1</v>
      </c>
      <c r="S72" s="307" t="s">
        <v>4019</v>
      </c>
      <c r="T72" s="372">
        <v>10</v>
      </c>
      <c r="U72" s="193">
        <v>2</v>
      </c>
      <c r="V72" s="193" t="str">
        <f t="shared" si="36"/>
        <v/>
      </c>
      <c r="W72" s="376"/>
      <c r="X72" s="372"/>
      <c r="Y72" s="372"/>
      <c r="Z72" s="372"/>
      <c r="AA72" s="224"/>
      <c r="AB72" s="372"/>
      <c r="AC72" s="373"/>
      <c r="AD72" s="373"/>
      <c r="AE72" s="393"/>
      <c r="AF72" s="224"/>
      <c r="AG72" s="372"/>
      <c r="AH72" s="373"/>
      <c r="AI72" s="372"/>
      <c r="AK72" s="377" t="str">
        <f t="array" ref="AK72">INDEX(B:B,SMALL(IF($B$3:$B$177&lt;&gt;"",ROW($3:$177),178),ROW(J71)))&amp;""</f>
        <v/>
      </c>
    </row>
    <row r="73" customHeight="1" spans="1:37">
      <c r="A73" s="222"/>
      <c r="B73" s="224" t="str">
        <f>IF(AU$8&gt;=1,"咒剑"&amp;B71,"")</f>
        <v/>
      </c>
      <c r="C73" s="193" t="str">
        <f>C71</f>
        <v>1D4</v>
      </c>
      <c r="D73" s="193" t="str">
        <f>D71</f>
        <v>钝击</v>
      </c>
      <c r="E73" s="379">
        <f>E71</f>
        <v>0</v>
      </c>
      <c r="F73" s="193" t="str">
        <f>F71</f>
        <v>弹药（射程30/120）</v>
      </c>
      <c r="G73" s="193"/>
      <c r="H73" s="200">
        <f>H$61</f>
        <v>-1</v>
      </c>
      <c r="S73" s="307" t="s">
        <v>4020</v>
      </c>
      <c r="T73" s="372">
        <v>5</v>
      </c>
      <c r="U73" s="193">
        <v>4</v>
      </c>
      <c r="V73" s="193" t="str">
        <f t="shared" si="36"/>
        <v/>
      </c>
      <c r="W73" s="376"/>
      <c r="X73" s="372"/>
      <c r="Y73" s="372"/>
      <c r="Z73" s="372"/>
      <c r="AA73" s="224"/>
      <c r="AB73" s="372"/>
      <c r="AC73" s="373"/>
      <c r="AD73" s="373"/>
      <c r="AE73" s="393"/>
      <c r="AF73" s="224"/>
      <c r="AG73" s="372"/>
      <c r="AH73" s="373"/>
      <c r="AI73" s="372"/>
      <c r="AK73" s="377" t="str">
        <f t="array" ref="AK73">INDEX(B:B,SMALL(IF($B$3:$B$177&lt;&gt;"",ROW($3:$177),178),ROW(J72)))&amp;""</f>
        <v/>
      </c>
    </row>
    <row r="74" customHeight="1" spans="1:37">
      <c r="A74" s="222"/>
      <c r="B74" s="224" t="str">
        <f>IF(AU$9=1,"匠师"&amp;B71,"")</f>
        <v/>
      </c>
      <c r="C74" s="193" t="str">
        <f>C71</f>
        <v>1D4</v>
      </c>
      <c r="D74" s="193" t="str">
        <f>D71</f>
        <v>钝击</v>
      </c>
      <c r="E74" s="379">
        <f>E71</f>
        <v>0</v>
      </c>
      <c r="F74" s="193" t="str">
        <f>F71</f>
        <v>弹药（射程30/120）</v>
      </c>
      <c r="G74" s="193"/>
      <c r="H74" s="200">
        <f>H$62</f>
        <v>-1</v>
      </c>
      <c r="S74" s="307" t="s">
        <v>4021</v>
      </c>
      <c r="T74" s="372">
        <v>10</v>
      </c>
      <c r="U74" s="193">
        <v>1</v>
      </c>
      <c r="V74" s="193" t="str">
        <f t="shared" si="36"/>
        <v/>
      </c>
      <c r="W74" s="376"/>
      <c r="X74" s="372"/>
      <c r="Y74" s="372"/>
      <c r="Z74" s="372"/>
      <c r="AA74" s="224"/>
      <c r="AB74" s="372"/>
      <c r="AC74" s="373"/>
      <c r="AD74" s="373"/>
      <c r="AE74" s="393"/>
      <c r="AF74" s="224"/>
      <c r="AG74" s="372"/>
      <c r="AH74" s="373"/>
      <c r="AI74" s="372"/>
      <c r="AK74" s="377" t="str">
        <f t="array" ref="AK74">INDEX(B:B,SMALL(IF($B$3:$B$177&lt;&gt;"",ROW($3:$177),178),ROW(J73)))&amp;""</f>
        <v/>
      </c>
    </row>
    <row r="75" customHeight="1" spans="1:37">
      <c r="A75" s="222"/>
      <c r="B75" s="193" t="str">
        <f>IF(COUNTIF(AL2,"渗透*"),"闪电发射","")</f>
        <v/>
      </c>
      <c r="C75" s="224" t="s">
        <v>3749</v>
      </c>
      <c r="D75" s="224" t="s">
        <v>3824</v>
      </c>
      <c r="E75" s="379"/>
      <c r="F75" s="224" t="s">
        <v>4022</v>
      </c>
      <c r="G75" s="193"/>
      <c r="H75" s="200">
        <f>MAX(主要!R15,主要!R17)</f>
        <v>-1</v>
      </c>
      <c r="S75" s="307" t="s">
        <v>4023</v>
      </c>
      <c r="T75" s="372">
        <v>1</v>
      </c>
      <c r="U75" s="193">
        <v>0</v>
      </c>
      <c r="V75" s="224" t="s">
        <v>4024</v>
      </c>
      <c r="W75" s="376"/>
      <c r="X75" s="372"/>
      <c r="Y75" s="372"/>
      <c r="Z75" s="372"/>
      <c r="AA75" s="224"/>
      <c r="AB75" s="372"/>
      <c r="AC75" s="373"/>
      <c r="AD75" s="373"/>
      <c r="AE75" s="393"/>
      <c r="AF75" s="224"/>
      <c r="AG75" s="372"/>
      <c r="AH75" s="372"/>
      <c r="AI75" s="372"/>
      <c r="AK75" s="377" t="str">
        <f t="array" ref="AK75">INDEX(B:B,SMALL(IF($B$3:$B$177&lt;&gt;"",ROW($3:$177),178),ROW(J74)))&amp;""</f>
        <v/>
      </c>
    </row>
    <row r="76" customHeight="1" spans="1:37">
      <c r="A76" s="222"/>
      <c r="B76" s="193" t="str">
        <f>IF(B75="","",IF(AU$7=2,"剑圣"&amp;B75,IF(AU$7&gt;=1,"专用"&amp;B75,"")))</f>
        <v/>
      </c>
      <c r="C76" s="193" t="str">
        <f>C24</f>
        <v>1D6</v>
      </c>
      <c r="D76" s="193" t="str">
        <f>D75</f>
        <v>闪电</v>
      </c>
      <c r="E76" s="379">
        <f>E75</f>
        <v>0</v>
      </c>
      <c r="F76" s="193" t="str">
        <f>F75</f>
        <v>（射程90/300）</v>
      </c>
      <c r="G76" s="193"/>
      <c r="H76" s="200">
        <f>MAX(主要!R15,H75)</f>
        <v>-1</v>
      </c>
      <c r="S76" s="307" t="s">
        <v>4025</v>
      </c>
      <c r="T76" s="372">
        <v>1</v>
      </c>
      <c r="U76" s="193">
        <v>0</v>
      </c>
      <c r="V76" s="224" t="s">
        <v>4026</v>
      </c>
      <c r="W76" s="376"/>
      <c r="X76" s="372"/>
      <c r="Y76" s="372"/>
      <c r="Z76" s="372"/>
      <c r="AA76" s="224"/>
      <c r="AB76" s="372"/>
      <c r="AC76" s="373"/>
      <c r="AD76" s="373"/>
      <c r="AE76" s="393"/>
      <c r="AF76" s="224"/>
      <c r="AG76" s="372"/>
      <c r="AH76" s="372"/>
      <c r="AI76" s="372"/>
      <c r="AK76" s="377" t="str">
        <f t="array" ref="AK76">INDEX(B:B,SMALL(IF($B$3:$B$177&lt;&gt;"",ROW($3:$177),178),ROW(J75)))&amp;""</f>
        <v/>
      </c>
    </row>
    <row r="77" customHeight="1" spans="1:37">
      <c r="A77" s="222"/>
      <c r="B77" s="224" t="str">
        <f>IF(B75="","",IF(AU$8&gt;=1,"咒剑"&amp;B75,""))</f>
        <v/>
      </c>
      <c r="C77" s="193" t="str">
        <f>C75</f>
        <v>1D6</v>
      </c>
      <c r="D77" s="193" t="str">
        <f>D75</f>
        <v>闪电</v>
      </c>
      <c r="E77" s="379">
        <f>E75</f>
        <v>0</v>
      </c>
      <c r="F77" s="193" t="str">
        <f>F75</f>
        <v>（射程90/300）</v>
      </c>
      <c r="G77" s="193"/>
      <c r="H77" s="200">
        <f>MAX(主要!R$19,装备数据!H75)</f>
        <v>-1</v>
      </c>
      <c r="S77" s="307" t="s">
        <v>4027</v>
      </c>
      <c r="T77" s="372">
        <v>5</v>
      </c>
      <c r="U77" s="193">
        <v>4</v>
      </c>
      <c r="V77" s="224" t="s">
        <v>4028</v>
      </c>
      <c r="W77" s="376"/>
      <c r="X77" s="372"/>
      <c r="Y77" s="372"/>
      <c r="Z77" s="372"/>
      <c r="AA77" s="224"/>
      <c r="AB77" s="372"/>
      <c r="AC77" s="373"/>
      <c r="AD77" s="373"/>
      <c r="AE77" s="393"/>
      <c r="AF77" s="224"/>
      <c r="AG77" s="372"/>
      <c r="AH77" s="372"/>
      <c r="AI77" s="372"/>
      <c r="AK77" s="377" t="str">
        <f t="array" ref="AK77">INDEX(B:B,SMALL(IF($B$3:$B$177&lt;&gt;"",ROW($3:$177),178),ROW(J76)))&amp;""</f>
        <v/>
      </c>
    </row>
    <row r="78" customHeight="1" spans="1:37">
      <c r="A78" s="222" t="s">
        <v>4029</v>
      </c>
      <c r="B78" s="224" t="s">
        <v>4030</v>
      </c>
      <c r="C78" s="224" t="s">
        <v>3855</v>
      </c>
      <c r="D78" s="224" t="s">
        <v>3791</v>
      </c>
      <c r="E78" s="379">
        <v>4</v>
      </c>
      <c r="F78" s="224" t="s">
        <v>4031</v>
      </c>
      <c r="G78" s="193">
        <v>10</v>
      </c>
      <c r="H78" s="200">
        <f>主要!R14</f>
        <v>-1</v>
      </c>
      <c r="S78" s="307" t="s">
        <v>4032</v>
      </c>
      <c r="T78" s="372">
        <v>10</v>
      </c>
      <c r="U78" s="193">
        <v>1</v>
      </c>
      <c r="V78" s="224" t="s">
        <v>4033</v>
      </c>
      <c r="W78" s="376"/>
      <c r="X78" s="372"/>
      <c r="Y78" s="372"/>
      <c r="Z78" s="372"/>
      <c r="AA78" s="224"/>
      <c r="AB78" s="372"/>
      <c r="AC78" s="373"/>
      <c r="AD78" s="373"/>
      <c r="AE78" s="393"/>
      <c r="AF78" s="224"/>
      <c r="AG78" s="372"/>
      <c r="AH78" s="373"/>
      <c r="AI78" s="372"/>
      <c r="AK78" s="377" t="str">
        <f t="array" ref="AK78">INDEX(B:B,SMALL(IF($B$3:$B$177&lt;&gt;"",ROW($3:$177),178),ROW(J77)))&amp;""</f>
        <v/>
      </c>
    </row>
    <row r="79" customHeight="1" spans="1:37">
      <c r="A79" s="222"/>
      <c r="B79" s="193" t="str">
        <f>IF(AU$7=2,"剑圣"&amp;B78,IF(AU$7&gt;=1,"专用"&amp;B78,""))</f>
        <v/>
      </c>
      <c r="C79" s="193" t="str">
        <f>C$15</f>
        <v>1D8</v>
      </c>
      <c r="D79" s="193" t="str">
        <f>D78</f>
        <v>挥砍</v>
      </c>
      <c r="E79" s="379">
        <f>E78</f>
        <v>4</v>
      </c>
      <c r="F79" s="193" t="str">
        <f>F78</f>
        <v>两用（1d10）</v>
      </c>
      <c r="G79" s="193"/>
      <c r="H79" s="200">
        <f>H$3</f>
        <v>-1</v>
      </c>
      <c r="S79" s="307" t="s">
        <v>4034</v>
      </c>
      <c r="T79" s="372">
        <v>5</v>
      </c>
      <c r="U79" s="193">
        <v>1</v>
      </c>
      <c r="V79" s="224" t="s">
        <v>4035</v>
      </c>
      <c r="W79" s="376"/>
      <c r="X79" s="372"/>
      <c r="Y79" s="372"/>
      <c r="Z79" s="372"/>
      <c r="AA79" s="224"/>
      <c r="AB79" s="372"/>
      <c r="AC79" s="373"/>
      <c r="AD79" s="373"/>
      <c r="AE79" s="393"/>
      <c r="AF79" s="224"/>
      <c r="AG79" s="372"/>
      <c r="AH79" s="372"/>
      <c r="AI79" s="372"/>
      <c r="AK79" s="377" t="str">
        <f t="array" ref="AK79">INDEX(B:B,SMALL(IF($B$3:$B$177&lt;&gt;"",ROW($3:$177),178),ROW(J78)))&amp;""</f>
        <v/>
      </c>
    </row>
    <row r="80" customHeight="1" spans="1:37">
      <c r="A80" s="222"/>
      <c r="B80" s="224" t="str">
        <f>IF(AU$8&gt;=1,"咒剑"&amp;B78,"")</f>
        <v/>
      </c>
      <c r="C80" s="193" t="str">
        <f>C78</f>
        <v>1D8</v>
      </c>
      <c r="D80" s="193" t="str">
        <f>D78</f>
        <v>挥砍</v>
      </c>
      <c r="E80" s="379">
        <f>E78</f>
        <v>4</v>
      </c>
      <c r="F80" s="193" t="str">
        <f>F78</f>
        <v>两用（1d10）</v>
      </c>
      <c r="G80" s="193"/>
      <c r="H80" s="200">
        <f>MAX(主要!R$19,装备数据!H78)</f>
        <v>-1</v>
      </c>
      <c r="S80" s="307" t="s">
        <v>4036</v>
      </c>
      <c r="T80" s="372">
        <v>5</v>
      </c>
      <c r="U80" s="193">
        <v>0</v>
      </c>
      <c r="V80" s="224" t="s">
        <v>4037</v>
      </c>
      <c r="W80" s="376"/>
      <c r="X80" s="372"/>
      <c r="Y80" s="372"/>
      <c r="Z80" s="372"/>
      <c r="AA80" s="224"/>
      <c r="AB80" s="372"/>
      <c r="AC80" s="372"/>
      <c r="AD80" s="373"/>
      <c r="AE80" s="393"/>
      <c r="AF80" s="224"/>
      <c r="AG80" s="372"/>
      <c r="AH80" s="372"/>
      <c r="AI80" s="372"/>
      <c r="AK80" s="377" t="str">
        <f t="array" ref="AK80">INDEX(B:B,SMALL(IF($B$3:$B$177&lt;&gt;"",ROW($3:$177),178),ROW(J79)))&amp;""</f>
        <v/>
      </c>
    </row>
    <row r="81" customHeight="1" spans="1:37">
      <c r="A81" s="222"/>
      <c r="B81" s="224" t="str">
        <f>IF(AU$9=1,"匠师"&amp;B78,"")</f>
        <v/>
      </c>
      <c r="C81" s="193" t="str">
        <f>C78</f>
        <v>1D8</v>
      </c>
      <c r="D81" s="193" t="str">
        <f>D78</f>
        <v>挥砍</v>
      </c>
      <c r="E81" s="379">
        <f>E78</f>
        <v>4</v>
      </c>
      <c r="F81" s="193" t="str">
        <f>F78</f>
        <v>两用（1d10）</v>
      </c>
      <c r="G81" s="193"/>
      <c r="H81" s="200">
        <f>MAX(主要!R$17,装备数据!H78)</f>
        <v>-1</v>
      </c>
      <c r="S81" s="307" t="s">
        <v>4038</v>
      </c>
      <c r="T81" s="372">
        <v>5</v>
      </c>
      <c r="U81" s="193">
        <v>2</v>
      </c>
      <c r="V81" s="224" t="s">
        <v>4039</v>
      </c>
      <c r="W81" s="376"/>
      <c r="X81" s="372"/>
      <c r="Y81" s="372"/>
      <c r="Z81" s="372"/>
      <c r="AA81" s="224"/>
      <c r="AB81" s="372"/>
      <c r="AC81" s="373"/>
      <c r="AD81" s="373"/>
      <c r="AE81" s="393"/>
      <c r="AF81" s="224"/>
      <c r="AG81" s="372"/>
      <c r="AH81" s="372"/>
      <c r="AI81" s="372"/>
      <c r="AK81" s="377" t="str">
        <f t="array" ref="AK81">INDEX(B:B,SMALL(IF($B$3:$B$177&lt;&gt;"",ROW($3:$177),178),ROW(J80)))&amp;""</f>
        <v/>
      </c>
    </row>
    <row r="82" customHeight="1" spans="1:37">
      <c r="A82" s="222"/>
      <c r="B82" s="224" t="s">
        <v>4040</v>
      </c>
      <c r="C82" s="224" t="s">
        <v>3855</v>
      </c>
      <c r="D82" s="224" t="s">
        <v>134</v>
      </c>
      <c r="E82" s="379">
        <v>2</v>
      </c>
      <c r="F82" s="224" t="s">
        <v>3923</v>
      </c>
      <c r="G82" s="193">
        <v>10</v>
      </c>
      <c r="H82" s="200">
        <f>H$78</f>
        <v>-1</v>
      </c>
      <c r="S82" s="394" t="s">
        <v>4041</v>
      </c>
      <c r="T82" s="372">
        <v>150</v>
      </c>
      <c r="U82" s="193">
        <v>1</v>
      </c>
      <c r="V82" s="224" t="s">
        <v>4042</v>
      </c>
      <c r="W82" s="376"/>
      <c r="X82" s="372"/>
      <c r="Y82" s="372"/>
      <c r="Z82" s="372"/>
      <c r="AA82" s="224"/>
      <c r="AB82" s="372"/>
      <c r="AC82" s="373"/>
      <c r="AD82" s="373"/>
      <c r="AE82" s="393"/>
      <c r="AF82" s="224"/>
      <c r="AG82" s="372"/>
      <c r="AH82" s="372"/>
      <c r="AI82" s="372"/>
      <c r="AK82" s="377" t="str">
        <f t="array" ref="AK82">INDEX(B:B,SMALL(IF($B$3:$B$177&lt;&gt;"",ROW($3:$177),178),ROW(J81)))&amp;""</f>
        <v/>
      </c>
    </row>
    <row r="83" customHeight="1" spans="1:37">
      <c r="A83" s="222"/>
      <c r="B83" s="193" t="str">
        <f>IF(AU$7=2,"剑圣"&amp;B82,IF(AU$7&gt;=1,"专用"&amp;B82,""))</f>
        <v/>
      </c>
      <c r="C83" s="193" t="str">
        <f>C$15</f>
        <v>1D8</v>
      </c>
      <c r="D83" s="193" t="str">
        <f>D82</f>
        <v>钝击</v>
      </c>
      <c r="E83" s="379">
        <f>E82</f>
        <v>2</v>
      </c>
      <c r="F83" s="193" t="str">
        <f>F82</f>
        <v>-</v>
      </c>
      <c r="G83" s="193"/>
      <c r="H83" s="200">
        <f>H$3</f>
        <v>-1</v>
      </c>
      <c r="S83" s="394" t="s">
        <v>4043</v>
      </c>
      <c r="T83" s="372">
        <v>250</v>
      </c>
      <c r="U83" s="193">
        <v>20</v>
      </c>
      <c r="V83" s="224" t="s">
        <v>4044</v>
      </c>
      <c r="W83" s="376"/>
      <c r="X83" s="372"/>
      <c r="Y83" s="372"/>
      <c r="Z83" s="372"/>
      <c r="AA83" s="224"/>
      <c r="AB83" s="372"/>
      <c r="AC83" s="373"/>
      <c r="AD83" s="373"/>
      <c r="AE83" s="393"/>
      <c r="AF83" s="224"/>
      <c r="AG83" s="372"/>
      <c r="AH83" s="372"/>
      <c r="AI83" s="372"/>
      <c r="AK83" s="377" t="str">
        <f t="array" ref="AK83">INDEX(B:B,SMALL(IF($B$3:$B$177&lt;&gt;"",ROW($3:$177),178),ROW(J82)))&amp;""</f>
        <v/>
      </c>
    </row>
    <row r="84" customHeight="1" spans="1:37">
      <c r="A84" s="222"/>
      <c r="B84" s="224" t="str">
        <f>IF(AU$8&gt;=1,"咒剑"&amp;B82,"")</f>
        <v/>
      </c>
      <c r="C84" s="193" t="str">
        <f>C82</f>
        <v>1D8</v>
      </c>
      <c r="D84" s="193" t="str">
        <f>D82</f>
        <v>钝击</v>
      </c>
      <c r="E84" s="379">
        <f>E82</f>
        <v>2</v>
      </c>
      <c r="F84" s="193" t="str">
        <f>F82</f>
        <v>-</v>
      </c>
      <c r="G84" s="193"/>
      <c r="H84" s="200">
        <f>H$80</f>
        <v>-1</v>
      </c>
      <c r="S84" s="394" t="s">
        <v>4045</v>
      </c>
      <c r="T84" s="372">
        <v>35</v>
      </c>
      <c r="U84" s="193">
        <v>2</v>
      </c>
      <c r="V84" s="224" t="s">
        <v>4046</v>
      </c>
      <c r="W84" s="376"/>
      <c r="X84" s="372"/>
      <c r="Y84" s="372"/>
      <c r="Z84" s="372"/>
      <c r="AA84" s="224"/>
      <c r="AB84" s="372"/>
      <c r="AC84" s="373"/>
      <c r="AD84" s="373"/>
      <c r="AE84" s="393"/>
      <c r="AF84" s="224"/>
      <c r="AG84" s="372"/>
      <c r="AH84" s="372"/>
      <c r="AI84" s="372"/>
      <c r="AK84" s="377" t="str">
        <f t="array" ref="AK84">INDEX(B:B,SMALL(IF($B$3:$B$177&lt;&gt;"",ROW($3:$177),178),ROW(J83)))&amp;""</f>
        <v/>
      </c>
    </row>
    <row r="85" customHeight="1" spans="1:37">
      <c r="A85" s="222"/>
      <c r="B85" s="224" t="str">
        <f>IF(AU$9=1,"匠师"&amp;B82,"")</f>
        <v/>
      </c>
      <c r="C85" s="193" t="str">
        <f>C82</f>
        <v>1D8</v>
      </c>
      <c r="D85" s="193" t="str">
        <f>D82</f>
        <v>钝击</v>
      </c>
      <c r="E85" s="379">
        <f>E82</f>
        <v>2</v>
      </c>
      <c r="F85" s="193" t="str">
        <f>F82</f>
        <v>-</v>
      </c>
      <c r="G85" s="193"/>
      <c r="H85" s="200">
        <f>H$81</f>
        <v>-1</v>
      </c>
      <c r="S85" s="307" t="s">
        <v>148</v>
      </c>
      <c r="T85" s="372">
        <v>0.5</v>
      </c>
      <c r="U85" s="193">
        <v>3</v>
      </c>
      <c r="V85" s="193" t="str">
        <f>""</f>
        <v/>
      </c>
      <c r="W85" s="376"/>
      <c r="X85" s="372"/>
      <c r="Y85" s="372"/>
      <c r="Z85" s="372"/>
      <c r="AA85" s="395"/>
      <c r="AB85" s="372"/>
      <c r="AC85" s="373"/>
      <c r="AD85" s="373"/>
      <c r="AE85" s="393"/>
      <c r="AF85" s="224"/>
      <c r="AG85" s="372"/>
      <c r="AH85" s="372"/>
      <c r="AI85" s="372"/>
      <c r="AK85" s="377" t="str">
        <f t="array" ref="AK85">INDEX(B:B,SMALL(IF($B$3:$B$177&lt;&gt;"",ROW($3:$177),178),ROW(J84)))&amp;""</f>
        <v/>
      </c>
    </row>
    <row r="86" customHeight="1" spans="1:37">
      <c r="A86" s="222"/>
      <c r="B86" s="224" t="s">
        <v>4047</v>
      </c>
      <c r="C86" s="224" t="s">
        <v>4048</v>
      </c>
      <c r="D86" s="224" t="s">
        <v>3791</v>
      </c>
      <c r="E86" s="379">
        <v>6</v>
      </c>
      <c r="F86" s="224" t="s">
        <v>4049</v>
      </c>
      <c r="G86" s="193">
        <v>20</v>
      </c>
      <c r="H86" s="200">
        <f>H$78</f>
        <v>-1</v>
      </c>
      <c r="S86" s="307" t="s">
        <v>4050</v>
      </c>
      <c r="T86" s="372">
        <v>5</v>
      </c>
      <c r="U86" s="193">
        <v>4</v>
      </c>
      <c r="V86" s="193" t="str">
        <f>""</f>
        <v/>
      </c>
      <c r="W86" s="376"/>
      <c r="X86" s="372"/>
      <c r="Y86" s="372"/>
      <c r="Z86" s="372"/>
      <c r="AA86" s="395"/>
      <c r="AB86" s="372"/>
      <c r="AC86" s="373"/>
      <c r="AD86" s="373"/>
      <c r="AE86" s="393"/>
      <c r="AF86" s="224"/>
      <c r="AG86" s="372"/>
      <c r="AH86" s="372"/>
      <c r="AI86" s="372"/>
      <c r="AK86" s="377" t="str">
        <f t="array" ref="AK86">INDEX(B:B,SMALL(IF($B$3:$B$177&lt;&gt;"",ROW($3:$177),178),ROW(J85)))&amp;""</f>
        <v/>
      </c>
    </row>
    <row r="87" customHeight="1" spans="1:37">
      <c r="A87" s="222"/>
      <c r="B87" s="224" t="str">
        <f>IF(AU$8=2,"咒剑"&amp;B86,"")</f>
        <v/>
      </c>
      <c r="C87" s="193" t="str">
        <f>C86</f>
        <v>1D10</v>
      </c>
      <c r="D87" s="193" t="str">
        <f>D86</f>
        <v>挥砍</v>
      </c>
      <c r="E87" s="379">
        <f>E86</f>
        <v>6</v>
      </c>
      <c r="F87" s="193" t="str">
        <f>F86</f>
        <v>重型，触及，双手</v>
      </c>
      <c r="G87" s="193"/>
      <c r="H87" s="200">
        <f>H$80</f>
        <v>-1</v>
      </c>
      <c r="S87" s="307" t="s">
        <v>4051</v>
      </c>
      <c r="T87" s="372">
        <v>15</v>
      </c>
      <c r="U87" s="193">
        <v>6</v>
      </c>
      <c r="V87" s="193" t="str">
        <f>""</f>
        <v/>
      </c>
      <c r="W87" s="376"/>
      <c r="X87" s="372"/>
      <c r="Y87" s="372"/>
      <c r="Z87" s="372"/>
      <c r="AA87" s="224"/>
      <c r="AB87" s="372"/>
      <c r="AC87" s="372"/>
      <c r="AD87" s="393"/>
      <c r="AE87" s="393"/>
      <c r="AF87" s="372"/>
      <c r="AG87" s="372"/>
      <c r="AH87" s="373"/>
      <c r="AI87" s="372"/>
      <c r="AK87" s="377" t="str">
        <f t="array" ref="AK87">INDEX(B:B,SMALL(IF($B$3:$B$177&lt;&gt;"",ROW($3:$177),178),ROW(J86)))&amp;""</f>
        <v/>
      </c>
    </row>
    <row r="88" customHeight="1" spans="1:37">
      <c r="A88" s="222"/>
      <c r="B88" s="224" t="str">
        <f>IF(AU$9=1,"匠师"&amp;B86,"")</f>
        <v/>
      </c>
      <c r="C88" s="193" t="str">
        <f>C86</f>
        <v>1D10</v>
      </c>
      <c r="D88" s="193" t="str">
        <f>D86</f>
        <v>挥砍</v>
      </c>
      <c r="E88" s="379">
        <f>E86</f>
        <v>6</v>
      </c>
      <c r="F88" s="193" t="str">
        <f>F86</f>
        <v>重型，触及，双手</v>
      </c>
      <c r="G88" s="193"/>
      <c r="H88" s="200">
        <f>H$81</f>
        <v>-1</v>
      </c>
      <c r="S88" s="307" t="s">
        <v>4052</v>
      </c>
      <c r="T88" s="372">
        <v>2</v>
      </c>
      <c r="U88" s="193">
        <v>4</v>
      </c>
      <c r="V88" s="193" t="str">
        <f>""</f>
        <v/>
      </c>
      <c r="W88" s="376"/>
      <c r="X88" s="372"/>
      <c r="Y88" s="372"/>
      <c r="Z88" s="372"/>
      <c r="AA88" s="224"/>
      <c r="AB88" s="372"/>
      <c r="AC88" s="372"/>
      <c r="AD88" s="393"/>
      <c r="AE88" s="393"/>
      <c r="AF88" s="372"/>
      <c r="AG88" s="372"/>
      <c r="AH88" s="372"/>
      <c r="AI88" s="372"/>
      <c r="AK88" s="377" t="str">
        <f t="array" ref="AK88">INDEX(B:B,SMALL(IF($B$3:$B$177&lt;&gt;"",ROW($3:$177),178),ROW(J87)))&amp;""</f>
        <v/>
      </c>
    </row>
    <row r="89" customHeight="1" spans="1:37">
      <c r="A89" s="222"/>
      <c r="B89" s="224" t="s">
        <v>4053</v>
      </c>
      <c r="C89" s="224" t="s">
        <v>4054</v>
      </c>
      <c r="D89" s="224" t="s">
        <v>3791</v>
      </c>
      <c r="E89" s="379">
        <v>7</v>
      </c>
      <c r="F89" s="224" t="s">
        <v>4055</v>
      </c>
      <c r="G89" s="193">
        <v>30</v>
      </c>
      <c r="H89" s="200">
        <f>H$78</f>
        <v>-1</v>
      </c>
      <c r="S89" s="307" t="s">
        <v>4056</v>
      </c>
      <c r="T89" s="372">
        <v>1</v>
      </c>
      <c r="U89" s="193">
        <v>4</v>
      </c>
      <c r="V89" s="193" t="str">
        <f>""</f>
        <v/>
      </c>
      <c r="W89" s="376"/>
      <c r="X89" s="372"/>
      <c r="Y89" s="372"/>
      <c r="Z89" s="372"/>
      <c r="AA89" s="224"/>
      <c r="AB89" s="372"/>
      <c r="AC89" s="372"/>
      <c r="AD89" s="372"/>
      <c r="AE89" s="393"/>
      <c r="AF89" s="372"/>
      <c r="AG89" s="372"/>
      <c r="AH89" s="373"/>
      <c r="AI89" s="372"/>
      <c r="AK89" s="377" t="str">
        <f t="array" ref="AK89">INDEX(B:B,SMALL(IF($B$3:$B$177&lt;&gt;"",ROW($3:$177),178),ROW(J88)))&amp;""</f>
        <v/>
      </c>
    </row>
    <row r="90" customHeight="1" spans="1:37">
      <c r="A90" s="222"/>
      <c r="B90" s="224" t="str">
        <f>IF(AU$8=2,"咒剑"&amp;B89,"")</f>
        <v/>
      </c>
      <c r="C90" s="193" t="str">
        <f>C89</f>
        <v>1D12</v>
      </c>
      <c r="D90" s="193" t="str">
        <f>D89</f>
        <v>挥砍</v>
      </c>
      <c r="E90" s="379">
        <f>E89</f>
        <v>7</v>
      </c>
      <c r="F90" s="193" t="str">
        <f>F89</f>
        <v>重型，双手</v>
      </c>
      <c r="G90" s="193"/>
      <c r="H90" s="200">
        <f>H$80</f>
        <v>-1</v>
      </c>
      <c r="S90" s="307" t="s">
        <v>4057</v>
      </c>
      <c r="T90" s="372">
        <v>1</v>
      </c>
      <c r="U90" s="193">
        <v>1</v>
      </c>
      <c r="V90" s="224" t="s">
        <v>4058</v>
      </c>
      <c r="W90" s="376"/>
      <c r="X90" s="372"/>
      <c r="Y90" s="372"/>
      <c r="Z90" s="372"/>
      <c r="AE90" s="393"/>
      <c r="AF90" s="224"/>
      <c r="AG90" s="372"/>
      <c r="AH90" s="372"/>
      <c r="AI90" s="372"/>
      <c r="AK90" s="377" t="str">
        <f t="array" ref="AK90">INDEX(B:B,SMALL(IF($B$3:$B$177&lt;&gt;"",ROW($3:$177),178),ROW(J89)))&amp;""</f>
        <v/>
      </c>
    </row>
    <row r="91" customHeight="1" spans="1:37">
      <c r="A91" s="222"/>
      <c r="B91" s="224" t="str">
        <f>IF(AU$9=1,"匠师"&amp;B89,"")</f>
        <v/>
      </c>
      <c r="C91" s="193" t="str">
        <f>C89</f>
        <v>1D12</v>
      </c>
      <c r="D91" s="193" t="str">
        <f>D89</f>
        <v>挥砍</v>
      </c>
      <c r="E91" s="379">
        <f>E89</f>
        <v>7</v>
      </c>
      <c r="F91" s="193" t="str">
        <f>F89</f>
        <v>重型，双手</v>
      </c>
      <c r="G91" s="193"/>
      <c r="H91" s="200">
        <f>H$81</f>
        <v>-1</v>
      </c>
      <c r="S91" s="307" t="s">
        <v>4059</v>
      </c>
      <c r="T91" s="372">
        <v>1</v>
      </c>
      <c r="U91" s="193">
        <v>1</v>
      </c>
      <c r="V91" s="224" t="s">
        <v>4060</v>
      </c>
      <c r="W91" s="376"/>
      <c r="X91" s="372"/>
      <c r="Y91" s="372"/>
      <c r="Z91" s="372"/>
      <c r="AF91" s="224"/>
      <c r="AG91" s="372"/>
      <c r="AH91" s="372"/>
      <c r="AI91" s="372"/>
      <c r="AK91" s="377" t="str">
        <f t="array" ref="AK91">INDEX(B:B,SMALL(IF($B$3:$B$177&lt;&gt;"",ROW($3:$177),178),ROW(J90)))&amp;""</f>
        <v/>
      </c>
    </row>
    <row r="92" customHeight="1" spans="1:37">
      <c r="A92" s="222"/>
      <c r="B92" s="224" t="s">
        <v>4061</v>
      </c>
      <c r="C92" s="224" t="s">
        <v>4062</v>
      </c>
      <c r="D92" s="224" t="s">
        <v>3791</v>
      </c>
      <c r="E92" s="379">
        <v>6</v>
      </c>
      <c r="F92" s="224" t="s">
        <v>4055</v>
      </c>
      <c r="G92" s="193">
        <v>50</v>
      </c>
      <c r="H92" s="200">
        <f>H$78</f>
        <v>-1</v>
      </c>
      <c r="S92" s="307" t="s">
        <v>4063</v>
      </c>
      <c r="T92" s="372">
        <v>1</v>
      </c>
      <c r="U92" s="193">
        <v>1</v>
      </c>
      <c r="V92" s="224" t="s">
        <v>4064</v>
      </c>
      <c r="W92" s="376"/>
      <c r="X92" s="372"/>
      <c r="Y92" s="372"/>
      <c r="Z92" s="372"/>
      <c r="AF92" s="224"/>
      <c r="AG92" s="372"/>
      <c r="AH92" s="372"/>
      <c r="AI92" s="372"/>
      <c r="AK92" s="377" t="str">
        <f t="array" ref="AK92">INDEX(B:B,SMALL(IF($B$3:$B$177&lt;&gt;"",ROW($3:$177),178),ROW(J91)))&amp;""</f>
        <v/>
      </c>
    </row>
    <row r="93" customHeight="1" spans="1:37">
      <c r="A93" s="222"/>
      <c r="B93" s="224" t="str">
        <f>IF(AU$8=2,"咒剑"&amp;B92,"")</f>
        <v/>
      </c>
      <c r="C93" s="193" t="str">
        <f>C92</f>
        <v>2D6</v>
      </c>
      <c r="D93" s="193" t="str">
        <f>D92</f>
        <v>挥砍</v>
      </c>
      <c r="E93" s="379">
        <f>E92</f>
        <v>6</v>
      </c>
      <c r="F93" s="193" t="str">
        <f>F92</f>
        <v>重型，双手</v>
      </c>
      <c r="G93" s="193"/>
      <c r="H93" s="200">
        <f>H$80</f>
        <v>-1</v>
      </c>
      <c r="S93" s="222" t="s">
        <v>4065</v>
      </c>
      <c r="T93" s="193">
        <v>50</v>
      </c>
      <c r="U93" s="193">
        <v>8</v>
      </c>
      <c r="V93" s="224" t="s">
        <v>4066</v>
      </c>
      <c r="W93" s="376"/>
      <c r="X93" s="372"/>
      <c r="Y93" s="372"/>
      <c r="Z93" s="372"/>
      <c r="AF93" s="224"/>
      <c r="AG93" s="372"/>
      <c r="AH93" s="372"/>
      <c r="AI93" s="372"/>
      <c r="AK93" s="377" t="str">
        <f t="array" ref="AK93">INDEX(B:B,SMALL(IF($B$3:$B$177&lt;&gt;"",ROW($3:$177),178),ROW(J92)))&amp;""</f>
        <v/>
      </c>
    </row>
    <row r="94" customHeight="1" spans="1:37">
      <c r="A94" s="222"/>
      <c r="B94" s="224" t="str">
        <f>IF(AU$9=1,"匠师"&amp;B92,"")</f>
        <v/>
      </c>
      <c r="C94" s="193" t="str">
        <f>C92</f>
        <v>2D6</v>
      </c>
      <c r="D94" s="193" t="str">
        <f>D92</f>
        <v>挥砍</v>
      </c>
      <c r="E94" s="379">
        <f>E92</f>
        <v>6</v>
      </c>
      <c r="F94" s="193" t="str">
        <f>F92</f>
        <v>重型，双手</v>
      </c>
      <c r="G94" s="193"/>
      <c r="H94" s="200">
        <f>H$81</f>
        <v>-1</v>
      </c>
      <c r="S94" s="222" t="s">
        <v>4067</v>
      </c>
      <c r="T94" s="193">
        <v>20</v>
      </c>
      <c r="U94" s="193">
        <v>9</v>
      </c>
      <c r="V94" s="224" t="s">
        <v>4068</v>
      </c>
      <c r="W94" s="376"/>
      <c r="X94" s="372"/>
      <c r="Y94" s="372"/>
      <c r="Z94" s="372"/>
      <c r="AF94" s="372"/>
      <c r="AG94" s="372"/>
      <c r="AH94" s="372"/>
      <c r="AI94" s="372"/>
      <c r="AK94" s="377" t="str">
        <f t="array" ref="AK94">INDEX(B:B,SMALL(IF($B$3:$B$177&lt;&gt;"",ROW($3:$177),178),ROW(J93)))&amp;""</f>
        <v/>
      </c>
    </row>
    <row r="95" customHeight="1" spans="1:37">
      <c r="A95" s="222"/>
      <c r="B95" s="224" t="s">
        <v>4069</v>
      </c>
      <c r="C95" s="224" t="s">
        <v>4048</v>
      </c>
      <c r="D95" s="224" t="s">
        <v>3791</v>
      </c>
      <c r="E95" s="379">
        <v>6</v>
      </c>
      <c r="F95" s="224" t="s">
        <v>4049</v>
      </c>
      <c r="G95" s="193">
        <v>20</v>
      </c>
      <c r="H95" s="200">
        <f>H$78</f>
        <v>-1</v>
      </c>
      <c r="S95" s="222" t="s">
        <v>4070</v>
      </c>
      <c r="T95" s="193">
        <v>10</v>
      </c>
      <c r="U95" s="193">
        <v>5</v>
      </c>
      <c r="V95" s="224" t="s">
        <v>4071</v>
      </c>
      <c r="W95" s="376"/>
      <c r="X95" s="372"/>
      <c r="Y95" s="372"/>
      <c r="Z95" s="372"/>
      <c r="AF95" s="372"/>
      <c r="AG95" s="372"/>
      <c r="AH95" s="372"/>
      <c r="AI95" s="372"/>
      <c r="AK95" s="377" t="str">
        <f t="array" ref="AK95">INDEX(B:B,SMALL(IF($B$3:$B$177&lt;&gt;"",ROW($3:$177),178),ROW(J94)))&amp;""</f>
        <v/>
      </c>
    </row>
    <row r="96" customHeight="1" spans="1:37">
      <c r="A96" s="222"/>
      <c r="B96" s="224" t="str">
        <f>IF(AU$8=2,"咒剑"&amp;B95,"")</f>
        <v/>
      </c>
      <c r="C96" s="193" t="str">
        <f>C95</f>
        <v>1D10</v>
      </c>
      <c r="D96" s="193" t="str">
        <f>D95</f>
        <v>挥砍</v>
      </c>
      <c r="E96" s="379">
        <f>E95</f>
        <v>6</v>
      </c>
      <c r="F96" s="193" t="str">
        <f>F95</f>
        <v>重型，触及，双手</v>
      </c>
      <c r="G96" s="193"/>
      <c r="H96" s="200">
        <f>H$80</f>
        <v>-1</v>
      </c>
      <c r="S96" s="222" t="s">
        <v>4072</v>
      </c>
      <c r="T96" s="193">
        <v>8</v>
      </c>
      <c r="U96" s="193">
        <v>6</v>
      </c>
      <c r="V96" s="224" t="s">
        <v>4073</v>
      </c>
      <c r="W96" s="376"/>
      <c r="X96" s="372"/>
      <c r="Y96" s="372"/>
      <c r="Z96" s="372"/>
      <c r="AF96" s="372"/>
      <c r="AG96" s="372"/>
      <c r="AH96" s="372"/>
      <c r="AI96" s="372"/>
      <c r="AK96" s="377" t="str">
        <f t="array" ref="AK96">INDEX(B:B,SMALL(IF($B$3:$B$177&lt;&gt;"",ROW($3:$177),178),ROW(J95)))&amp;""</f>
        <v/>
      </c>
    </row>
    <row r="97" customHeight="1" spans="1:37">
      <c r="A97" s="222"/>
      <c r="B97" s="224" t="str">
        <f>IF(AU$9=1,"匠师"&amp;B95,"")</f>
        <v/>
      </c>
      <c r="C97" s="193" t="str">
        <f>C95</f>
        <v>1D10</v>
      </c>
      <c r="D97" s="193" t="str">
        <f>D95</f>
        <v>挥砍</v>
      </c>
      <c r="E97" s="379">
        <f>E95</f>
        <v>6</v>
      </c>
      <c r="F97" s="193" t="str">
        <f>F95</f>
        <v>重型，触及，双手</v>
      </c>
      <c r="G97" s="193"/>
      <c r="H97" s="200">
        <f>H$81</f>
        <v>-1</v>
      </c>
      <c r="S97" s="222" t="s">
        <v>4074</v>
      </c>
      <c r="T97" s="193">
        <v>15</v>
      </c>
      <c r="U97" s="193">
        <v>6</v>
      </c>
      <c r="V97" s="224" t="s">
        <v>4075</v>
      </c>
      <c r="W97" s="376"/>
      <c r="X97" s="372"/>
      <c r="Y97" s="372"/>
      <c r="Z97" s="372"/>
      <c r="AF97" s="372"/>
      <c r="AG97" s="372"/>
      <c r="AH97" s="372"/>
      <c r="AI97" s="372"/>
      <c r="AK97" s="377" t="str">
        <f t="array" ref="AK97">INDEX(B:B,SMALL(IF($B$3:$B$177&lt;&gt;"",ROW($3:$177),178),ROW(J96)))&amp;""</f>
        <v/>
      </c>
    </row>
    <row r="98" customHeight="1" spans="1:37">
      <c r="A98" s="222"/>
      <c r="B98" s="224" t="s">
        <v>4076</v>
      </c>
      <c r="C98" s="224" t="s">
        <v>4054</v>
      </c>
      <c r="D98" s="224" t="s">
        <v>3782</v>
      </c>
      <c r="E98" s="379">
        <v>6</v>
      </c>
      <c r="F98" s="224" t="s">
        <v>4077</v>
      </c>
      <c r="G98" s="193">
        <v>10</v>
      </c>
      <c r="H98" s="200">
        <f>H$78</f>
        <v>-1</v>
      </c>
      <c r="S98" s="222" t="s">
        <v>4078</v>
      </c>
      <c r="T98" s="193">
        <v>5</v>
      </c>
      <c r="U98" s="193">
        <v>5</v>
      </c>
      <c r="V98" s="224" t="s">
        <v>4079</v>
      </c>
      <c r="W98" s="376"/>
      <c r="X98" s="372"/>
      <c r="Y98" s="372"/>
      <c r="Z98" s="372"/>
      <c r="AF98" s="372"/>
      <c r="AG98" s="372"/>
      <c r="AH98" s="372"/>
      <c r="AI98" s="372"/>
      <c r="AK98" s="377" t="str">
        <f t="array" ref="AK98">INDEX(B:B,SMALL(IF($B$3:$B$177&lt;&gt;"",ROW($3:$177),178),ROW(J97)))&amp;""</f>
        <v/>
      </c>
    </row>
    <row r="99" customHeight="1" spans="1:37">
      <c r="A99" s="222"/>
      <c r="B99" s="224" t="str">
        <f>IF(AU$8&gt;=1,"咒剑"&amp;B98,"")</f>
        <v/>
      </c>
      <c r="C99" s="193" t="str">
        <f>C98</f>
        <v>1D12</v>
      </c>
      <c r="D99" s="193" t="str">
        <f>D98</f>
        <v>穿刺</v>
      </c>
      <c r="E99" s="379">
        <f>E98</f>
        <v>6</v>
      </c>
      <c r="F99" s="193" t="str">
        <f>F98</f>
        <v>触及，特殊</v>
      </c>
      <c r="G99" s="193"/>
      <c r="H99" s="200">
        <f>H$80</f>
        <v>-1</v>
      </c>
      <c r="S99" s="222" t="s">
        <v>4080</v>
      </c>
      <c r="T99" s="193">
        <v>1</v>
      </c>
      <c r="U99" s="193">
        <v>8</v>
      </c>
      <c r="V99" s="224" t="s">
        <v>4081</v>
      </c>
      <c r="W99" s="376"/>
      <c r="X99" s="372"/>
      <c r="Y99" s="372"/>
      <c r="Z99" s="372"/>
      <c r="AF99" s="372"/>
      <c r="AG99" s="372"/>
      <c r="AH99" s="372"/>
      <c r="AI99" s="372"/>
      <c r="AK99" s="377" t="str">
        <f t="array" ref="AK99">INDEX(B:B,SMALL(IF($B$3:$B$177&lt;&gt;"",ROW($3:$177),178),ROW(J98)))&amp;""</f>
        <v/>
      </c>
    </row>
    <row r="100" customHeight="1" spans="1:37">
      <c r="A100" s="222"/>
      <c r="B100" s="224" t="str">
        <f>IF(AU$9=1,"匠师"&amp;B98,"")</f>
        <v/>
      </c>
      <c r="C100" s="193" t="str">
        <f>C98</f>
        <v>1D12</v>
      </c>
      <c r="D100" s="193" t="str">
        <f>D98</f>
        <v>穿刺</v>
      </c>
      <c r="E100" s="379">
        <f>E98</f>
        <v>6</v>
      </c>
      <c r="F100" s="193" t="str">
        <f>F98</f>
        <v>触及，特殊</v>
      </c>
      <c r="G100" s="193"/>
      <c r="H100" s="200">
        <f>H$81</f>
        <v>-1</v>
      </c>
      <c r="S100" s="222" t="s">
        <v>4082</v>
      </c>
      <c r="T100" s="193">
        <v>30</v>
      </c>
      <c r="U100" s="193">
        <v>5</v>
      </c>
      <c r="V100" s="224" t="s">
        <v>4083</v>
      </c>
      <c r="W100" s="376"/>
      <c r="X100" s="372"/>
      <c r="Y100" s="372"/>
      <c r="Z100" s="372"/>
      <c r="AF100" s="372"/>
      <c r="AG100" s="372"/>
      <c r="AH100" s="372"/>
      <c r="AI100" s="372"/>
      <c r="AK100" s="377" t="str">
        <f t="array" ref="AK100">INDEX(B:B,SMALL(IF($B$3:$B$177&lt;&gt;"",ROW($3:$177),178),ROW(J99)))&amp;""</f>
        <v/>
      </c>
    </row>
    <row r="101" customHeight="1" spans="1:37">
      <c r="A101" s="222"/>
      <c r="B101" s="224" t="s">
        <v>4084</v>
      </c>
      <c r="C101" s="224" t="s">
        <v>3855</v>
      </c>
      <c r="D101" s="224" t="s">
        <v>3791</v>
      </c>
      <c r="E101" s="379">
        <v>3</v>
      </c>
      <c r="F101" s="224" t="s">
        <v>4031</v>
      </c>
      <c r="G101" s="193">
        <v>15</v>
      </c>
      <c r="H101" s="200">
        <f>H$78</f>
        <v>-1</v>
      </c>
      <c r="S101" s="222" t="s">
        <v>4085</v>
      </c>
      <c r="T101" s="193">
        <v>25</v>
      </c>
      <c r="U101" s="193">
        <v>2</v>
      </c>
      <c r="V101" s="224" t="s">
        <v>4086</v>
      </c>
      <c r="W101" s="376"/>
      <c r="X101" s="372"/>
      <c r="Y101" s="372"/>
      <c r="Z101" s="372"/>
      <c r="AE101" s="372"/>
      <c r="AF101" s="372"/>
      <c r="AG101" s="372"/>
      <c r="AH101" s="372"/>
      <c r="AI101" s="372"/>
      <c r="AK101" s="377" t="str">
        <f t="array" ref="AK101">INDEX(B:B,SMALL(IF($B$3:$B$177&lt;&gt;"",ROW($3:$177),178),ROW(J100)))&amp;""</f>
        <v/>
      </c>
    </row>
    <row r="102" customHeight="1" spans="1:37">
      <c r="A102" s="222"/>
      <c r="B102" s="193" t="str">
        <f>IF(AU$7=2,"剑圣"&amp;B101,IF(AU$7&gt;=1,"专用"&amp;B101,""))</f>
        <v/>
      </c>
      <c r="C102" s="193" t="str">
        <f>C$15</f>
        <v>1D8</v>
      </c>
      <c r="D102" s="193" t="str">
        <f>D101</f>
        <v>挥砍</v>
      </c>
      <c r="E102" s="379">
        <f>E101</f>
        <v>3</v>
      </c>
      <c r="F102" s="193" t="str">
        <f>F101</f>
        <v>两用（1d10）</v>
      </c>
      <c r="G102" s="193"/>
      <c r="H102" s="200">
        <f>H$3</f>
        <v>-1</v>
      </c>
      <c r="S102" s="222" t="s">
        <v>4087</v>
      </c>
      <c r="T102" s="193">
        <v>5</v>
      </c>
      <c r="U102" s="193">
        <v>5</v>
      </c>
      <c r="V102" s="224" t="s">
        <v>4088</v>
      </c>
      <c r="W102" s="376"/>
      <c r="X102" s="372"/>
      <c r="Y102" s="372"/>
      <c r="Z102" s="372"/>
      <c r="AE102" s="372"/>
      <c r="AF102" s="372"/>
      <c r="AG102" s="372"/>
      <c r="AH102" s="372"/>
      <c r="AI102" s="372"/>
      <c r="AK102" s="377" t="str">
        <f t="array" ref="AK102">INDEX(B:B,SMALL(IF($B$3:$B$177&lt;&gt;"",ROW($3:$177),178),ROW(J101)))&amp;""</f>
        <v/>
      </c>
    </row>
    <row r="103" customHeight="1" spans="1:37">
      <c r="A103" s="222"/>
      <c r="B103" s="224" t="str">
        <f>IF(AU$8&gt;=1,"咒剑"&amp;B101,"")</f>
        <v/>
      </c>
      <c r="C103" s="193" t="str">
        <f>C101</f>
        <v>1D8</v>
      </c>
      <c r="D103" s="193" t="str">
        <f>D101</f>
        <v>挥砍</v>
      </c>
      <c r="E103" s="379">
        <f>E101</f>
        <v>3</v>
      </c>
      <c r="F103" s="193" t="str">
        <f>F101</f>
        <v>两用（1d10）</v>
      </c>
      <c r="G103" s="193"/>
      <c r="H103" s="200">
        <f>H$80</f>
        <v>-1</v>
      </c>
      <c r="S103" s="222" t="s">
        <v>4089</v>
      </c>
      <c r="T103" s="193">
        <v>10</v>
      </c>
      <c r="U103" s="193">
        <v>8</v>
      </c>
      <c r="V103" s="224" t="s">
        <v>4090</v>
      </c>
      <c r="W103" s="376"/>
      <c r="X103" s="372"/>
      <c r="Y103" s="372"/>
      <c r="Z103" s="372"/>
      <c r="AE103" s="372"/>
      <c r="AF103" s="372"/>
      <c r="AG103" s="372"/>
      <c r="AH103" s="372"/>
      <c r="AI103" s="372"/>
      <c r="AK103" s="377" t="str">
        <f t="array" ref="AK103">INDEX(B:B,SMALL(IF($B$3:$B$177&lt;&gt;"",ROW($3:$177),178),ROW(J102)))&amp;""</f>
        <v/>
      </c>
    </row>
    <row r="104" customHeight="1" spans="1:37">
      <c r="A104" s="222"/>
      <c r="B104" s="224" t="str">
        <f>IF(AU$9=1,"匠师"&amp;B101,"")</f>
        <v/>
      </c>
      <c r="C104" s="193" t="str">
        <f>C101</f>
        <v>1D8</v>
      </c>
      <c r="D104" s="193" t="str">
        <f>D101</f>
        <v>挥砍</v>
      </c>
      <c r="E104" s="379">
        <f>E101</f>
        <v>3</v>
      </c>
      <c r="F104" s="193" t="str">
        <f>F101</f>
        <v>两用（1d10）</v>
      </c>
      <c r="G104" s="193"/>
      <c r="H104" s="200">
        <f>H$81</f>
        <v>-1</v>
      </c>
      <c r="S104" s="222" t="s">
        <v>4091</v>
      </c>
      <c r="T104" s="193">
        <v>10</v>
      </c>
      <c r="U104" s="193">
        <v>5</v>
      </c>
      <c r="V104" s="224" t="s">
        <v>4092</v>
      </c>
      <c r="W104" s="376"/>
      <c r="X104" s="372"/>
      <c r="Y104" s="372"/>
      <c r="Z104" s="372"/>
      <c r="AE104" s="372"/>
      <c r="AF104" s="372"/>
      <c r="AG104" s="372"/>
      <c r="AH104" s="372"/>
      <c r="AI104" s="372"/>
      <c r="AK104" s="377" t="str">
        <f t="array" ref="AK104">INDEX(B:B,SMALL(IF($B$3:$B$177&lt;&gt;"",ROW($3:$177),178),ROW(J103)))&amp;""</f>
        <v/>
      </c>
    </row>
    <row r="105" customHeight="1" spans="1:37">
      <c r="A105" s="222"/>
      <c r="B105" s="224" t="s">
        <v>4093</v>
      </c>
      <c r="C105" s="224" t="s">
        <v>4062</v>
      </c>
      <c r="D105" s="224" t="s">
        <v>134</v>
      </c>
      <c r="E105" s="379">
        <v>10</v>
      </c>
      <c r="F105" s="224" t="s">
        <v>4055</v>
      </c>
      <c r="G105" s="193">
        <v>10</v>
      </c>
      <c r="H105" s="200">
        <f>H78</f>
        <v>-1</v>
      </c>
      <c r="S105" s="222" t="s">
        <v>4094</v>
      </c>
      <c r="T105" s="193">
        <v>10</v>
      </c>
      <c r="U105" s="193">
        <v>3</v>
      </c>
      <c r="V105" s="224" t="s">
        <v>4095</v>
      </c>
      <c r="W105" s="376"/>
      <c r="X105" s="372"/>
      <c r="Y105" s="372"/>
      <c r="Z105" s="372"/>
      <c r="AE105" s="372"/>
      <c r="AF105" s="372"/>
      <c r="AG105" s="372"/>
      <c r="AH105" s="372"/>
      <c r="AI105" s="372"/>
      <c r="AK105" s="377" t="str">
        <f t="array" ref="AK105">INDEX(B:B,SMALL(IF($B$3:$B$177&lt;&gt;"",ROW($3:$177),178),ROW(J104)))&amp;""</f>
        <v/>
      </c>
    </row>
    <row r="106" customHeight="1" spans="1:37">
      <c r="A106" s="222"/>
      <c r="B106" s="224" t="str">
        <f>IF(AU$8=2,"咒剑"&amp;B105,"")</f>
        <v/>
      </c>
      <c r="C106" s="193" t="str">
        <f>C105</f>
        <v>2D6</v>
      </c>
      <c r="D106" s="193" t="str">
        <f>D105</f>
        <v>钝击</v>
      </c>
      <c r="E106" s="379">
        <f>E105</f>
        <v>10</v>
      </c>
      <c r="F106" s="193" t="str">
        <f>F105</f>
        <v>重型，双手</v>
      </c>
      <c r="G106" s="193"/>
      <c r="H106" s="200">
        <f>H$80</f>
        <v>-1</v>
      </c>
      <c r="S106" s="222" t="s">
        <v>4096</v>
      </c>
      <c r="T106" s="193">
        <v>20</v>
      </c>
      <c r="U106" s="193">
        <v>8</v>
      </c>
      <c r="V106" s="224" t="s">
        <v>4097</v>
      </c>
      <c r="W106" s="376"/>
      <c r="X106" s="372"/>
      <c r="Y106" s="372"/>
      <c r="Z106" s="372"/>
      <c r="AE106" s="372"/>
      <c r="AF106" s="372"/>
      <c r="AG106" s="372"/>
      <c r="AH106" s="372"/>
      <c r="AI106" s="372"/>
      <c r="AK106" s="377" t="str">
        <f t="array" ref="AK106">INDEX(B:B,SMALL(IF($B$3:$B$177&lt;&gt;"",ROW($3:$177),178),ROW(J105)))&amp;""</f>
        <v/>
      </c>
    </row>
    <row r="107" customHeight="1" spans="1:37">
      <c r="A107" s="222"/>
      <c r="B107" s="224" t="str">
        <f>IF(AU$9=1,"匠师"&amp;B105,"")</f>
        <v/>
      </c>
      <c r="C107" s="193" t="str">
        <f>C105</f>
        <v>2D6</v>
      </c>
      <c r="D107" s="193" t="str">
        <f>D105</f>
        <v>钝击</v>
      </c>
      <c r="E107" s="379">
        <f>E105</f>
        <v>10</v>
      </c>
      <c r="F107" s="193" t="str">
        <f>F105</f>
        <v>重型，双手</v>
      </c>
      <c r="G107" s="193"/>
      <c r="H107" s="200">
        <f>H$81</f>
        <v>-1</v>
      </c>
      <c r="S107" s="222" t="s">
        <v>4098</v>
      </c>
      <c r="T107" s="193">
        <v>50</v>
      </c>
      <c r="U107" s="193">
        <v>10</v>
      </c>
      <c r="V107" s="224" t="s">
        <v>4099</v>
      </c>
      <c r="W107" s="376"/>
      <c r="X107" s="372"/>
      <c r="Y107" s="372"/>
      <c r="Z107" s="372"/>
      <c r="AE107" s="372"/>
      <c r="AF107" s="372"/>
      <c r="AG107" s="372"/>
      <c r="AH107" s="372"/>
      <c r="AI107" s="372"/>
      <c r="AK107" s="377" t="str">
        <f t="array" ref="AK107">INDEX(B:B,SMALL(IF($B$3:$B$177&lt;&gt;"",ROW($3:$177),178),ROW(J106)))&amp;""</f>
        <v/>
      </c>
    </row>
    <row r="108" customHeight="1" spans="1:37">
      <c r="A108" s="222"/>
      <c r="B108" s="224" t="s">
        <v>4100</v>
      </c>
      <c r="C108" s="224" t="s">
        <v>3855</v>
      </c>
      <c r="D108" s="224" t="s">
        <v>3782</v>
      </c>
      <c r="E108" s="379">
        <v>4</v>
      </c>
      <c r="F108" s="224" t="s">
        <v>3923</v>
      </c>
      <c r="G108" s="193">
        <v>15</v>
      </c>
      <c r="H108" s="200">
        <f>H78</f>
        <v>-1</v>
      </c>
      <c r="S108" s="222" t="s">
        <v>4101</v>
      </c>
      <c r="T108" s="193">
        <v>1</v>
      </c>
      <c r="U108" s="193">
        <v>5</v>
      </c>
      <c r="V108" s="224" t="s">
        <v>4102</v>
      </c>
      <c r="W108" s="376"/>
      <c r="X108" s="372"/>
      <c r="Y108" s="372"/>
      <c r="Z108" s="372"/>
      <c r="AE108" s="372"/>
      <c r="AF108" s="372"/>
      <c r="AG108" s="372"/>
      <c r="AH108" s="372"/>
      <c r="AI108" s="372"/>
      <c r="AK108" s="377" t="str">
        <f t="array" ref="AK108">INDEX(B:B,SMALL(IF($B$3:$B$177&lt;&gt;"",ROW($3:$177),178),ROW(J107)))&amp;""</f>
        <v/>
      </c>
    </row>
    <row r="109" customHeight="1" spans="1:37">
      <c r="A109" s="222"/>
      <c r="B109" s="193" t="str">
        <f>IF(AU$7=2,"剑圣"&amp;B108,IF(AU$7&gt;=1,"专用"&amp;B108,""))</f>
        <v/>
      </c>
      <c r="C109" s="193" t="str">
        <f>C$15</f>
        <v>1D8</v>
      </c>
      <c r="D109" s="193" t="str">
        <f>D108</f>
        <v>穿刺</v>
      </c>
      <c r="E109" s="379">
        <f>E108</f>
        <v>4</v>
      </c>
      <c r="F109" s="193" t="str">
        <f>F108</f>
        <v>-</v>
      </c>
      <c r="G109" s="193"/>
      <c r="H109" s="200">
        <f>H$3</f>
        <v>-1</v>
      </c>
      <c r="S109" s="222" t="s">
        <v>4103</v>
      </c>
      <c r="T109" s="193">
        <v>1</v>
      </c>
      <c r="U109" s="193">
        <v>5</v>
      </c>
      <c r="V109" s="224" t="s">
        <v>4104</v>
      </c>
      <c r="W109" s="376"/>
      <c r="X109" s="372"/>
      <c r="Y109" s="372"/>
      <c r="Z109" s="372"/>
      <c r="AE109" s="372"/>
      <c r="AF109" s="372"/>
      <c r="AG109" s="372"/>
      <c r="AH109" s="372"/>
      <c r="AI109" s="372"/>
      <c r="AK109" s="377" t="str">
        <f t="array" ref="AK109">INDEX(B:B,SMALL(IF($B$3:$B$177&lt;&gt;"",ROW($3:$177),178),ROW(J108)))&amp;""</f>
        <v/>
      </c>
    </row>
    <row r="110" customHeight="1" spans="1:37">
      <c r="A110" s="222"/>
      <c r="B110" s="224" t="str">
        <f>IF(AU$8&gt;=1,"咒剑"&amp;B108,"")</f>
        <v/>
      </c>
      <c r="C110" s="193" t="str">
        <f>C108</f>
        <v>1D8</v>
      </c>
      <c r="D110" s="193" t="str">
        <f>D108</f>
        <v>穿刺</v>
      </c>
      <c r="E110" s="379">
        <f>E108</f>
        <v>4</v>
      </c>
      <c r="F110" s="193" t="str">
        <f>F108</f>
        <v>-</v>
      </c>
      <c r="G110" s="193"/>
      <c r="H110" s="200">
        <f>H$80</f>
        <v>-1</v>
      </c>
      <c r="S110" s="222" t="s">
        <v>3852</v>
      </c>
      <c r="T110" s="224">
        <v>25</v>
      </c>
      <c r="U110" s="193">
        <v>3</v>
      </c>
      <c r="V110" s="224" t="s">
        <v>4105</v>
      </c>
      <c r="W110" s="376"/>
      <c r="X110" s="372"/>
      <c r="Y110" s="372"/>
      <c r="Z110" s="372"/>
      <c r="AE110" s="372"/>
      <c r="AF110" s="372"/>
      <c r="AG110" s="372"/>
      <c r="AH110" s="372"/>
      <c r="AI110" s="372"/>
      <c r="AK110" s="377" t="str">
        <f t="array" ref="AK110">INDEX(B:B,SMALL(IF($B$3:$B$177&lt;&gt;"",ROW($3:$177),178),ROW(J109)))&amp;""</f>
        <v/>
      </c>
    </row>
    <row r="111" customHeight="1" spans="1:37">
      <c r="A111" s="222"/>
      <c r="B111" s="224" t="str">
        <f>IF(AU$9=1,"匠师"&amp;B108,"")</f>
        <v/>
      </c>
      <c r="C111" s="193" t="str">
        <f>C108</f>
        <v>1D8</v>
      </c>
      <c r="D111" s="193" t="str">
        <f>D108</f>
        <v>穿刺</v>
      </c>
      <c r="E111" s="379">
        <f>E108</f>
        <v>4</v>
      </c>
      <c r="F111" s="193" t="str">
        <f>F108</f>
        <v>-</v>
      </c>
      <c r="G111" s="193"/>
      <c r="H111" s="200">
        <f>H$81</f>
        <v>-1</v>
      </c>
      <c r="S111" s="222" t="s">
        <v>3861</v>
      </c>
      <c r="T111" s="193">
        <v>15</v>
      </c>
      <c r="U111" s="193">
        <v>5</v>
      </c>
      <c r="V111" s="224" t="s">
        <v>4106</v>
      </c>
      <c r="W111" s="376"/>
      <c r="X111" s="372"/>
      <c r="Y111" s="372"/>
      <c r="Z111" s="372"/>
      <c r="AE111" s="372"/>
      <c r="AF111" s="372"/>
      <c r="AG111" s="372"/>
      <c r="AH111" s="372"/>
      <c r="AI111" s="372"/>
      <c r="AK111" s="377" t="str">
        <f t="array" ref="AK111">INDEX(B:B,SMALL(IF($B$3:$B$177&lt;&gt;"",ROW($3:$177),178),ROW(J110)))&amp;""</f>
        <v/>
      </c>
    </row>
    <row r="112" customHeight="1" spans="1:37">
      <c r="A112" s="222"/>
      <c r="B112" s="224" t="s">
        <v>4107</v>
      </c>
      <c r="C112" s="224" t="s">
        <v>4048</v>
      </c>
      <c r="D112" s="224" t="s">
        <v>3782</v>
      </c>
      <c r="E112" s="379">
        <v>18</v>
      </c>
      <c r="F112" s="224" t="s">
        <v>4049</v>
      </c>
      <c r="G112" s="193">
        <v>5</v>
      </c>
      <c r="H112" s="200">
        <f>H78</f>
        <v>-1</v>
      </c>
      <c r="S112" s="222" t="s">
        <v>4108</v>
      </c>
      <c r="T112" s="193">
        <v>0.1</v>
      </c>
      <c r="U112" s="193">
        <v>0</v>
      </c>
      <c r="V112" s="224" t="s">
        <v>4109</v>
      </c>
      <c r="W112" s="374"/>
      <c r="X112" s="372"/>
      <c r="Y112" s="372"/>
      <c r="Z112" s="372"/>
      <c r="AE112" s="372"/>
      <c r="AF112" s="372"/>
      <c r="AG112" s="372"/>
      <c r="AH112" s="372"/>
      <c r="AI112" s="372"/>
      <c r="AK112" s="377" t="str">
        <f t="array" ref="AK112">INDEX(B:B,SMALL(IF($B$3:$B$177&lt;&gt;"",ROW($3:$177),178),ROW(J111)))&amp;""</f>
        <v/>
      </c>
    </row>
    <row r="113" customHeight="1" spans="1:37">
      <c r="A113" s="222"/>
      <c r="B113" s="224" t="str">
        <f>IF(AU$8=2,"咒剑"&amp;B112,"")</f>
        <v/>
      </c>
      <c r="C113" s="193" t="str">
        <f>C112</f>
        <v>1D10</v>
      </c>
      <c r="D113" s="193" t="str">
        <f>D112</f>
        <v>穿刺</v>
      </c>
      <c r="E113" s="379">
        <f>E112</f>
        <v>18</v>
      </c>
      <c r="F113" s="193" t="str">
        <f>F112</f>
        <v>重型，触及，双手</v>
      </c>
      <c r="G113" s="193"/>
      <c r="H113" s="200">
        <f>H$80</f>
        <v>-1</v>
      </c>
      <c r="S113" s="222" t="s">
        <v>4110</v>
      </c>
      <c r="T113" s="193">
        <v>0.5</v>
      </c>
      <c r="U113" s="193">
        <v>0.5</v>
      </c>
      <c r="V113" s="224" t="str">
        <f>V112</f>
        <v>包含进行对应赌博游戏的全套赌具</v>
      </c>
      <c r="W113" s="376"/>
      <c r="X113" s="372"/>
      <c r="Y113" s="372"/>
      <c r="Z113" s="372"/>
      <c r="AE113" s="372"/>
      <c r="AF113" s="372"/>
      <c r="AG113" s="372"/>
      <c r="AH113" s="372"/>
      <c r="AI113" s="372"/>
      <c r="AK113" s="377" t="str">
        <f t="array" ref="AK113">INDEX(B:B,SMALL(IF($B$3:$B$177&lt;&gt;"",ROW($3:$177),178),ROW(J112)))&amp;""</f>
        <v/>
      </c>
    </row>
    <row r="114" customHeight="1" spans="1:37">
      <c r="A114" s="222"/>
      <c r="B114" s="224" t="str">
        <f>IF(AU$9=1,"匠师"&amp;B112,"")</f>
        <v/>
      </c>
      <c r="C114" s="193" t="str">
        <f>C112</f>
        <v>1D10</v>
      </c>
      <c r="D114" s="193" t="str">
        <f>D112</f>
        <v>穿刺</v>
      </c>
      <c r="E114" s="379">
        <f>E112</f>
        <v>18</v>
      </c>
      <c r="F114" s="193" t="str">
        <f>F112</f>
        <v>重型，触及，双手</v>
      </c>
      <c r="G114" s="193"/>
      <c r="H114" s="200">
        <f>H$81</f>
        <v>-1</v>
      </c>
      <c r="S114" s="222" t="s">
        <v>4111</v>
      </c>
      <c r="T114" s="193">
        <v>0.5</v>
      </c>
      <c r="U114" s="193">
        <v>0</v>
      </c>
      <c r="V114" s="224" t="str">
        <f>V112</f>
        <v>包含进行对应赌博游戏的全套赌具</v>
      </c>
      <c r="W114" s="376"/>
      <c r="X114" s="372"/>
      <c r="Y114" s="372"/>
      <c r="Z114" s="372"/>
      <c r="AE114" s="372"/>
      <c r="AF114" s="372"/>
      <c r="AG114" s="372"/>
      <c r="AH114" s="372"/>
      <c r="AI114" s="372"/>
      <c r="AK114" s="377" t="str">
        <f t="array" ref="AK114">INDEX(B:B,SMALL(IF($B$3:$B$177&lt;&gt;"",ROW($3:$177),178),ROW(J113)))&amp;""</f>
        <v/>
      </c>
    </row>
    <row r="115" customHeight="1" spans="1:37">
      <c r="A115" s="222"/>
      <c r="B115" s="224" t="s">
        <v>4112</v>
      </c>
      <c r="C115" s="224" t="s">
        <v>3855</v>
      </c>
      <c r="D115" s="224" t="s">
        <v>3782</v>
      </c>
      <c r="E115" s="379">
        <v>2</v>
      </c>
      <c r="F115" s="224" t="s">
        <v>4113</v>
      </c>
      <c r="G115" s="193">
        <v>25</v>
      </c>
      <c r="H115" s="200">
        <f>H$16</f>
        <v>-1</v>
      </c>
      <c r="S115" s="222" t="s">
        <v>4114</v>
      </c>
      <c r="T115" s="193">
        <v>5</v>
      </c>
      <c r="U115" s="193">
        <v>3</v>
      </c>
      <c r="V115" s="224" t="str">
        <f>V112</f>
        <v>包含进行对应赌博游戏的全套赌具</v>
      </c>
      <c r="W115" s="376"/>
      <c r="X115" s="372"/>
      <c r="Y115" s="372"/>
      <c r="Z115" s="372"/>
      <c r="AE115" s="372"/>
      <c r="AF115" s="372"/>
      <c r="AG115" s="372"/>
      <c r="AH115" s="372"/>
      <c r="AI115" s="372"/>
      <c r="AK115" s="377" t="str">
        <f t="array" ref="AK115">INDEX(B:B,SMALL(IF($B$3:$B$177&lt;&gt;"",ROW($3:$177),178),ROW(J114)))&amp;""</f>
        <v/>
      </c>
    </row>
    <row r="116" customHeight="1" spans="1:37">
      <c r="A116" s="222"/>
      <c r="B116" s="193" t="str">
        <f>IF(AU$7=2,"剑圣"&amp;B115,IF(AU$7&gt;=1,"专用"&amp;B115,""))</f>
        <v/>
      </c>
      <c r="C116" s="193" t="str">
        <f>C$15</f>
        <v>1D8</v>
      </c>
      <c r="D116" s="193" t="str">
        <f>D115</f>
        <v>穿刺</v>
      </c>
      <c r="E116" s="379">
        <f>E115</f>
        <v>2</v>
      </c>
      <c r="F116" s="193" t="str">
        <f>F115</f>
        <v>灵巧</v>
      </c>
      <c r="G116" s="193"/>
      <c r="H116" s="200">
        <f>H$16</f>
        <v>-1</v>
      </c>
      <c r="S116" s="222" t="s">
        <v>1607</v>
      </c>
      <c r="T116" s="193">
        <v>5</v>
      </c>
      <c r="U116" s="193">
        <v>3</v>
      </c>
      <c r="V116" s="224" t="s">
        <v>4115</v>
      </c>
      <c r="W116" s="376"/>
      <c r="X116" s="372"/>
      <c r="Y116" s="372"/>
      <c r="Z116" s="372"/>
      <c r="AE116" s="372"/>
      <c r="AF116" s="372"/>
      <c r="AG116" s="372"/>
      <c r="AH116" s="372"/>
      <c r="AI116" s="372"/>
      <c r="AK116" s="377" t="str">
        <f t="array" ref="AK116">INDEX(B:B,SMALL(IF($B$3:$B$177&lt;&gt;"",ROW($3:$177),178),ROW(J115)))&amp;""</f>
        <v/>
      </c>
    </row>
    <row r="117" customHeight="1" spans="1:37">
      <c r="A117" s="222"/>
      <c r="B117" s="224" t="str">
        <f>IF(AU$8&gt;=1,"咒剑"&amp;B115,"")</f>
        <v/>
      </c>
      <c r="C117" s="193" t="str">
        <f>C115</f>
        <v>1D8</v>
      </c>
      <c r="D117" s="193" t="str">
        <f>D115</f>
        <v>穿刺</v>
      </c>
      <c r="E117" s="379">
        <f>E115</f>
        <v>2</v>
      </c>
      <c r="F117" s="193" t="str">
        <f>F115</f>
        <v>灵巧</v>
      </c>
      <c r="G117" s="193"/>
      <c r="H117" s="200">
        <f>H$18</f>
        <v>-1</v>
      </c>
      <c r="S117" s="222" t="s">
        <v>4116</v>
      </c>
      <c r="T117" s="193">
        <v>30</v>
      </c>
      <c r="U117" s="193">
        <v>6</v>
      </c>
      <c r="V117" s="193" t="str">
        <f t="shared" ref="V117:V126" si="37">""</f>
        <v/>
      </c>
      <c r="W117" s="374"/>
      <c r="X117" s="372"/>
      <c r="Y117" s="372"/>
      <c r="Z117" s="372"/>
      <c r="AE117" s="372"/>
      <c r="AF117" s="372"/>
      <c r="AG117" s="372"/>
      <c r="AH117" s="372"/>
      <c r="AI117" s="372"/>
      <c r="AK117" s="377" t="str">
        <f t="array" ref="AK117">INDEX(B:B,SMALL(IF($B$3:$B$177&lt;&gt;"",ROW($3:$177),178),ROW(J116)))&amp;""</f>
        <v/>
      </c>
    </row>
    <row r="118" customHeight="1" spans="1:37">
      <c r="A118" s="222"/>
      <c r="B118" s="224" t="str">
        <f>IF(AU$9=1,"匠师"&amp;B115,"")</f>
        <v/>
      </c>
      <c r="C118" s="193" t="str">
        <f>C115</f>
        <v>1D8</v>
      </c>
      <c r="D118" s="193" t="str">
        <f>D115</f>
        <v>穿刺</v>
      </c>
      <c r="E118" s="379">
        <f>E115</f>
        <v>2</v>
      </c>
      <c r="F118" s="193" t="str">
        <f>F115</f>
        <v>灵巧</v>
      </c>
      <c r="G118" s="193"/>
      <c r="H118" s="200">
        <f>H$19</f>
        <v>-1</v>
      </c>
      <c r="S118" s="222" t="s">
        <v>4117</v>
      </c>
      <c r="T118" s="193">
        <v>6</v>
      </c>
      <c r="U118" s="193">
        <v>3</v>
      </c>
      <c r="V118" s="193" t="str">
        <f t="shared" si="37"/>
        <v/>
      </c>
      <c r="W118" s="376"/>
      <c r="X118" s="372"/>
      <c r="Y118" s="372"/>
      <c r="Z118" s="372"/>
      <c r="AE118" s="372"/>
      <c r="AF118" s="372"/>
      <c r="AG118" s="372"/>
      <c r="AH118" s="372"/>
      <c r="AI118" s="372"/>
      <c r="AK118" s="377" t="str">
        <f t="array" ref="AK118">INDEX(B:B,SMALL(IF($B$3:$B$177&lt;&gt;"",ROW($3:$177),178),ROW(J117)))&amp;""</f>
        <v/>
      </c>
    </row>
    <row r="119" customHeight="1" spans="1:37">
      <c r="A119" s="222"/>
      <c r="B119" s="224" t="s">
        <v>4118</v>
      </c>
      <c r="C119" s="224" t="s">
        <v>3749</v>
      </c>
      <c r="D119" s="224" t="s">
        <v>3791</v>
      </c>
      <c r="E119" s="379">
        <v>3</v>
      </c>
      <c r="F119" s="224" t="s">
        <v>4119</v>
      </c>
      <c r="G119" s="193">
        <v>25</v>
      </c>
      <c r="H119" s="223">
        <f>H$16</f>
        <v>-1</v>
      </c>
      <c r="S119" s="222" t="s">
        <v>4120</v>
      </c>
      <c r="T119" s="193">
        <v>25</v>
      </c>
      <c r="U119" s="193">
        <v>10</v>
      </c>
      <c r="V119" s="193" t="str">
        <f t="shared" si="37"/>
        <v/>
      </c>
      <c r="W119" s="376"/>
      <c r="X119" s="372"/>
      <c r="Y119" s="372"/>
      <c r="Z119" s="372"/>
      <c r="AE119" s="372"/>
      <c r="AF119" s="372"/>
      <c r="AG119" s="372"/>
      <c r="AH119" s="372"/>
      <c r="AI119" s="372"/>
      <c r="AK119" s="377" t="str">
        <f t="array" ref="AK119">INDEX(B:B,SMALL(IF($B$3:$B$177&lt;&gt;"",ROW($3:$177),178),ROW(J118)))&amp;""</f>
        <v/>
      </c>
    </row>
    <row r="120" customHeight="1" spans="1:37">
      <c r="A120" s="222"/>
      <c r="B120" s="193" t="str">
        <f>IF(AU$7=2,"剑圣"&amp;B119,IF(AU$7&gt;=1,"专用"&amp;B119,""))</f>
        <v/>
      </c>
      <c r="C120" s="193" t="str">
        <f>C24</f>
        <v>1D6</v>
      </c>
      <c r="D120" s="193" t="str">
        <f>D119</f>
        <v>挥砍</v>
      </c>
      <c r="E120" s="379">
        <f>E119</f>
        <v>3</v>
      </c>
      <c r="F120" s="193" t="str">
        <f>F119</f>
        <v>灵巧，轻型</v>
      </c>
      <c r="G120" s="193"/>
      <c r="H120" s="200">
        <f>H$16</f>
        <v>-1</v>
      </c>
      <c r="S120" s="222" t="s">
        <v>4121</v>
      </c>
      <c r="T120" s="193">
        <v>2</v>
      </c>
      <c r="U120" s="193">
        <v>1</v>
      </c>
      <c r="V120" s="193" t="str">
        <f t="shared" si="37"/>
        <v/>
      </c>
      <c r="W120" s="376"/>
      <c r="X120" s="372"/>
      <c r="Y120" s="372"/>
      <c r="Z120" s="372"/>
      <c r="AE120" s="372"/>
      <c r="AF120" s="372"/>
      <c r="AG120" s="372"/>
      <c r="AH120" s="372"/>
      <c r="AI120" s="372"/>
      <c r="AK120" s="377" t="str">
        <f t="array" ref="AK120">INDEX(B:B,SMALL(IF($B$3:$B$177&lt;&gt;"",ROW($3:$177),178),ROW(J119)))&amp;""</f>
        <v/>
      </c>
    </row>
    <row r="121" customHeight="1" spans="1:37">
      <c r="A121" s="222"/>
      <c r="B121" s="224" t="str">
        <f>IF(AU$8&gt;=1,"咒剑"&amp;B119,"")</f>
        <v/>
      </c>
      <c r="C121" s="193" t="str">
        <f>C119</f>
        <v>1D6</v>
      </c>
      <c r="D121" s="193" t="str">
        <f>D119</f>
        <v>挥砍</v>
      </c>
      <c r="E121" s="379">
        <f>E119</f>
        <v>3</v>
      </c>
      <c r="F121" s="193" t="str">
        <f>F119</f>
        <v>灵巧，轻型</v>
      </c>
      <c r="G121" s="193"/>
      <c r="H121" s="200">
        <f>H$18</f>
        <v>-1</v>
      </c>
      <c r="S121" s="222" t="s">
        <v>4122</v>
      </c>
      <c r="T121" s="193">
        <v>35</v>
      </c>
      <c r="U121" s="193">
        <v>2</v>
      </c>
      <c r="V121" s="193" t="str">
        <f t="shared" si="37"/>
        <v/>
      </c>
      <c r="W121" s="376"/>
      <c r="X121" s="372"/>
      <c r="Y121" s="372"/>
      <c r="Z121" s="372"/>
      <c r="AE121" s="372"/>
      <c r="AF121" s="372"/>
      <c r="AG121" s="372"/>
      <c r="AH121" s="372"/>
      <c r="AI121" s="372"/>
      <c r="AK121" s="377" t="str">
        <f t="array" ref="AK121">INDEX(B:B,SMALL(IF($B$3:$B$177&lt;&gt;"",ROW($3:$177),178),ROW(J120)))&amp;""</f>
        <v/>
      </c>
    </row>
    <row r="122" customHeight="1" spans="1:37">
      <c r="A122" s="222"/>
      <c r="B122" s="224" t="str">
        <f>IF(AU$9=1,"匠师"&amp;B119,"")</f>
        <v/>
      </c>
      <c r="C122" s="193" t="str">
        <f>C119</f>
        <v>1D6</v>
      </c>
      <c r="D122" s="193" t="str">
        <f>D119</f>
        <v>挥砍</v>
      </c>
      <c r="E122" s="379">
        <f>E119</f>
        <v>3</v>
      </c>
      <c r="F122" s="193" t="str">
        <f>F119</f>
        <v>灵巧，轻型</v>
      </c>
      <c r="G122" s="193"/>
      <c r="H122" s="200">
        <f>H$19</f>
        <v>-1</v>
      </c>
      <c r="S122" s="222" t="s">
        <v>4123</v>
      </c>
      <c r="T122" s="193">
        <v>30</v>
      </c>
      <c r="U122" s="193">
        <v>2</v>
      </c>
      <c r="V122" s="193" t="str">
        <f t="shared" si="37"/>
        <v/>
      </c>
      <c r="W122" s="376"/>
      <c r="X122" s="372"/>
      <c r="Y122" s="372"/>
      <c r="Z122" s="372"/>
      <c r="AE122" s="372"/>
      <c r="AF122" s="372"/>
      <c r="AG122" s="372"/>
      <c r="AH122" s="372"/>
      <c r="AI122" s="372"/>
      <c r="AK122" s="377" t="str">
        <f t="array" ref="AK122">INDEX(B:B,SMALL(IF($B$3:$B$177&lt;&gt;"",ROW($3:$177),178),ROW(J121)))&amp;""</f>
        <v/>
      </c>
    </row>
    <row r="123" customHeight="1" spans="1:37">
      <c r="A123" s="222"/>
      <c r="B123" s="224" t="s">
        <v>4124</v>
      </c>
      <c r="C123" s="224" t="s">
        <v>3749</v>
      </c>
      <c r="D123" s="224" t="s">
        <v>3782</v>
      </c>
      <c r="E123" s="379">
        <v>2</v>
      </c>
      <c r="F123" s="224" t="s">
        <v>4119</v>
      </c>
      <c r="G123" s="193">
        <v>10</v>
      </c>
      <c r="H123" s="223">
        <f>H$16</f>
        <v>-1</v>
      </c>
      <c r="S123" s="222" t="s">
        <v>4125</v>
      </c>
      <c r="T123" s="193">
        <v>3</v>
      </c>
      <c r="U123" s="193">
        <v>2</v>
      </c>
      <c r="V123" s="193" t="str">
        <f t="shared" si="37"/>
        <v/>
      </c>
      <c r="W123" s="376"/>
      <c r="X123" s="372"/>
      <c r="Y123" s="372"/>
      <c r="Z123" s="372"/>
      <c r="AE123" s="372"/>
      <c r="AF123" s="372"/>
      <c r="AG123" s="372"/>
      <c r="AH123" s="372"/>
      <c r="AI123" s="372"/>
      <c r="AK123" s="377" t="str">
        <f t="array" ref="AK123">INDEX(B:B,SMALL(IF($B$3:$B$177&lt;&gt;"",ROW($3:$177),178),ROW(J122)))&amp;""</f>
        <v/>
      </c>
    </row>
    <row r="124" customHeight="1" spans="1:37">
      <c r="A124" s="222"/>
      <c r="B124" s="193" t="str">
        <f>IF(AU$7=2,"剑圣"&amp;B123,IF(AU$7&gt;=1,"专用"&amp;B123,""))</f>
        <v/>
      </c>
      <c r="C124" s="193" t="str">
        <f>C29</f>
        <v>1D6</v>
      </c>
      <c r="D124" s="193" t="str">
        <f>D123</f>
        <v>穿刺</v>
      </c>
      <c r="E124" s="379">
        <f>E123</f>
        <v>2</v>
      </c>
      <c r="F124" s="193" t="str">
        <f>F123</f>
        <v>灵巧，轻型</v>
      </c>
      <c r="G124" s="193"/>
      <c r="H124" s="200">
        <f>H$16</f>
        <v>-1</v>
      </c>
      <c r="S124" s="222" t="s">
        <v>4126</v>
      </c>
      <c r="T124" s="193">
        <v>12</v>
      </c>
      <c r="U124" s="193">
        <v>2</v>
      </c>
      <c r="V124" s="193" t="str">
        <f t="shared" si="37"/>
        <v/>
      </c>
      <c r="W124" s="376"/>
      <c r="X124" s="372"/>
      <c r="Y124" s="372"/>
      <c r="Z124" s="372"/>
      <c r="AE124" s="372"/>
      <c r="AF124" s="372"/>
      <c r="AG124" s="372"/>
      <c r="AH124" s="372"/>
      <c r="AI124" s="372"/>
      <c r="AK124" s="377" t="str">
        <f t="array" ref="AK124">INDEX(B:B,SMALL(IF($B$3:$B$177&lt;&gt;"",ROW($3:$177),178),ROW(J123)))&amp;""</f>
        <v/>
      </c>
    </row>
    <row r="125" customHeight="1" spans="1:37">
      <c r="A125" s="222"/>
      <c r="B125" s="224" t="str">
        <f>IF(AU$8&gt;=1,"咒剑"&amp;B123,"")</f>
        <v/>
      </c>
      <c r="C125" s="193" t="str">
        <f>C123</f>
        <v>1D6</v>
      </c>
      <c r="D125" s="193" t="str">
        <f>D123</f>
        <v>穿刺</v>
      </c>
      <c r="E125" s="379">
        <f>E123</f>
        <v>2</v>
      </c>
      <c r="F125" s="193" t="str">
        <f>F123</f>
        <v>灵巧，轻型</v>
      </c>
      <c r="G125" s="193"/>
      <c r="H125" s="200">
        <f>H$18</f>
        <v>-1</v>
      </c>
      <c r="S125" s="222" t="s">
        <v>4127</v>
      </c>
      <c r="T125" s="193">
        <v>2</v>
      </c>
      <c r="U125" s="193">
        <v>1</v>
      </c>
      <c r="V125" s="193" t="str">
        <f t="shared" si="37"/>
        <v/>
      </c>
      <c r="W125" s="376"/>
      <c r="X125" s="372"/>
      <c r="Y125" s="372"/>
      <c r="Z125" s="372"/>
      <c r="AE125" s="372"/>
      <c r="AF125" s="372"/>
      <c r="AG125" s="372"/>
      <c r="AH125" s="372"/>
      <c r="AI125" s="372"/>
      <c r="AK125" s="377" t="str">
        <f t="array" ref="AK125">INDEX(B:B,SMALL(IF($B$3:$B$177&lt;&gt;"",ROW($3:$177),178),ROW(J124)))&amp;""</f>
        <v/>
      </c>
    </row>
    <row r="126" customHeight="1" spans="1:37">
      <c r="A126" s="222"/>
      <c r="B126" s="224" t="str">
        <f>IF(AU$9=1,"匠师"&amp;B123,"")</f>
        <v/>
      </c>
      <c r="C126" s="193" t="str">
        <f>C123</f>
        <v>1D6</v>
      </c>
      <c r="D126" s="193" t="str">
        <f>D123</f>
        <v>穿刺</v>
      </c>
      <c r="E126" s="379">
        <f>E123</f>
        <v>2</v>
      </c>
      <c r="F126" s="193" t="str">
        <f>F123</f>
        <v>灵巧，轻型</v>
      </c>
      <c r="G126" s="193"/>
      <c r="H126" s="200">
        <f>H$19</f>
        <v>-1</v>
      </c>
      <c r="S126" s="222" t="s">
        <v>4128</v>
      </c>
      <c r="T126" s="193">
        <v>30</v>
      </c>
      <c r="U126" s="193">
        <v>1</v>
      </c>
      <c r="V126" s="193" t="str">
        <f t="shared" si="37"/>
        <v/>
      </c>
      <c r="W126" s="376"/>
      <c r="X126" s="372"/>
      <c r="Y126" s="372"/>
      <c r="Z126" s="372"/>
      <c r="AE126" s="372"/>
      <c r="AF126" s="372"/>
      <c r="AG126" s="372"/>
      <c r="AH126" s="372"/>
      <c r="AI126" s="372"/>
      <c r="AK126" s="377" t="str">
        <f t="array" ref="AK126">INDEX(B:B,SMALL(IF($B$3:$B$177&lt;&gt;"",ROW($3:$177),178),ROW(J125)))&amp;""</f>
        <v/>
      </c>
    </row>
    <row r="127" customHeight="1" spans="1:37">
      <c r="A127" s="222"/>
      <c r="B127" s="224" t="s">
        <v>4129</v>
      </c>
      <c r="C127" s="224" t="s">
        <v>3749</v>
      </c>
      <c r="D127" s="224" t="s">
        <v>3782</v>
      </c>
      <c r="E127" s="379">
        <v>4</v>
      </c>
      <c r="F127" s="224" t="s">
        <v>3961</v>
      </c>
      <c r="G127" s="193">
        <v>5</v>
      </c>
      <c r="H127" s="200">
        <f>H$78</f>
        <v>-1</v>
      </c>
      <c r="S127" s="222" t="s">
        <v>3926</v>
      </c>
      <c r="T127" s="193">
        <v>25</v>
      </c>
      <c r="U127" s="193">
        <v>2</v>
      </c>
      <c r="V127" s="224" t="s">
        <v>4130</v>
      </c>
      <c r="W127" s="376"/>
      <c r="X127" s="372"/>
      <c r="Y127" s="372"/>
      <c r="Z127" s="372"/>
      <c r="AE127" s="372"/>
      <c r="AF127" s="372"/>
      <c r="AG127" s="372"/>
      <c r="AH127" s="372"/>
      <c r="AI127" s="372"/>
      <c r="AK127" s="377" t="str">
        <f t="array" ref="AK127">INDEX(B:B,SMALL(IF($B$3:$B$177&lt;&gt;"",ROW($3:$177),178),ROW(J126)))&amp;""</f>
        <v/>
      </c>
    </row>
    <row r="128" customHeight="1" spans="1:37">
      <c r="A128" s="222"/>
      <c r="B128" s="193" t="str">
        <f>IF(AU$7=2,"剑圣"&amp;B127,IF(AU$7&gt;=1,"专用"&amp;B127,""))</f>
        <v/>
      </c>
      <c r="C128" s="193" t="str">
        <f>C34</f>
        <v>1D4</v>
      </c>
      <c r="D128" s="193" t="str">
        <f>D127</f>
        <v>穿刺</v>
      </c>
      <c r="E128" s="379">
        <f>E127</f>
        <v>4</v>
      </c>
      <c r="F128" s="193" t="str">
        <f>F127</f>
        <v>投掷（射程20/60），两用（1d8）</v>
      </c>
      <c r="G128" s="193"/>
      <c r="H128" s="200">
        <f>H$3</f>
        <v>-1</v>
      </c>
      <c r="S128" s="222" t="s">
        <v>3931</v>
      </c>
      <c r="T128" s="193">
        <v>50</v>
      </c>
      <c r="U128" s="193">
        <v>2</v>
      </c>
      <c r="V128" s="224" t="s">
        <v>4131</v>
      </c>
      <c r="W128" s="376"/>
      <c r="X128" s="372"/>
      <c r="Y128" s="372"/>
      <c r="Z128" s="372"/>
      <c r="AE128" s="372"/>
      <c r="AF128" s="372"/>
      <c r="AG128" s="372"/>
      <c r="AH128" s="372"/>
      <c r="AI128" s="372"/>
      <c r="AK128" s="377" t="str">
        <f t="array" ref="AK128">INDEX(B:B,SMALL(IF($B$3:$B$177&lt;&gt;"",ROW($3:$177),178),ROW(J127)))&amp;""</f>
        <v/>
      </c>
    </row>
    <row r="129" customHeight="1" spans="1:37">
      <c r="A129" s="222"/>
      <c r="B129" s="224" t="str">
        <f>IF(AU$8&gt;=1,"咒剑"&amp;B127,"")</f>
        <v/>
      </c>
      <c r="C129" s="193" t="str">
        <f>C127</f>
        <v>1D6</v>
      </c>
      <c r="D129" s="193" t="str">
        <f>D127</f>
        <v>穿刺</v>
      </c>
      <c r="E129" s="379">
        <f>E127</f>
        <v>4</v>
      </c>
      <c r="F129" s="193" t="str">
        <f>F127</f>
        <v>投掷（射程20/60），两用（1d8）</v>
      </c>
      <c r="G129" s="193"/>
      <c r="H129" s="200">
        <f>H$80</f>
        <v>-1</v>
      </c>
      <c r="S129" s="222" t="s">
        <v>3934</v>
      </c>
      <c r="T129" s="193">
        <v>25</v>
      </c>
      <c r="U129" s="193">
        <v>1</v>
      </c>
      <c r="V129" s="224" t="s">
        <v>4132</v>
      </c>
      <c r="W129" s="376"/>
      <c r="X129" s="372"/>
      <c r="Y129" s="372"/>
      <c r="Z129" s="372"/>
      <c r="AE129" s="372"/>
      <c r="AF129" s="372"/>
      <c r="AG129" s="372"/>
      <c r="AH129" s="372"/>
      <c r="AI129" s="372"/>
      <c r="AK129" s="377" t="str">
        <f t="array" ref="AK129">INDEX(B:B,SMALL(IF($B$3:$B$177&lt;&gt;"",ROW($3:$177),178),ROW(J128)))&amp;""</f>
        <v/>
      </c>
    </row>
    <row r="130" customHeight="1" spans="1:37">
      <c r="A130" s="222"/>
      <c r="B130" s="224" t="str">
        <f>IF(AU$9=1,"匠师"&amp;B127,"")</f>
        <v/>
      </c>
      <c r="C130" s="193" t="str">
        <f>C127</f>
        <v>1D6</v>
      </c>
      <c r="D130" s="193" t="str">
        <f>D127</f>
        <v>穿刺</v>
      </c>
      <c r="E130" s="379">
        <f>E127</f>
        <v>4</v>
      </c>
      <c r="F130" s="193" t="str">
        <f>F127</f>
        <v>投掷（射程20/60），两用（1d8）</v>
      </c>
      <c r="G130" s="193"/>
      <c r="H130" s="200">
        <f>H$81</f>
        <v>-1</v>
      </c>
      <c r="S130" s="307" t="s">
        <v>4133</v>
      </c>
      <c r="T130" s="372">
        <v>2</v>
      </c>
      <c r="U130" s="193">
        <v>70</v>
      </c>
      <c r="V130" s="224" t="s">
        <v>4134</v>
      </c>
      <c r="W130" s="376"/>
      <c r="X130" s="372"/>
      <c r="Y130" s="372"/>
      <c r="Z130" s="372"/>
      <c r="AA130" s="372"/>
      <c r="AB130" s="372"/>
      <c r="AC130" s="372"/>
      <c r="AD130" s="372"/>
      <c r="AE130" s="372"/>
      <c r="AF130" s="372"/>
      <c r="AG130" s="372"/>
      <c r="AH130" s="372"/>
      <c r="AI130" s="372"/>
      <c r="AK130" s="377" t="str">
        <f t="array" ref="AK130">INDEX(B:B,SMALL(IF($B$3:$B$177&lt;&gt;"",ROW($3:$177),178),ROW(J129)))&amp;""</f>
        <v/>
      </c>
    </row>
    <row r="131" customHeight="1" spans="1:37">
      <c r="A131" s="222"/>
      <c r="B131" s="224" t="s">
        <v>4135</v>
      </c>
      <c r="C131" s="224" t="s">
        <v>3855</v>
      </c>
      <c r="D131" s="224" t="s">
        <v>3782</v>
      </c>
      <c r="E131" s="379">
        <v>2</v>
      </c>
      <c r="F131" s="224" t="s">
        <v>3923</v>
      </c>
      <c r="G131" s="193">
        <v>5</v>
      </c>
      <c r="H131" s="200">
        <f>H$78</f>
        <v>-1</v>
      </c>
      <c r="S131" s="307" t="s">
        <v>4136</v>
      </c>
      <c r="T131" s="372">
        <v>2</v>
      </c>
      <c r="U131" s="193">
        <v>2</v>
      </c>
      <c r="V131" s="224" t="s">
        <v>4137</v>
      </c>
      <c r="W131" s="376"/>
      <c r="X131" s="372"/>
      <c r="Y131" s="372"/>
      <c r="Z131" s="372"/>
      <c r="AA131" s="372"/>
      <c r="AB131" s="372"/>
      <c r="AC131" s="372"/>
      <c r="AD131" s="372"/>
      <c r="AE131" s="372"/>
      <c r="AF131" s="372"/>
      <c r="AG131" s="372"/>
      <c r="AH131" s="372"/>
      <c r="AI131" s="372"/>
      <c r="AK131" s="377" t="str">
        <f t="array" ref="AK131">INDEX(B:B,SMALL(IF($B$3:$B$177&lt;&gt;"",ROW($3:$177),178),ROW(J130)))&amp;""</f>
        <v/>
      </c>
    </row>
    <row r="132" customHeight="1" spans="1:37">
      <c r="A132" s="222"/>
      <c r="B132" s="193" t="str">
        <f>IF(AU$7=2,"剑圣"&amp;B131,IF(AU$7&gt;=1,"专用"&amp;B131,""))</f>
        <v/>
      </c>
      <c r="C132" s="193" t="str">
        <f>C$15</f>
        <v>1D8</v>
      </c>
      <c r="D132" s="193" t="str">
        <f>D131</f>
        <v>穿刺</v>
      </c>
      <c r="E132" s="379">
        <f>E131</f>
        <v>2</v>
      </c>
      <c r="F132" s="193" t="str">
        <f>F131</f>
        <v>-</v>
      </c>
      <c r="G132" s="193"/>
      <c r="H132" s="200">
        <f>H$3</f>
        <v>-1</v>
      </c>
      <c r="S132" s="307" t="s">
        <v>4138</v>
      </c>
      <c r="T132" s="372">
        <v>0.05</v>
      </c>
      <c r="U132" s="193">
        <v>2</v>
      </c>
      <c r="V132" s="224" t="s">
        <v>4139</v>
      </c>
      <c r="W132" s="376"/>
      <c r="X132" s="372"/>
      <c r="Y132" s="372"/>
      <c r="Z132" s="372"/>
      <c r="AA132" s="372"/>
      <c r="AB132" s="372"/>
      <c r="AC132" s="372"/>
      <c r="AD132" s="372"/>
      <c r="AE132" s="372"/>
      <c r="AF132" s="372"/>
      <c r="AG132" s="372"/>
      <c r="AH132" s="372"/>
      <c r="AI132" s="372"/>
      <c r="AK132" s="377" t="str">
        <f t="array" ref="AK132">INDEX(B:B,SMALL(IF($B$3:$B$177&lt;&gt;"",ROW($3:$177),178),ROW(J131)))&amp;""</f>
        <v/>
      </c>
    </row>
    <row r="133" customHeight="1" spans="1:37">
      <c r="A133" s="222"/>
      <c r="B133" s="224" t="str">
        <f>IF(AU$8&gt;=1,"咒剑"&amp;B131,"")</f>
        <v/>
      </c>
      <c r="C133" s="193" t="str">
        <f>C131</f>
        <v>1D8</v>
      </c>
      <c r="D133" s="193" t="str">
        <f>D131</f>
        <v>穿刺</v>
      </c>
      <c r="E133" s="379">
        <f>E131</f>
        <v>2</v>
      </c>
      <c r="F133" s="193" t="str">
        <f>F131</f>
        <v>-</v>
      </c>
      <c r="G133" s="193"/>
      <c r="H133" s="200">
        <f>H$80</f>
        <v>-1</v>
      </c>
      <c r="S133" s="307" t="s">
        <v>4140</v>
      </c>
      <c r="T133" s="372">
        <v>0.02</v>
      </c>
      <c r="U133" s="193">
        <v>1</v>
      </c>
      <c r="V133" s="224" t="s">
        <v>4141</v>
      </c>
      <c r="W133" s="376"/>
      <c r="X133" s="372"/>
      <c r="Y133" s="372"/>
      <c r="Z133" s="372"/>
      <c r="AA133" s="372"/>
      <c r="AB133" s="372"/>
      <c r="AC133" s="372"/>
      <c r="AD133" s="372"/>
      <c r="AE133" s="372"/>
      <c r="AF133" s="372"/>
      <c r="AG133" s="372"/>
      <c r="AH133" s="372"/>
      <c r="AI133" s="372"/>
      <c r="AK133" s="377" t="str">
        <f t="array" ref="AK133">INDEX(B:B,SMALL(IF($B$3:$B$177&lt;&gt;"",ROW($3:$177),178),ROW(J132)))&amp;""</f>
        <v/>
      </c>
    </row>
    <row r="134" customHeight="1" spans="1:37">
      <c r="A134" s="222"/>
      <c r="B134" s="224" t="str">
        <f>IF(AU$9=1,"匠师"&amp;B131,"")</f>
        <v/>
      </c>
      <c r="C134" s="193" t="str">
        <f>C131</f>
        <v>1D8</v>
      </c>
      <c r="D134" s="193" t="str">
        <f>D131</f>
        <v>穿刺</v>
      </c>
      <c r="E134" s="379">
        <f>E131</f>
        <v>2</v>
      </c>
      <c r="F134" s="193" t="str">
        <f>F131</f>
        <v>-</v>
      </c>
      <c r="G134" s="193"/>
      <c r="H134" s="200">
        <f>H$81</f>
        <v>-1</v>
      </c>
      <c r="S134" s="307" t="s">
        <v>4142</v>
      </c>
      <c r="T134" s="372">
        <v>0.02</v>
      </c>
      <c r="U134" s="193">
        <v>4</v>
      </c>
      <c r="V134" s="224" t="s">
        <v>4143</v>
      </c>
      <c r="W134" s="376"/>
      <c r="X134" s="372"/>
      <c r="Y134" s="372"/>
      <c r="Z134" s="372"/>
      <c r="AA134" s="372"/>
      <c r="AB134" s="372"/>
      <c r="AC134" s="372"/>
      <c r="AD134" s="372"/>
      <c r="AE134" s="372"/>
      <c r="AF134" s="372"/>
      <c r="AG134" s="372"/>
      <c r="AH134" s="372"/>
      <c r="AI134" s="372"/>
      <c r="AK134" s="377" t="str">
        <f t="array" ref="AK134">INDEX(B:B,SMALL(IF($B$3:$B$177&lt;&gt;"",ROW($3:$177),178),ROW(J133)))&amp;""</f>
        <v/>
      </c>
    </row>
    <row r="135" customHeight="1" spans="1:37">
      <c r="A135" s="222"/>
      <c r="B135" s="224" t="s">
        <v>4144</v>
      </c>
      <c r="C135" s="224" t="s">
        <v>3855</v>
      </c>
      <c r="D135" s="224" t="s">
        <v>134</v>
      </c>
      <c r="E135" s="379">
        <v>2</v>
      </c>
      <c r="F135" s="224" t="s">
        <v>4031</v>
      </c>
      <c r="G135" s="193">
        <v>15</v>
      </c>
      <c r="H135" s="200">
        <f>H$78</f>
        <v>-1</v>
      </c>
      <c r="S135" s="307" t="s">
        <v>4145</v>
      </c>
      <c r="T135" s="372">
        <v>2</v>
      </c>
      <c r="U135" s="193">
        <v>10</v>
      </c>
      <c r="V135" s="224" t="s">
        <v>4143</v>
      </c>
      <c r="W135" s="376"/>
      <c r="X135" s="372"/>
      <c r="AG135" s="372"/>
      <c r="AH135" s="372"/>
      <c r="AI135" s="372"/>
      <c r="AK135" s="377" t="str">
        <f t="array" ref="AK135">INDEX(B:B,SMALL(IF($B$3:$B$177&lt;&gt;"",ROW($3:$177),178),ROW(J134)))&amp;""</f>
        <v/>
      </c>
    </row>
    <row r="136" customHeight="1" spans="1:37">
      <c r="A136" s="222"/>
      <c r="B136" s="193" t="str">
        <f>IF(AU$7=2,"剑圣"&amp;B135,IF(AU$7&gt;=1,"专用"&amp;B135,""))</f>
        <v/>
      </c>
      <c r="C136" s="193" t="str">
        <f>C$15</f>
        <v>1D8</v>
      </c>
      <c r="D136" s="193" t="str">
        <f>D135</f>
        <v>钝击</v>
      </c>
      <c r="E136" s="379">
        <f>E135</f>
        <v>2</v>
      </c>
      <c r="F136" s="193" t="str">
        <f>F135</f>
        <v>两用（1d10）</v>
      </c>
      <c r="G136" s="193"/>
      <c r="H136" s="200">
        <f>H$3</f>
        <v>-1</v>
      </c>
      <c r="S136" s="307" t="s">
        <v>4146</v>
      </c>
      <c r="T136" s="372">
        <v>1</v>
      </c>
      <c r="U136" s="193">
        <v>0</v>
      </c>
      <c r="V136" s="224" t="s">
        <v>4147</v>
      </c>
      <c r="W136" s="376"/>
      <c r="X136" s="372"/>
      <c r="AG136" s="372"/>
      <c r="AH136" s="372"/>
      <c r="AI136" s="372"/>
      <c r="AK136" s="377" t="str">
        <f t="array" ref="AK136">INDEX(B:B,SMALL(IF($B$3:$B$177&lt;&gt;"",ROW($3:$177),178),ROW(J135)))&amp;""</f>
        <v/>
      </c>
    </row>
    <row r="137" customHeight="1" spans="1:37">
      <c r="A137" s="222"/>
      <c r="B137" s="224" t="str">
        <f>IF(AU$8&gt;=1,"咒剑"&amp;B135,"")</f>
        <v/>
      </c>
      <c r="C137" s="193" t="str">
        <f>C135</f>
        <v>1D8</v>
      </c>
      <c r="D137" s="193" t="str">
        <f>D135</f>
        <v>钝击</v>
      </c>
      <c r="E137" s="379">
        <f>E135</f>
        <v>2</v>
      </c>
      <c r="F137" s="193" t="str">
        <f>F135</f>
        <v>两用（1d10）</v>
      </c>
      <c r="G137" s="193"/>
      <c r="H137" s="200">
        <f>H$80</f>
        <v>-1</v>
      </c>
      <c r="S137" s="307" t="s">
        <v>4148</v>
      </c>
      <c r="T137" s="372">
        <v>0.2</v>
      </c>
      <c r="U137" s="193">
        <v>5</v>
      </c>
      <c r="V137" s="224" t="s">
        <v>4149</v>
      </c>
      <c r="W137" s="376"/>
      <c r="X137" s="372"/>
      <c r="AG137" s="372"/>
      <c r="AH137" s="372"/>
      <c r="AI137" s="372"/>
      <c r="AK137" s="377" t="str">
        <f t="array" ref="AK137">INDEX(B:B,SMALL(IF($B$3:$B$177&lt;&gt;"",ROW($3:$177),178),ROW(J136)))&amp;""</f>
        <v/>
      </c>
    </row>
    <row r="138" customHeight="1" spans="1:37">
      <c r="A138" s="222"/>
      <c r="B138" s="224" t="str">
        <f>IF(AU$9=1,"匠师"&amp;B135,"")</f>
        <v/>
      </c>
      <c r="C138" s="193" t="str">
        <f>C135</f>
        <v>1D8</v>
      </c>
      <c r="D138" s="193" t="str">
        <f>D135</f>
        <v>钝击</v>
      </c>
      <c r="E138" s="379">
        <f>E135</f>
        <v>2</v>
      </c>
      <c r="F138" s="193" t="str">
        <f>F135</f>
        <v>两用（1d10）</v>
      </c>
      <c r="G138" s="193"/>
      <c r="H138" s="200">
        <f>H$81</f>
        <v>-1</v>
      </c>
      <c r="S138" s="307" t="s">
        <v>275</v>
      </c>
      <c r="T138" s="372">
        <v>2</v>
      </c>
      <c r="U138" s="193">
        <v>5</v>
      </c>
      <c r="V138" s="224" t="s">
        <v>4150</v>
      </c>
      <c r="W138" s="376">
        <v>30</v>
      </c>
      <c r="X138" s="372"/>
      <c r="AH138" s="372"/>
      <c r="AI138" s="372"/>
      <c r="AK138" s="377" t="str">
        <f t="array" ref="AK138">INDEX(B:B,SMALL(IF($B$3:$B$177&lt;&gt;"",ROW($3:$177),178),ROW(J137)))&amp;""</f>
        <v/>
      </c>
    </row>
    <row r="139" customHeight="1" spans="1:37">
      <c r="A139" s="222"/>
      <c r="B139" s="224" t="s">
        <v>4151</v>
      </c>
      <c r="C139" s="224" t="s">
        <v>4003</v>
      </c>
      <c r="D139" s="224" t="s">
        <v>3791</v>
      </c>
      <c r="E139" s="379">
        <v>3</v>
      </c>
      <c r="F139" s="224" t="s">
        <v>4152</v>
      </c>
      <c r="G139" s="193">
        <v>2</v>
      </c>
      <c r="H139" s="223">
        <f>H16</f>
        <v>-1</v>
      </c>
      <c r="S139" s="307" t="s">
        <v>4153</v>
      </c>
      <c r="T139" s="372">
        <v>0.4</v>
      </c>
      <c r="U139" s="193">
        <v>2</v>
      </c>
      <c r="V139" s="224" t="s">
        <v>4154</v>
      </c>
      <c r="W139" s="376">
        <v>40</v>
      </c>
      <c r="X139" s="372"/>
      <c r="AH139" s="372"/>
      <c r="AI139" s="372"/>
      <c r="AK139" s="377" t="str">
        <f t="array" ref="AK139">INDEX(B:B,SMALL(IF($B$3:$B$177&lt;&gt;"",ROW($3:$177),178),ROW(J138)))&amp;""</f>
        <v/>
      </c>
    </row>
    <row r="140" customHeight="1" spans="1:37">
      <c r="A140" s="222"/>
      <c r="B140" s="193" t="str">
        <f>IF(AU$7=2,"剑圣"&amp;B139,IF(AU$7&gt;=1,"专用"&amp;B139,""))</f>
        <v/>
      </c>
      <c r="C140" s="193" t="str">
        <f>C$11</f>
        <v>1D4</v>
      </c>
      <c r="D140" s="193" t="str">
        <f>D139</f>
        <v>挥砍</v>
      </c>
      <c r="E140" s="379">
        <f>E139</f>
        <v>3</v>
      </c>
      <c r="F140" s="193" t="str">
        <f>F139</f>
        <v>灵巧，触及</v>
      </c>
      <c r="G140" s="193"/>
      <c r="H140" s="200">
        <f>H$16</f>
        <v>-1</v>
      </c>
      <c r="S140" s="307" t="s">
        <v>4155</v>
      </c>
      <c r="T140" s="372">
        <v>5</v>
      </c>
      <c r="U140" s="193">
        <v>25</v>
      </c>
      <c r="V140" s="224" t="s">
        <v>4156</v>
      </c>
      <c r="W140" s="376">
        <v>300</v>
      </c>
      <c r="X140" s="372"/>
      <c r="AH140" s="372"/>
      <c r="AI140" s="372"/>
      <c r="AK140" s="377" t="str">
        <f t="array" ref="AK140">INDEX(B:B,SMALL(IF($B$3:$B$177&lt;&gt;"",ROW($3:$177),178),ROW(J139)))&amp;""</f>
        <v/>
      </c>
    </row>
    <row r="141" customHeight="1" spans="1:37">
      <c r="A141" s="222"/>
      <c r="B141" s="224" t="str">
        <f>IF(AU$8&gt;=1,"咒剑"&amp;B139,"")</f>
        <v/>
      </c>
      <c r="C141" s="193" t="str">
        <f>C139</f>
        <v>1D4</v>
      </c>
      <c r="D141" s="193" t="str">
        <f>D139</f>
        <v>挥砍</v>
      </c>
      <c r="E141" s="379">
        <f>E139</f>
        <v>3</v>
      </c>
      <c r="F141" s="193" t="str">
        <f>F139</f>
        <v>灵巧，触及</v>
      </c>
      <c r="G141" s="193"/>
      <c r="H141" s="200">
        <f>H$18</f>
        <v>-1</v>
      </c>
      <c r="S141" s="307" t="s">
        <v>276</v>
      </c>
      <c r="T141" s="372">
        <v>0.5</v>
      </c>
      <c r="U141" s="193">
        <v>1</v>
      </c>
      <c r="V141" s="224" t="s">
        <v>4157</v>
      </c>
      <c r="W141" s="376">
        <v>6</v>
      </c>
      <c r="X141" s="372"/>
      <c r="AH141" s="372"/>
      <c r="AI141" s="372"/>
      <c r="AK141" s="377" t="str">
        <f t="array" ref="AK141">INDEX(B:B,SMALL(IF($B$3:$B$177&lt;&gt;"",ROW($3:$177),178),ROW(J140)))&amp;""</f>
        <v/>
      </c>
    </row>
    <row r="142" customHeight="1" spans="1:37">
      <c r="A142" s="222"/>
      <c r="B142" s="224" t="str">
        <f>IF(AU$9=1,"匠师"&amp;B139,"")</f>
        <v/>
      </c>
      <c r="C142" s="193" t="str">
        <f>C139</f>
        <v>1D4</v>
      </c>
      <c r="D142" s="193" t="str">
        <f>D139</f>
        <v>挥砍</v>
      </c>
      <c r="E142" s="379">
        <f>E139</f>
        <v>3</v>
      </c>
      <c r="F142" s="193" t="str">
        <f>F139</f>
        <v>灵巧，触及</v>
      </c>
      <c r="G142" s="193"/>
      <c r="H142" s="200">
        <f>H$19</f>
        <v>-1</v>
      </c>
      <c r="S142" s="384" t="s">
        <v>4158</v>
      </c>
      <c r="T142" s="382">
        <v>0.01</v>
      </c>
      <c r="U142" s="382">
        <v>0.5</v>
      </c>
      <c r="V142" s="234" t="s">
        <v>4150</v>
      </c>
      <c r="W142" s="383">
        <v>30</v>
      </c>
      <c r="X142" s="372"/>
      <c r="AH142" s="372"/>
      <c r="AI142" s="372"/>
      <c r="AK142" s="377" t="str">
        <f t="array" ref="AK142">INDEX(B:B,SMALL(IF($B$3:$B$177&lt;&gt;"",ROW($3:$177),178),ROW(J141)))&amp;""</f>
        <v/>
      </c>
    </row>
    <row r="143" customHeight="1" spans="1:37">
      <c r="A143" s="222"/>
      <c r="B143" s="396" t="str">
        <f>IF(综合数据!B23=TRUE,"双刃弯刀","")</f>
        <v/>
      </c>
      <c r="C143" s="224" t="s">
        <v>4159</v>
      </c>
      <c r="D143" s="224" t="s">
        <v>3791</v>
      </c>
      <c r="E143" s="379">
        <v>6</v>
      </c>
      <c r="F143" s="224" t="s">
        <v>4160</v>
      </c>
      <c r="G143" s="193">
        <v>100</v>
      </c>
      <c r="H143" s="200">
        <f>IF(COUNTIF(专长数据!E2:E7,专长数据!A126),H16,H78)</f>
        <v>-1</v>
      </c>
      <c r="X143" s="372"/>
      <c r="AH143" s="372"/>
      <c r="AK143" s="377" t="str">
        <f t="array" ref="AK143">INDEX(B:B,SMALL(IF($B$3:$B$177&lt;&gt;"",ROW($3:$177),178),ROW(J142)))&amp;""</f>
        <v/>
      </c>
    </row>
    <row r="144" customHeight="1" spans="1:37">
      <c r="A144" s="222"/>
      <c r="B144" s="224" t="str">
        <f>IF(B143="","",IF(AU$8=2,"咒剑"&amp;B143,""))</f>
        <v/>
      </c>
      <c r="C144" s="193" t="str">
        <f>C143</f>
        <v>2D4</v>
      </c>
      <c r="D144" s="193" t="str">
        <f>D143</f>
        <v>挥砍</v>
      </c>
      <c r="E144" s="379">
        <f>E143</f>
        <v>6</v>
      </c>
      <c r="F144" s="193" t="str">
        <f>F143</f>
        <v>双手,特殊</v>
      </c>
      <c r="G144" s="193"/>
      <c r="H144" s="200">
        <f>MAX(主要!R$19,装备数据!H143)</f>
        <v>-1</v>
      </c>
      <c r="X144" s="372"/>
      <c r="AH144" s="372"/>
      <c r="AK144" s="377" t="str">
        <f t="array" ref="AK144">INDEX(B:B,SMALL(IF($B$3:$B$177&lt;&gt;"",ROW($3:$177),178),ROW(J143)))&amp;""</f>
        <v/>
      </c>
    </row>
    <row r="145" customHeight="1" spans="1:37">
      <c r="A145" s="222"/>
      <c r="B145" s="224" t="str">
        <f>IF(B143="","",IF(AU$9=1,"匠师"&amp;B143,""))</f>
        <v/>
      </c>
      <c r="C145" s="193" t="str">
        <f>C143</f>
        <v>2D4</v>
      </c>
      <c r="D145" s="193" t="str">
        <f>D143</f>
        <v>挥砍</v>
      </c>
      <c r="E145" s="379">
        <f>E143</f>
        <v>6</v>
      </c>
      <c r="F145" s="193" t="str">
        <f>F143</f>
        <v>双手,特殊</v>
      </c>
      <c r="G145" s="193"/>
      <c r="H145" s="200">
        <f>MAX(主要!R$17,装备数据!H143)</f>
        <v>-1</v>
      </c>
      <c r="AK145" s="377" t="str">
        <f t="array" ref="AK145">INDEX(B:B,SMALL(IF($B$3:$B$177&lt;&gt;"",ROW($3:$177),178),ROW(J144)))&amp;""</f>
        <v/>
      </c>
    </row>
    <row r="146" customHeight="1" spans="1:37">
      <c r="A146" s="222" t="s">
        <v>4161</v>
      </c>
      <c r="B146" s="224" t="s">
        <v>4162</v>
      </c>
      <c r="C146" s="193">
        <v>1</v>
      </c>
      <c r="D146" s="224" t="s">
        <v>3782</v>
      </c>
      <c r="E146" s="379">
        <v>1</v>
      </c>
      <c r="F146" s="224" t="s">
        <v>4163</v>
      </c>
      <c r="G146" s="193">
        <v>10</v>
      </c>
      <c r="H146" s="200">
        <f>H$59</f>
        <v>-1</v>
      </c>
      <c r="AK146" s="377" t="str">
        <f t="array" ref="AK146">INDEX(B:B,SMALL(IF($B$3:$B$177&lt;&gt;"",ROW($3:$177),178),ROW(J145)))&amp;""</f>
        <v/>
      </c>
    </row>
    <row r="147" customHeight="1" spans="1:37">
      <c r="A147" s="222"/>
      <c r="B147" s="193" t="str">
        <f>IF(AU$7=2,"剑圣"&amp;B146,IF(AU$7&gt;=1,"专用"&amp;B146,""))</f>
        <v/>
      </c>
      <c r="C147" s="193" t="str">
        <f>IF(AU6=1,"1D","")&amp;IF(AU6=1,_xlfn.IFS(职业数据!AG7&gt;=17,10,职业数据!AG7&gt;=11,8,职业数据!AG7&gt;=5,6,职业数据!AG7&gt;=1,4,1,1),1)</f>
        <v>1</v>
      </c>
      <c r="D147" s="193" t="str">
        <f>D146</f>
        <v>穿刺</v>
      </c>
      <c r="E147" s="379">
        <f>E146</f>
        <v>1</v>
      </c>
      <c r="F147" s="193" t="str">
        <f>F146</f>
        <v>弹药（射程25/100），装填</v>
      </c>
      <c r="G147" s="193"/>
      <c r="H147" s="200">
        <f>H$3</f>
        <v>-1</v>
      </c>
      <c r="AK147" s="377" t="str">
        <f t="array" ref="AK147">INDEX(B:B,SMALL(IF($B$3:$B$177&lt;&gt;"",ROW($3:$177),178),ROW(J146)))&amp;""</f>
        <v/>
      </c>
    </row>
    <row r="148" customHeight="1" spans="1:37">
      <c r="A148" s="222"/>
      <c r="B148" s="224" t="str">
        <f>IF(AU$8&gt;=1,"咒剑"&amp;B146,"")</f>
        <v/>
      </c>
      <c r="C148" s="193">
        <f>C146</f>
        <v>1</v>
      </c>
      <c r="D148" s="193" t="str">
        <f>D146</f>
        <v>穿刺</v>
      </c>
      <c r="E148" s="379">
        <f>E146</f>
        <v>1</v>
      </c>
      <c r="F148" s="193" t="str">
        <f>F146</f>
        <v>弹药（射程25/100），装填</v>
      </c>
      <c r="G148" s="193"/>
      <c r="H148" s="200">
        <f>H$61</f>
        <v>-1</v>
      </c>
      <c r="AK148" s="377" t="str">
        <f t="array" ref="AK148">INDEX(B:B,SMALL(IF($B$3:$B$177&lt;&gt;"",ROW($3:$177),178),ROW(J147)))&amp;""</f>
        <v/>
      </c>
    </row>
    <row r="149" customHeight="1" spans="1:37">
      <c r="A149" s="222"/>
      <c r="B149" s="224" t="str">
        <f>IF(AU$9=1,"匠师"&amp;B146,"")</f>
        <v/>
      </c>
      <c r="C149" s="193">
        <f>C146</f>
        <v>1</v>
      </c>
      <c r="D149" s="193" t="str">
        <f>D146</f>
        <v>穿刺</v>
      </c>
      <c r="E149" s="379">
        <f>E146</f>
        <v>1</v>
      </c>
      <c r="F149" s="193" t="str">
        <f>F146</f>
        <v>弹药（射程25/100），装填</v>
      </c>
      <c r="G149" s="193"/>
      <c r="H149" s="200">
        <f>H$62</f>
        <v>-1</v>
      </c>
      <c r="AK149" s="377" t="str">
        <f t="array" ref="AK149">INDEX(B:B,SMALL(IF($B$3:$B$177&lt;&gt;"",ROW($3:$177),178),ROW(J148)))&amp;""</f>
        <v/>
      </c>
    </row>
    <row r="150" customHeight="1" spans="1:37">
      <c r="A150" s="222"/>
      <c r="B150" s="224" t="s">
        <v>4164</v>
      </c>
      <c r="C150" s="224" t="s">
        <v>3749</v>
      </c>
      <c r="D150" s="224" t="s">
        <v>3782</v>
      </c>
      <c r="E150" s="379">
        <v>3</v>
      </c>
      <c r="F150" s="224" t="s">
        <v>4165</v>
      </c>
      <c r="G150" s="193">
        <v>75</v>
      </c>
      <c r="H150" s="200">
        <f>H$59</f>
        <v>-1</v>
      </c>
      <c r="AK150" s="377" t="str">
        <f t="array" ref="AK150">INDEX(B:B,SMALL(IF($B$3:$B$177&lt;&gt;"",ROW($3:$177),178),ROW(J149)))&amp;""</f>
        <v/>
      </c>
    </row>
    <row r="151" customHeight="1" spans="1:37">
      <c r="A151" s="222"/>
      <c r="B151" s="193" t="str">
        <f>IF(AU$7=2,"剑圣"&amp;B150,IF(AU$7&gt;=1,"专用"&amp;B150,""))</f>
        <v/>
      </c>
      <c r="C151" s="193" t="str">
        <f>C$24</f>
        <v>1D6</v>
      </c>
      <c r="D151" s="193" t="str">
        <f>D150</f>
        <v>穿刺</v>
      </c>
      <c r="E151" s="379">
        <f>E150</f>
        <v>3</v>
      </c>
      <c r="F151" s="193" t="str">
        <f>F150</f>
        <v>弹药（射程30/120），轻型，装填</v>
      </c>
      <c r="G151" s="193"/>
      <c r="H151" s="200">
        <f>H$3</f>
        <v>-1</v>
      </c>
      <c r="AK151" s="377" t="str">
        <f t="array" ref="AK151">INDEX(B:B,SMALL(IF($B$3:$B$177&lt;&gt;"",ROW($3:$177),178),ROW(J150)))&amp;""</f>
        <v/>
      </c>
    </row>
    <row r="152" customHeight="1" spans="1:37">
      <c r="A152" s="222"/>
      <c r="B152" s="224" t="str">
        <f>IF(AU$8&gt;=1,"咒剑"&amp;B150,"")</f>
        <v/>
      </c>
      <c r="C152" s="193" t="str">
        <f>C150</f>
        <v>1D6</v>
      </c>
      <c r="D152" s="193" t="str">
        <f>D150</f>
        <v>穿刺</v>
      </c>
      <c r="E152" s="379">
        <f>E150</f>
        <v>3</v>
      </c>
      <c r="F152" s="193" t="str">
        <f>F150</f>
        <v>弹药（射程30/120），轻型，装填</v>
      </c>
      <c r="G152" s="193"/>
      <c r="H152" s="200">
        <f>H$61</f>
        <v>-1</v>
      </c>
      <c r="AK152" s="377" t="str">
        <f t="array" ref="AK152">INDEX(B:B,SMALL(IF($B$3:$B$177&lt;&gt;"",ROW($3:$177),178),ROW(J151)))&amp;""</f>
        <v/>
      </c>
    </row>
    <row r="153" customHeight="1" spans="1:37">
      <c r="A153" s="222"/>
      <c r="B153" s="224" t="str">
        <f>IF(AU$9=1,"匠师"&amp;B150,"")</f>
        <v/>
      </c>
      <c r="C153" s="193" t="str">
        <f>C150</f>
        <v>1D6</v>
      </c>
      <c r="D153" s="193" t="str">
        <f>D150</f>
        <v>穿刺</v>
      </c>
      <c r="E153" s="379">
        <f>E150</f>
        <v>3</v>
      </c>
      <c r="F153" s="193" t="str">
        <f>F150</f>
        <v>弹药（射程30/120），轻型，装填</v>
      </c>
      <c r="G153" s="193"/>
      <c r="H153" s="200">
        <f>H$62</f>
        <v>-1</v>
      </c>
      <c r="AK153" s="377" t="str">
        <f t="array" ref="AK153">INDEX(B:B,SMALL(IF($B$3:$B$177&lt;&gt;"",ROW($3:$177),178),ROW(J152)))&amp;""</f>
        <v/>
      </c>
    </row>
    <row r="154" customHeight="1" spans="1:37">
      <c r="A154" s="222"/>
      <c r="B154" s="224" t="s">
        <v>4166</v>
      </c>
      <c r="C154" s="224" t="s">
        <v>4048</v>
      </c>
      <c r="D154" s="224" t="s">
        <v>3782</v>
      </c>
      <c r="E154" s="379">
        <v>18</v>
      </c>
      <c r="F154" s="224" t="s">
        <v>4167</v>
      </c>
      <c r="G154" s="193">
        <v>50</v>
      </c>
      <c r="H154" s="200">
        <f>H$59</f>
        <v>-1</v>
      </c>
      <c r="AK154" s="377" t="str">
        <f t="array" ref="AK154">INDEX(B:B,SMALL(IF($B$3:$B$177&lt;&gt;"",ROW($3:$177),178),ROW(J153)))&amp;""</f>
        <v/>
      </c>
    </row>
    <row r="155" customHeight="1" spans="1:37">
      <c r="A155" s="222"/>
      <c r="B155" s="224" t="str">
        <f>IF(AU$8=2,"咒剑"&amp;B154,"")</f>
        <v/>
      </c>
      <c r="C155" s="193" t="str">
        <f>C154</f>
        <v>1D10</v>
      </c>
      <c r="D155" s="193" t="str">
        <f>D154</f>
        <v>穿刺</v>
      </c>
      <c r="E155" s="379">
        <f>E154</f>
        <v>18</v>
      </c>
      <c r="F155" s="193" t="str">
        <f>F154</f>
        <v>弹药（射程100/400），重型，装填，双手</v>
      </c>
      <c r="G155" s="193"/>
      <c r="H155" s="200">
        <f>H$61</f>
        <v>-1</v>
      </c>
      <c r="AK155" s="377" t="str">
        <f t="array" ref="AK155">INDEX(B:B,SMALL(IF($B$3:$B$177&lt;&gt;"",ROW($3:$177),178),ROW(J154)))&amp;""</f>
        <v/>
      </c>
    </row>
    <row r="156" customHeight="1" spans="1:37">
      <c r="A156" s="222"/>
      <c r="B156" s="224" t="str">
        <f>IF(AU$9=1,"匠师"&amp;B154,"")</f>
        <v/>
      </c>
      <c r="C156" s="193" t="str">
        <f>C154</f>
        <v>1D10</v>
      </c>
      <c r="D156" s="193" t="str">
        <f>D154</f>
        <v>穿刺</v>
      </c>
      <c r="E156" s="379">
        <f>E154</f>
        <v>18</v>
      </c>
      <c r="F156" s="193" t="str">
        <f>F154</f>
        <v>弹药（射程100/400），重型，装填，双手</v>
      </c>
      <c r="G156" s="193"/>
      <c r="H156" s="200">
        <f>H$62</f>
        <v>-1</v>
      </c>
      <c r="AK156" s="377" t="str">
        <f t="array" ref="AK156">INDEX(B:B,SMALL(IF($B$3:$B$177&lt;&gt;"",ROW($3:$177),178),ROW(J155)))&amp;""</f>
        <v/>
      </c>
    </row>
    <row r="157" customHeight="1" spans="1:37">
      <c r="A157" s="222"/>
      <c r="B157" s="224" t="s">
        <v>4168</v>
      </c>
      <c r="C157" s="224" t="s">
        <v>3855</v>
      </c>
      <c r="D157" s="224" t="s">
        <v>3782</v>
      </c>
      <c r="E157" s="379">
        <v>2</v>
      </c>
      <c r="F157" s="224" t="s">
        <v>4169</v>
      </c>
      <c r="G157" s="193">
        <v>50</v>
      </c>
      <c r="H157" s="200">
        <f>H$59</f>
        <v>-1</v>
      </c>
      <c r="AK157" s="377" t="str">
        <f t="array" ref="AK157">INDEX(B:B,SMALL(IF($B$3:$B$177&lt;&gt;"",ROW($3:$177),178),ROW(J156)))&amp;""</f>
        <v/>
      </c>
    </row>
    <row r="158" customHeight="1" spans="1:37">
      <c r="A158" s="222"/>
      <c r="B158" s="224" t="str">
        <f>IF(AU$8=2,"咒剑"&amp;B157,"")</f>
        <v/>
      </c>
      <c r="C158" s="193" t="str">
        <f>C157</f>
        <v>1D8</v>
      </c>
      <c r="D158" s="193" t="str">
        <f>D157</f>
        <v>穿刺</v>
      </c>
      <c r="E158" s="379">
        <f>E157</f>
        <v>2</v>
      </c>
      <c r="F158" s="193" t="str">
        <f>F157</f>
        <v>弹药（射程150/600），重型，双手</v>
      </c>
      <c r="G158" s="193"/>
      <c r="H158" s="200">
        <f>H$61</f>
        <v>-1</v>
      </c>
      <c r="AK158" s="377" t="str">
        <f t="array" ref="AK158">INDEX(B:B,SMALL(IF($B$3:$B$177&lt;&gt;"",ROW($3:$177),178),ROW(J157)))&amp;""</f>
        <v/>
      </c>
    </row>
    <row r="159" customHeight="1" spans="1:37">
      <c r="A159" s="222"/>
      <c r="B159" s="224" t="str">
        <f>IF(AU$9=1,"匠师"&amp;B157,"")</f>
        <v/>
      </c>
      <c r="C159" s="193" t="str">
        <f>C157</f>
        <v>1D8</v>
      </c>
      <c r="D159" s="193" t="str">
        <f>D157</f>
        <v>穿刺</v>
      </c>
      <c r="E159" s="379">
        <f>E157</f>
        <v>2</v>
      </c>
      <c r="F159" s="193" t="str">
        <f>F157</f>
        <v>弹药（射程150/600），重型，双手</v>
      </c>
      <c r="G159" s="193"/>
      <c r="H159" s="200">
        <f>H$62</f>
        <v>-1</v>
      </c>
      <c r="AK159" s="377" t="str">
        <f t="array" ref="AK159">INDEX(B:B,SMALL(IF($B$3:$B$177&lt;&gt;"",ROW($3:$177),178),ROW(J158)))&amp;""</f>
        <v/>
      </c>
    </row>
    <row r="160" customHeight="1" spans="1:37">
      <c r="A160" s="222"/>
      <c r="B160" s="224" t="s">
        <v>4170</v>
      </c>
      <c r="C160" s="224" t="str">
        <f>""</f>
        <v/>
      </c>
      <c r="D160" s="224" t="str">
        <f>""</f>
        <v/>
      </c>
      <c r="E160" s="379">
        <v>3</v>
      </c>
      <c r="F160" s="224" t="s">
        <v>4171</v>
      </c>
      <c r="G160" s="193">
        <v>1</v>
      </c>
      <c r="H160" s="200">
        <f>H$59</f>
        <v>-1</v>
      </c>
      <c r="AK160" s="377" t="str">
        <f t="array" ref="AK160">INDEX(B:B,SMALL(IF($B$3:$B$177&lt;&gt;"",ROW($3:$177),178),ROW(J159)))&amp;""</f>
        <v/>
      </c>
    </row>
    <row r="161" customHeight="1" spans="1:37">
      <c r="A161" s="222"/>
      <c r="B161" s="224" t="str">
        <f>IF(AU$8&gt;=1,"咒剑"&amp;B160,"")</f>
        <v/>
      </c>
      <c r="C161" s="193" t="str">
        <f>C160</f>
        <v/>
      </c>
      <c r="D161" s="193" t="str">
        <f>D160</f>
        <v/>
      </c>
      <c r="E161" s="379">
        <f>E160</f>
        <v>3</v>
      </c>
      <c r="F161" s="193" t="str">
        <f>F160</f>
        <v>特殊，投掷（射程5/15）</v>
      </c>
      <c r="G161" s="193"/>
      <c r="H161" s="200">
        <f>H$61</f>
        <v>-1</v>
      </c>
      <c r="AK161" s="377" t="str">
        <f t="array" ref="AK161">INDEX(B:B,SMALL(IF($B$3:$B$177&lt;&gt;"",ROW($3:$177),178),ROW(J160)))&amp;""</f>
        <v/>
      </c>
    </row>
    <row r="162" customHeight="1" spans="1:37">
      <c r="A162" s="222"/>
      <c r="B162" s="224" t="str">
        <f>IF(AU$9=1,"匠师"&amp;B160,"")</f>
        <v/>
      </c>
      <c r="C162" s="193" t="str">
        <f>C160</f>
        <v/>
      </c>
      <c r="D162" s="193" t="str">
        <f>D160</f>
        <v/>
      </c>
      <c r="E162" s="379">
        <f>E160</f>
        <v>3</v>
      </c>
      <c r="F162" s="193" t="str">
        <f>F160</f>
        <v>特殊，投掷（射程5/15）</v>
      </c>
      <c r="G162" s="193"/>
      <c r="H162" s="200">
        <f>H$62</f>
        <v>-1</v>
      </c>
      <c r="AK162" s="377" t="str">
        <f t="array" ref="AK162">INDEX(B:B,SMALL(IF($B$3:$B$177&lt;&gt;"",ROW($3:$177),178),ROW(J161)))&amp;""</f>
        <v/>
      </c>
    </row>
    <row r="163" customHeight="1" spans="1:37">
      <c r="A163" s="222"/>
      <c r="B163" s="397" t="str">
        <f>IF(综合数据!B3=TRUE,"手枪","")</f>
        <v>手枪</v>
      </c>
      <c r="C163" s="224" t="s">
        <v>4048</v>
      </c>
      <c r="D163" s="224" t="s">
        <v>3782</v>
      </c>
      <c r="E163" s="379">
        <v>3</v>
      </c>
      <c r="F163" s="224" t="s">
        <v>4172</v>
      </c>
      <c r="G163" s="193">
        <v>250</v>
      </c>
      <c r="H163" s="200">
        <f>H$59</f>
        <v>-1</v>
      </c>
      <c r="AK163" s="377" t="str">
        <f t="array" ref="AK163">INDEX(B:B,SMALL(IF($B$3:$B$177&lt;&gt;"",ROW($3:$177),178),ROW(J162)))&amp;""</f>
        <v/>
      </c>
    </row>
    <row r="164" customHeight="1" spans="1:37">
      <c r="A164" s="222"/>
      <c r="B164" s="193" t="str">
        <f>IF(B163="","",IF(AU$7=2,"剑圣"&amp;B163,IF(AU$7&gt;=1,"专用"&amp;B163,"")))</f>
        <v/>
      </c>
      <c r="C164" s="193" t="str">
        <f>C163</f>
        <v>1D10</v>
      </c>
      <c r="D164" s="193" t="str">
        <f t="shared" ref="D164:F164" si="38">D163</f>
        <v>穿刺</v>
      </c>
      <c r="E164" s="379">
        <f t="shared" si="38"/>
        <v>3</v>
      </c>
      <c r="F164" s="193" t="str">
        <f t="shared" si="38"/>
        <v>弹药（射程20/90），装填</v>
      </c>
      <c r="G164" s="193"/>
      <c r="H164" s="200">
        <f>H$3</f>
        <v>-1</v>
      </c>
      <c r="AK164" s="377" t="str">
        <f t="array" ref="AK164">INDEX(B:B,SMALL(IF($B$3:$B$177&lt;&gt;"",ROW($3:$177),178),ROW(J163)))&amp;""</f>
        <v/>
      </c>
    </row>
    <row r="165" customHeight="1" spans="1:37">
      <c r="A165" s="222"/>
      <c r="B165" s="224" t="str">
        <f>IF(B163="","",IF(AU$8=2,"咒剑"&amp;B163,""))</f>
        <v/>
      </c>
      <c r="C165" s="193" t="str">
        <f>C163</f>
        <v>1D10</v>
      </c>
      <c r="D165" s="193" t="str">
        <f>D163</f>
        <v>穿刺</v>
      </c>
      <c r="E165" s="379">
        <f>E163</f>
        <v>3</v>
      </c>
      <c r="F165" s="193" t="str">
        <f>F163</f>
        <v>弹药（射程20/90），装填</v>
      </c>
      <c r="G165" s="193"/>
      <c r="H165" s="200">
        <f>H$61</f>
        <v>-1</v>
      </c>
      <c r="AK165" s="377" t="str">
        <f t="array" ref="AK165">INDEX(B:B,SMALL(IF($B$3:$B$177&lt;&gt;"",ROW($3:$177),178),ROW(J164)))&amp;""</f>
        <v/>
      </c>
    </row>
    <row r="166" customHeight="1" spans="1:37">
      <c r="A166" s="222"/>
      <c r="B166" s="224" t="str">
        <f>IF(B163="","",IF(AU$9=1,"匠师"&amp;B163,""))</f>
        <v/>
      </c>
      <c r="C166" s="193" t="str">
        <f>C163</f>
        <v>1D10</v>
      </c>
      <c r="D166" s="193" t="str">
        <f>D163</f>
        <v>穿刺</v>
      </c>
      <c r="E166" s="379">
        <f>E163</f>
        <v>3</v>
      </c>
      <c r="F166" s="193" t="str">
        <f>F163</f>
        <v>弹药（射程20/90），装填</v>
      </c>
      <c r="G166" s="193"/>
      <c r="H166" s="200">
        <f>H$62</f>
        <v>-1</v>
      </c>
      <c r="AK166" s="377" t="str">
        <f t="array" ref="AK166">INDEX(B:B,SMALL(IF($B$3:$B$177&lt;&gt;"",ROW($3:$177),178),ROW(J165)))&amp;""</f>
        <v/>
      </c>
    </row>
    <row r="167" customHeight="1" spans="1:37">
      <c r="A167" s="222"/>
      <c r="B167" s="397" t="str">
        <f>IF(综合数据!B3=TRUE,"滑膛枪","")</f>
        <v>滑膛枪</v>
      </c>
      <c r="C167" s="224" t="s">
        <v>4054</v>
      </c>
      <c r="D167" s="224" t="s">
        <v>3782</v>
      </c>
      <c r="E167" s="379">
        <v>10</v>
      </c>
      <c r="F167" s="224" t="s">
        <v>4173</v>
      </c>
      <c r="G167" s="193">
        <v>500</v>
      </c>
      <c r="H167" s="200">
        <f>H$59</f>
        <v>-1</v>
      </c>
      <c r="AK167" s="377" t="str">
        <f t="array" ref="AK167">INDEX(B:B,SMALL(IF($B$3:$B$177&lt;&gt;"",ROW($3:$177),178),ROW(J166)))&amp;""</f>
        <v/>
      </c>
    </row>
    <row r="168" customHeight="1" spans="1:37">
      <c r="A168" s="222"/>
      <c r="B168" s="193" t="str">
        <f>IF(B167="","",IF(AU$7=2,"剑圣"&amp;B167,IF(AU$7&gt;=1,"专用"&amp;B167,"")))</f>
        <v/>
      </c>
      <c r="C168" s="193" t="str">
        <f>C167</f>
        <v>1D12</v>
      </c>
      <c r="D168" s="193" t="str">
        <f t="shared" ref="D168" si="39">D167</f>
        <v>穿刺</v>
      </c>
      <c r="E168" s="379">
        <f t="shared" ref="E168" si="40">E167</f>
        <v>10</v>
      </c>
      <c r="F168" s="193" t="str">
        <f t="shared" ref="F168" si="41">F167</f>
        <v>弹药（射程40/120），装填，双手</v>
      </c>
      <c r="G168" s="193"/>
      <c r="H168" s="200">
        <f>H$3</f>
        <v>-1</v>
      </c>
      <c r="AK168" s="377" t="str">
        <f t="array" ref="AK168">INDEX(B:B,SMALL(IF($B$3:$B$177&lt;&gt;"",ROW($3:$177),178),ROW(J167)))&amp;""</f>
        <v/>
      </c>
    </row>
    <row r="169" customHeight="1" spans="1:37">
      <c r="A169" s="222"/>
      <c r="B169" s="224" t="str">
        <f>IF(B167="","",IF(AU$8=2,"咒剑"&amp;B167,""))</f>
        <v/>
      </c>
      <c r="C169" s="193" t="str">
        <f>C167</f>
        <v>1D12</v>
      </c>
      <c r="D169" s="193" t="str">
        <f>D167</f>
        <v>穿刺</v>
      </c>
      <c r="E169" s="379">
        <f>E167</f>
        <v>10</v>
      </c>
      <c r="F169" s="193" t="str">
        <f>F167</f>
        <v>弹药（射程40/120），装填，双手</v>
      </c>
      <c r="G169" s="193"/>
      <c r="H169" s="200">
        <f>H$61</f>
        <v>-1</v>
      </c>
      <c r="AK169" s="377" t="str">
        <f t="array" ref="AK169">INDEX(B:B,SMALL(IF($B$3:$B$177&lt;&gt;"",ROW($3:$177),178),ROW(J168)))&amp;""</f>
        <v/>
      </c>
    </row>
    <row r="170" customHeight="1" spans="1:37">
      <c r="A170" s="222"/>
      <c r="B170" s="224" t="str">
        <f>IF(B167="","",IF(AU$9=1,"匠师"&amp;B167,""))</f>
        <v/>
      </c>
      <c r="C170" s="193" t="str">
        <f>C167</f>
        <v>1D12</v>
      </c>
      <c r="D170" s="193" t="str">
        <f>D167</f>
        <v>穿刺</v>
      </c>
      <c r="E170" s="379">
        <f>E167</f>
        <v>10</v>
      </c>
      <c r="F170" s="193" t="str">
        <f>F167</f>
        <v>弹药（射程40/120），装填，双手</v>
      </c>
      <c r="G170" s="193"/>
      <c r="H170" s="200">
        <f>H$62</f>
        <v>-1</v>
      </c>
      <c r="AK170" s="377" t="str">
        <f t="array" ref="AK170">INDEX(B:B,SMALL(IF($B$3:$B$177&lt;&gt;"",ROW($3:$177),178),ROW(J169)))&amp;""</f>
        <v/>
      </c>
    </row>
    <row r="171" customHeight="1" spans="1:37">
      <c r="A171" s="192"/>
      <c r="B171" s="193" t="str">
        <f>IF(AND(COUNTIF(J31:J33,AL2),COUNTIF(职业数据!AD16:AD18,职业数据!D2)),"战狂装甲","")</f>
        <v/>
      </c>
      <c r="C171" s="224" t="s">
        <v>4003</v>
      </c>
      <c r="D171" s="224" t="s">
        <v>3782</v>
      </c>
      <c r="E171" s="379"/>
      <c r="F171" s="224" t="str">
        <f>""</f>
        <v/>
      </c>
      <c r="G171" s="193"/>
      <c r="H171" s="200">
        <f>H78</f>
        <v>-1</v>
      </c>
      <c r="AK171" s="377" t="str">
        <f t="array" ref="AK171">INDEX(B:B,SMALL(IF($B$3:$B$177&lt;&gt;"",ROW($3:$177),178),ROW(J170)))&amp;""</f>
        <v/>
      </c>
    </row>
    <row r="172" customHeight="1" spans="1:37">
      <c r="A172" s="192"/>
      <c r="B172" s="193" t="str">
        <f>IF(B171="","",IF(AU$7=2,"剑圣"&amp;B171,IF(AU$7&gt;=1,"专用"&amp;B171,"")))</f>
        <v/>
      </c>
      <c r="C172" s="193" t="str">
        <f>C11</f>
        <v>1D4</v>
      </c>
      <c r="D172" s="193" t="str">
        <f t="shared" ref="D172" si="42">D171</f>
        <v>穿刺</v>
      </c>
      <c r="E172" s="379">
        <f t="shared" ref="E172" si="43">E171</f>
        <v>0</v>
      </c>
      <c r="F172" s="193" t="str">
        <f t="shared" ref="F172" si="44">F171</f>
        <v/>
      </c>
      <c r="G172" s="193"/>
      <c r="H172" s="200">
        <f>H79</f>
        <v>-1</v>
      </c>
      <c r="AK172" s="377" t="str">
        <f t="array" ref="AK172">INDEX(B:B,SMALL(IF($B$3:$B$177&lt;&gt;"",ROW($3:$177),178),ROW(J171)))&amp;""</f>
        <v/>
      </c>
    </row>
    <row r="173" customHeight="1" spans="1:37">
      <c r="A173" s="192"/>
      <c r="B173" s="224" t="str">
        <f>IF(B171="","",IF(AU$8=2,"咒剑"&amp;B171,""))</f>
        <v/>
      </c>
      <c r="C173" s="193" t="str">
        <f>C171</f>
        <v>1D4</v>
      </c>
      <c r="D173" s="193" t="str">
        <f>D171</f>
        <v>穿刺</v>
      </c>
      <c r="E173" s="379">
        <f>E171</f>
        <v>0</v>
      </c>
      <c r="F173" s="193" t="str">
        <f>F171</f>
        <v/>
      </c>
      <c r="G173" s="193"/>
      <c r="H173" s="200">
        <f>H80</f>
        <v>-1</v>
      </c>
      <c r="AK173" s="377" t="str">
        <f t="array" ref="AK173">INDEX(B:B,SMALL(IF($B$3:$B$177&lt;&gt;"",ROW($3:$177),178),ROW(J172)))&amp;""</f>
        <v/>
      </c>
    </row>
    <row r="174" customHeight="1" spans="1:37">
      <c r="A174" s="192"/>
      <c r="B174" s="224" t="s">
        <v>4174</v>
      </c>
      <c r="C174" s="224" t="s">
        <v>3855</v>
      </c>
      <c r="D174" s="224" t="s">
        <v>3759</v>
      </c>
      <c r="E174" s="379"/>
      <c r="F174" s="224" t="s">
        <v>4175</v>
      </c>
      <c r="G174" s="193"/>
      <c r="H174" s="200">
        <f>IF(AU9=1,MAX(主要!R17,主要!R14),主要!R14)</f>
        <v>-1</v>
      </c>
      <c r="AK174" s="377" t="str">
        <f t="array" ref="AK174">INDEX(B:B,SMALL(IF($B$3:$B$177&lt;&gt;"",ROW($3:$177),178),ROW(J173)))&amp;""</f>
        <v/>
      </c>
    </row>
    <row r="175" customHeight="1" spans="1:37">
      <c r="A175" s="192"/>
      <c r="B175" s="193" t="str">
        <f>IF(AU$7=2,"剑圣"&amp;B174,IF(AU$7&gt;=1,"专用"&amp;B174,""))</f>
        <v/>
      </c>
      <c r="C175" s="193" t="str">
        <f>C$15</f>
        <v>1D8</v>
      </c>
      <c r="D175" s="193" t="str">
        <f>D174</f>
        <v>力场</v>
      </c>
      <c r="E175" s="379">
        <f>E174</f>
        <v>0</v>
      </c>
      <c r="F175" s="193" t="str">
        <f>F174</f>
        <v>投掷（射程20/60）</v>
      </c>
      <c r="G175" s="193"/>
      <c r="H175" s="200">
        <f>H$3</f>
        <v>-1</v>
      </c>
      <c r="AK175" s="377" t="str">
        <f t="array" ref="AK175">INDEX(B:B,SMALL(IF($B$3:$B$177&lt;&gt;"",ROW($3:$177),178),ROW(J174)))&amp;""</f>
        <v/>
      </c>
    </row>
    <row r="176" customHeight="1" spans="1:37">
      <c r="A176" s="192"/>
      <c r="B176" s="224" t="str">
        <f>IF(AU$8&gt;=1,"咒剑"&amp;B174,"")</f>
        <v/>
      </c>
      <c r="C176" s="193" t="str">
        <f>C174</f>
        <v>1D8</v>
      </c>
      <c r="D176" s="193" t="str">
        <f>D174</f>
        <v>力场</v>
      </c>
      <c r="E176" s="379">
        <f>E174</f>
        <v>0</v>
      </c>
      <c r="F176" s="193" t="str">
        <f>F174</f>
        <v>投掷（射程20/60）</v>
      </c>
      <c r="G176" s="193"/>
      <c r="H176" s="200">
        <f>H$80</f>
        <v>-1</v>
      </c>
      <c r="AK176" s="398" t="str">
        <f t="array" ref="AK176">INDEX(B:B,SMALL(IF($B$3:$B$177&lt;&gt;"",ROW($3:$177),178),ROW(J175)))&amp;""</f>
        <v/>
      </c>
    </row>
    <row r="177" customHeight="1" spans="1:8">
      <c r="A177" s="204"/>
      <c r="B177" s="234" t="str">
        <f>IF(COUNTIF(职业数据!AD16:AD18,职业数据!H7),"阳光箭","")</f>
        <v/>
      </c>
      <c r="C177" s="235" t="str">
        <f>C11</f>
        <v>1D4</v>
      </c>
      <c r="D177" s="234" t="s">
        <v>3851</v>
      </c>
      <c r="E177" s="399"/>
      <c r="F177" s="234" t="s">
        <v>4176</v>
      </c>
      <c r="G177" s="235"/>
      <c r="H177" s="205">
        <f>主要!R15</f>
        <v>-1</v>
      </c>
    </row>
    <row r="207" customHeight="1" spans="32:32">
      <c r="AF207" s="372"/>
    </row>
    <row r="208" customHeight="1" spans="32:32">
      <c r="AF208" s="372"/>
    </row>
    <row r="209" customHeight="1" spans="32:32">
      <c r="AF209" s="372"/>
    </row>
    <row r="211" customHeight="1" spans="32:32">
      <c r="AF211" s="372"/>
    </row>
    <row r="212" customHeight="1" spans="32:32">
      <c r="AF212" s="372"/>
    </row>
    <row r="213" customHeight="1" spans="32:32">
      <c r="AF213" s="372"/>
    </row>
    <row r="214" customHeight="1" spans="32:32">
      <c r="AF214" s="372"/>
    </row>
    <row r="215" customHeight="1" spans="32:32">
      <c r="AF215" s="372"/>
    </row>
    <row r="216" customHeight="1" spans="32:32">
      <c r="AF216" s="372"/>
    </row>
    <row r="217" customHeight="1" spans="32:32">
      <c r="AF217" s="372"/>
    </row>
    <row r="218" customHeight="1" spans="32:32">
      <c r="AF218" s="372"/>
    </row>
    <row r="219" customHeight="1" spans="32:32">
      <c r="AF219" s="372"/>
    </row>
    <row r="220" customHeight="1" spans="32:32">
      <c r="AF220" s="372"/>
    </row>
    <row r="221" customHeight="1" spans="32:32">
      <c r="AF221" s="372"/>
    </row>
    <row r="222" customHeight="1" spans="32:32">
      <c r="AF222" s="372"/>
    </row>
    <row r="223" customHeight="1" spans="32:32">
      <c r="AF223" s="372"/>
    </row>
    <row r="224" customHeight="1" spans="32:32">
      <c r="AF224" s="372"/>
    </row>
    <row r="225" customHeight="1" spans="32:32">
      <c r="AF225" s="372"/>
    </row>
    <row r="226" customHeight="1" spans="32:32">
      <c r="AF226" s="372"/>
    </row>
    <row r="227" customHeight="1" spans="32:32">
      <c r="AF227" s="372"/>
    </row>
    <row r="230" customHeight="1" spans="32:32">
      <c r="AF230" s="372"/>
    </row>
    <row r="231" customHeight="1" spans="32:32">
      <c r="AF231" s="372"/>
    </row>
    <row r="232" customHeight="1" spans="32:32">
      <c r="AF232" s="372"/>
    </row>
    <row r="233" customHeight="1" spans="32:32">
      <c r="AF233" s="372"/>
    </row>
    <row r="234" customHeight="1" spans="32:32">
      <c r="AF234" s="372"/>
    </row>
    <row r="235" customHeight="1" spans="32:32">
      <c r="AF235" s="372"/>
    </row>
    <row r="236" customHeight="1" spans="32:32">
      <c r="AF236" s="372"/>
    </row>
    <row r="237" customHeight="1" spans="32:32">
      <c r="AF237" s="372"/>
    </row>
    <row r="238" customHeight="1" spans="32:32">
      <c r="AF238" s="372"/>
    </row>
    <row r="239" customHeight="1" spans="32:32">
      <c r="AF239" s="372"/>
    </row>
    <row r="240" customHeight="1" spans="32:32">
      <c r="AF240" s="372"/>
    </row>
    <row r="241" customHeight="1" spans="32:32">
      <c r="AF241" s="372"/>
    </row>
    <row r="242" customHeight="1" spans="32:32">
      <c r="AF242" s="372"/>
    </row>
    <row r="243" customHeight="1" spans="32:32">
      <c r="AF243" s="372"/>
    </row>
    <row r="244" customHeight="1" spans="32:32">
      <c r="AF244" s="372"/>
    </row>
    <row r="245" customHeight="1" spans="32:32">
      <c r="AF245" s="372"/>
    </row>
    <row r="246" customHeight="1" spans="32:32">
      <c r="AF246" s="372"/>
    </row>
    <row r="247" customHeight="1" spans="32:32">
      <c r="AF247" s="372"/>
    </row>
    <row r="248" customHeight="1" spans="32:32">
      <c r="AF248" s="372"/>
    </row>
    <row r="249" customHeight="1" spans="32:32">
      <c r="AF249" s="372"/>
    </row>
  </sheetData>
  <sheetProtection sheet="1" objects="1" scenarios="1"/>
  <mergeCells count="16">
    <mergeCell ref="A1:H1"/>
    <mergeCell ref="I1:Q1"/>
    <mergeCell ref="S1:W1"/>
    <mergeCell ref="X1:Z1"/>
    <mergeCell ref="AE1:AG1"/>
    <mergeCell ref="AL11:AN11"/>
    <mergeCell ref="A11:A58"/>
    <mergeCell ref="A59:A77"/>
    <mergeCell ref="A78:A145"/>
    <mergeCell ref="A146:A170"/>
    <mergeCell ref="I7:I15"/>
    <mergeCell ref="I16:I33"/>
    <mergeCell ref="I34:I45"/>
    <mergeCell ref="AE2:AE18"/>
    <mergeCell ref="AE21:AE24"/>
    <mergeCell ref="AE26:AE35"/>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CF115"/>
  <sheetViews>
    <sheetView zoomScale="85" zoomScaleNormal="85" topLeftCell="A46" workbookViewId="0">
      <selection activeCell="K60" sqref="K60"/>
    </sheetView>
  </sheetViews>
  <sheetFormatPr defaultColWidth="9" defaultRowHeight="14.4" customHeight="1"/>
  <cols>
    <col min="1" max="6" width="8.89090909090909" style="181"/>
    <col min="7" max="7" width="8.89090909090909" style="181" customWidth="1"/>
    <col min="8" max="9" width="8.89090909090909" style="181"/>
    <col min="10" max="10" width="8.89090909090909" style="193"/>
    <col min="11" max="15" width="8.89090909090909" style="181"/>
    <col min="16" max="18" width="8.89090909090909" style="193"/>
    <col min="19" max="16384" width="8.89090909090909" style="181"/>
  </cols>
  <sheetData>
    <row r="1" customHeight="1" spans="1:71">
      <c r="A1" s="294">
        <f>IF(背景!E5="",0,背景!E5)</f>
        <v>0</v>
      </c>
      <c r="B1" s="221" t="s">
        <v>43</v>
      </c>
      <c r="C1" s="183" t="s">
        <v>59</v>
      </c>
      <c r="D1" s="221" t="s">
        <v>22</v>
      </c>
      <c r="E1" s="221" t="s">
        <v>4177</v>
      </c>
      <c r="F1" s="183" t="s">
        <v>4</v>
      </c>
      <c r="G1" s="218"/>
      <c r="H1" s="219" t="e">
        <f>VLOOKUP(A1,K:L,2,0)</f>
        <v>#N/A</v>
      </c>
      <c r="I1" s="218" t="s">
        <v>172</v>
      </c>
      <c r="J1" s="184">
        <f>VLOOKUP(A2,K:L,2,0)</f>
        <v>13</v>
      </c>
      <c r="K1" s="252"/>
      <c r="L1" s="184"/>
      <c r="M1" s="218" t="s">
        <v>4178</v>
      </c>
      <c r="N1" s="218" t="s">
        <v>4179</v>
      </c>
      <c r="O1" s="218" t="s">
        <v>4180</v>
      </c>
      <c r="P1" s="295" t="s">
        <v>4181</v>
      </c>
      <c r="Q1" s="295" t="s">
        <v>4182</v>
      </c>
      <c r="R1" s="218" t="s">
        <v>4183</v>
      </c>
      <c r="S1" s="218" t="s">
        <v>4184</v>
      </c>
      <c r="T1" s="218"/>
      <c r="U1" s="218"/>
      <c r="V1" s="218"/>
      <c r="W1" s="218"/>
      <c r="X1" s="218"/>
      <c r="Y1" s="218"/>
      <c r="Z1" s="218"/>
      <c r="AA1" s="218" t="s">
        <v>5</v>
      </c>
      <c r="AB1" s="218"/>
      <c r="AC1" s="218"/>
      <c r="AD1" s="218"/>
      <c r="AE1" s="218"/>
      <c r="AF1" s="218"/>
      <c r="AG1" s="218" t="s">
        <v>7</v>
      </c>
      <c r="AH1" s="218"/>
      <c r="AI1" s="218"/>
      <c r="AJ1" s="218"/>
      <c r="AK1" s="218"/>
      <c r="AL1" s="218"/>
      <c r="AM1" s="218" t="s">
        <v>9</v>
      </c>
      <c r="AN1" s="218"/>
      <c r="AO1" s="218"/>
      <c r="AP1" s="218"/>
      <c r="AQ1" s="218"/>
      <c r="AR1" s="218"/>
      <c r="AS1" s="218" t="s">
        <v>4185</v>
      </c>
      <c r="AT1" s="218"/>
      <c r="AU1" s="218"/>
      <c r="AV1" s="218"/>
      <c r="AW1" s="218"/>
      <c r="AX1" s="218"/>
      <c r="AY1" s="218" t="s">
        <v>4186</v>
      </c>
      <c r="AZ1" s="218" t="s">
        <v>4187</v>
      </c>
      <c r="BA1" s="218"/>
      <c r="BB1" s="218"/>
      <c r="BC1" s="218"/>
      <c r="BD1" s="218"/>
      <c r="BE1" s="218"/>
      <c r="BF1" s="218"/>
      <c r="BG1" s="218"/>
      <c r="BH1" s="218"/>
      <c r="BI1" s="218"/>
      <c r="BJ1" s="218"/>
      <c r="BK1" s="218"/>
      <c r="BL1" s="218"/>
      <c r="BM1" s="218"/>
      <c r="BN1" s="218"/>
      <c r="BO1" s="218"/>
      <c r="BP1" s="218"/>
      <c r="BQ1" s="218"/>
      <c r="BR1" s="218"/>
      <c r="BS1" s="220"/>
    </row>
    <row r="2" customHeight="1" spans="1:71">
      <c r="A2" s="294" t="str">
        <f>IF(主要!R4="",0,主要!R4)</f>
        <v>奇械师</v>
      </c>
      <c r="B2" s="232" t="s">
        <v>4188</v>
      </c>
      <c r="C2" s="222" t="s">
        <v>4189</v>
      </c>
      <c r="D2" s="232" t="s">
        <v>4190</v>
      </c>
      <c r="E2" s="232" t="str">
        <f t="array" ref="E2">INDEX(K:K,SMALL(IF($K$2:$K$78&lt;&gt;"",ROW($2:$78),79),ROW(K1)))&amp;""</f>
        <v>侍僧</v>
      </c>
      <c r="F2" s="222" t="s">
        <v>244</v>
      </c>
      <c r="G2" s="224" t="str">
        <f>IFERROR(INDEX(M2:Q78,H1,1),"")</f>
        <v/>
      </c>
      <c r="H2" s="223"/>
      <c r="I2" s="224" t="s">
        <v>4191</v>
      </c>
      <c r="J2" s="193">
        <f>IFERROR(INDEX($M$81:$R$93,$J$1,1),"")</f>
        <v>0</v>
      </c>
      <c r="K2" s="296" t="s">
        <v>4192</v>
      </c>
      <c r="L2" s="224">
        <v>1</v>
      </c>
      <c r="M2" s="224" t="s">
        <v>4193</v>
      </c>
      <c r="N2" s="193"/>
      <c r="O2" s="224" t="s">
        <v>4194</v>
      </c>
      <c r="P2" s="297" t="s">
        <v>4195</v>
      </c>
      <c r="Q2" s="297" t="s">
        <v>4196</v>
      </c>
      <c r="R2" s="224"/>
      <c r="S2" s="240" t="s">
        <v>4197</v>
      </c>
      <c r="T2" s="240" t="s">
        <v>4198</v>
      </c>
      <c r="U2" s="240" t="s">
        <v>4199</v>
      </c>
      <c r="V2" s="240" t="s">
        <v>4200</v>
      </c>
      <c r="W2" s="240" t="s">
        <v>4201</v>
      </c>
      <c r="X2" s="240" t="s">
        <v>4202</v>
      </c>
      <c r="Y2" s="240" t="s">
        <v>4203</v>
      </c>
      <c r="Z2" s="240" t="s">
        <v>4204</v>
      </c>
      <c r="AA2" s="298" t="s">
        <v>4205</v>
      </c>
      <c r="AB2" s="298" t="s">
        <v>4206</v>
      </c>
      <c r="AC2" s="298" t="s">
        <v>4207</v>
      </c>
      <c r="AD2" s="298" t="s">
        <v>4208</v>
      </c>
      <c r="AE2" s="233" t="s">
        <v>4209</v>
      </c>
      <c r="AF2" s="298" t="s">
        <v>4210</v>
      </c>
      <c r="AG2" s="299" t="s">
        <v>4211</v>
      </c>
      <c r="AH2" s="299" t="s">
        <v>4212</v>
      </c>
      <c r="AI2" s="299" t="s">
        <v>4213</v>
      </c>
      <c r="AJ2" s="299" t="s">
        <v>4214</v>
      </c>
      <c r="AK2" s="299" t="s">
        <v>4215</v>
      </c>
      <c r="AL2" s="299" t="s">
        <v>4216</v>
      </c>
      <c r="AM2" s="300" t="s">
        <v>4217</v>
      </c>
      <c r="AN2" s="300" t="s">
        <v>4218</v>
      </c>
      <c r="AO2" s="300" t="s">
        <v>4219</v>
      </c>
      <c r="AP2" s="300" t="s">
        <v>4220</v>
      </c>
      <c r="AQ2" s="300" t="s">
        <v>4221</v>
      </c>
      <c r="AR2" s="300" t="s">
        <v>4222</v>
      </c>
      <c r="AS2" s="301" t="s">
        <v>4223</v>
      </c>
      <c r="AT2" s="301" t="s">
        <v>4224</v>
      </c>
      <c r="AU2" s="301" t="s">
        <v>4225</v>
      </c>
      <c r="AV2" s="301" t="s">
        <v>4226</v>
      </c>
      <c r="AW2" s="301" t="s">
        <v>4227</v>
      </c>
      <c r="AX2" s="301" t="s">
        <v>4228</v>
      </c>
      <c r="AY2" s="193"/>
      <c r="AZ2" s="241"/>
      <c r="BA2" s="241"/>
      <c r="BB2" s="241"/>
      <c r="BC2" s="241"/>
      <c r="BD2" s="241"/>
      <c r="BE2" s="241"/>
      <c r="BF2" s="241"/>
      <c r="BG2" s="241"/>
      <c r="BH2" s="241"/>
      <c r="BI2" s="241"/>
      <c r="BJ2" s="241"/>
      <c r="BK2" s="241"/>
      <c r="BL2" s="241"/>
      <c r="BM2" s="241"/>
      <c r="BN2" s="241"/>
      <c r="BO2" s="241"/>
      <c r="BP2" s="241"/>
      <c r="BQ2" s="241"/>
      <c r="BR2" s="241"/>
      <c r="BS2" s="302"/>
    </row>
    <row r="3" customHeight="1" spans="1:71">
      <c r="B3" s="232" t="s">
        <v>44</v>
      </c>
      <c r="C3" s="222" t="s">
        <v>4229</v>
      </c>
      <c r="D3" s="232" t="s">
        <v>4230</v>
      </c>
      <c r="E3" s="232" t="str">
        <f t="array" ref="E3">INDEX(K:K,SMALL(IF($K$2:$K$78&lt;&gt;"",ROW($2:$78),79),ROW(K2)))&amp;""</f>
        <v>骗子</v>
      </c>
      <c r="F3" s="222" t="s">
        <v>242</v>
      </c>
      <c r="G3" s="224" t="str">
        <f>IFERROR(IF(INDEX(M2:Q78,H1,2)=0,"",INDEX(M2:Q78,H1,2)),"")</f>
        <v/>
      </c>
      <c r="H3" s="223"/>
      <c r="I3" s="224"/>
      <c r="J3" s="193">
        <f>IFERROR(INDEX($M$81:$R$93,$J$1,2),"")</f>
        <v>0</v>
      </c>
      <c r="K3" s="296" t="s">
        <v>4231</v>
      </c>
      <c r="L3" s="224">
        <f>L2+1</f>
        <v>2</v>
      </c>
      <c r="M3" s="224" t="s">
        <v>4232</v>
      </c>
      <c r="N3" s="224" t="s">
        <v>4233</v>
      </c>
      <c r="O3" s="193"/>
      <c r="P3" s="297" t="s">
        <v>4234</v>
      </c>
      <c r="Q3" s="297" t="s">
        <v>4235</v>
      </c>
      <c r="R3" s="224"/>
      <c r="S3" s="240" t="s">
        <v>4236</v>
      </c>
      <c r="T3" s="240" t="s">
        <v>4237</v>
      </c>
      <c r="U3" s="240" t="s">
        <v>4238</v>
      </c>
      <c r="V3" s="240" t="s">
        <v>4239</v>
      </c>
      <c r="W3" s="240" t="s">
        <v>4240</v>
      </c>
      <c r="X3" s="240" t="s">
        <v>4241</v>
      </c>
      <c r="Y3" s="240" t="s">
        <v>4242</v>
      </c>
      <c r="Z3" s="240" t="s">
        <v>4243</v>
      </c>
      <c r="AA3" s="298" t="s">
        <v>4244</v>
      </c>
      <c r="AB3" s="298" t="s">
        <v>4245</v>
      </c>
      <c r="AC3" s="298" t="s">
        <v>4246</v>
      </c>
      <c r="AD3" s="298" t="s">
        <v>4247</v>
      </c>
      <c r="AE3" s="233" t="s">
        <v>4248</v>
      </c>
      <c r="AF3" s="298" t="s">
        <v>4249</v>
      </c>
      <c r="AG3" s="299" t="s">
        <v>4250</v>
      </c>
      <c r="AH3" s="299" t="s">
        <v>4251</v>
      </c>
      <c r="AI3" s="299" t="s">
        <v>4252</v>
      </c>
      <c r="AJ3" s="299" t="s">
        <v>4253</v>
      </c>
      <c r="AK3" s="299" t="s">
        <v>4254</v>
      </c>
      <c r="AL3" s="299" t="s">
        <v>4255</v>
      </c>
      <c r="AM3" s="300" t="s">
        <v>4256</v>
      </c>
      <c r="AN3" s="300" t="s">
        <v>4257</v>
      </c>
      <c r="AO3" s="300" t="s">
        <v>4258</v>
      </c>
      <c r="AP3" s="300" t="s">
        <v>4259</v>
      </c>
      <c r="AQ3" s="300" t="s">
        <v>4260</v>
      </c>
      <c r="AR3" s="300" t="s">
        <v>4261</v>
      </c>
      <c r="AS3" s="301" t="s">
        <v>4262</v>
      </c>
      <c r="AT3" s="301" t="s">
        <v>4263</v>
      </c>
      <c r="AU3" s="301" t="s">
        <v>4264</v>
      </c>
      <c r="AV3" s="301" t="s">
        <v>4265</v>
      </c>
      <c r="AW3" s="301" t="s">
        <v>4266</v>
      </c>
      <c r="AX3" s="301" t="s">
        <v>4267</v>
      </c>
      <c r="AY3" s="224" t="s">
        <v>4268</v>
      </c>
      <c r="AZ3" s="241" t="s">
        <v>4269</v>
      </c>
      <c r="BA3" s="241" t="s">
        <v>4270</v>
      </c>
      <c r="BB3" s="241" t="s">
        <v>4271</v>
      </c>
      <c r="BC3" s="241" t="s">
        <v>4272</v>
      </c>
      <c r="BD3" s="241" t="s">
        <v>4273</v>
      </c>
      <c r="BE3" s="241" t="s">
        <v>4274</v>
      </c>
      <c r="BF3" s="241"/>
      <c r="BG3" s="241"/>
      <c r="BH3" s="241"/>
      <c r="BI3" s="241"/>
      <c r="BJ3" s="241"/>
      <c r="BK3" s="241"/>
      <c r="BL3" s="241"/>
      <c r="BM3" s="241"/>
      <c r="BN3" s="241"/>
      <c r="BO3" s="241"/>
      <c r="BP3" s="241"/>
      <c r="BQ3" s="241"/>
      <c r="BR3" s="241"/>
      <c r="BS3" s="302"/>
    </row>
    <row r="4" customHeight="1" spans="1:71">
      <c r="B4" s="303" t="s">
        <v>16</v>
      </c>
      <c r="C4" s="222" t="s">
        <v>4275</v>
      </c>
      <c r="D4" s="232" t="s">
        <v>4276</v>
      </c>
      <c r="E4" s="232" t="str">
        <f t="array" ref="E4">INDEX(K:K,SMALL(IF($K$2:$K$78&lt;&gt;"",ROW($2:$78),79),ROW(K3)))&amp;""</f>
        <v>罪犯</v>
      </c>
      <c r="F4" s="222" t="s">
        <v>4180</v>
      </c>
      <c r="G4" s="224" t="str">
        <f>IFERROR(IF(INDEX(M2:Q78,H1,3)=0,"",INDEX(M2:Q78,H1,3)),"")</f>
        <v/>
      </c>
      <c r="H4" s="223"/>
      <c r="I4" s="224"/>
      <c r="J4" s="193">
        <f>IFERROR(INDEX($M$81:$R$93,$J$1,3),"")</f>
        <v>0</v>
      </c>
      <c r="K4" s="296" t="s">
        <v>4277</v>
      </c>
      <c r="L4" s="224">
        <f t="shared" ref="L4:L67" si="0">L3+1</f>
        <v>3</v>
      </c>
      <c r="M4" s="224" t="s">
        <v>4278</v>
      </c>
      <c r="N4" s="224" t="s">
        <v>4279</v>
      </c>
      <c r="O4" s="193"/>
      <c r="P4" s="297" t="s">
        <v>4280</v>
      </c>
      <c r="Q4" s="297" t="s">
        <v>4281</v>
      </c>
      <c r="R4" s="224"/>
      <c r="S4" s="240" t="s">
        <v>4282</v>
      </c>
      <c r="T4" s="240" t="s">
        <v>4283</v>
      </c>
      <c r="U4" s="240" t="s">
        <v>4284</v>
      </c>
      <c r="V4" s="240" t="s">
        <v>4285</v>
      </c>
      <c r="W4" s="240" t="s">
        <v>4286</v>
      </c>
      <c r="X4" s="240" t="s">
        <v>4287</v>
      </c>
      <c r="Y4" s="240" t="s">
        <v>4288</v>
      </c>
      <c r="Z4" s="240" t="s">
        <v>4289</v>
      </c>
      <c r="AA4" s="298" t="s">
        <v>4290</v>
      </c>
      <c r="AB4" s="298" t="s">
        <v>4291</v>
      </c>
      <c r="AC4" s="298" t="s">
        <v>4292</v>
      </c>
      <c r="AD4" s="298" t="s">
        <v>4293</v>
      </c>
      <c r="AE4" s="233" t="s">
        <v>4294</v>
      </c>
      <c r="AF4" s="298" t="s">
        <v>4295</v>
      </c>
      <c r="AG4" s="299" t="s">
        <v>4296</v>
      </c>
      <c r="AH4" s="299" t="s">
        <v>4297</v>
      </c>
      <c r="AI4" s="299" t="s">
        <v>4298</v>
      </c>
      <c r="AJ4" s="299" t="s">
        <v>4299</v>
      </c>
      <c r="AK4" s="299" t="s">
        <v>4300</v>
      </c>
      <c r="AL4" s="299" t="s">
        <v>4301</v>
      </c>
      <c r="AM4" s="300" t="s">
        <v>4302</v>
      </c>
      <c r="AN4" s="300" t="s">
        <v>4303</v>
      </c>
      <c r="AO4" s="300" t="s">
        <v>4304</v>
      </c>
      <c r="AP4" s="300" t="s">
        <v>4305</v>
      </c>
      <c r="AQ4" s="300" t="s">
        <v>4306</v>
      </c>
      <c r="AR4" s="300" t="s">
        <v>4307</v>
      </c>
      <c r="AS4" s="301" t="s">
        <v>4308</v>
      </c>
      <c r="AT4" s="301" t="s">
        <v>4309</v>
      </c>
      <c r="AU4" s="301" t="s">
        <v>4310</v>
      </c>
      <c r="AV4" s="301" t="s">
        <v>4311</v>
      </c>
      <c r="AW4" s="301" t="s">
        <v>4312</v>
      </c>
      <c r="AX4" s="301" t="s">
        <v>4313</v>
      </c>
      <c r="AY4" s="224" t="s">
        <v>4314</v>
      </c>
      <c r="AZ4" s="297" t="s">
        <v>4315</v>
      </c>
      <c r="BA4" s="297" t="s">
        <v>4316</v>
      </c>
      <c r="BB4" s="297" t="s">
        <v>4317</v>
      </c>
      <c r="BC4" s="297" t="s">
        <v>4318</v>
      </c>
      <c r="BD4" s="297" t="s">
        <v>4319</v>
      </c>
      <c r="BE4" s="297" t="s">
        <v>4320</v>
      </c>
      <c r="BF4" s="297" t="s">
        <v>4321</v>
      </c>
      <c r="BG4" s="297" t="s">
        <v>4322</v>
      </c>
      <c r="BH4" s="241"/>
      <c r="BI4" s="241"/>
      <c r="BJ4" s="241"/>
      <c r="BK4" s="241"/>
      <c r="BL4" s="241"/>
      <c r="BM4" s="241"/>
      <c r="BN4" s="241"/>
      <c r="BO4" s="241"/>
      <c r="BP4" s="241"/>
      <c r="BQ4" s="241"/>
      <c r="BR4" s="241"/>
      <c r="BS4" s="302"/>
    </row>
    <row r="5" customHeight="1" spans="1:71">
      <c r="C5" s="222" t="s">
        <v>4323</v>
      </c>
      <c r="D5" s="232" t="s">
        <v>4324</v>
      </c>
      <c r="E5" s="232" t="str">
        <f t="array" ref="E5">INDEX(K:K,SMALL(IF($K$2:$K$78&lt;&gt;"",ROW($2:$78),79),ROW(K4)))&amp;""</f>
        <v>密探</v>
      </c>
      <c r="F5" s="222" t="str">
        <f>IFERROR(INDEX(M2:Q78,H1,4),"")</f>
        <v/>
      </c>
      <c r="G5" s="181" t="str">
        <f>IFERROR(INDEX(M2:Q78,H1,5),"")</f>
        <v/>
      </c>
      <c r="H5" s="196"/>
      <c r="I5" s="224"/>
      <c r="J5" s="193">
        <f>IFERROR(INDEX($M$81:$R$93,$J$1,4),"")</f>
        <v>0</v>
      </c>
      <c r="K5" s="296" t="s">
        <v>4325</v>
      </c>
      <c r="L5" s="224">
        <f t="shared" si="0"/>
        <v>4</v>
      </c>
      <c r="M5" s="224" t="str">
        <f>M4</f>
        <v>欺瞒、隐匿</v>
      </c>
      <c r="N5" s="224" t="str">
        <f>N4</f>
        <v>一种赌具、盗贼工具</v>
      </c>
      <c r="O5" s="224"/>
      <c r="P5" s="297" t="str">
        <f>P4</f>
        <v>罪犯接头人</v>
      </c>
      <c r="Q5" s="297" t="str">
        <f>Q4</f>
        <v>你有一个可靠可信的接头人，来帮你组织进罪犯们组成的联系网中。即使遥隔千里你也知道如何从接头人处收发信息。此外，你还知道哪些人能为你捎信，他们可能是本地的信使，可贿赂的商队主管，或是衣衫褴褛的水手。</v>
      </c>
      <c r="R5" s="224"/>
      <c r="S5" s="240" t="str">
        <f t="shared" ref="S5:AX5" si="1">S4</f>
        <v>我总是计划好事情变糟时的应对方法。</v>
      </c>
      <c r="T5" s="240" t="str">
        <f t="shared" si="1"/>
        <v>无论情形如何我总能保持冷静。我从不会忽然提高音调或是让情绪影响自己。</v>
      </c>
      <c r="U5" s="240" t="str">
        <f t="shared" si="1"/>
        <v>我每到一个新地方做的第一件事就是记下每个有价值之物的位置——或是可能藏有类似东西的地点。</v>
      </c>
      <c r="V5" s="240" t="str">
        <f t="shared" si="1"/>
        <v>比起制造一个新敌人，我宁可交一个新朋友。</v>
      </c>
      <c r="W5" s="240" t="str">
        <f t="shared" si="1"/>
        <v>我极端的不易信任他人。表面上看上去越公正的人通常都藏着越多见不得光的事。</v>
      </c>
      <c r="X5" s="240" t="str">
        <f t="shared" si="1"/>
        <v>我不会考虑某个情形中的风险。永远别跟我谈几率。</v>
      </c>
      <c r="Y5" s="240" t="str">
        <f t="shared" si="1"/>
        <v>令我做某件事的最好手段就是跟我说不能那样做。</v>
      </c>
      <c r="Z5" s="240" t="str">
        <f t="shared" si="1"/>
        <v>最轻微的侮辱也能把我气炸了。</v>
      </c>
      <c r="AA5" s="298" t="str">
        <f t="shared" si="1"/>
        <v>荣誉：我不会偷行家的东西。</v>
      </c>
      <c r="AB5" s="298" t="str">
        <f t="shared" si="1"/>
        <v>自由：枷锁的存在以及即是被打破，而那些铸造枷锁的人也该受同样对待。</v>
      </c>
      <c r="AC5" s="298" t="str">
        <f t="shared" si="1"/>
        <v>仁爱：我从富人处窃取财富然后帮助有需要的人。</v>
      </c>
      <c r="AD5" s="298" t="str">
        <f t="shared" si="1"/>
        <v>贪婪：为了致富我愿意做任何事。</v>
      </c>
      <c r="AE5" s="233" t="str">
        <f t="shared" si="1"/>
        <v>人民：我忠于我的朋友而非任何理想，此外的其他人就算下到冥河里也与我无关。</v>
      </c>
      <c r="AF5" s="298" t="str">
        <f t="shared" si="1"/>
        <v>救赎：人人心中有善念。</v>
      </c>
      <c r="AG5" s="299" t="str">
        <f t="shared" si="1"/>
        <v>我试图偿还一个慷慨的资助者的老债务。</v>
      </c>
      <c r="AH5" s="299" t="str">
        <f t="shared" si="1"/>
        <v>我的非法所得是为了支持我的家庭。</v>
      </c>
      <c r="AI5" s="299" t="str">
        <f t="shared" si="1"/>
        <v>我有一件重要的东西被夺走了，并且我想要把它偷回来。</v>
      </c>
      <c r="AJ5" s="299" t="str">
        <f t="shared" si="1"/>
        <v>我会成为有史以来最伟大的盗贼。</v>
      </c>
      <c r="AK5" s="299" t="str">
        <f t="shared" si="1"/>
        <v>我因一桩严重罪行而内疚。并希望从中寻求自我救赎。</v>
      </c>
      <c r="AL5" s="299" t="str">
        <f t="shared" si="1"/>
        <v>我深爱的某人因我犯下的错误而死。而我决不会让这种事情再发生了。</v>
      </c>
      <c r="AM5" s="300" t="str">
        <f t="shared" si="1"/>
        <v>当我看到一些有价值的东西时，就会一心只想如何偷到它。</v>
      </c>
      <c r="AN5" s="300" t="str">
        <f t="shared" si="1"/>
        <v>在面对金钱与朋友间的抉择时，我通常都选择金钱。</v>
      </c>
      <c r="AO5" s="300" t="str">
        <f t="shared" si="1"/>
        <v>每当要记住某个计划时，我总会忘掉。就是无法忘掉，我也会选择性无视它。</v>
      </c>
      <c r="AP5" s="300" t="str">
        <f t="shared" si="1"/>
        <v>我撒谎时会故意作出某些习惯动作。</v>
      </c>
      <c r="AQ5" s="300" t="str">
        <f t="shared" si="1"/>
        <v>当事情看起来似乎开始糟糕时，我会转身掉头就跑。</v>
      </c>
      <c r="AR5" s="300" t="str">
        <f t="shared" si="1"/>
        <v>一名无辜者因我犯下的某桩罪行而进了监狱。这事我觉得挺好</v>
      </c>
      <c r="AS5" s="301" t="str">
        <f t="shared" si="1"/>
        <v>我早年痛恨当局权威，并且认为当一个罪犯是对抗暴政和压迫的最好方式。</v>
      </c>
      <c r="AT5" s="301" t="str">
        <f t="shared" si="1"/>
        <v>我被迫走上犯罪的道路，这是我唯一能活下来的方法。</v>
      </c>
      <c r="AU5" s="301" t="str">
        <f t="shared" si="1"/>
        <v>我和一群无赖与废柴们混在一起，从他们那儿学到了我的罪犯专业。</v>
      </c>
      <c r="AV5" s="301" t="str">
        <f t="shared" si="1"/>
        <v>父亲/母亲或者某位亲戚教会了我这项罪犯专业，好让我加入家族的生意。</v>
      </c>
      <c r="AW5" s="301" t="str">
        <f t="shared" si="1"/>
        <v>我离开了家，在盗贼行会或者其他犯罪组织里找到了一席之地。</v>
      </c>
      <c r="AX5" s="301" t="str">
        <f t="shared" si="1"/>
        <v>我总是觉得无聊，所以转向犯罪来打发时间，并且发现我挺擅长干这个。</v>
      </c>
      <c r="AY5" s="224" t="s">
        <v>4326</v>
      </c>
      <c r="AZ5" s="297" t="s">
        <v>4327</v>
      </c>
      <c r="BA5" s="297" t="s">
        <v>4328</v>
      </c>
      <c r="BB5" s="297"/>
      <c r="BC5" s="297"/>
      <c r="BD5" s="297"/>
      <c r="BE5" s="297"/>
      <c r="BF5" s="297"/>
      <c r="BG5" s="297"/>
      <c r="BH5" s="241"/>
      <c r="BI5" s="241"/>
      <c r="BJ5" s="241"/>
      <c r="BK5" s="241"/>
      <c r="BL5" s="241"/>
      <c r="BM5" s="241"/>
      <c r="BN5" s="241"/>
      <c r="BO5" s="241"/>
      <c r="BP5" s="241"/>
      <c r="BQ5" s="241"/>
      <c r="BR5" s="241"/>
      <c r="BS5" s="302"/>
    </row>
    <row r="6" customHeight="1" spans="1:71">
      <c r="C6" s="222" t="s">
        <v>4329</v>
      </c>
      <c r="D6" s="232" t="s">
        <v>4330</v>
      </c>
      <c r="E6" s="232" t="str">
        <f t="array" ref="E6">INDEX(K:K,SMALL(IF($K$2:$K$78&lt;&gt;"",ROW($2:$78),79),ROW(K5)))&amp;""</f>
        <v>艺人</v>
      </c>
      <c r="F6" s="304" t="str">
        <f>IF(综合数据!B15=TRUE,"继承人","")</f>
        <v>继承人</v>
      </c>
      <c r="G6" s="198" t="s">
        <v>4331</v>
      </c>
      <c r="H6" s="203"/>
      <c r="I6" s="224"/>
      <c r="J6" s="193">
        <f>IFERROR(INDEX($M$81:$R$93,$J$1,5),"")</f>
        <v>0</v>
      </c>
      <c r="K6" s="296" t="s">
        <v>4332</v>
      </c>
      <c r="L6" s="224">
        <f t="shared" si="0"/>
        <v>5</v>
      </c>
      <c r="M6" s="224" t="s">
        <v>4333</v>
      </c>
      <c r="N6" s="224" t="s">
        <v>4334</v>
      </c>
      <c r="O6" s="193"/>
      <c r="P6" s="297" t="s">
        <v>4335</v>
      </c>
      <c r="Q6" s="297" t="s">
        <v>4336</v>
      </c>
      <c r="R6" s="224"/>
      <c r="S6" s="240" t="s">
        <v>4337</v>
      </c>
      <c r="T6" s="240" t="s">
        <v>4338</v>
      </c>
      <c r="U6" s="240" t="s">
        <v>4339</v>
      </c>
      <c r="V6" s="240" t="s">
        <v>4340</v>
      </c>
      <c r="W6" s="240" t="s">
        <v>4341</v>
      </c>
      <c r="X6" s="240" t="s">
        <v>4342</v>
      </c>
      <c r="Y6" s="240" t="s">
        <v>4343</v>
      </c>
      <c r="Z6" s="240" t="s">
        <v>4344</v>
      </c>
      <c r="AA6" s="298" t="s">
        <v>4345</v>
      </c>
      <c r="AB6" s="298" t="s">
        <v>4346</v>
      </c>
      <c r="AC6" s="298" t="s">
        <v>4347</v>
      </c>
      <c r="AD6" s="298" t="s">
        <v>4348</v>
      </c>
      <c r="AE6" s="233" t="s">
        <v>4349</v>
      </c>
      <c r="AF6" s="298" t="s">
        <v>4350</v>
      </c>
      <c r="AG6" s="299" t="s">
        <v>4351</v>
      </c>
      <c r="AH6" s="299" t="s">
        <v>4352</v>
      </c>
      <c r="AI6" s="299" t="s">
        <v>4353</v>
      </c>
      <c r="AJ6" s="299" t="s">
        <v>4354</v>
      </c>
      <c r="AK6" s="299" t="s">
        <v>4355</v>
      </c>
      <c r="AL6" s="299" t="s">
        <v>4356</v>
      </c>
      <c r="AM6" s="300" t="s">
        <v>4357</v>
      </c>
      <c r="AN6" s="300" t="s">
        <v>4358</v>
      </c>
      <c r="AO6" s="300" t="s">
        <v>4359</v>
      </c>
      <c r="AP6" s="300" t="s">
        <v>4360</v>
      </c>
      <c r="AQ6" s="300" t="s">
        <v>4361</v>
      </c>
      <c r="AR6" s="300" t="s">
        <v>4362</v>
      </c>
      <c r="AS6" s="301" t="s">
        <v>4363</v>
      </c>
      <c r="AT6" s="301" t="s">
        <v>4364</v>
      </c>
      <c r="AU6" s="301" t="s">
        <v>4365</v>
      </c>
      <c r="AV6" s="301" t="s">
        <v>4366</v>
      </c>
      <c r="AW6" s="301" t="s">
        <v>4367</v>
      </c>
      <c r="AX6" s="301" t="s">
        <v>4368</v>
      </c>
      <c r="AY6" s="224" t="s">
        <v>4369</v>
      </c>
      <c r="AZ6" s="297" t="s">
        <v>4370</v>
      </c>
      <c r="BA6" s="297" t="s">
        <v>4371</v>
      </c>
      <c r="BB6" s="297" t="s">
        <v>4372</v>
      </c>
      <c r="BC6" s="297" t="s">
        <v>4373</v>
      </c>
      <c r="BD6" s="297" t="s">
        <v>4374</v>
      </c>
      <c r="BE6" s="297" t="s">
        <v>4375</v>
      </c>
      <c r="BF6" s="297" t="s">
        <v>4376</v>
      </c>
      <c r="BG6" s="297" t="s">
        <v>4377</v>
      </c>
      <c r="BH6" s="297" t="s">
        <v>4378</v>
      </c>
      <c r="BI6" s="297" t="s">
        <v>4379</v>
      </c>
      <c r="BJ6" s="241"/>
      <c r="BK6" s="241"/>
      <c r="BL6" s="241"/>
      <c r="BM6" s="241"/>
      <c r="BN6" s="241"/>
      <c r="BO6" s="241"/>
      <c r="BP6" s="241"/>
      <c r="BQ6" s="241"/>
      <c r="BR6" s="241"/>
      <c r="BS6" s="302"/>
    </row>
    <row r="7" customHeight="1" spans="1:71">
      <c r="C7" s="222" t="s">
        <v>4380</v>
      </c>
      <c r="D7" s="232" t="s">
        <v>4381</v>
      </c>
      <c r="E7" s="232" t="str">
        <f t="array" ref="E7">INDEX(K:K,SMALL(IF($K$2:$K$78&lt;&gt;"",ROW($2:$78),79),ROW(K6)))&amp;""</f>
        <v>角斗士</v>
      </c>
      <c r="F7" s="304" t="str">
        <f>IF(综合数据!B15=TRUE,"迷雾漫游者","")</f>
        <v>迷雾漫游者</v>
      </c>
      <c r="G7" s="198" t="s">
        <v>4382</v>
      </c>
      <c r="H7" s="203"/>
      <c r="I7" s="224"/>
      <c r="J7" s="193">
        <f>IFERROR(INDEX($M$81:$R$93,$J$1,6),"")</f>
        <v>0</v>
      </c>
      <c r="K7" s="296" t="s">
        <v>4383</v>
      </c>
      <c r="L7" s="224">
        <f t="shared" si="0"/>
        <v>6</v>
      </c>
      <c r="M7" s="224" t="str">
        <f>M6</f>
        <v>体操、表演</v>
      </c>
      <c r="N7" s="224" t="s">
        <v>4384</v>
      </c>
      <c r="O7" s="224"/>
      <c r="P7" s="297" t="str">
        <f>P6</f>
        <v>人见人爱</v>
      </c>
      <c r="Q7" s="297" t="str">
        <f>Q6</f>
        <v>你总是能找到表演场地，通常是某个斗剑场，或是黑拳俱乐部，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v>
      </c>
      <c r="R7" s="224"/>
      <c r="S7" s="240" t="str">
        <f t="shared" ref="S7:AX7" si="2">S6</f>
        <v>我知道一个几乎适合所有情况的故事。</v>
      </c>
      <c r="T7" s="240" t="str">
        <f t="shared" si="2"/>
        <v>我到一个新地方后就会着手收集当地的流言和小道消息。</v>
      </c>
      <c r="U7" s="240" t="str">
        <f t="shared" si="2"/>
        <v>我是无可救药的浪漫病，总是在找“有缘人”。</v>
      </c>
      <c r="V7" s="240" t="str">
        <f t="shared" si="2"/>
        <v>我周围的人都不会生气太久，因为我总能缓和紧张的气氛。</v>
      </c>
      <c r="W7" s="240" t="str">
        <f t="shared" si="2"/>
        <v>我喜欢精妙的讽刺，即使那是对我的讽刺也一样。</v>
      </c>
      <c r="X7" s="240" t="str">
        <f t="shared" si="2"/>
        <v>我一旦不能成为众人焦点就会很难受。</v>
      </c>
      <c r="Y7" s="240" t="str">
        <f t="shared" si="2"/>
        <v>我是完美主义者。</v>
      </c>
      <c r="Z7" s="240" t="str">
        <f t="shared" si="2"/>
        <v>我的情绪和思想变得和弹琴轮指一样快。</v>
      </c>
      <c r="AA7" s="298" t="str">
        <f t="shared" si="2"/>
        <v>美好：我表演时的世界会显得更美好。</v>
      </c>
      <c r="AB7" s="298" t="str">
        <f t="shared" si="2"/>
        <v>传统：过去的故事、史诗以及歌谣塑造了我们，因而他们不该被遗忘。</v>
      </c>
      <c r="AC7" s="298" t="str">
        <f t="shared" si="2"/>
        <v>创新：世界需要崭新的创意和大胆的行动。</v>
      </c>
      <c r="AD7" s="298" t="str">
        <f t="shared" si="2"/>
        <v>贪婪：我只是为名为利罢了。</v>
      </c>
      <c r="AE7" s="233" t="str">
        <f t="shared" si="2"/>
        <v>人民：我喜欢表演时人们脸上的笑容。那就是我想要的。</v>
      </c>
      <c r="AF7" s="298" t="str">
        <f t="shared" si="2"/>
        <v>正直：艺术展现灵魂。它应当发自内心，揭露本我。</v>
      </c>
      <c r="AG7" s="299" t="str">
        <f t="shared" si="2"/>
        <v>我的乐器是我最宝贵的财富，它纪念着某个我所爱之人。</v>
      </c>
      <c r="AH7" s="299" t="str">
        <f t="shared" si="2"/>
        <v>有人偷走了我珍爱的乐器，而我一定要夺回来。</v>
      </c>
      <c r="AI7" s="299" t="str">
        <f t="shared" si="2"/>
        <v>我要不惜一切代价让自己出名。</v>
      </c>
      <c r="AJ7" s="299" t="str">
        <f t="shared" si="2"/>
        <v>我崇拜古老传奇中的某位英雄，并时时以他作榜样。</v>
      </c>
      <c r="AK7" s="299" t="str">
        <f t="shared" si="2"/>
        <v>只要能证明我比那个可恨的对手强，我愿意做任何事情。</v>
      </c>
      <c r="AL7" s="299" t="str">
        <f t="shared" si="2"/>
        <v>我可以为老剧团的同伴做任何事。</v>
      </c>
      <c r="AM7" s="300" t="str">
        <f t="shared" si="2"/>
        <v>我会不择手段的去获取声誉和名望。</v>
      </c>
      <c r="AN7" s="300" t="str">
        <f t="shared" si="2"/>
        <v>我对漂亮脸蛋非常着迷。</v>
      </c>
      <c r="AO7" s="300" t="str">
        <f t="shared" si="2"/>
        <v>某个丑闻让我背井离乡。而这麻烦依然如影随形。</v>
      </c>
      <c r="AP7" s="300" t="str">
        <f t="shared" si="2"/>
        <v>我曾经讽刺过一个贵族，现在他仍然想要我的脑袋。而这错误我可能还会再犯。</v>
      </c>
      <c r="AQ7" s="300" t="str">
        <f t="shared" si="2"/>
        <v>我总是忍不住道出自己的真实感受。而我的刻薄言辞也经常带给我麻烦。</v>
      </c>
      <c r="AR7" s="300" t="str">
        <f t="shared" si="2"/>
        <v>就算我尽了全力，我的朋友们还是认为我靠不住。</v>
      </c>
      <c r="AS7" s="301" t="str">
        <f t="shared" si="2"/>
        <v>我的家族就靠表演这一行糊口，我顺理成章地选择了相同的行当。</v>
      </c>
      <c r="AT7" s="301" t="str">
        <f t="shared" si="2"/>
        <v>我总是能敏锐地洞悉他人，所以可以用歌曲或故事让他们或大笑或者痛哭。</v>
      </c>
      <c r="AU7" s="301" t="str">
        <f t="shared" si="2"/>
        <v>我离家出走追随一个艺人剧团。</v>
      </c>
      <c r="AV7" s="301" t="str">
        <f t="shared" si="2"/>
        <v>我曾经看过一次吟游诗人演出，在那一刹那我就明白，我生来就是做这个的。</v>
      </c>
      <c r="AW7" s="301" t="str">
        <f t="shared" si="2"/>
        <v>我在街角演出赚取硬币，最终打拼出了自己的名声。</v>
      </c>
      <c r="AX7" s="301" t="str">
        <f t="shared" si="2"/>
        <v>一位旅行艺人收留了我，教会了我这门营生。</v>
      </c>
      <c r="AY7" s="224"/>
      <c r="AZ7" s="297"/>
      <c r="BA7" s="297"/>
      <c r="BB7" s="297"/>
      <c r="BC7" s="297"/>
      <c r="BD7" s="297"/>
      <c r="BE7" s="297"/>
      <c r="BF7" s="297"/>
      <c r="BG7" s="297"/>
      <c r="BH7" s="297"/>
      <c r="BI7" s="297"/>
      <c r="BJ7" s="241"/>
      <c r="BK7" s="241"/>
      <c r="BL7" s="241"/>
      <c r="BM7" s="241"/>
      <c r="BN7" s="241"/>
      <c r="BO7" s="241"/>
      <c r="BP7" s="241"/>
      <c r="BQ7" s="241"/>
      <c r="BR7" s="241"/>
      <c r="BS7" s="302"/>
    </row>
    <row r="8" customHeight="1" spans="1:71">
      <c r="C8" s="222" t="s">
        <v>4385</v>
      </c>
      <c r="D8" s="232" t="s">
        <v>4386</v>
      </c>
      <c r="E8" s="232" t="str">
        <f t="array" ref="E8">INDEX(K:K,SMALL(IF($K$2:$K$78&lt;&gt;"",ROW($2:$78),79),ROW(K7)))&amp;""</f>
        <v>平民英雄</v>
      </c>
      <c r="F8" s="304" t="str">
        <f>IF(综合数据!B15=TRUE,"灵媒","")</f>
        <v>灵媒</v>
      </c>
      <c r="G8" s="198" t="s">
        <v>4387</v>
      </c>
      <c r="H8" s="203"/>
      <c r="I8" s="193">
        <f>IFERROR(INDEX(S81:S93,J1,1),0)</f>
        <v>0</v>
      </c>
      <c r="J8" s="193">
        <f>IFERROR(INDEX($T$81:$Y$93,$J$1,1),"")</f>
        <v>0</v>
      </c>
      <c r="K8" s="296" t="s">
        <v>4388</v>
      </c>
      <c r="L8" s="224">
        <f t="shared" si="0"/>
        <v>7</v>
      </c>
      <c r="M8" s="224" t="s">
        <v>4389</v>
      </c>
      <c r="N8" s="224" t="s">
        <v>4390</v>
      </c>
      <c r="O8" s="193"/>
      <c r="P8" s="297" t="s">
        <v>4391</v>
      </c>
      <c r="Q8" s="297" t="s">
        <v>4392</v>
      </c>
      <c r="R8" s="224"/>
      <c r="S8" s="240" t="s">
        <v>4393</v>
      </c>
      <c r="T8" s="240" t="s">
        <v>4394</v>
      </c>
      <c r="U8" s="240" t="s">
        <v>4395</v>
      </c>
      <c r="V8" s="240" t="s">
        <v>4396</v>
      </c>
      <c r="W8" s="240" t="s">
        <v>4397</v>
      </c>
      <c r="X8" s="240" t="s">
        <v>4398</v>
      </c>
      <c r="Y8" s="240" t="s">
        <v>4399</v>
      </c>
      <c r="Z8" s="240" t="s">
        <v>4400</v>
      </c>
      <c r="AA8" s="298" t="s">
        <v>4401</v>
      </c>
      <c r="AB8" s="298" t="s">
        <v>4402</v>
      </c>
      <c r="AC8" s="298" t="s">
        <v>4403</v>
      </c>
      <c r="AD8" s="298" t="s">
        <v>4404</v>
      </c>
      <c r="AE8" s="233" t="s">
        <v>4405</v>
      </c>
      <c r="AF8" s="298" t="s">
        <v>4406</v>
      </c>
      <c r="AG8" s="299" t="s">
        <v>4407</v>
      </c>
      <c r="AH8" s="299" t="s">
        <v>4408</v>
      </c>
      <c r="AI8" s="299" t="s">
        <v>4409</v>
      </c>
      <c r="AJ8" s="299" t="s">
        <v>4410</v>
      </c>
      <c r="AK8" s="299" t="s">
        <v>4411</v>
      </c>
      <c r="AL8" s="299" t="s">
        <v>4412</v>
      </c>
      <c r="AM8" s="300" t="s">
        <v>4413</v>
      </c>
      <c r="AN8" s="300" t="s">
        <v>4414</v>
      </c>
      <c r="AO8" s="300" t="s">
        <v>4415</v>
      </c>
      <c r="AP8" s="300" t="s">
        <v>4416</v>
      </c>
      <c r="AQ8" s="300" t="s">
        <v>4417</v>
      </c>
      <c r="AR8" s="300" t="s">
        <v>4418</v>
      </c>
      <c r="AS8" s="301" t="s">
        <v>4419</v>
      </c>
      <c r="AT8" s="301" t="s">
        <v>4420</v>
      </c>
      <c r="AU8" s="301" t="s">
        <v>4421</v>
      </c>
      <c r="AV8" s="301" t="s">
        <v>4422</v>
      </c>
      <c r="AW8" s="301" t="s">
        <v>4423</v>
      </c>
      <c r="AX8" s="301" t="s">
        <v>4424</v>
      </c>
      <c r="AY8" s="224" t="s">
        <v>4425</v>
      </c>
      <c r="AZ8" s="241" t="s">
        <v>4426</v>
      </c>
      <c r="BA8" s="241" t="s">
        <v>4427</v>
      </c>
      <c r="BB8" s="241" t="s">
        <v>4428</v>
      </c>
      <c r="BC8" s="241" t="s">
        <v>4429</v>
      </c>
      <c r="BD8" s="241" t="s">
        <v>4430</v>
      </c>
      <c r="BE8" s="241" t="s">
        <v>4431</v>
      </c>
      <c r="BF8" s="241" t="s">
        <v>4432</v>
      </c>
      <c r="BG8" s="241" t="s">
        <v>4433</v>
      </c>
      <c r="BH8" s="241" t="s">
        <v>4434</v>
      </c>
      <c r="BI8" s="241" t="s">
        <v>4435</v>
      </c>
      <c r="BJ8" s="241"/>
      <c r="BK8" s="241"/>
      <c r="BL8" s="241"/>
      <c r="BM8" s="241"/>
      <c r="BN8" s="241"/>
      <c r="BO8" s="241"/>
      <c r="BP8" s="241"/>
      <c r="BQ8" s="241"/>
      <c r="BR8" s="241"/>
      <c r="BS8" s="302"/>
    </row>
    <row r="9" customHeight="1" spans="1:71">
      <c r="C9" s="222" t="s">
        <v>4436</v>
      </c>
      <c r="D9" s="232" t="s">
        <v>4437</v>
      </c>
      <c r="E9" s="232" t="str">
        <f t="array" ref="E9">INDEX(K:K,SMALL(IF($K$2:$K$78&lt;&gt;"",ROW($2:$78),79),ROW(K8)))&amp;""</f>
        <v>公会工匠</v>
      </c>
      <c r="F9" s="304" t="str">
        <f>IF(综合数据!B15=TRUE,"苦难幸存者","")</f>
        <v>苦难幸存者</v>
      </c>
      <c r="G9" s="198" t="s">
        <v>4438</v>
      </c>
      <c r="H9" s="203"/>
      <c r="I9" s="193"/>
      <c r="J9" s="193">
        <f>IFERROR(INDEX($T$81:$Y$93,$J$1,2),"")</f>
        <v>0</v>
      </c>
      <c r="K9" s="296" t="s">
        <v>4439</v>
      </c>
      <c r="L9" s="224">
        <f t="shared" si="0"/>
        <v>8</v>
      </c>
      <c r="M9" s="224" t="s">
        <v>4440</v>
      </c>
      <c r="N9" s="224" t="s">
        <v>4441</v>
      </c>
      <c r="O9" s="224" t="s">
        <v>4442</v>
      </c>
      <c r="P9" s="297" t="s">
        <v>4443</v>
      </c>
      <c r="Q9" s="297" t="s">
        <v>4444</v>
      </c>
      <c r="R9" s="224"/>
      <c r="S9" s="240" t="s">
        <v>4445</v>
      </c>
      <c r="T9" s="240" t="s">
        <v>4446</v>
      </c>
      <c r="U9" s="240" t="s">
        <v>4447</v>
      </c>
      <c r="V9" s="240" t="s">
        <v>4448</v>
      </c>
      <c r="W9" s="240" t="s">
        <v>4449</v>
      </c>
      <c r="X9" s="240" t="s">
        <v>4450</v>
      </c>
      <c r="Y9" s="240" t="s">
        <v>4451</v>
      </c>
      <c r="Z9" s="240" t="s">
        <v>4452</v>
      </c>
      <c r="AA9" s="298" t="s">
        <v>4453</v>
      </c>
      <c r="AB9" s="298" t="s">
        <v>4454</v>
      </c>
      <c r="AC9" s="298" t="s">
        <v>4455</v>
      </c>
      <c r="AD9" s="298" t="s">
        <v>4456</v>
      </c>
      <c r="AE9" s="233" t="s">
        <v>4457</v>
      </c>
      <c r="AF9" s="298" t="s">
        <v>4458</v>
      </c>
      <c r="AG9" s="299" t="s">
        <v>4459</v>
      </c>
      <c r="AH9" s="299" t="s">
        <v>4460</v>
      </c>
      <c r="AI9" s="299" t="s">
        <v>4461</v>
      </c>
      <c r="AJ9" s="299" t="s">
        <v>4462</v>
      </c>
      <c r="AK9" s="299" t="s">
        <v>4463</v>
      </c>
      <c r="AL9" s="299" t="s">
        <v>4464</v>
      </c>
      <c r="AM9" s="300" t="s">
        <v>4465</v>
      </c>
      <c r="AN9" s="300" t="s">
        <v>4466</v>
      </c>
      <c r="AO9" s="300" t="s">
        <v>4467</v>
      </c>
      <c r="AP9" s="300" t="s">
        <v>4468</v>
      </c>
      <c r="AQ9" s="300" t="s">
        <v>4469</v>
      </c>
      <c r="AR9" s="300" t="s">
        <v>4470</v>
      </c>
      <c r="AS9" s="301" t="s">
        <v>4471</v>
      </c>
      <c r="AT9" s="301" t="s">
        <v>4472</v>
      </c>
      <c r="AU9" s="301" t="s">
        <v>4473</v>
      </c>
      <c r="AV9" s="301" t="s">
        <v>4474</v>
      </c>
      <c r="AW9" s="301" t="s">
        <v>4475</v>
      </c>
      <c r="AX9" s="301" t="s">
        <v>4476</v>
      </c>
      <c r="AY9" s="224" t="s">
        <v>4477</v>
      </c>
      <c r="AZ9" s="241" t="s">
        <v>4478</v>
      </c>
      <c r="BA9" s="241" t="s">
        <v>4479</v>
      </c>
      <c r="BB9" s="241" t="s">
        <v>4480</v>
      </c>
      <c r="BC9" s="241" t="s">
        <v>4481</v>
      </c>
      <c r="BD9" s="241" t="s">
        <v>4482</v>
      </c>
      <c r="BE9" s="241" t="s">
        <v>4483</v>
      </c>
      <c r="BF9" s="241" t="s">
        <v>4484</v>
      </c>
      <c r="BG9" s="241" t="s">
        <v>4485</v>
      </c>
      <c r="BH9" s="241" t="s">
        <v>4486</v>
      </c>
      <c r="BI9" s="241" t="s">
        <v>4487</v>
      </c>
      <c r="BJ9" s="241" t="s">
        <v>4488</v>
      </c>
      <c r="BK9" s="241" t="s">
        <v>4489</v>
      </c>
      <c r="BL9" s="241" t="s">
        <v>4490</v>
      </c>
      <c r="BM9" s="241" t="s">
        <v>4491</v>
      </c>
      <c r="BN9" s="241" t="s">
        <v>4492</v>
      </c>
      <c r="BO9" s="241" t="s">
        <v>4493</v>
      </c>
      <c r="BP9" s="241" t="s">
        <v>4494</v>
      </c>
      <c r="BQ9" s="241" t="s">
        <v>4495</v>
      </c>
      <c r="BR9" s="297" t="s">
        <v>4496</v>
      </c>
      <c r="BS9" s="302" t="s">
        <v>4497</v>
      </c>
    </row>
    <row r="10" customHeight="1" spans="1:71">
      <c r="C10" s="222" t="s">
        <v>4498</v>
      </c>
      <c r="D10" s="232" t="s">
        <v>4499</v>
      </c>
      <c r="E10" s="232" t="str">
        <f t="array" ref="E10">INDEX(K:K,SMALL(IF($K$2:$K$78&lt;&gt;"",ROW($2:$78),79),ROW(K9)))&amp;""</f>
        <v>公会商人</v>
      </c>
      <c r="F10" s="304" t="str">
        <f>IF(综合数据!B15=TRUE,"旅行者","")</f>
        <v>旅行者</v>
      </c>
      <c r="G10" s="198" t="s">
        <v>4500</v>
      </c>
      <c r="H10" s="196"/>
      <c r="I10" s="193"/>
      <c r="J10" s="193">
        <f>IFERROR(INDEX($T$81:$Y$93,$J$1,3),"")</f>
        <v>0</v>
      </c>
      <c r="K10" s="296" t="s">
        <v>4501</v>
      </c>
      <c r="L10" s="224">
        <f t="shared" si="0"/>
        <v>9</v>
      </c>
      <c r="M10" s="193" t="str">
        <f>M9</f>
        <v>洞悉、游说</v>
      </c>
      <c r="N10" s="305" t="s">
        <v>4502</v>
      </c>
      <c r="O10" s="224" t="s">
        <v>4442</v>
      </c>
      <c r="P10" s="241" t="str">
        <f>P9</f>
        <v>公会成员</v>
      </c>
      <c r="Q10" s="241" t="str">
        <f>Q9</f>
        <v>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
公会常常掌握着庞大的政治资源。当你被指控某项罪名时，公会可以为你提供全面的支持，前提是你必须为自己的清白做出举证，或是你的罪名必须仍可接受辩护。倘若你身处公会高层，甚至可以藉由公会获取有力的政治地位。而这些人脉资源都需要你为公会捐赠金钱或魔法物品来维持。
你每个月必须上交5gp作为会费。若你因故未缴这笔费用，则必须在补齐后才能重获公会的青睐。</v>
      </c>
      <c r="S10" s="240" t="str">
        <f t="shared" ref="S10:AX10" si="3">S9</f>
        <v>我确信能做的事就要做到最好。而我必须要做到最好——我是完美主义者。</v>
      </c>
      <c r="T10" s="240" t="str">
        <f t="shared" si="3"/>
        <v>我瞧不起那些不懂审美的家伙。</v>
      </c>
      <c r="U10" s="240" t="str">
        <f t="shared" si="3"/>
        <v>我总是想搞清楚事物如何运作，人们为何奔波。</v>
      </c>
      <c r="V10" s="240" t="str">
        <f t="shared" si="3"/>
        <v>我有一肚子格言警句，总是能恰到好处地掉书袋。</v>
      </c>
      <c r="W10" s="240" t="str">
        <f t="shared" si="3"/>
        <v>我对那些不像我那样努力工作、公平竞争的人并不会以礼相待。</v>
      </c>
      <c r="X10" s="240" t="str">
        <f t="shared" si="3"/>
        <v>我喜欢对我的行当高谈阔论。</v>
      </c>
      <c r="Y10" s="240" t="str">
        <f t="shared" si="3"/>
        <v>我不会轻易花钱，砍价也总是砍到最低。</v>
      </c>
      <c r="Z10" s="240" t="str">
        <f t="shared" si="3"/>
        <v>我在我这行鼎鼎有名，而我要确保所有人都认同这点。如果人们没听说过我，就会让我大吃一惊。</v>
      </c>
      <c r="AA10" s="298" t="str">
        <f t="shared" si="3"/>
        <v>团结：加强集体团结，保卫社区安全，是文明人应尽的义务。</v>
      </c>
      <c r="AB10" s="298" t="str">
        <f t="shared" si="3"/>
        <v>慷慨：既然我有天赋，我就要造福世界。</v>
      </c>
      <c r="AC10" s="298" t="str">
        <f t="shared" si="3"/>
        <v>自由：任何人都有选择营生方式的自由。</v>
      </c>
      <c r="AD10" s="298" t="str">
        <f t="shared" si="3"/>
        <v>贪婪：我干这行就只为钱。</v>
      </c>
      <c r="AE10" s="233" t="str">
        <f t="shared" si="3"/>
        <v>人民：我为我在乎的人奋斗，而不是为了什么理想。</v>
      </c>
      <c r="AF10" s="298" t="str">
        <f t="shared" si="3"/>
        <v>抱负：我努力钻研是为了成为本行中的翘楚。</v>
      </c>
      <c r="AG10" s="299" t="str">
        <f t="shared" si="3"/>
        <v>我学习技艺的厂房对我来说是世界上最重要的地方。</v>
      </c>
      <c r="AH10" s="299" t="str">
        <f t="shared" si="3"/>
        <v>我为某人造出了一件绝世珍品，却发现对方根本配不上它。而我仍在找配得上它的人。</v>
      </c>
      <c r="AI10" s="299" t="str">
        <f t="shared" si="3"/>
        <v>公会造就了今天的我，因此我仍欠公会良多。</v>
      </c>
      <c r="AJ10" s="299" t="str">
        <f t="shared" si="3"/>
        <v>我为了向某人求爱而攒钱。</v>
      </c>
      <c r="AK10" s="299" t="str">
        <f t="shared" si="3"/>
        <v>终有一天，我会回到公会，然后证明我是其中最厉害的工匠。</v>
      </c>
      <c r="AL10" s="299" t="str">
        <f t="shared" si="3"/>
        <v>我要向那个破坏我工坊，毁掉我生活的邪恶势力复仇。</v>
      </c>
      <c r="AM10" s="300" t="str">
        <f t="shared" si="3"/>
        <v>我会为了获得某些珍贵无价之物做任何事。</v>
      </c>
      <c r="AN10" s="300" t="str">
        <f t="shared" si="3"/>
        <v>我常常很急躁地认定某人正在骗我。</v>
      </c>
      <c r="AO10" s="300" t="str">
        <f t="shared" si="3"/>
        <v>应当没人知道我曾经从公会金库里偷过钱。</v>
      </c>
      <c r="AP10" s="300" t="str">
        <f t="shared" si="3"/>
        <v>我从未知足于自己所有之物，而总是欲壑难填。</v>
      </c>
      <c r="AQ10" s="300" t="str">
        <f t="shared" si="3"/>
        <v>我极度渴望贵族头衔。</v>
      </c>
      <c r="AR10" s="300" t="str">
        <f t="shared" si="3"/>
        <v>我妒忌任何手艺胜我一筹的人。而我无论走到哪里却都是对手环绕。</v>
      </c>
      <c r="AS10" s="301" t="str">
        <f t="shared" si="3"/>
        <v>我曾是一位大师的学徒，他教导了我行会生意。 </v>
      </c>
      <c r="AT10" s="301" t="str">
        <f t="shared" si="3"/>
        <v>我曾帮一名行会工匠保守秘密或者完成某个任务，作为回报，他收我为徒。</v>
      </c>
      <c r="AU10" s="301" t="str">
        <f t="shared" si="3"/>
        <v>我家族里有一个人是行会成员，他为我谋了个位置。</v>
      </c>
      <c r="AV10" s="301" t="str">
        <f t="shared" si="3"/>
        <v>我的手艺很好，所以抓住机会学了一门生意。</v>
      </c>
      <c r="AW10" s="301" t="str">
        <f t="shared" si="3"/>
        <v>我想要离家独立，开始新的人生。</v>
      </c>
      <c r="AX10" s="301" t="str">
        <f t="shared" si="3"/>
        <v>我从一个导师那里学了些基础，但需要加入行会才能完成所有的训练。</v>
      </c>
      <c r="AY10" s="193"/>
      <c r="AZ10" s="241"/>
      <c r="BA10" s="241"/>
      <c r="BB10" s="241"/>
      <c r="BC10" s="241"/>
      <c r="BD10" s="241"/>
      <c r="BE10" s="241"/>
      <c r="BF10" s="241"/>
      <c r="BG10" s="241"/>
      <c r="BH10" s="241"/>
      <c r="BI10" s="241"/>
      <c r="BJ10" s="241"/>
      <c r="BK10" s="241"/>
      <c r="BL10" s="241"/>
      <c r="BM10" s="241"/>
      <c r="BN10" s="241"/>
      <c r="BO10" s="241"/>
      <c r="BP10" s="241"/>
      <c r="BQ10" s="241"/>
      <c r="BR10" s="241"/>
      <c r="BS10" s="302"/>
    </row>
    <row r="11" customHeight="1" spans="1:71">
      <c r="C11" s="230" t="s">
        <v>4503</v>
      </c>
      <c r="D11" s="232" t="s">
        <v>4504</v>
      </c>
      <c r="E11" s="232" t="str">
        <f t="array" ref="E11">INDEX(K:K,SMALL(IF($K$2:$K$78&lt;&gt;"",ROW($2:$78),79),ROW(K10)))&amp;""</f>
        <v>隐士</v>
      </c>
      <c r="F11" s="192" t="str">
        <f>IF(G11="","",IF(COUNTIF(K33:K42,A1),"公会法术","学院法术"))</f>
        <v/>
      </c>
      <c r="G11" s="181" t="str">
        <f>IFERROR(IF(INDEX(M2:R60,H1,6)=0,"",INDEX(M2:R60,H1,6)),"")</f>
        <v/>
      </c>
      <c r="H11" s="196"/>
      <c r="I11" s="193"/>
      <c r="J11" s="193">
        <f>IFERROR(INDEX($T$81:$Y$93,$J$1,4),"")</f>
        <v>0</v>
      </c>
      <c r="K11" s="296" t="s">
        <v>4505</v>
      </c>
      <c r="L11" s="224">
        <f t="shared" si="0"/>
        <v>10</v>
      </c>
      <c r="M11" s="224" t="s">
        <v>4506</v>
      </c>
      <c r="N11" s="224" t="s">
        <v>1607</v>
      </c>
      <c r="O11" s="224" t="s">
        <v>4442</v>
      </c>
      <c r="P11" s="297" t="s">
        <v>4507</v>
      </c>
      <c r="Q11" s="297" t="s">
        <v>4508</v>
      </c>
      <c r="R11" s="224"/>
      <c r="S11" s="240" t="s">
        <v>4509</v>
      </c>
      <c r="T11" s="240" t="s">
        <v>4510</v>
      </c>
      <c r="U11" s="240" t="s">
        <v>4511</v>
      </c>
      <c r="V11" s="240" t="s">
        <v>4512</v>
      </c>
      <c r="W11" s="240" t="s">
        <v>4513</v>
      </c>
      <c r="X11" s="240" t="s">
        <v>4514</v>
      </c>
      <c r="Y11" s="240" t="s">
        <v>4515</v>
      </c>
      <c r="Z11" s="240" t="s">
        <v>4516</v>
      </c>
      <c r="AA11" s="298" t="s">
        <v>4517</v>
      </c>
      <c r="AB11" s="298" t="s">
        <v>4518</v>
      </c>
      <c r="AC11" s="298" t="s">
        <v>4519</v>
      </c>
      <c r="AD11" s="298" t="s">
        <v>4520</v>
      </c>
      <c r="AE11" s="233" t="s">
        <v>4521</v>
      </c>
      <c r="AF11" s="298" t="s">
        <v>4522</v>
      </c>
      <c r="AG11" s="299" t="s">
        <v>4523</v>
      </c>
      <c r="AH11" s="299" t="s">
        <v>4524</v>
      </c>
      <c r="AI11" s="299" t="s">
        <v>4525</v>
      </c>
      <c r="AJ11" s="299" t="s">
        <v>4526</v>
      </c>
      <c r="AK11" s="299" t="s">
        <v>4527</v>
      </c>
      <c r="AL11" s="299" t="s">
        <v>4528</v>
      </c>
      <c r="AM11" s="300" t="s">
        <v>4529</v>
      </c>
      <c r="AN11" s="300" t="s">
        <v>4530</v>
      </c>
      <c r="AO11" s="300" t="s">
        <v>4531</v>
      </c>
      <c r="AP11" s="300" t="s">
        <v>4532</v>
      </c>
      <c r="AQ11" s="300" t="s">
        <v>4533</v>
      </c>
      <c r="AR11" s="300" t="s">
        <v>4534</v>
      </c>
      <c r="AS11" s="301" t="s">
        <v>4535</v>
      </c>
      <c r="AT11" s="301" t="s">
        <v>4536</v>
      </c>
      <c r="AU11" s="301" t="s">
        <v>4537</v>
      </c>
      <c r="AV11" s="301" t="s">
        <v>4538</v>
      </c>
      <c r="AW11" s="301" t="s">
        <v>4539</v>
      </c>
      <c r="AX11" s="301" t="s">
        <v>4540</v>
      </c>
      <c r="AY11" s="224" t="s">
        <v>4541</v>
      </c>
      <c r="AZ11" s="241" t="s">
        <v>4542</v>
      </c>
      <c r="BA11" s="241" t="s">
        <v>4543</v>
      </c>
      <c r="BB11" s="241" t="s">
        <v>4544</v>
      </c>
      <c r="BC11" s="241" t="s">
        <v>4545</v>
      </c>
      <c r="BD11" s="241" t="s">
        <v>4546</v>
      </c>
      <c r="BE11" s="241" t="s">
        <v>4547</v>
      </c>
      <c r="BF11" s="241" t="s">
        <v>4548</v>
      </c>
      <c r="BG11" s="241" t="s">
        <v>4549</v>
      </c>
      <c r="BH11" s="241"/>
      <c r="BI11" s="241"/>
      <c r="BJ11" s="241"/>
      <c r="BK11" s="241"/>
      <c r="BL11" s="241"/>
      <c r="BM11" s="241"/>
      <c r="BN11" s="241"/>
      <c r="BO11" s="241"/>
      <c r="BP11" s="241"/>
      <c r="BQ11" s="241"/>
      <c r="BR11" s="241"/>
      <c r="BS11" s="302"/>
    </row>
    <row r="12" customHeight="1" spans="1:71">
      <c r="B12" s="257" t="s">
        <v>415</v>
      </c>
      <c r="C12" s="306" t="s">
        <v>249</v>
      </c>
      <c r="D12" s="232" t="s">
        <v>4550</v>
      </c>
      <c r="E12" s="232" t="str">
        <f t="array" ref="E12">INDEX(K:K,SMALL(IF($K$2:$K$78&lt;&gt;"",ROW($2:$78),79),ROW(K11)))&amp;""</f>
        <v>贵族</v>
      </c>
      <c r="F12" s="307" t="s">
        <v>4184</v>
      </c>
      <c r="G12" s="193" t="str">
        <f>IFERROR(INDEX($S$2:$Z$78,$H$1,1),"")</f>
        <v/>
      </c>
      <c r="H12" s="200" t="e">
        <f t="array" ref="H12">INDEX(G:G,SMALL(IF($G$12:$G$31&lt;&gt;"",ROW($12:$31),32),ROW(H1)))&amp;""</f>
        <v>#N/A</v>
      </c>
      <c r="I12" s="193"/>
      <c r="J12" s="193">
        <f>IFERROR(INDEX($T$81:$Y$93,$J$1,5),"")</f>
        <v>0</v>
      </c>
      <c r="K12" s="296" t="s">
        <v>4551</v>
      </c>
      <c r="L12" s="224">
        <f t="shared" si="0"/>
        <v>11</v>
      </c>
      <c r="M12" s="224" t="s">
        <v>4552</v>
      </c>
      <c r="N12" s="224" t="s">
        <v>4553</v>
      </c>
      <c r="O12" s="224" t="s">
        <v>4442</v>
      </c>
      <c r="P12" s="297" t="s">
        <v>4554</v>
      </c>
      <c r="Q12" s="297" t="s">
        <v>4555</v>
      </c>
      <c r="R12" s="224"/>
      <c r="S12" s="240" t="s">
        <v>4556</v>
      </c>
      <c r="T12" s="240" t="s">
        <v>4557</v>
      </c>
      <c r="U12" s="240" t="s">
        <v>4558</v>
      </c>
      <c r="V12" s="240" t="s">
        <v>4559</v>
      </c>
      <c r="W12" s="240" t="s">
        <v>4560</v>
      </c>
      <c r="X12" s="240" t="s">
        <v>4561</v>
      </c>
      <c r="Y12" s="240" t="s">
        <v>4562</v>
      </c>
      <c r="Z12" s="240" t="s">
        <v>4563</v>
      </c>
      <c r="AA12" s="298" t="s">
        <v>4564</v>
      </c>
      <c r="AB12" s="298" t="s">
        <v>4565</v>
      </c>
      <c r="AC12" s="298" t="s">
        <v>4566</v>
      </c>
      <c r="AD12" s="298" t="s">
        <v>4567</v>
      </c>
      <c r="AE12" s="233" t="s">
        <v>4568</v>
      </c>
      <c r="AF12" s="298" t="s">
        <v>4569</v>
      </c>
      <c r="AG12" s="299" t="s">
        <v>4570</v>
      </c>
      <c r="AH12" s="299" t="s">
        <v>4571</v>
      </c>
      <c r="AI12" s="299" t="s">
        <v>4572</v>
      </c>
      <c r="AJ12" s="299" t="s">
        <v>4573</v>
      </c>
      <c r="AK12" s="299" t="s">
        <v>4574</v>
      </c>
      <c r="AL12" s="299" t="s">
        <v>4575</v>
      </c>
      <c r="AM12" s="300" t="s">
        <v>4576</v>
      </c>
      <c r="AN12" s="300" t="s">
        <v>4577</v>
      </c>
      <c r="AO12" s="300" t="s">
        <v>4578</v>
      </c>
      <c r="AP12" s="300" t="s">
        <v>4579</v>
      </c>
      <c r="AQ12" s="300" t="s">
        <v>4580</v>
      </c>
      <c r="AR12" s="300" t="s">
        <v>4581</v>
      </c>
      <c r="AS12" s="301" t="s">
        <v>4582</v>
      </c>
      <c r="AT12" s="301" t="s">
        <v>4583</v>
      </c>
      <c r="AU12" s="301" t="s">
        <v>4584</v>
      </c>
      <c r="AV12" s="301" t="s">
        <v>4585</v>
      </c>
      <c r="AW12" s="301" t="s">
        <v>4586</v>
      </c>
      <c r="AX12" s="301" t="s">
        <v>4587</v>
      </c>
      <c r="AY12" s="193"/>
      <c r="AZ12" s="241"/>
      <c r="BA12" s="241"/>
      <c r="BB12" s="241"/>
      <c r="BC12" s="241"/>
      <c r="BD12" s="241"/>
      <c r="BE12" s="241"/>
      <c r="BF12" s="241"/>
      <c r="BG12" s="241"/>
      <c r="BH12" s="241"/>
      <c r="BI12" s="241"/>
      <c r="BJ12" s="241"/>
      <c r="BK12" s="241"/>
      <c r="BL12" s="241"/>
      <c r="BM12" s="241"/>
      <c r="BN12" s="241"/>
      <c r="BO12" s="241"/>
      <c r="BP12" s="241"/>
      <c r="BQ12" s="241"/>
      <c r="BR12" s="241"/>
      <c r="BS12" s="302"/>
    </row>
    <row r="13" customHeight="1" spans="1:71">
      <c r="A13" s="183" t="s">
        <v>4588</v>
      </c>
      <c r="B13" s="220"/>
      <c r="C13" s="308" t="s">
        <v>252</v>
      </c>
      <c r="D13" s="232" t="s">
        <v>4589</v>
      </c>
      <c r="E13" s="232" t="str">
        <f t="array" ref="E13">INDEX(K:K,SMALL(IF($K$2:$K$78&lt;&gt;"",ROW($2:$78),79),ROW(K12)))&amp;""</f>
        <v>骑士</v>
      </c>
      <c r="F13" s="307"/>
      <c r="G13" s="193" t="str">
        <f>IFERROR(INDEX($S$2:$Z$78,$H$1,2),"")</f>
        <v/>
      </c>
      <c r="H13" s="200" t="e">
        <f t="array" ref="H13">INDEX(G:G,SMALL(IF($G$12:$G$31&lt;&gt;"",ROW($12:$31),32),ROW(H2)))&amp;""</f>
        <v>#N/A</v>
      </c>
      <c r="I13" s="193"/>
      <c r="J13" s="193">
        <f>IFERROR(INDEX($T$81:$Y$93,$J$1,6),"")</f>
        <v>0</v>
      </c>
      <c r="K13" s="296" t="s">
        <v>4590</v>
      </c>
      <c r="L13" s="224">
        <f t="shared" si="0"/>
        <v>12</v>
      </c>
      <c r="M13" s="193" t="str">
        <f>M12</f>
        <v>历史、游说</v>
      </c>
      <c r="N13" s="193" t="str">
        <f>N12</f>
        <v>一种赌具</v>
      </c>
      <c r="O13" s="193" t="str">
        <f>O12</f>
        <v>任选一门语言</v>
      </c>
      <c r="P13" s="297" t="s">
        <v>4591</v>
      </c>
      <c r="Q13" s="297" t="s">
        <v>4592</v>
      </c>
      <c r="R13" s="224"/>
      <c r="S13" s="240" t="str">
        <f t="shared" ref="S13:AX13" si="4">S12</f>
        <v>我的阿谀奉承能让其他人觉得自己举世无双。</v>
      </c>
      <c r="T13" s="240" t="str">
        <f t="shared" si="4"/>
        <v>平民们因我的仁慈和慷慨而喜爱我。</v>
      </c>
      <c r="U13" s="240" t="str">
        <f t="shared" si="4"/>
        <v>众所周知只要看一眼我威严的仪态，就能明白我和下层民众截然不同。</v>
      </c>
      <c r="V13" s="240" t="str">
        <f t="shared" si="4"/>
        <v>我为了时尚和美貌忍受了很大痛苦。</v>
      </c>
      <c r="W13" s="240" t="str">
        <f t="shared" si="4"/>
        <v>我不喜欢干脏活，更不会因不舒适的食宿勉强自己。</v>
      </c>
      <c r="X13" s="240" t="str">
        <f t="shared" si="4"/>
        <v>我拥有贵族的血统，但并不认为自己比平民百姓更高贵。我们流的血是相同的。</v>
      </c>
      <c r="Y13" s="240" t="str">
        <f t="shared" si="4"/>
        <v>一旦辜负我的期待，就将永远失去我的青睐。</v>
      </c>
      <c r="Z13" s="240" t="str">
        <f t="shared" si="4"/>
        <v>我一受到伤害就要碾碎对方，乃至辱其名声毁其土地。</v>
      </c>
      <c r="AA13" s="298" t="str">
        <f t="shared" si="4"/>
        <v>尊重：人们尊敬我是因为我的地位，但任何人无论地位高低，都应该被体面地对待。</v>
      </c>
      <c r="AB13" s="298" t="str">
        <f t="shared" si="4"/>
        <v>责任：我将服从上级视为责任，正如我的下属也必须要服从我一样。</v>
      </c>
      <c r="AC13" s="298" t="str">
        <f t="shared" si="4"/>
        <v>独立：我必须证明自己即使不借助家族的力量也仍可以自食其力。</v>
      </c>
      <c r="AD13" s="298" t="str">
        <f t="shared" si="4"/>
        <v>权力：只要我掌握了更大的权力，就没人能对我指手画脚了。</v>
      </c>
      <c r="AE13" s="233" t="str">
        <f t="shared" si="4"/>
        <v>家族：血浓于水。</v>
      </c>
      <c r="AF13" s="298" t="str">
        <f t="shared" si="4"/>
        <v>贵族义务：保护依附我的人们，是我的责任。</v>
      </c>
      <c r="AG13" s="299" t="str">
        <f t="shared" si="4"/>
        <v>为了获得家族的认可，我可以面对任何挑战。</v>
      </c>
      <c r="AH13" s="299" t="str">
        <f t="shared" si="4"/>
        <v>我必须不惜代价的维持住两个家族之间的联姻关系。</v>
      </c>
      <c r="AI13" s="299" t="str">
        <f t="shared" si="4"/>
        <v>任何事物都不如家族血亲更重要。</v>
      </c>
      <c r="AJ13" s="299" t="str">
        <f t="shared" si="4"/>
        <v>我爱上了家族所不齿的另一个家族的子嗣。</v>
      </c>
      <c r="AK13" s="299" t="str">
        <f t="shared" si="4"/>
        <v>我对主君的忠诚固若泰山。</v>
      </c>
      <c r="AL13" s="299" t="str">
        <f t="shared" si="4"/>
        <v>平民们将我视作人民的英雄。</v>
      </c>
      <c r="AM13" s="300" t="str">
        <f t="shared" si="4"/>
        <v>我暗自认为自己比所有人都高贵。</v>
      </c>
      <c r="AN13" s="300" t="str">
        <f t="shared" si="4"/>
        <v>我努力遮掩一个会永远摧毁家族的可耻秘密。</v>
      </c>
      <c r="AO13" s="300" t="str">
        <f t="shared" si="4"/>
        <v>我总会听到针对我的隐晦侮辱与威胁，且轻易就会因此而发怒。</v>
      </c>
      <c r="AP13" s="300" t="str">
        <f t="shared" si="4"/>
        <v>我总是放纵自己的肉体欲望。</v>
      </c>
      <c r="AQ13" s="300" t="str">
        <f t="shared" si="4"/>
        <v>事实上，世界就是围着我转的。</v>
      </c>
      <c r="AR13" s="300" t="str">
        <f t="shared" si="4"/>
        <v>我的言行总会为家族带来耻辱。</v>
      </c>
      <c r="AS13" s="301" t="str">
        <f t="shared" si="4"/>
        <v>我来自一个古老而显赫的家族，我必须要对得起家族的名誉。</v>
      </c>
      <c r="AT13" s="301" t="str">
        <f t="shared" si="4"/>
        <v>我的家族已经蒙羞，我打算挽回它的名誉。</v>
      </c>
      <c r="AU13" s="301" t="str">
        <f t="shared" si="4"/>
        <v>我的家族刚刚获得贵族头衔，这项拔擢把我们陡然推进了一个全新而奇异的世界。</v>
      </c>
      <c r="AV13" s="301" t="str">
        <f t="shared" si="4"/>
        <v>我的家族空有贵族头衔，祖上从没出过一个有名望的人。</v>
      </c>
      <c r="AW13" s="301" t="str">
        <f t="shared" si="4"/>
        <v>我的家族里人才济济，我希望自己不辜负这些榜样。</v>
      </c>
      <c r="AX13" s="301" t="str">
        <f t="shared" si="4"/>
        <v>我希望增加我家族的权利和影响力。</v>
      </c>
      <c r="AY13" s="193"/>
      <c r="AZ13" s="241"/>
      <c r="BA13" s="241"/>
      <c r="BB13" s="241"/>
      <c r="BC13" s="241"/>
      <c r="BD13" s="241"/>
      <c r="BE13" s="241"/>
      <c r="BF13" s="241"/>
      <c r="BG13" s="241"/>
      <c r="BH13" s="241"/>
      <c r="BI13" s="241"/>
      <c r="BJ13" s="241"/>
      <c r="BK13" s="241"/>
      <c r="BL13" s="241"/>
      <c r="BM13" s="241"/>
      <c r="BN13" s="241"/>
      <c r="BO13" s="241"/>
      <c r="BP13" s="241"/>
      <c r="BQ13" s="241"/>
      <c r="BR13" s="241"/>
      <c r="BS13" s="302"/>
    </row>
    <row r="14" customHeight="1" spans="1:71">
      <c r="A14" s="279" t="str">
        <f>IFERROR(IF(COUNTIF($A$26:$A$30,F2),"",F2),"")</f>
        <v>技能熟练项</v>
      </c>
      <c r="B14" s="196" t="str">
        <f t="array" ref="B14">INDEX(A:A,SMALL(IF($A$14:$A$23&lt;&gt;"",ROW($14:$23),24),ROW(A1)))&amp;""</f>
        <v>技能熟练项</v>
      </c>
      <c r="C14" s="309" t="s">
        <v>256</v>
      </c>
      <c r="D14" s="232" t="s">
        <v>4593</v>
      </c>
      <c r="E14" s="232" t="str">
        <f t="array" ref="E14">INDEX(K:K,SMALL(IF($K$2:$K$78&lt;&gt;"",ROW($2:$78),79),ROW(K13)))&amp;""</f>
        <v>化外之民</v>
      </c>
      <c r="F14" s="307"/>
      <c r="G14" s="224" t="str">
        <f>IFERROR(INDEX($S$2:$Z$78,$H$1,3),"")</f>
        <v/>
      </c>
      <c r="H14" s="200" t="e">
        <f t="array" ref="H14">INDEX(G:G,SMALL(IF($G$12:$G$31&lt;&gt;"",ROW($12:$31),32),ROW(H3)))&amp;""</f>
        <v>#N/A</v>
      </c>
      <c r="I14" s="193">
        <f>IFERROR(INDEX(Z81:Z93,J1,1),0)</f>
        <v>0</v>
      </c>
      <c r="J14" s="193">
        <f>IFERROR(INDEX($AA$81:$AF$93,$J$1,1),"")</f>
        <v>0</v>
      </c>
      <c r="K14" s="296" t="s">
        <v>4594</v>
      </c>
      <c r="L14" s="224">
        <f t="shared" si="0"/>
        <v>13</v>
      </c>
      <c r="M14" s="224" t="s">
        <v>4595</v>
      </c>
      <c r="N14" s="224" t="s">
        <v>4596</v>
      </c>
      <c r="O14" s="224" t="s">
        <v>4442</v>
      </c>
      <c r="P14" s="297" t="s">
        <v>4597</v>
      </c>
      <c r="Q14" s="297" t="s">
        <v>4598</v>
      </c>
      <c r="R14" s="224"/>
      <c r="S14" s="240" t="s">
        <v>4599</v>
      </c>
      <c r="T14" s="240" t="s">
        <v>4600</v>
      </c>
      <c r="U14" s="240" t="s">
        <v>4601</v>
      </c>
      <c r="V14" s="240" t="s">
        <v>4602</v>
      </c>
      <c r="W14" s="240" t="s">
        <v>4603</v>
      </c>
      <c r="X14" s="240" t="s">
        <v>4604</v>
      </c>
      <c r="Y14" s="240" t="s">
        <v>4605</v>
      </c>
      <c r="Z14" s="240" t="s">
        <v>4606</v>
      </c>
      <c r="AA14" s="298" t="s">
        <v>4607</v>
      </c>
      <c r="AB14" s="298" t="s">
        <v>4608</v>
      </c>
      <c r="AC14" s="298" t="s">
        <v>4609</v>
      </c>
      <c r="AD14" s="298" t="s">
        <v>4610</v>
      </c>
      <c r="AE14" s="233" t="s">
        <v>4611</v>
      </c>
      <c r="AF14" s="298" t="s">
        <v>4612</v>
      </c>
      <c r="AG14" s="299" t="s">
        <v>4613</v>
      </c>
      <c r="AH14" s="299" t="s">
        <v>4614</v>
      </c>
      <c r="AI14" s="299" t="s">
        <v>4615</v>
      </c>
      <c r="AJ14" s="299" t="s">
        <v>4616</v>
      </c>
      <c r="AK14" s="299" t="s">
        <v>4617</v>
      </c>
      <c r="AL14" s="299" t="s">
        <v>4618</v>
      </c>
      <c r="AM14" s="300" t="s">
        <v>4619</v>
      </c>
      <c r="AN14" s="300" t="s">
        <v>4620</v>
      </c>
      <c r="AO14" s="300" t="s">
        <v>4621</v>
      </c>
      <c r="AP14" s="300" t="s">
        <v>4622</v>
      </c>
      <c r="AQ14" s="300" t="s">
        <v>4623</v>
      </c>
      <c r="AR14" s="300" t="s">
        <v>4624</v>
      </c>
      <c r="AS14" s="301" t="s">
        <v>4625</v>
      </c>
      <c r="AT14" s="301" t="s">
        <v>4626</v>
      </c>
      <c r="AU14" s="301" t="s">
        <v>4627</v>
      </c>
      <c r="AV14" s="301" t="s">
        <v>4628</v>
      </c>
      <c r="AW14" s="301" t="s">
        <v>4629</v>
      </c>
      <c r="AX14" s="301" t="s">
        <v>4630</v>
      </c>
      <c r="AY14" s="224" t="s">
        <v>4631</v>
      </c>
      <c r="AZ14" s="241" t="s">
        <v>4632</v>
      </c>
      <c r="BA14" s="241" t="s">
        <v>4633</v>
      </c>
      <c r="BB14" s="241" t="s">
        <v>4634</v>
      </c>
      <c r="BC14" s="241" t="s">
        <v>4635</v>
      </c>
      <c r="BD14" s="241" t="s">
        <v>4636</v>
      </c>
      <c r="BE14" s="241" t="s">
        <v>4637</v>
      </c>
      <c r="BF14" s="241" t="s">
        <v>4638</v>
      </c>
      <c r="BG14" s="241" t="s">
        <v>4639</v>
      </c>
      <c r="BH14" s="241" t="s">
        <v>4640</v>
      </c>
      <c r="BI14" s="241" t="s">
        <v>4641</v>
      </c>
      <c r="BJ14" s="241"/>
      <c r="BK14" s="241"/>
      <c r="BL14" s="241"/>
      <c r="BM14" s="241"/>
      <c r="BN14" s="241"/>
      <c r="BO14" s="241"/>
      <c r="BP14" s="241"/>
      <c r="BQ14" s="241"/>
      <c r="BR14" s="241"/>
      <c r="BS14" s="302"/>
    </row>
    <row r="15" customHeight="1" spans="1:71">
      <c r="A15" s="279" t="str">
        <f>IFERROR(IF(COUNTIF($A$26:$A$30,F3),"",F3),"")</f>
        <v>工具熟练项</v>
      </c>
      <c r="B15" s="196" t="str">
        <f t="array" ref="B15">INDEX(A:A,SMALL(IF($A$14:$A$23&lt;&gt;"",ROW($14:$23),24),ROW(A2)))&amp;""</f>
        <v>工具熟练项</v>
      </c>
      <c r="C15" s="310" t="s">
        <v>257</v>
      </c>
      <c r="D15" s="232" t="s">
        <v>4642</v>
      </c>
      <c r="E15" s="232" t="str">
        <f t="array" ref="E15">INDEX(K:K,SMALL(IF($K$2:$K$78&lt;&gt;"",ROW($2:$78),79),ROW(K14)))&amp;""</f>
        <v>智者</v>
      </c>
      <c r="F15" s="307"/>
      <c r="G15" s="224" t="str">
        <f>IFERROR(INDEX($S$2:$Z$78,$H$1,4),"")</f>
        <v/>
      </c>
      <c r="H15" s="200" t="e">
        <f t="array" ref="H15">INDEX(G:G,SMALL(IF($G$12:$G$31&lt;&gt;"",ROW($12:$31),32),ROW(H4)))&amp;""</f>
        <v>#N/A</v>
      </c>
      <c r="I15" s="193"/>
      <c r="J15" s="193">
        <f>IFERROR(INDEX($AA$81:$AF$93,$J$1,2),"")</f>
        <v>0</v>
      </c>
      <c r="K15" s="296" t="s">
        <v>4643</v>
      </c>
      <c r="L15" s="224">
        <f t="shared" si="0"/>
        <v>14</v>
      </c>
      <c r="M15" s="224" t="s">
        <v>4644</v>
      </c>
      <c r="N15" s="193"/>
      <c r="O15" s="224" t="s">
        <v>4194</v>
      </c>
      <c r="P15" s="297" t="s">
        <v>4645</v>
      </c>
      <c r="Q15" s="297" t="s">
        <v>4646</v>
      </c>
      <c r="R15" s="224"/>
      <c r="S15" s="240" t="s">
        <v>4647</v>
      </c>
      <c r="T15" s="240" t="s">
        <v>4648</v>
      </c>
      <c r="U15" s="240" t="s">
        <v>4649</v>
      </c>
      <c r="V15" s="240" t="s">
        <v>4650</v>
      </c>
      <c r="W15" s="240" t="s">
        <v>4651</v>
      </c>
      <c r="X15" s="240" t="s">
        <v>4652</v>
      </c>
      <c r="Y15" s="240" t="s">
        <v>4653</v>
      </c>
      <c r="Z15" s="240" t="s">
        <v>4654</v>
      </c>
      <c r="AA15" s="298" t="s">
        <v>4655</v>
      </c>
      <c r="AB15" s="298" t="s">
        <v>4656</v>
      </c>
      <c r="AC15" s="298" t="s">
        <v>4657</v>
      </c>
      <c r="AD15" s="298" t="s">
        <v>4658</v>
      </c>
      <c r="AE15" s="233" t="s">
        <v>4659</v>
      </c>
      <c r="AF15" s="298" t="s">
        <v>4660</v>
      </c>
      <c r="AG15" s="299" t="s">
        <v>4661</v>
      </c>
      <c r="AH15" s="299" t="s">
        <v>4662</v>
      </c>
      <c r="AI15" s="299" t="s">
        <v>4663</v>
      </c>
      <c r="AJ15" s="299" t="s">
        <v>4664</v>
      </c>
      <c r="AK15" s="299" t="s">
        <v>4665</v>
      </c>
      <c r="AL15" s="299" t="s">
        <v>4666</v>
      </c>
      <c r="AM15" s="300" t="s">
        <v>4667</v>
      </c>
      <c r="AN15" s="300" t="s">
        <v>4668</v>
      </c>
      <c r="AO15" s="300" t="s">
        <v>4669</v>
      </c>
      <c r="AP15" s="300" t="s">
        <v>4670</v>
      </c>
      <c r="AQ15" s="300" t="s">
        <v>4671</v>
      </c>
      <c r="AR15" s="300" t="s">
        <v>4672</v>
      </c>
      <c r="AS15" s="301" t="s">
        <v>4673</v>
      </c>
      <c r="AT15" s="301" t="s">
        <v>4674</v>
      </c>
      <c r="AU15" s="301" t="s">
        <v>4675</v>
      </c>
      <c r="AV15" s="301" t="s">
        <v>4676</v>
      </c>
      <c r="AW15" s="301" t="s">
        <v>4677</v>
      </c>
      <c r="AX15" s="301" t="s">
        <v>4678</v>
      </c>
      <c r="AY15" s="224" t="s">
        <v>4679</v>
      </c>
      <c r="AZ15" s="297" t="s">
        <v>1735</v>
      </c>
      <c r="BA15" s="297" t="s">
        <v>4680</v>
      </c>
      <c r="BB15" s="297" t="s">
        <v>4681</v>
      </c>
      <c r="BC15" s="297" t="s">
        <v>4682</v>
      </c>
      <c r="BD15" s="297" t="s">
        <v>4683</v>
      </c>
      <c r="BE15" s="297" t="s">
        <v>4645</v>
      </c>
      <c r="BF15" s="297" t="s">
        <v>4684</v>
      </c>
      <c r="BG15" s="297" t="s">
        <v>4685</v>
      </c>
      <c r="BH15" s="241"/>
      <c r="BI15" s="241"/>
      <c r="BJ15" s="241"/>
      <c r="BK15" s="241"/>
      <c r="BL15" s="241"/>
      <c r="BM15" s="241"/>
      <c r="BN15" s="241"/>
      <c r="BO15" s="241"/>
      <c r="BP15" s="241"/>
      <c r="BQ15" s="241"/>
      <c r="BR15" s="241"/>
      <c r="BS15" s="302"/>
    </row>
    <row r="16" customHeight="1" spans="1:71">
      <c r="A16" s="279" t="str">
        <f>IFERROR(IF(COUNTIF($A$26:$A$30,F4),"",F4),"")</f>
        <v>背景语言</v>
      </c>
      <c r="B16" s="196" t="str">
        <f t="array" ref="B16">INDEX(A:A,SMALL(IF($A$14:$A$23&lt;&gt;"",ROW($14:$23),24),ROW(A3)))&amp;""</f>
        <v>背景语言</v>
      </c>
      <c r="C16" s="311" t="s">
        <v>258</v>
      </c>
      <c r="D16" s="232" t="s">
        <v>4686</v>
      </c>
      <c r="E16" s="232" t="str">
        <f t="array" ref="E16">INDEX(K:K,SMALL(IF($K$2:$K$78&lt;&gt;"",ROW($2:$78),79),ROW(K15)))&amp;""</f>
        <v>水手</v>
      </c>
      <c r="F16" s="307"/>
      <c r="G16" s="224" t="str">
        <f>IFERROR(INDEX($S$2:$Z$78,$H$1,5),"")</f>
        <v/>
      </c>
      <c r="H16" s="200" t="e">
        <f t="array" ref="H16">INDEX(G:G,SMALL(IF($G$12:$G$31&lt;&gt;"",ROW($12:$31),32),ROW(H5)))&amp;""</f>
        <v>#N/A</v>
      </c>
      <c r="I16" s="193"/>
      <c r="J16" s="193">
        <f>IFERROR(INDEX($AA$81:$AF$93,$J$1,3),"")</f>
        <v>0</v>
      </c>
      <c r="K16" s="296" t="s">
        <v>4687</v>
      </c>
      <c r="L16" s="224">
        <f t="shared" si="0"/>
        <v>15</v>
      </c>
      <c r="M16" s="224" t="s">
        <v>4688</v>
      </c>
      <c r="N16" s="224" t="s">
        <v>4689</v>
      </c>
      <c r="O16" s="224"/>
      <c r="P16" s="297" t="s">
        <v>4690</v>
      </c>
      <c r="Q16" s="297" t="s">
        <v>4691</v>
      </c>
      <c r="R16" s="224"/>
      <c r="S16" s="240" t="s">
        <v>4692</v>
      </c>
      <c r="T16" s="240" t="s">
        <v>4693</v>
      </c>
      <c r="U16" s="240" t="s">
        <v>4694</v>
      </c>
      <c r="V16" s="240" t="s">
        <v>4695</v>
      </c>
      <c r="W16" s="240" t="s">
        <v>4696</v>
      </c>
      <c r="X16" s="240" t="s">
        <v>4697</v>
      </c>
      <c r="Y16" s="240" t="s">
        <v>4698</v>
      </c>
      <c r="Z16" s="240" t="s">
        <v>4699</v>
      </c>
      <c r="AA16" s="298" t="s">
        <v>4700</v>
      </c>
      <c r="AB16" s="298" t="s">
        <v>4701</v>
      </c>
      <c r="AC16" s="298" t="s">
        <v>4702</v>
      </c>
      <c r="AD16" s="298" t="s">
        <v>4703</v>
      </c>
      <c r="AE16" s="233" t="s">
        <v>4704</v>
      </c>
      <c r="AF16" s="298" t="s">
        <v>4705</v>
      </c>
      <c r="AG16" s="299" t="s">
        <v>4706</v>
      </c>
      <c r="AH16" s="299" t="s">
        <v>4707</v>
      </c>
      <c r="AI16" s="299" t="s">
        <v>4708</v>
      </c>
      <c r="AJ16" s="299" t="s">
        <v>4709</v>
      </c>
      <c r="AK16" s="299" t="s">
        <v>4710</v>
      </c>
      <c r="AL16" s="299" t="s">
        <v>4711</v>
      </c>
      <c r="AM16" s="300" t="s">
        <v>4712</v>
      </c>
      <c r="AN16" s="300" t="s">
        <v>4713</v>
      </c>
      <c r="AO16" s="300" t="s">
        <v>4714</v>
      </c>
      <c r="AP16" s="300" t="s">
        <v>4715</v>
      </c>
      <c r="AQ16" s="300" t="s">
        <v>4716</v>
      </c>
      <c r="AR16" s="300" t="s">
        <v>4717</v>
      </c>
      <c r="AS16" s="301" t="s">
        <v>4718</v>
      </c>
      <c r="AT16" s="301" t="s">
        <v>4719</v>
      </c>
      <c r="AU16" s="301" t="s">
        <v>4720</v>
      </c>
      <c r="AV16" s="301" t="s">
        <v>4721</v>
      </c>
      <c r="AW16" s="301" t="s">
        <v>4722</v>
      </c>
      <c r="AX16" s="301" t="s">
        <v>4723</v>
      </c>
      <c r="AY16" s="193"/>
      <c r="AZ16" s="241"/>
      <c r="BA16" s="241"/>
      <c r="BB16" s="241"/>
      <c r="BC16" s="241"/>
      <c r="BD16" s="241"/>
      <c r="BE16" s="241"/>
      <c r="BF16" s="241"/>
      <c r="BG16" s="241"/>
      <c r="BH16" s="241"/>
      <c r="BI16" s="241"/>
      <c r="BJ16" s="241"/>
      <c r="BK16" s="241"/>
      <c r="BL16" s="241"/>
      <c r="BM16" s="241"/>
      <c r="BN16" s="241"/>
      <c r="BO16" s="241"/>
      <c r="BP16" s="241"/>
      <c r="BQ16" s="241"/>
      <c r="BR16" s="241"/>
      <c r="BS16" s="302"/>
    </row>
    <row r="17" customHeight="1" spans="1:71">
      <c r="A17" s="279" t="str">
        <f t="shared" ref="A17:A22" si="5">IFERROR(IF($B$31&gt;=1,"",F5),"")</f>
        <v/>
      </c>
      <c r="B17" s="196" t="str">
        <f t="array" ref="B17">INDEX(A:A,SMALL(IF($A$14:$A$23&lt;&gt;"",ROW($14:$23),24),ROW(A4)))&amp;""</f>
        <v>继承人</v>
      </c>
      <c r="C17" s="312" t="s">
        <v>259</v>
      </c>
      <c r="D17" s="232" t="s">
        <v>4724</v>
      </c>
      <c r="E17" s="232" t="str">
        <f t="array" ref="E17">INDEX(K:K,SMALL(IF($K$2:$K$78&lt;&gt;"",ROW($2:$78),79),ROW(K16)))&amp;""</f>
        <v>海盗</v>
      </c>
      <c r="F17" s="307"/>
      <c r="G17" s="224" t="str">
        <f>IFERROR(INDEX($S$2:$Z$78,$H$1,6),"")</f>
        <v/>
      </c>
      <c r="H17" s="200" t="e">
        <f t="array" ref="H17">INDEX(G:G,SMALL(IF($G$12:$G$31&lt;&gt;"",ROW($12:$31),32),ROW(H6)))&amp;""</f>
        <v>#N/A</v>
      </c>
      <c r="I17" s="193"/>
      <c r="J17" s="193">
        <f>IFERROR(INDEX($AA$81:$AF$93,$J$1,4),"")</f>
        <v>0</v>
      </c>
      <c r="K17" s="296" t="s">
        <v>4725</v>
      </c>
      <c r="L17" s="224">
        <f t="shared" si="0"/>
        <v>16</v>
      </c>
      <c r="M17" s="193" t="str">
        <f>M16</f>
        <v>运动、察觉</v>
      </c>
      <c r="N17" s="193" t="str">
        <f>N16</f>
        <v>领航工具、载具（水运）</v>
      </c>
      <c r="O17" s="193"/>
      <c r="P17" s="297" t="s">
        <v>4726</v>
      </c>
      <c r="Q17" s="297" t="s">
        <v>4727</v>
      </c>
      <c r="R17" s="224"/>
      <c r="S17" s="240" t="str">
        <f t="shared" ref="S17:AX17" si="6">S16</f>
        <v>朋友们知道无论出现什么困难，我都值得依赖。</v>
      </c>
      <c r="T17" s="240" t="str">
        <f t="shared" si="6"/>
        <v>我努力工作，然后休闲时就可以尽情玩乐。</v>
      </c>
      <c r="U17" s="240" t="str">
        <f t="shared" si="6"/>
        <v>我喜欢航行到新港口，然后在那里以酒会友。</v>
      </c>
      <c r="V17" s="240" t="str">
        <f t="shared" si="6"/>
        <v>我常常会为了讲述一个好故事而夸大其词。</v>
      </c>
      <c r="W17" s="240" t="str">
        <f t="shared" si="6"/>
        <v>我就觉得酒馆是了解一座陌生城市的好地方。</v>
      </c>
      <c r="X17" s="240" t="str">
        <f t="shared" si="6"/>
        <v>我从不会放弃友好的赌局。</v>
      </c>
      <c r="Y17" s="240" t="str">
        <f t="shared" si="6"/>
        <v>我的言辞脏污得好比食腐兽的窝。</v>
      </c>
      <c r="Z17" s="240" t="str">
        <f t="shared" si="6"/>
        <v>我喜欢工作都好好完成的样子，如果整个过程都让别人来干就更好了。</v>
      </c>
      <c r="AA17" s="298" t="str">
        <f t="shared" si="6"/>
        <v>尊重：只有船长和船员相互尊重，船才能乘风破浪。</v>
      </c>
      <c r="AB17" s="298" t="str">
        <f t="shared" si="6"/>
        <v>公正：一起干的活工钱一起分。</v>
      </c>
      <c r="AC17" s="298" t="str">
        <f t="shared" si="6"/>
        <v>自由：大海即是自由——随你去哪儿，随你干什么。</v>
      </c>
      <c r="AD17" s="298" t="str">
        <f t="shared" si="6"/>
        <v>统治：我是个掠夺者，海上其他船都是我的猎物。</v>
      </c>
      <c r="AE17" s="233" t="str">
        <f t="shared" si="6"/>
        <v>人民：我只为同伴们出力，而不是为了什么理想。</v>
      </c>
      <c r="AF17" s="298" t="str">
        <f t="shared" si="6"/>
        <v>抱负：早晚有一天，我会拥有自己的船，掌握自己的命运。</v>
      </c>
      <c r="AG17" s="299" t="str">
        <f t="shared" si="6"/>
        <v>我首先忠于我的船长，任何事物都要排在后头。</v>
      </c>
      <c r="AH17" s="299" t="str">
        <f t="shared" si="6"/>
        <v>船才是最重要的，无论船员还是船长都是过客。</v>
      </c>
      <c r="AI17" s="299" t="str">
        <f t="shared" si="6"/>
        <v>我总是会怀念我上过的第一艘船。</v>
      </c>
      <c r="AJ17" s="299" t="str">
        <f t="shared" si="6"/>
        <v>在一个港口里住着我的情人，她的魅力几乎能让我抛弃海上生活和她在一起。</v>
      </c>
      <c r="AK17" s="299" t="str">
        <f t="shared" si="6"/>
        <v>我平分财宝时见到有人作弊，而我要夺回我应得的那份。</v>
      </c>
      <c r="AL17" s="299" t="str">
        <f t="shared" si="6"/>
        <v>残忍的海盗杀了我的船长和兄弟，抢走了我的船，只留下濒死的我。而我一定要复仇。</v>
      </c>
      <c r="AM17" s="300" t="str">
        <f t="shared" si="6"/>
        <v>我遵守命令，哪怕是那些并不正确的命令。</v>
      </c>
      <c r="AN17" s="300" t="str">
        <f t="shared" si="6"/>
        <v>我会绞尽脑汁避免额外劳动。</v>
      </c>
      <c r="AO17" s="300" t="str">
        <f t="shared" si="6"/>
        <v>一旦有人质疑我的勇气，我就什么都敢干。</v>
      </c>
      <c r="AP17" s="300" t="str">
        <f t="shared" si="6"/>
        <v>我一旦开始喝酒，就根本停不下来。</v>
      </c>
      <c r="AQ17" s="300" t="str">
        <f t="shared" si="6"/>
        <v>我会忍不住收集遇到的各种硬币或小饰品等玩意儿。</v>
      </c>
      <c r="AR17" s="300" t="str">
        <f t="shared" si="6"/>
        <v>我的骄傲可能会毁了自己。</v>
      </c>
      <c r="AS17" s="301" t="str">
        <f t="shared" si="6"/>
        <v>我曾被海盗强抓壮丁上船，被迫干活，直到最后逃了出来。</v>
      </c>
      <c r="AT17" s="301" t="str">
        <f t="shared" si="6"/>
        <v>我想要见识世界，所以签约成为一艘商船的下级水手。</v>
      </c>
      <c r="AU17" s="301" t="str">
        <f t="shared" si="6"/>
        <v>我有一个亲戚是水手，他把我带到了海上。</v>
      </c>
      <c r="AV17" s="301" t="str">
        <f t="shared" si="6"/>
        <v>我需要尽快离开目前的社群，所以我偷偷溜上了一艘船，等到船员们发现了我，我不得不在船上工作为自己的偷渡买单。</v>
      </c>
      <c r="AW17" s="301" t="str">
        <f t="shared" si="6"/>
        <v>掠夺者们袭击了我的社群，我隐姓埋名地在一艘船上避风头，等待复仇的机会。</v>
      </c>
      <c r="AX17" s="301" t="str">
        <f t="shared" si="6"/>
        <v>在之前居住的地方我没什么前景，所以离开那里去别处寻找财富。</v>
      </c>
      <c r="AY17" s="193"/>
      <c r="AZ17" s="241"/>
      <c r="BA17" s="241"/>
      <c r="BB17" s="241"/>
      <c r="BC17" s="241"/>
      <c r="BD17" s="241"/>
      <c r="BE17" s="241"/>
      <c r="BF17" s="241"/>
      <c r="BG17" s="241"/>
      <c r="BH17" s="241"/>
      <c r="BI17" s="241"/>
      <c r="BJ17" s="241"/>
      <c r="BK17" s="241"/>
      <c r="BL17" s="241"/>
      <c r="BM17" s="241"/>
      <c r="BN17" s="241"/>
      <c r="BO17" s="241"/>
      <c r="BP17" s="241"/>
      <c r="BQ17" s="241"/>
      <c r="BR17" s="241"/>
      <c r="BS17" s="302"/>
    </row>
    <row r="18" customHeight="1" spans="1:71">
      <c r="A18" s="279" t="str">
        <f t="shared" si="5"/>
        <v>继承人</v>
      </c>
      <c r="B18" s="196" t="str">
        <f t="array" ref="B18">INDEX(A:A,SMALL(IF($A$14:$A$23&lt;&gt;"",ROW($14:$23),24),ROW(A5)))&amp;""</f>
        <v>迷雾漫游者</v>
      </c>
      <c r="C18" s="313" t="s">
        <v>260</v>
      </c>
      <c r="D18" s="232" t="s">
        <v>4728</v>
      </c>
      <c r="E18" s="232" t="str">
        <f t="array" ref="E18">INDEX(K:K,SMALL(IF($K$2:$K$78&lt;&gt;"",ROW($2:$78),79),ROW(K17)))&amp;""</f>
        <v>士兵</v>
      </c>
      <c r="F18" s="307"/>
      <c r="G18" s="193" t="str">
        <f>IFERROR(INDEX($S$2:$Z$78,$H$1,7),"")</f>
        <v/>
      </c>
      <c r="H18" s="200" t="e">
        <f t="array" ref="H18">INDEX(G:G,SMALL(IF($G$12:$G$31&lt;&gt;"",ROW($12:$31),32),ROW(H7)))&amp;""</f>
        <v>#N/A</v>
      </c>
      <c r="I18" s="193"/>
      <c r="J18" s="193">
        <f>IFERROR(INDEX($AA$81:$AF$93,$J$1,5),"")</f>
        <v>0</v>
      </c>
      <c r="K18" s="296" t="s">
        <v>4729</v>
      </c>
      <c r="L18" s="224">
        <f t="shared" si="0"/>
        <v>17</v>
      </c>
      <c r="M18" s="224" t="s">
        <v>4730</v>
      </c>
      <c r="N18" s="224" t="s">
        <v>4731</v>
      </c>
      <c r="O18" s="193"/>
      <c r="P18" s="297" t="s">
        <v>4732</v>
      </c>
      <c r="Q18" s="297" t="s">
        <v>4733</v>
      </c>
      <c r="R18" s="224"/>
      <c r="S18" s="240" t="s">
        <v>4734</v>
      </c>
      <c r="T18" s="240" t="s">
        <v>4735</v>
      </c>
      <c r="U18" s="240" t="s">
        <v>4736</v>
      </c>
      <c r="V18" s="240" t="s">
        <v>4737</v>
      </c>
      <c r="W18" s="240" t="s">
        <v>4738</v>
      </c>
      <c r="X18" s="240" t="s">
        <v>4739</v>
      </c>
      <c r="Y18" s="240" t="s">
        <v>4740</v>
      </c>
      <c r="Z18" s="240" t="s">
        <v>4741</v>
      </c>
      <c r="AA18" s="298" t="s">
        <v>4742</v>
      </c>
      <c r="AB18" s="298" t="s">
        <v>4743</v>
      </c>
      <c r="AC18" s="298" t="s">
        <v>4744</v>
      </c>
      <c r="AD18" s="298" t="s">
        <v>4745</v>
      </c>
      <c r="AE18" s="233" t="s">
        <v>4746</v>
      </c>
      <c r="AF18" s="298" t="s">
        <v>4747</v>
      </c>
      <c r="AG18" s="299" t="s">
        <v>4748</v>
      </c>
      <c r="AH18" s="299" t="s">
        <v>4749</v>
      </c>
      <c r="AI18" s="299" t="s">
        <v>4750</v>
      </c>
      <c r="AJ18" s="299" t="s">
        <v>4751</v>
      </c>
      <c r="AK18" s="299" t="s">
        <v>4752</v>
      </c>
      <c r="AL18" s="299" t="s">
        <v>4753</v>
      </c>
      <c r="AM18" s="300" t="s">
        <v>4754</v>
      </c>
      <c r="AN18" s="300" t="s">
        <v>4755</v>
      </c>
      <c r="AO18" s="300" t="s">
        <v>4756</v>
      </c>
      <c r="AP18" s="300" t="s">
        <v>4757</v>
      </c>
      <c r="AQ18" s="300" t="s">
        <v>4758</v>
      </c>
      <c r="AR18" s="300" t="s">
        <v>4759</v>
      </c>
      <c r="AS18" s="301" t="s">
        <v>4760</v>
      </c>
      <c r="AT18" s="301" t="s">
        <v>4761</v>
      </c>
      <c r="AU18" s="301" t="s">
        <v>4762</v>
      </c>
      <c r="AV18" s="301" t="s">
        <v>4763</v>
      </c>
      <c r="AW18" s="301" t="s">
        <v>4764</v>
      </c>
      <c r="AX18" s="301" t="s">
        <v>4765</v>
      </c>
      <c r="AY18" s="224" t="s">
        <v>4766</v>
      </c>
      <c r="AZ18" s="297" t="s">
        <v>4767</v>
      </c>
      <c r="BA18" s="297" t="s">
        <v>4768</v>
      </c>
      <c r="BB18" s="297" t="s">
        <v>4769</v>
      </c>
      <c r="BC18" s="297" t="s">
        <v>2575</v>
      </c>
      <c r="BD18" s="297" t="s">
        <v>4770</v>
      </c>
      <c r="BE18" s="297" t="s">
        <v>4771</v>
      </c>
      <c r="BF18" s="297" t="s">
        <v>4772</v>
      </c>
      <c r="BG18" s="297" t="s">
        <v>4773</v>
      </c>
      <c r="BH18" s="241"/>
      <c r="BI18" s="241"/>
      <c r="BJ18" s="241"/>
      <c r="BK18" s="241"/>
      <c r="BL18" s="241"/>
      <c r="BM18" s="241"/>
      <c r="BN18" s="241"/>
      <c r="BO18" s="241"/>
      <c r="BP18" s="241"/>
      <c r="BQ18" s="241"/>
      <c r="BR18" s="241"/>
      <c r="BS18" s="302"/>
    </row>
    <row r="19" customHeight="1" spans="1:71">
      <c r="A19" s="279" t="str">
        <f t="shared" si="5"/>
        <v>迷雾漫游者</v>
      </c>
      <c r="B19" s="196" t="str">
        <f t="array" ref="B19">INDEX(A:A,SMALL(IF($A$14:$A$23&lt;&gt;"",ROW($14:$23),24),ROW(A6)))&amp;""</f>
        <v>灵媒</v>
      </c>
      <c r="C19" s="256" t="s">
        <v>264</v>
      </c>
      <c r="D19" s="225" t="s">
        <v>4774</v>
      </c>
      <c r="E19" s="232" t="str">
        <f t="array" ref="E19">INDEX(K:K,SMALL(IF($K$2:$K$78&lt;&gt;"",ROW($2:$78),79),ROW(K18)))&amp;""</f>
        <v>流浪儿</v>
      </c>
      <c r="F19" s="307"/>
      <c r="G19" s="193" t="str">
        <f>IFERROR(INDEX($S$2:$Z$78,$H$1,8),"")</f>
        <v/>
      </c>
      <c r="H19" s="200" t="e">
        <f t="array" ref="H19">INDEX(G:G,SMALL(IF($G$12:$G$31&lt;&gt;"",ROW($12:$31),32),ROW(H8)))&amp;""</f>
        <v>#N/A</v>
      </c>
      <c r="I19" s="193"/>
      <c r="J19" s="193">
        <f>IFERROR(INDEX($AA$81:$AF$93,$J$1,6),"")</f>
        <v>0</v>
      </c>
      <c r="K19" s="296" t="s">
        <v>4775</v>
      </c>
      <c r="L19" s="224">
        <f t="shared" si="0"/>
        <v>18</v>
      </c>
      <c r="M19" s="224" t="s">
        <v>4776</v>
      </c>
      <c r="N19" s="224" t="s">
        <v>4777</v>
      </c>
      <c r="O19" s="193"/>
      <c r="P19" s="297" t="s">
        <v>4778</v>
      </c>
      <c r="Q19" s="297" t="s">
        <v>4779</v>
      </c>
      <c r="R19" s="224"/>
      <c r="S19" s="240" t="s">
        <v>4780</v>
      </c>
      <c r="T19" s="240" t="s">
        <v>4781</v>
      </c>
      <c r="U19" s="240" t="s">
        <v>4782</v>
      </c>
      <c r="V19" s="240" t="s">
        <v>4783</v>
      </c>
      <c r="W19" s="240" t="s">
        <v>4784</v>
      </c>
      <c r="X19" s="240" t="s">
        <v>4785</v>
      </c>
      <c r="Y19" s="240" t="s">
        <v>4786</v>
      </c>
      <c r="Z19" s="240" t="s">
        <v>4787</v>
      </c>
      <c r="AA19" s="298" t="s">
        <v>4788</v>
      </c>
      <c r="AB19" s="298" t="s">
        <v>4789</v>
      </c>
      <c r="AC19" s="298" t="s">
        <v>4790</v>
      </c>
      <c r="AD19" s="298" t="s">
        <v>4791</v>
      </c>
      <c r="AE19" s="233" t="s">
        <v>4792</v>
      </c>
      <c r="AF19" s="298" t="s">
        <v>4793</v>
      </c>
      <c r="AG19" s="299" t="s">
        <v>4794</v>
      </c>
      <c r="AH19" s="299" t="s">
        <v>4795</v>
      </c>
      <c r="AI19" s="299" t="s">
        <v>4796</v>
      </c>
      <c r="AJ19" s="299" t="s">
        <v>4797</v>
      </c>
      <c r="AK19" s="299" t="s">
        <v>4798</v>
      </c>
      <c r="AL19" s="299" t="s">
        <v>4799</v>
      </c>
      <c r="AM19" s="300" t="s">
        <v>4800</v>
      </c>
      <c r="AN19" s="300" t="s">
        <v>4801</v>
      </c>
      <c r="AO19" s="300" t="s">
        <v>4802</v>
      </c>
      <c r="AP19" s="300" t="s">
        <v>4803</v>
      </c>
      <c r="AQ19" s="300" t="s">
        <v>4804</v>
      </c>
      <c r="AR19" s="300" t="s">
        <v>4805</v>
      </c>
      <c r="AS19" s="301" t="s">
        <v>4806</v>
      </c>
      <c r="AT19" s="301" t="s">
        <v>4807</v>
      </c>
      <c r="AU19" s="301" t="s">
        <v>4808</v>
      </c>
      <c r="AV19" s="301" t="s">
        <v>4809</v>
      </c>
      <c r="AW19" s="301" t="s">
        <v>4810</v>
      </c>
      <c r="AX19" s="301" t="s">
        <v>4811</v>
      </c>
      <c r="AY19" s="193"/>
      <c r="AZ19" s="241"/>
      <c r="BA19" s="241"/>
      <c r="BB19" s="241"/>
      <c r="BC19" s="241"/>
      <c r="BD19" s="241"/>
      <c r="BE19" s="241"/>
      <c r="BF19" s="241"/>
      <c r="BG19" s="241"/>
      <c r="BH19" s="241"/>
      <c r="BI19" s="241"/>
      <c r="BJ19" s="241"/>
      <c r="BK19" s="241"/>
      <c r="BL19" s="241"/>
      <c r="BM19" s="241"/>
      <c r="BN19" s="241"/>
      <c r="BO19" s="241"/>
      <c r="BP19" s="241"/>
      <c r="BQ19" s="241"/>
      <c r="BR19" s="241"/>
      <c r="BS19" s="302"/>
    </row>
    <row r="20" customHeight="1" spans="1:71">
      <c r="A20" s="279" t="str">
        <f t="shared" si="5"/>
        <v>灵媒</v>
      </c>
      <c r="B20" s="196" t="str">
        <f t="array" ref="B20">INDEX(A:A,SMALL(IF($A$14:$A$23&lt;&gt;"",ROW($14:$23),24),ROW(A7)))&amp;""</f>
        <v>苦难幸存者</v>
      </c>
      <c r="C20" s="314" t="s">
        <v>266</v>
      </c>
      <c r="D20" s="225" t="s">
        <v>4812</v>
      </c>
      <c r="E20" s="232" t="str">
        <f t="array" ref="E20">INDEX(K:K,SMALL(IF($K$2:$K$78&lt;&gt;"",ROW($2:$78),79),ROW(K19)))&amp;""</f>
        <v>城市守卫</v>
      </c>
      <c r="F20" s="307"/>
      <c r="G20" s="315" t="e">
        <f>IF(AND(综合数据!B15=TRUE,H1&gt;0),"我相信曾经的一次邂逅让我对超自然的事物产生一种特殊的亲和力。","")</f>
        <v>#N/A</v>
      </c>
      <c r="H20" s="200" t="e">
        <f t="array" ref="H20">INDEX(G:G,SMALL(IF($G$12:$G$31&lt;&gt;"",ROW($12:$31),32),ROW(H9)))&amp;""</f>
        <v>#N/A</v>
      </c>
      <c r="I20" s="193">
        <f>IFERROR(INDEX(AG81:AG93,J1,1),0)</f>
        <v>0</v>
      </c>
      <c r="J20" s="193">
        <f>IFERROR(INDEX($AH$81:$AM$93,$J$1,1),"")</f>
        <v>0</v>
      </c>
      <c r="K20" s="316" t="str">
        <f>IF(综合数据!B5=TRUE,"城市守卫","")</f>
        <v>城市守卫</v>
      </c>
      <c r="L20" s="317">
        <f t="shared" si="0"/>
        <v>19</v>
      </c>
      <c r="M20" s="306" t="s">
        <v>4813</v>
      </c>
      <c r="N20" s="306"/>
      <c r="O20" s="224" t="s">
        <v>4194</v>
      </c>
      <c r="P20" s="308" t="s">
        <v>4814</v>
      </c>
      <c r="Q20" s="308" t="s">
        <v>4815</v>
      </c>
      <c r="R20" s="306"/>
      <c r="S20" s="240" t="str">
        <f t="shared" ref="S20:AX20" si="7">S18</f>
        <v>我总是表现的恭敬有礼。</v>
      </c>
      <c r="T20" s="240" t="str">
        <f t="shared" si="7"/>
        <v>我的心中总是萦绕着战争时的记忆，那些残暴的画面总是挥之不去。</v>
      </c>
      <c r="U20" s="240" t="str">
        <f t="shared" si="7"/>
        <v>我曾失去太多的朋友，而现在已经很难交个新的朋友了。</v>
      </c>
      <c r="V20" s="240" t="str">
        <f t="shared" si="7"/>
        <v>我的军事生涯曾经历过各种情况，所以我能以此讲出许多鼓舞人心而又发人深省的故事。</v>
      </c>
      <c r="W20" s="240" t="str">
        <f t="shared" si="7"/>
        <v>我能盯着一只地狱犬看而毫不畏缩。</v>
      </c>
      <c r="X20" s="240" t="str">
        <f t="shared" si="7"/>
        <v>我喜欢强壮的感觉并且乐于打坏东西。</v>
      </c>
      <c r="Y20" s="240" t="str">
        <f t="shared" si="7"/>
        <v>我有着粗俗的幽默感。</v>
      </c>
      <c r="Z20" s="240" t="str">
        <f t="shared" si="7"/>
        <v>我迎难而上直面问题。一个简单直接的解决方案是通往成功的最佳路径。</v>
      </c>
      <c r="AA20" s="298" t="str">
        <f t="shared" si="7"/>
        <v>大义：我们的使命即是为保卫他人而献出自己的生命。</v>
      </c>
      <c r="AB20" s="298" t="str">
        <f t="shared" si="7"/>
        <v>责任：我服从权力，并且只做必须做的事。</v>
      </c>
      <c r="AC20" s="298" t="str">
        <f t="shared" si="7"/>
        <v>独立：盲目的服从命令，某种意义上就相当于接受暴君统治。</v>
      </c>
      <c r="AD20" s="298" t="str">
        <f t="shared" si="7"/>
        <v>力量：生活与战争一样，只有更强大的一方才能获胜。</v>
      </c>
      <c r="AE20" s="233" t="str">
        <f t="shared" si="7"/>
        <v>自持自重：不该以理想之名行杀戮之事，或是以其名义发动战争。</v>
      </c>
      <c r="AF20" s="298" t="str">
        <f t="shared" si="7"/>
        <v>国家：我的城市、国家和人民是最重要的事。</v>
      </c>
      <c r="AG20" s="299" t="str">
        <f t="shared" si="7"/>
        <v>我依然会以性命保护曾一起共事之人。</v>
      </c>
      <c r="AH20" s="299" t="str">
        <f t="shared" si="7"/>
        <v>有人在战场上救过我的命。因而现在我也不会丢下任何一个朋友。</v>
      </c>
      <c r="AI20" s="299" t="str">
        <f t="shared" si="7"/>
        <v>荣誉即吾命。</v>
      </c>
      <c r="AJ20" s="299" t="str">
        <f t="shared" si="7"/>
        <v>我永远不会忘记队伍曾遭受到的惨败，以及当时的敌人。</v>
      </c>
      <c r="AK20" s="299" t="str">
        <f t="shared" si="7"/>
        <v>那些与我同袍的人值得为之豁出性命。</v>
      </c>
      <c r="AL20" s="299" t="str">
        <f t="shared" si="7"/>
        <v>我为那些无法为他们自己战斗的人而战。</v>
      </c>
      <c r="AM20" s="300" t="str">
        <f t="shared" si="7"/>
        <v>我们曾在战场上面对的凶暴的敌人依然会令我恐惧的发抖。</v>
      </c>
      <c r="AN20" s="300" t="str">
        <f t="shared" si="7"/>
        <v>除那些久经沙场的武士外，任何人都不值得我尊重。</v>
      </c>
      <c r="AO20" s="300" t="str">
        <f t="shared" si="7"/>
        <v>我曾在战场上犯了一个严重的错并为此伤害了许多生命——而我为了能守住这个秘密愿意做任何事。</v>
      </c>
      <c r="AP20" s="300" t="str">
        <f t="shared" si="7"/>
        <v>我对敌人的仇恨盲目而缺乏理性。</v>
      </c>
      <c r="AQ20" s="300" t="str">
        <f t="shared" si="7"/>
        <v>我遵从法律，而不管其律条是否会招致不幸。</v>
      </c>
      <c r="AR20" s="300" t="str">
        <f t="shared" si="7"/>
        <v>我在犯错时宁可吞掉自己的护甲也不愿承认。</v>
      </c>
      <c r="AS20" s="301" t="str">
        <f t="shared" si="7"/>
        <v>我加入了民兵队，抵御怪物，保护我的社群</v>
      </c>
      <c r="AT20" s="301" t="str">
        <f t="shared" si="7"/>
        <v>我家有亲人是士兵，我希望继承这个传统。</v>
      </c>
      <c r="AU20" s="301" t="str">
        <f t="shared" si="7"/>
        <v>我被本地领主强征入伍。</v>
      </c>
      <c r="AV20" s="301" t="str">
        <f t="shared" si="7"/>
        <v>在我成长的过程中，故乡一直战火纷飞，满目疮痍。战斗是我唯一所知的生活方式。</v>
      </c>
      <c r="AW20" s="301" t="str">
        <f t="shared" si="7"/>
        <v>我想要出名和发财，所以加入了一伙雇佣兵集团，为出开价最高的人战斗。</v>
      </c>
      <c r="AX20" s="301" t="str">
        <f t="shared" si="7"/>
        <v>侵略者袭击了我的家乡，拿起武器保卫人民是我的使命。</v>
      </c>
      <c r="AY20" s="193"/>
      <c r="AZ20" s="241"/>
      <c r="BA20" s="241"/>
      <c r="BB20" s="241"/>
      <c r="BC20" s="241"/>
      <c r="BD20" s="241"/>
      <c r="BE20" s="241"/>
      <c r="BF20" s="241"/>
      <c r="BG20" s="241"/>
      <c r="BH20" s="241"/>
      <c r="BI20" s="241"/>
      <c r="BJ20" s="241"/>
      <c r="BK20" s="241"/>
      <c r="BL20" s="241"/>
      <c r="BM20" s="241"/>
      <c r="BN20" s="241"/>
      <c r="BO20" s="241"/>
      <c r="BP20" s="241"/>
      <c r="BQ20" s="241"/>
      <c r="BR20" s="241"/>
      <c r="BS20" s="302"/>
    </row>
    <row r="21" customHeight="1" spans="1:71">
      <c r="A21" s="279" t="str">
        <f t="shared" si="5"/>
        <v>苦难幸存者</v>
      </c>
      <c r="B21" s="196" t="str">
        <f t="array" ref="B21">INDEX(A:A,SMALL(IF($A$14:$A$23&lt;&gt;"",ROW($14:$23),24),ROW(A8)))&amp;""</f>
        <v>旅行者</v>
      </c>
      <c r="C21" s="318" t="s">
        <v>267</v>
      </c>
      <c r="D21" s="225" t="s">
        <v>4816</v>
      </c>
      <c r="E21" s="232" t="str">
        <f t="array" ref="E21">INDEX(K:K,SMALL(IF($K$2:$K$78&lt;&gt;"",ROW($2:$78),79),ROW(K20)))&amp;""</f>
        <v>调查员</v>
      </c>
      <c r="F21" s="307"/>
      <c r="G21" s="315" t="e">
        <f>IF(AND(综合数据!B15=TRUE,H1&gt;0),"我用一件标志性的衣物或武器来表明自己的身份","")</f>
        <v>#N/A</v>
      </c>
      <c r="H21" s="200" t="e">
        <f t="array" ref="H21">INDEX(G:G,SMALL(IF($G$12:$G$31&lt;&gt;"",ROW($12:$31),32),ROW(H10)))&amp;""</f>
        <v>#N/A</v>
      </c>
      <c r="I21" s="193"/>
      <c r="J21" s="193">
        <f>IFERROR(INDEX($AH$81:$AM$93,$J$1,2),"")</f>
        <v>0</v>
      </c>
      <c r="K21" s="316" t="str">
        <f>IF(综合数据!B5=TRUE,"调查员","")</f>
        <v>调查员</v>
      </c>
      <c r="L21" s="317">
        <f t="shared" si="0"/>
        <v>20</v>
      </c>
      <c r="M21" s="306" t="s">
        <v>4817</v>
      </c>
      <c r="N21" s="306"/>
      <c r="O21" s="306" t="str">
        <f>O20</f>
        <v>任选两门语言</v>
      </c>
      <c r="P21" s="308" t="str">
        <f>P20</f>
        <v>守护者之眼</v>
      </c>
      <c r="Q21" s="308" t="str">
        <f>Q20</f>
        <v>你对执行法律、处理犯法者有着丰富的经验，这给了你对法律和犯罪异常敏感的感觉。你能很容易的找到守卫的哨站或是一些类似的组织，也能轻易的发现犯罪者们活动的窝点，同时你也在前者更容易受到欢迎。</v>
      </c>
      <c r="R21" s="306"/>
      <c r="S21" s="240" t="str">
        <f t="shared" ref="S21:AX21" si="8">S20</f>
        <v>我总是表现的恭敬有礼。</v>
      </c>
      <c r="T21" s="240" t="str">
        <f t="shared" si="8"/>
        <v>我的心中总是萦绕着战争时的记忆，那些残暴的画面总是挥之不去。</v>
      </c>
      <c r="U21" s="240" t="str">
        <f t="shared" si="8"/>
        <v>我曾失去太多的朋友，而现在已经很难交个新的朋友了。</v>
      </c>
      <c r="V21" s="240" t="str">
        <f t="shared" si="8"/>
        <v>我的军事生涯曾经历过各种情况，所以我能以此讲出许多鼓舞人心而又发人深省的故事。</v>
      </c>
      <c r="W21" s="240" t="str">
        <f t="shared" si="8"/>
        <v>我能盯着一只地狱犬看而毫不畏缩。</v>
      </c>
      <c r="X21" s="240" t="str">
        <f t="shared" si="8"/>
        <v>我喜欢强壮的感觉并且乐于打坏东西。</v>
      </c>
      <c r="Y21" s="240" t="str">
        <f t="shared" si="8"/>
        <v>我有着粗俗的幽默感。</v>
      </c>
      <c r="Z21" s="240" t="str">
        <f t="shared" si="8"/>
        <v>我迎难而上直面问题。一个简单直接的解决方案是通往成功的最佳路径。</v>
      </c>
      <c r="AA21" s="298" t="str">
        <f t="shared" si="8"/>
        <v>大义：我们的使命即是为保卫他人而献出自己的生命。</v>
      </c>
      <c r="AB21" s="298" t="str">
        <f t="shared" si="8"/>
        <v>责任：我服从权力，并且只做必须做的事。</v>
      </c>
      <c r="AC21" s="298" t="str">
        <f t="shared" si="8"/>
        <v>独立：盲目的服从命令，某种意义上就相当于接受暴君统治。</v>
      </c>
      <c r="AD21" s="298" t="str">
        <f t="shared" si="8"/>
        <v>力量：生活与战争一样，只有更强大的一方才能获胜。</v>
      </c>
      <c r="AE21" s="233" t="str">
        <f t="shared" si="8"/>
        <v>自持自重：不该以理想之名行杀戮之事，或是以其名义发动战争。</v>
      </c>
      <c r="AF21" s="298" t="str">
        <f t="shared" si="8"/>
        <v>国家：我的城市、国家和人民是最重要的事。</v>
      </c>
      <c r="AG21" s="299" t="str">
        <f t="shared" si="8"/>
        <v>我依然会以性命保护曾一起共事之人。</v>
      </c>
      <c r="AH21" s="299" t="str">
        <f t="shared" si="8"/>
        <v>有人在战场上救过我的命。因而现在我也不会丢下任何一个朋友。</v>
      </c>
      <c r="AI21" s="299" t="str">
        <f t="shared" si="8"/>
        <v>荣誉即吾命。</v>
      </c>
      <c r="AJ21" s="299" t="str">
        <f t="shared" si="8"/>
        <v>我永远不会忘记队伍曾遭受到的惨败，以及当时的敌人。</v>
      </c>
      <c r="AK21" s="299" t="str">
        <f t="shared" si="8"/>
        <v>那些与我同袍的人值得为之豁出性命。</v>
      </c>
      <c r="AL21" s="299" t="str">
        <f t="shared" si="8"/>
        <v>我为那些无法为他们自己战斗的人而战。</v>
      </c>
      <c r="AM21" s="300" t="str">
        <f t="shared" si="8"/>
        <v>我们曾在战场上面对的凶暴的敌人依然会令我恐惧的发抖。</v>
      </c>
      <c r="AN21" s="300" t="str">
        <f t="shared" si="8"/>
        <v>除那些久经沙场的武士外，任何人都不值得我尊重。</v>
      </c>
      <c r="AO21" s="300" t="str">
        <f t="shared" si="8"/>
        <v>我曾在战场上犯了一个严重的错并为此伤害了许多生命——而我为了能守住这个秘密愿意做任何事。</v>
      </c>
      <c r="AP21" s="300" t="str">
        <f t="shared" si="8"/>
        <v>我对敌人的仇恨盲目而缺乏理性。</v>
      </c>
      <c r="AQ21" s="300" t="str">
        <f t="shared" si="8"/>
        <v>我遵从法律，而不管其律条是否会招致不幸。</v>
      </c>
      <c r="AR21" s="300" t="str">
        <f t="shared" si="8"/>
        <v>我在犯错时宁可吞掉自己的护甲也不愿承认。</v>
      </c>
      <c r="AS21" s="301" t="str">
        <f t="shared" si="8"/>
        <v>我加入了民兵队，抵御怪物，保护我的社群</v>
      </c>
      <c r="AT21" s="301" t="str">
        <f t="shared" si="8"/>
        <v>我家有亲人是士兵，我希望继承这个传统。</v>
      </c>
      <c r="AU21" s="301" t="str">
        <f t="shared" si="8"/>
        <v>我被本地领主强征入伍。</v>
      </c>
      <c r="AV21" s="301" t="str">
        <f t="shared" si="8"/>
        <v>在我成长的过程中，故乡一直战火纷飞，满目疮痍。战斗是我唯一所知的生活方式。</v>
      </c>
      <c r="AW21" s="301" t="str">
        <f t="shared" si="8"/>
        <v>我想要出名和发财，所以加入了一伙雇佣兵集团，为出开价最高的人战斗。</v>
      </c>
      <c r="AX21" s="301" t="str">
        <f t="shared" si="8"/>
        <v>侵略者袭击了我的家乡，拿起武器保卫人民是我的使命。</v>
      </c>
      <c r="AY21" s="193"/>
      <c r="AZ21" s="241"/>
      <c r="BA21" s="241"/>
      <c r="BB21" s="241"/>
      <c r="BC21" s="241"/>
      <c r="BD21" s="241"/>
      <c r="BE21" s="241"/>
      <c r="BF21" s="241"/>
      <c r="BG21" s="241"/>
      <c r="BH21" s="241"/>
      <c r="BI21" s="241"/>
      <c r="BJ21" s="241"/>
      <c r="BK21" s="241"/>
      <c r="BL21" s="241"/>
      <c r="BM21" s="241"/>
      <c r="BN21" s="241"/>
      <c r="BO21" s="241"/>
      <c r="BP21" s="241"/>
      <c r="BQ21" s="241"/>
      <c r="BR21" s="241"/>
      <c r="BS21" s="302"/>
    </row>
    <row r="22" customHeight="1" spans="1:71">
      <c r="A22" s="279" t="str">
        <f t="shared" si="5"/>
        <v>旅行者</v>
      </c>
      <c r="B22" s="196" t="str">
        <f t="array" ref="B22">INDEX(A:A,SMALL(IF($A$14:$A$23&lt;&gt;"",ROW($14:$23),24),ROW(A9)))&amp;""</f>
        <v/>
      </c>
      <c r="C22" s="319" t="s">
        <v>268</v>
      </c>
      <c r="D22" s="225" t="s">
        <v>4818</v>
      </c>
      <c r="E22" s="232" t="str">
        <f t="array" ref="E22">INDEX(K:K,SMALL(IF($K$2:$K$78&lt;&gt;"",ROW($2:$78),79),ROW(K21)))&amp;""</f>
        <v>宗族工匠</v>
      </c>
      <c r="F22" s="307"/>
      <c r="G22" s="315" t="e">
        <f>IF(AND(综合数据!B15=TRUE,H1&gt;0),"我拒绝接受任何我无法驾驭的事情。","")</f>
        <v>#N/A</v>
      </c>
      <c r="H22" s="200" t="e">
        <f t="array" ref="H22">INDEX(G:G,SMALL(IF($G$12:$G$31&lt;&gt;"",ROW($12:$31),32),ROW(H11)))&amp;""</f>
        <v>#N/A</v>
      </c>
      <c r="I22" s="193"/>
      <c r="J22" s="193">
        <f>IFERROR(INDEX($AH$81:$AM$93,$J$1,3),"")</f>
        <v>0</v>
      </c>
      <c r="K22" s="316" t="str">
        <f>IF(综合数据!B5=TRUE,"宗族工匠","")</f>
        <v>宗族工匠</v>
      </c>
      <c r="L22" s="317">
        <f t="shared" si="0"/>
        <v>21</v>
      </c>
      <c r="M22" s="306" t="s">
        <v>4819</v>
      </c>
      <c r="N22" s="224" t="s">
        <v>4441</v>
      </c>
      <c r="O22" s="306" t="s">
        <v>4820</v>
      </c>
      <c r="P22" s="308" t="s">
        <v>4821</v>
      </c>
      <c r="Q22" s="308" t="s">
        <v>4822</v>
      </c>
      <c r="R22" s="306"/>
      <c r="S22" s="240" t="str">
        <f t="shared" ref="S22:AX22" si="9">S9</f>
        <v>我确信能做的事就要做到最好。而我必须要做到最好——我是完美主义者。</v>
      </c>
      <c r="T22" s="240" t="str">
        <f t="shared" si="9"/>
        <v>我瞧不起那些不懂审美的家伙。</v>
      </c>
      <c r="U22" s="240" t="str">
        <f t="shared" si="9"/>
        <v>我总是想搞清楚事物如何运作，人们为何奔波。</v>
      </c>
      <c r="V22" s="240" t="str">
        <f t="shared" si="9"/>
        <v>我有一肚子格言警句，总是能恰到好处地掉书袋。</v>
      </c>
      <c r="W22" s="240" t="str">
        <f t="shared" si="9"/>
        <v>我对那些不像我那样努力工作、公平竞争的人并不会以礼相待。</v>
      </c>
      <c r="X22" s="240" t="str">
        <f t="shared" si="9"/>
        <v>我喜欢对我的行当高谈阔论。</v>
      </c>
      <c r="Y22" s="240" t="str">
        <f t="shared" si="9"/>
        <v>我不会轻易花钱，砍价也总是砍到最低。</v>
      </c>
      <c r="Z22" s="240" t="str">
        <f t="shared" si="9"/>
        <v>我在我这行鼎鼎有名，而我要确保所有人都认同这点。如果人们没听说过我，就会让我大吃一惊。</v>
      </c>
      <c r="AA22" s="298" t="str">
        <f t="shared" si="9"/>
        <v>团结：加强集体团结，保卫社区安全，是文明人应尽的义务。</v>
      </c>
      <c r="AB22" s="298" t="str">
        <f t="shared" si="9"/>
        <v>慷慨：既然我有天赋，我就要造福世界。</v>
      </c>
      <c r="AC22" s="298" t="str">
        <f t="shared" si="9"/>
        <v>自由：任何人都有选择营生方式的自由。</v>
      </c>
      <c r="AD22" s="298" t="str">
        <f t="shared" si="9"/>
        <v>贪婪：我干这行就只为钱。</v>
      </c>
      <c r="AE22" s="233" t="str">
        <f t="shared" si="9"/>
        <v>人民：我为我在乎的人奋斗，而不是为了什么理想。</v>
      </c>
      <c r="AF22" s="298" t="str">
        <f t="shared" si="9"/>
        <v>抱负：我努力钻研是为了成为本行中的翘楚。</v>
      </c>
      <c r="AG22" s="299" t="str">
        <f t="shared" si="9"/>
        <v>我学习技艺的厂房对我来说是世界上最重要的地方。</v>
      </c>
      <c r="AH22" s="299" t="str">
        <f t="shared" si="9"/>
        <v>我为某人造出了一件绝世珍品，却发现对方根本配不上它。而我仍在找配得上它的人。</v>
      </c>
      <c r="AI22" s="299" t="str">
        <f t="shared" si="9"/>
        <v>公会造就了今天的我，因此我仍欠公会良多。</v>
      </c>
      <c r="AJ22" s="299" t="str">
        <f t="shared" si="9"/>
        <v>我为了向某人求爱而攒钱。</v>
      </c>
      <c r="AK22" s="299" t="str">
        <f t="shared" si="9"/>
        <v>终有一天，我会回到公会，然后证明我是其中最厉害的工匠。</v>
      </c>
      <c r="AL22" s="299" t="str">
        <f t="shared" si="9"/>
        <v>我要向那个破坏我工坊，毁掉我生活的邪恶势力复仇。</v>
      </c>
      <c r="AM22" s="300" t="str">
        <f t="shared" si="9"/>
        <v>我会为了获得某些珍贵无价之物做任何事。</v>
      </c>
      <c r="AN22" s="300" t="str">
        <f t="shared" si="9"/>
        <v>我常常很急躁地认定某人正在骗我。</v>
      </c>
      <c r="AO22" s="300" t="str">
        <f t="shared" si="9"/>
        <v>应当没人知道我曾经从公会金库里偷过钱。</v>
      </c>
      <c r="AP22" s="300" t="str">
        <f t="shared" si="9"/>
        <v>我从未知足于自己所有之物，而总是欲壑难填。</v>
      </c>
      <c r="AQ22" s="300" t="str">
        <f t="shared" si="9"/>
        <v>我极度渴望贵族头衔。</v>
      </c>
      <c r="AR22" s="300" t="str">
        <f t="shared" si="9"/>
        <v>我妒忌任何手艺胜我一筹的人。而我无论走到哪里却都是对手环绕。</v>
      </c>
      <c r="AS22" s="301" t="str">
        <f t="shared" si="9"/>
        <v>我曾是一位大师的学徒，他教导了我行会生意。 </v>
      </c>
      <c r="AT22" s="301" t="str">
        <f t="shared" si="9"/>
        <v>我曾帮一名行会工匠保守秘密或者完成某个任务，作为回报，他收我为徒。</v>
      </c>
      <c r="AU22" s="301" t="str">
        <f t="shared" si="9"/>
        <v>我家族里有一个人是行会成员，他为我谋了个位置。</v>
      </c>
      <c r="AV22" s="301" t="str">
        <f t="shared" si="9"/>
        <v>我的手艺很好，所以抓住机会学了一门生意。</v>
      </c>
      <c r="AW22" s="301" t="str">
        <f t="shared" si="9"/>
        <v>我想要离家独立，开始新的人生。</v>
      </c>
      <c r="AX22" s="301" t="str">
        <f t="shared" si="9"/>
        <v>我从一个导师那里学了些基础，但需要加入行会才能完成所有的训练。</v>
      </c>
      <c r="AY22" s="193"/>
      <c r="AZ22" s="241"/>
      <c r="BA22" s="241"/>
      <c r="BB22" s="241"/>
      <c r="BC22" s="241"/>
      <c r="BD22" s="241"/>
      <c r="BE22" s="241"/>
      <c r="BF22" s="241"/>
      <c r="BG22" s="241"/>
      <c r="BH22" s="241"/>
      <c r="BI22" s="241"/>
      <c r="BJ22" s="241"/>
      <c r="BK22" s="241"/>
      <c r="BL22" s="241"/>
      <c r="BM22" s="241"/>
      <c r="BN22" s="241"/>
      <c r="BO22" s="241"/>
      <c r="BP22" s="241"/>
      <c r="BQ22" s="241"/>
      <c r="BR22" s="241"/>
      <c r="BS22" s="302"/>
    </row>
    <row r="23" customHeight="1" spans="1:71">
      <c r="A23" s="320" t="str">
        <f>IFERROR(IF(COUNTIF($A$26:$A$30,F11),"",F11),"")</f>
        <v/>
      </c>
      <c r="B23" s="214" t="str">
        <f t="array" ref="B23">INDEX(A:A,SMALL(IF($A$14:$A$23&lt;&gt;"",ROW($14:$23),24),ROW(A10)))&amp;""</f>
        <v/>
      </c>
      <c r="C23" s="321" t="s">
        <v>269</v>
      </c>
      <c r="D23" s="225" t="s">
        <v>4823</v>
      </c>
      <c r="E23" s="232" t="str">
        <f t="array" ref="E23">INDEX(K:K,SMALL(IF($K$2:$K$78&lt;&gt;"",ROW($2:$78),79),ROW(K22)))&amp;""</f>
        <v>与世隔绝的学者</v>
      </c>
      <c r="F23" s="307"/>
      <c r="G23" s="315" t="e">
        <f>IF(AND(综合数据!B15=TRUE,H1&gt;0),"我必须知道每一个答案，所有的秘密都要向我敞开。","")</f>
        <v>#N/A</v>
      </c>
      <c r="H23" s="200" t="e">
        <f t="array" ref="H23">INDEX(G:G,SMALL(IF($G$12:$G$31&lt;&gt;"",ROW($12:$31),32),ROW(H12)))&amp;""</f>
        <v>#N/A</v>
      </c>
      <c r="I23" s="193"/>
      <c r="J23" s="193">
        <f>IFERROR(INDEX($AH$81:$AM$93,$J$1,4),"")</f>
        <v>0</v>
      </c>
      <c r="K23" s="316" t="str">
        <f>IF(综合数据!B5=TRUE,"与世隔绝的学者","")</f>
        <v>与世隔绝的学者</v>
      </c>
      <c r="L23" s="317">
        <f t="shared" si="0"/>
        <v>22</v>
      </c>
      <c r="M23" s="306" t="s">
        <v>4824</v>
      </c>
      <c r="N23" s="306"/>
      <c r="O23" s="224" t="s">
        <v>4194</v>
      </c>
      <c r="P23" s="308" t="s">
        <v>4825</v>
      </c>
      <c r="Q23" s="308" t="s">
        <v>4826</v>
      </c>
      <c r="R23" s="306"/>
      <c r="S23" s="240" t="str">
        <f t="shared" ref="S23:AX23" si="10">S15</f>
        <v>我会用一些让人觉得非常博学的长词。</v>
      </c>
      <c r="T23" s="240" t="str">
        <f t="shared" si="10"/>
        <v>我读过世上最大图书馆中的每一本书——或者我喜欢自夸我读过。</v>
      </c>
      <c r="U23" s="240" t="str">
        <f t="shared" si="10"/>
        <v>我习惯帮助那些不像我这么聪明的人，而我有耐心对其他人解释任何事和每件事。</v>
      </c>
      <c r="V23" s="240" t="str">
        <f t="shared" si="10"/>
        <v>没有什么能比一个有趣的谜团更令我欢心。</v>
      </c>
      <c r="W23" s="240" t="str">
        <f t="shared" si="10"/>
        <v>我作出自己的判断前，总会乐意倾听争论双方的论点。</v>
      </c>
      <c r="X23" s="240" t="str">
        <f t="shared" si="10"/>
        <v>我~跟~白痴们~讲话~时~会~放慢~语速，别~误会~我~是指~所有人~都是~白痴。</v>
      </c>
      <c r="Y23" s="240" t="str">
        <f t="shared" si="10"/>
        <v>我在社交场合尴尬得特别特别厉害。</v>
      </c>
      <c r="Z23" s="240" t="str">
        <f t="shared" si="10"/>
        <v>我确信人们始终在试着偷取我的秘密。</v>
      </c>
      <c r="AA23" s="298" t="str">
        <f t="shared" si="10"/>
        <v>知识：知识是通往力量和自我发展的必经之路。</v>
      </c>
      <c r="AB23" s="298" t="str">
        <f t="shared" si="10"/>
        <v>美丽：美丽的事物指引我们想着其所在的方向继续向前即是真实。</v>
      </c>
      <c r="AC23" s="298" t="str">
        <f t="shared" si="10"/>
        <v>逻辑：情绪绝不能蒙蔽逻辑思考。</v>
      </c>
      <c r="AD23" s="298" t="str">
        <f t="shared" si="10"/>
        <v>无拘无束：任何东西都不该束缚所有存在中潜在的无限可能。</v>
      </c>
      <c r="AE23" s="233" t="str">
        <f t="shared" si="10"/>
        <v>权力：知识是通往权力与统治的捷径。</v>
      </c>
      <c r="AF23" s="298" t="str">
        <f t="shared" si="10"/>
        <v>提升自我：终生学习为的正是让人变得更好。</v>
      </c>
      <c r="AG23" s="299" t="str">
        <f t="shared" si="10"/>
        <v>保护我的学生是我的责任。</v>
      </c>
      <c r="AH23" s="299" t="str">
        <f t="shared" si="10"/>
        <v>我有一份载有可怕秘密的远古文献，而它绝不能落入错误的人手中。</v>
      </c>
      <c r="AI23" s="299" t="str">
        <f t="shared" si="10"/>
        <v>我为保护一个图书馆，学院，抄写室或修道院而工作。</v>
      </c>
      <c r="AJ23" s="299" t="str">
        <f t="shared" si="10"/>
        <v>我一生的作品就是关于某项特定学识领域的一系列书典。</v>
      </c>
      <c r="AK23" s="299" t="str">
        <f t="shared" si="10"/>
        <v>我终生寻求某个特定问题的解答。</v>
      </c>
      <c r="AL23" s="299" t="str">
        <f t="shared" si="10"/>
        <v>我出卖了自己的灵魂以获得知识。并希望做一些大事将其赢回来。</v>
      </c>
      <c r="AM23" s="300" t="str">
        <f t="shared" si="10"/>
        <v>以知识许诺很容易打动我。</v>
      </c>
      <c r="AN23" s="300" t="str">
        <f t="shared" si="10"/>
        <v>一般人看到恶魔时会尖叫着逃跑，而我则会停下来对它作解剖和记录。</v>
      </c>
      <c r="AO23" s="300" t="str">
        <f t="shared" si="10"/>
        <v>揭示一项远古奥秘值得以一整个文明作代价。</v>
      </c>
      <c r="AP23" s="300" t="str">
        <f t="shared" si="10"/>
        <v>我总是拿出极度复杂的解决方案，却忽视了那些简单易行的方法。</v>
      </c>
      <c r="AQ23" s="300" t="str">
        <f t="shared" si="10"/>
        <v>我说话时未真正考虑过自己的措辞，因而老是冒犯到他人。</v>
      </c>
      <c r="AR23" s="300" t="str">
        <f t="shared" si="10"/>
        <v>我无法保守关乎自己或其它性命的秘密。</v>
      </c>
      <c r="AS23" s="301" t="str">
        <f t="shared" si="10"/>
        <v>我天性好奇，充满求知欲，所以我收拾东西去读大学，学习关于大千世界的更多东西。</v>
      </c>
      <c r="AT23" s="301" t="str">
        <f t="shared" si="10"/>
        <v>导师的教诲启发了我的心智，让我在这个研究领域看到了全新的可能性。</v>
      </c>
      <c r="AU23" s="301" t="str">
        <f t="shared" si="10"/>
        <v>我一直是个如饥似渴的书痴，自学了许多最感兴趣的领域的知识。</v>
      </c>
      <c r="AV23" s="301" t="str">
        <f t="shared" si="10"/>
        <v>我发现了一个古老的图书馆，熟读了在里面找到的文献，这唤起了我的渴望，使我迫切地想要学习更多知识。</v>
      </c>
      <c r="AW23" s="301" t="str">
        <f t="shared" si="10"/>
        <v>一位法师告诉我，我正在浪费自己的才华，我应该去接受教育，好让自己的天赋之才得以发挥，我被他打动了。</v>
      </c>
      <c r="AX23" s="301" t="str">
        <f t="shared" si="10"/>
        <v>我的父亲/母亲或者某位亲戚给了我基础教育，这激发了我求学的欲望，所以我离开家进一步深造。</v>
      </c>
      <c r="AY23" s="193"/>
      <c r="AZ23" s="241"/>
      <c r="BA23" s="241"/>
      <c r="BB23" s="241"/>
      <c r="BC23" s="241"/>
      <c r="BD23" s="241"/>
      <c r="BE23" s="241"/>
      <c r="BF23" s="241"/>
      <c r="BG23" s="241"/>
      <c r="BH23" s="241"/>
      <c r="BI23" s="241"/>
      <c r="BJ23" s="241"/>
      <c r="BK23" s="241"/>
      <c r="BL23" s="241"/>
      <c r="BM23" s="241"/>
      <c r="BN23" s="241"/>
      <c r="BO23" s="241"/>
      <c r="BP23" s="241"/>
      <c r="BQ23" s="241"/>
      <c r="BR23" s="241"/>
      <c r="BS23" s="302"/>
    </row>
    <row r="24" customHeight="1" spans="1:71">
      <c r="D24" s="225" t="s">
        <v>4827</v>
      </c>
      <c r="E24" s="232" t="str">
        <f t="array" ref="E24">INDEX(K:K,SMALL(IF($K$2:$K$78&lt;&gt;"",ROW($2:$78),79),ROW(K23)))&amp;""</f>
        <v>朝臣</v>
      </c>
      <c r="F24" s="307"/>
      <c r="G24" s="315" t="e">
        <f>IF(AND(综合数据!B15=TRUE,H1&gt;0),"我只让身边的人知道我的实际能力，对其他人则留一手。","")</f>
        <v>#N/A</v>
      </c>
      <c r="H24" s="200" t="e">
        <f t="array" ref="H24">INDEX(G:G,SMALL(IF($G$12:$G$31&lt;&gt;"",ROW($12:$31),32),ROW(H13)))&amp;""</f>
        <v>#N/A</v>
      </c>
      <c r="I24" s="193"/>
      <c r="J24" s="193">
        <f>IFERROR(INDEX($AH$81:$AM$93,$J$1,5),"")</f>
        <v>0</v>
      </c>
      <c r="K24" s="316" t="str">
        <f>IF(综合数据!B5=TRUE,"朝臣","")</f>
        <v>朝臣</v>
      </c>
      <c r="L24" s="317">
        <f t="shared" si="0"/>
        <v>23</v>
      </c>
      <c r="M24" s="306" t="s">
        <v>4440</v>
      </c>
      <c r="N24" s="306"/>
      <c r="O24" s="224" t="s">
        <v>4194</v>
      </c>
      <c r="P24" s="308" t="s">
        <v>4828</v>
      </c>
      <c r="Q24" s="308" t="s">
        <v>4829</v>
      </c>
      <c r="R24" s="306"/>
      <c r="S24" s="240" t="str">
        <f t="shared" ref="S24:AX24" si="11">S9</f>
        <v>我确信能做的事就要做到最好。而我必须要做到最好——我是完美主义者。</v>
      </c>
      <c r="T24" s="240" t="str">
        <f t="shared" si="11"/>
        <v>我瞧不起那些不懂审美的家伙。</v>
      </c>
      <c r="U24" s="240" t="str">
        <f t="shared" si="11"/>
        <v>我总是想搞清楚事物如何运作，人们为何奔波。</v>
      </c>
      <c r="V24" s="240" t="str">
        <f t="shared" si="11"/>
        <v>我有一肚子格言警句，总是能恰到好处地掉书袋。</v>
      </c>
      <c r="W24" s="240" t="str">
        <f t="shared" si="11"/>
        <v>我对那些不像我那样努力工作、公平竞争的人并不会以礼相待。</v>
      </c>
      <c r="X24" s="240" t="str">
        <f t="shared" si="11"/>
        <v>我喜欢对我的行当高谈阔论。</v>
      </c>
      <c r="Y24" s="240" t="str">
        <f t="shared" si="11"/>
        <v>我不会轻易花钱，砍价也总是砍到最低。</v>
      </c>
      <c r="Z24" s="240" t="str">
        <f t="shared" si="11"/>
        <v>我在我这行鼎鼎有名，而我要确保所有人都认同这点。如果人们没听说过我，就会让我大吃一惊。</v>
      </c>
      <c r="AA24" s="298" t="str">
        <f t="shared" si="11"/>
        <v>团结：加强集体团结，保卫社区安全，是文明人应尽的义务。</v>
      </c>
      <c r="AB24" s="298" t="str">
        <f t="shared" si="11"/>
        <v>慷慨：既然我有天赋，我就要造福世界。</v>
      </c>
      <c r="AC24" s="298" t="str">
        <f t="shared" si="11"/>
        <v>自由：任何人都有选择营生方式的自由。</v>
      </c>
      <c r="AD24" s="298" t="str">
        <f t="shared" si="11"/>
        <v>贪婪：我干这行就只为钱。</v>
      </c>
      <c r="AE24" s="233" t="str">
        <f t="shared" si="11"/>
        <v>人民：我为我在乎的人奋斗，而不是为了什么理想。</v>
      </c>
      <c r="AF24" s="298" t="str">
        <f t="shared" si="11"/>
        <v>抱负：我努力钻研是为了成为本行中的翘楚。</v>
      </c>
      <c r="AG24" s="299" t="str">
        <f t="shared" si="11"/>
        <v>我学习技艺的厂房对我来说是世界上最重要的地方。</v>
      </c>
      <c r="AH24" s="299" t="str">
        <f t="shared" si="11"/>
        <v>我为某人造出了一件绝世珍品，却发现对方根本配不上它。而我仍在找配得上它的人。</v>
      </c>
      <c r="AI24" s="299" t="str">
        <f t="shared" si="11"/>
        <v>公会造就了今天的我，因此我仍欠公会良多。</v>
      </c>
      <c r="AJ24" s="299" t="str">
        <f t="shared" si="11"/>
        <v>我为了向某人求爱而攒钱。</v>
      </c>
      <c r="AK24" s="299" t="str">
        <f t="shared" si="11"/>
        <v>终有一天，我会回到公会，然后证明我是其中最厉害的工匠。</v>
      </c>
      <c r="AL24" s="299" t="str">
        <f t="shared" si="11"/>
        <v>我要向那个破坏我工坊，毁掉我生活的邪恶势力复仇。</v>
      </c>
      <c r="AM24" s="300" t="str">
        <f t="shared" si="11"/>
        <v>我会为了获得某些珍贵无价之物做任何事。</v>
      </c>
      <c r="AN24" s="300" t="str">
        <f t="shared" si="11"/>
        <v>我常常很急躁地认定某人正在骗我。</v>
      </c>
      <c r="AO24" s="300" t="str">
        <f t="shared" si="11"/>
        <v>应当没人知道我曾经从公会金库里偷过钱。</v>
      </c>
      <c r="AP24" s="300" t="str">
        <f t="shared" si="11"/>
        <v>我从未知足于自己所有之物，而总是欲壑难填。</v>
      </c>
      <c r="AQ24" s="300" t="str">
        <f t="shared" si="11"/>
        <v>我极度渴望贵族头衔。</v>
      </c>
      <c r="AR24" s="300" t="str">
        <f t="shared" si="11"/>
        <v>我妒忌任何手艺胜我一筹的人。而我无论走到哪里却都是对手环绕。</v>
      </c>
      <c r="AS24" s="301" t="str">
        <f t="shared" si="11"/>
        <v>我曾是一位大师的学徒，他教导了我行会生意。 </v>
      </c>
      <c r="AT24" s="301" t="str">
        <f t="shared" si="11"/>
        <v>我曾帮一名行会工匠保守秘密或者完成某个任务，作为回报，他收我为徒。</v>
      </c>
      <c r="AU24" s="301" t="str">
        <f t="shared" si="11"/>
        <v>我家族里有一个人是行会成员，他为我谋了个位置。</v>
      </c>
      <c r="AV24" s="301" t="str">
        <f t="shared" si="11"/>
        <v>我的手艺很好，所以抓住机会学了一门生意。</v>
      </c>
      <c r="AW24" s="301" t="str">
        <f t="shared" si="11"/>
        <v>我想要离家独立，开始新的人生。</v>
      </c>
      <c r="AX24" s="301" t="str">
        <f t="shared" si="11"/>
        <v>我从一个导师那里学了些基础，但需要加入行会才能完成所有的训练。</v>
      </c>
      <c r="AY24" s="193"/>
      <c r="AZ24" s="241"/>
      <c r="BA24" s="241"/>
      <c r="BB24" s="241"/>
      <c r="BC24" s="241"/>
      <c r="BD24" s="241"/>
      <c r="BE24" s="241"/>
      <c r="BF24" s="241"/>
      <c r="BG24" s="241"/>
      <c r="BH24" s="241"/>
      <c r="BI24" s="241"/>
      <c r="BJ24" s="241"/>
      <c r="BK24" s="241"/>
      <c r="BL24" s="241"/>
      <c r="BM24" s="241"/>
      <c r="BN24" s="241"/>
      <c r="BO24" s="241"/>
      <c r="BP24" s="241"/>
      <c r="BQ24" s="241"/>
      <c r="BR24" s="241"/>
      <c r="BS24" s="302"/>
    </row>
    <row r="25" customHeight="1" spans="1:71">
      <c r="A25" s="263" t="s">
        <v>443</v>
      </c>
      <c r="B25" s="264"/>
      <c r="C25" s="264"/>
      <c r="D25" s="225" t="s">
        <v>4830</v>
      </c>
      <c r="E25" s="232" t="str">
        <f t="array" ref="E25">INDEX(K:K,SMALL(IF($K$2:$K$78&lt;&gt;"",ROW($2:$78),79),ROW(K24)))&amp;""</f>
        <v>组织代理人</v>
      </c>
      <c r="F25" s="307"/>
      <c r="G25" s="315" t="e">
        <f>IF(AND(综合数据!B15=TRUE,H1&gt;0),"我对于收集旅行纪念品和战利品有强迫症。","")</f>
        <v>#N/A</v>
      </c>
      <c r="H25" s="200" t="e">
        <f t="array" ref="H25">INDEX(G:G,SMALL(IF($G$12:$G$31&lt;&gt;"",ROW($12:$31),32),ROW(H14)))&amp;""</f>
        <v>#N/A</v>
      </c>
      <c r="I25" s="193"/>
      <c r="J25" s="193">
        <f>IFERROR(INDEX($AH$81:$AM$93,$J$1,6),"")</f>
        <v>0</v>
      </c>
      <c r="K25" s="316" t="str">
        <f>IF(综合数据!B5=TRUE,"组织代理人","")</f>
        <v>组织代理人</v>
      </c>
      <c r="L25" s="317">
        <f t="shared" si="0"/>
        <v>24</v>
      </c>
      <c r="M25" s="306" t="s">
        <v>4831</v>
      </c>
      <c r="N25" s="306"/>
      <c r="O25" s="224" t="s">
        <v>4194</v>
      </c>
      <c r="P25" s="308" t="s">
        <v>4832</v>
      </c>
      <c r="Q25" s="308" t="s">
        <v>4833</v>
      </c>
      <c r="R25" s="306"/>
      <c r="S25" s="240" t="str">
        <f t="shared" ref="S25:AX25" si="12">S2</f>
        <v>我崇拜某个英雄，并时刻以其事迹作为榜样。</v>
      </c>
      <c r="T25" s="240" t="str">
        <f t="shared" si="12"/>
        <v>我能在最狂乱的敌人间寻找共鸣，然后感化他们一同为和平而努力。</v>
      </c>
      <c r="U25" s="240" t="str">
        <f t="shared" si="12"/>
        <v>我在每个事件和行动中看到预兆。神试图对我们说话，我们只需要听即可。</v>
      </c>
      <c r="V25" s="240" t="str">
        <f t="shared" si="12"/>
        <v>没有什么能动摇我的乐观态度。</v>
      </c>
      <c r="W25" s="240" t="str">
        <f t="shared" si="12"/>
        <v>我任何情况下都喜欢引用（或错引）圣典和格言。</v>
      </c>
      <c r="X25" s="240" t="str">
        <f t="shared" si="12"/>
        <v>我能容忍（或无法容忍）其它信仰并且尊重（或谴责）对其他神祇的崇拜。</v>
      </c>
      <c r="Y25" s="240" t="str">
        <f t="shared" si="12"/>
        <v>我喜爱美食、饮料以及同信仰神庙中的精英分子们的高层圈子。粗野的生活令我烦躁。</v>
      </c>
      <c r="Z25" s="240" t="str">
        <f t="shared" si="12"/>
        <v>我在神庙中生活的太久了，以至于我在与外面世界的人们打交道时缺乏实际经验。</v>
      </c>
      <c r="AA25" s="298" t="str">
        <f t="shared" si="12"/>
        <v>传统：古代崇拜与献祭的传统必须被保护并维持。</v>
      </c>
      <c r="AB25" s="298" t="str">
        <f t="shared" si="12"/>
        <v>仁爱：我总是试图帮助那些需要帮助的人，无论个人的花费如何。</v>
      </c>
      <c r="AC25" s="298" t="str">
        <f t="shared" si="12"/>
        <v>改变：我们必须协助引发神在世界中一直为之工作的改变。</v>
      </c>
      <c r="AD25" s="298" t="str">
        <f t="shared" si="12"/>
        <v>权力：我希望有一天能够升格到所信仰宗教中等级的最高点。</v>
      </c>
      <c r="AE25" s="233" t="str">
        <f t="shared" si="12"/>
        <v>信仰：我信任神祇能指引我的行为。我信奉如果自己努力工作，事情就会变得顺利。</v>
      </c>
      <c r="AF25" s="298" t="str">
        <f t="shared" si="12"/>
        <v>抱负：我将自己的行动与他或她的教导相较，求证明自己配得上吾主的喜爱。</v>
      </c>
      <c r="AG25" s="299" t="str">
        <f t="shared" si="12"/>
        <v>为了找回很久前丢失的与我信仰相关的一件古代遗物，我可以付出生命。</v>
      </c>
      <c r="AH25" s="299" t="str">
        <f t="shared" si="12"/>
        <v>终有一天我会对谴责我为异端的罪恶神庙组织复仇。</v>
      </c>
      <c r="AI25" s="299" t="str">
        <f t="shared" si="12"/>
        <v>我欠那位在我的双亲死亡时收养我的教士一条命。</v>
      </c>
      <c r="AJ25" s="299" t="str">
        <f t="shared" si="12"/>
        <v>我做的每一件事情都是为了普罗大众。</v>
      </c>
      <c r="AK25" s="299" t="str">
        <f t="shared" si="12"/>
        <v>为了保卫我曾服务的神庙我可以做任何事情。</v>
      </c>
      <c r="AL25" s="299" t="str">
        <f t="shared" si="12"/>
        <v>我试图去保护一部神圣典籍，而我的敌人认为它是异端的并寻求摧毁它。</v>
      </c>
      <c r="AM25" s="300" t="str">
        <f t="shared" si="12"/>
        <v>我评价他人十分严苛，并且对自己更加苛刻。</v>
      </c>
      <c r="AN25" s="300" t="str">
        <f t="shared" si="12"/>
        <v>我过于信任那些在我神庙的阶级中控制权势的人。</v>
      </c>
      <c r="AO25" s="300" t="str">
        <f t="shared" si="12"/>
        <v>我的虔诚有时令我盲目信任那些声称与我信仰相同的人。</v>
      </c>
      <c r="AP25" s="300" t="str">
        <f t="shared" si="12"/>
        <v>我思想呆板僵化，不懂变通。</v>
      </c>
      <c r="AQ25" s="300" t="str">
        <f t="shared" si="12"/>
        <v>我会怀疑陌生人并将他们想成最坏的情况。</v>
      </c>
      <c r="AR25" s="300" t="str">
        <f t="shared" si="12"/>
        <v>一旦我选择了一个目标，就会变得执迷于它以至于因此损害自己生命中的所有其它事物。</v>
      </c>
      <c r="AS25" s="301" t="str">
        <f t="shared" si="12"/>
        <v>我小时候从家里跑了出来，在神殿找到了庇护。</v>
      </c>
      <c r="AT25" s="301" t="str">
        <f t="shared" si="12"/>
        <v>我的家族无法或者不愿抚养我，把我交给了神殿。</v>
      </c>
      <c r="AU25" s="301" t="str">
        <f t="shared" si="12"/>
        <v>我整个家庭都有非常坚定的信仰，我自然而然地走上了侍奉一位或多位神明的道路。</v>
      </c>
      <c r="AV25" s="301" t="str">
        <f t="shared" si="12"/>
        <v>一场慷慨激昂的布道将信仰之音深深注入我的灵魂，使我侍奉于信仰。</v>
      </c>
      <c r="AW25" s="301" t="str">
        <f t="shared" si="12"/>
        <v>我追随一位童年玩伴/尊敬的知己或者其他我爱的人走上了侍奉信仰的道路。</v>
      </c>
      <c r="AX25" s="301" t="str">
        <f t="shared" si="12"/>
        <v>我遇到了一位真正的信徒，他使我深受鼓舞，我立刻加入了宗教团体。</v>
      </c>
      <c r="AY25" s="224"/>
      <c r="AZ25" s="297"/>
      <c r="BA25" s="297"/>
      <c r="BB25" s="297"/>
      <c r="BC25" s="297"/>
      <c r="BD25" s="297"/>
      <c r="BE25" s="241"/>
      <c r="BF25" s="241"/>
      <c r="BG25" s="241"/>
      <c r="BH25" s="241"/>
      <c r="BI25" s="241"/>
      <c r="BJ25" s="241"/>
      <c r="BK25" s="241"/>
      <c r="BL25" s="241"/>
      <c r="BM25" s="241"/>
      <c r="BN25" s="241"/>
      <c r="BO25" s="241"/>
      <c r="BP25" s="241"/>
      <c r="BQ25" s="241"/>
      <c r="BR25" s="241"/>
      <c r="BS25" s="302"/>
    </row>
    <row r="26" customHeight="1" spans="1:71">
      <c r="A26" s="275">
        <f>IF(主要!Z101="",1,主要!Z101)</f>
        <v>1</v>
      </c>
      <c r="B26" t="str">
        <f>IFERROR(VLOOKUP(A26,F:G,2,0),"")</f>
        <v/>
      </c>
      <c r="C26">
        <f>IF($A26="","",COUNTIF($A$26:$A$30,$A26))</f>
        <v>1</v>
      </c>
      <c r="D26" s="225" t="s">
        <v>4834</v>
      </c>
      <c r="E26" s="232" t="str">
        <f t="array" ref="E26">INDEX(K:K,SMALL(IF($K$2:$K$78&lt;&gt;"",ROW($2:$78),79),ROW(K25)))&amp;""</f>
        <v>远行者</v>
      </c>
      <c r="F26" s="307"/>
      <c r="G26" s="315" t="e">
        <f>IF(AND(综合数据!B15=TRUE,H1&gt;0),"哪怕被全世界反对，我也会做我认为正确的事。","")</f>
        <v>#N/A</v>
      </c>
      <c r="H26" s="200" t="e">
        <f t="array" ref="H26">INDEX(G:G,SMALL(IF($G$12:$G$31&lt;&gt;"",ROW($12:$31),32),ROW(H15)))&amp;""</f>
        <v>#N/A</v>
      </c>
      <c r="I26" s="193">
        <f>IFERROR(INDEX(AN81:AN93,J1,1),0)</f>
        <v>0</v>
      </c>
      <c r="J26" s="193">
        <f>IFERROR(INDEX($AO$81:$BH$93,$J$1,1),"")</f>
        <v>0</v>
      </c>
      <c r="K26" s="316" t="str">
        <f>IF(综合数据!B5=TRUE,"远行者","")</f>
        <v>远行者</v>
      </c>
      <c r="L26" s="317">
        <f t="shared" si="0"/>
        <v>25</v>
      </c>
      <c r="M26" s="306" t="s">
        <v>4835</v>
      </c>
      <c r="N26" s="306" t="s">
        <v>4836</v>
      </c>
      <c r="O26" s="224" t="s">
        <v>4442</v>
      </c>
      <c r="P26" s="308" t="s">
        <v>4837</v>
      </c>
      <c r="Q26" s="308" t="s">
        <v>4838</v>
      </c>
      <c r="R26" s="306"/>
      <c r="S26" s="240" t="s">
        <v>4839</v>
      </c>
      <c r="T26" s="240" t="s">
        <v>4840</v>
      </c>
      <c r="U26" s="240" t="s">
        <v>4841</v>
      </c>
      <c r="V26" s="240" t="s">
        <v>4842</v>
      </c>
      <c r="W26" s="240" t="s">
        <v>4843</v>
      </c>
      <c r="X26" s="240" t="s">
        <v>4844</v>
      </c>
      <c r="Y26" s="240" t="str">
        <f>""</f>
        <v/>
      </c>
      <c r="Z26" s="240" t="str">
        <f>""</f>
        <v/>
      </c>
      <c r="AA26" s="298" t="s">
        <v>4845</v>
      </c>
      <c r="AB26" s="298" t="s">
        <v>4846</v>
      </c>
      <c r="AC26" s="298" t="s">
        <v>4847</v>
      </c>
      <c r="AD26" s="298" t="s">
        <v>4848</v>
      </c>
      <c r="AE26" s="233" t="s">
        <v>4849</v>
      </c>
      <c r="AF26" s="298" t="s">
        <v>4850</v>
      </c>
      <c r="AG26" s="299" t="s">
        <v>4851</v>
      </c>
      <c r="AH26" s="299" t="s">
        <v>4852</v>
      </c>
      <c r="AI26" s="299" t="s">
        <v>4853</v>
      </c>
      <c r="AJ26" s="299" t="s">
        <v>4854</v>
      </c>
      <c r="AK26" s="299" t="s">
        <v>4855</v>
      </c>
      <c r="AL26" s="299" t="s">
        <v>4856</v>
      </c>
      <c r="AM26" s="300" t="s">
        <v>4857</v>
      </c>
      <c r="AN26" s="300" t="s">
        <v>4858</v>
      </c>
      <c r="AO26" s="300" t="s">
        <v>4859</v>
      </c>
      <c r="AP26" s="300" t="s">
        <v>4860</v>
      </c>
      <c r="AQ26" s="300" t="s">
        <v>4861</v>
      </c>
      <c r="AR26" s="300" t="s">
        <v>4862</v>
      </c>
      <c r="AS26" s="301"/>
      <c r="AT26" s="301"/>
      <c r="AU26" s="301"/>
      <c r="AV26" s="301"/>
      <c r="AW26" s="301"/>
      <c r="AX26" s="301"/>
      <c r="AY26" s="224" t="s">
        <v>4863</v>
      </c>
      <c r="AZ26" s="241" t="s">
        <v>4864</v>
      </c>
      <c r="BA26" s="241" t="s">
        <v>4636</v>
      </c>
      <c r="BB26" s="241" t="s">
        <v>4865</v>
      </c>
      <c r="BC26" s="241" t="s">
        <v>4638</v>
      </c>
      <c r="BD26" s="241" t="s">
        <v>4866</v>
      </c>
      <c r="BE26" s="241" t="s">
        <v>4867</v>
      </c>
      <c r="BF26" s="241"/>
      <c r="BG26" s="241"/>
      <c r="BH26" s="241"/>
      <c r="BI26" s="241"/>
      <c r="BJ26" s="241"/>
      <c r="BK26" s="241"/>
      <c r="BL26" s="241"/>
      <c r="BM26" s="241"/>
      <c r="BN26" s="241"/>
      <c r="BO26" s="241"/>
      <c r="BP26" s="241"/>
      <c r="BQ26" s="241"/>
      <c r="BR26" s="241"/>
      <c r="BS26" s="302"/>
    </row>
    <row r="27" customHeight="1" spans="1:71">
      <c r="A27" s="275">
        <f>IF(主要!Z102="",2,主要!Z102)</f>
        <v>2</v>
      </c>
      <c r="B27" t="str">
        <f>IFERROR(VLOOKUP(A27,F:G,2,0),"")</f>
        <v/>
      </c>
      <c r="C27">
        <f>IF($A27="","",COUNTIF($A$26:$A$30,$A27))</f>
        <v>1</v>
      </c>
      <c r="D27" s="225" t="s">
        <v>4868</v>
      </c>
      <c r="E27" s="232" t="str">
        <f t="array" ref="E27">INDEX(K:K,SMALL(IF($K$2:$K$78&lt;&gt;"",ROW($2:$78),79),ROW(K26)))&amp;""</f>
        <v>继承人</v>
      </c>
      <c r="F27" s="307"/>
      <c r="G27" s="315" t="e">
        <f>IF(AND(综合数据!B15=TRUE,H1&gt;0),"我有着病态的兴趣和可怕的审美观。","")</f>
        <v>#N/A</v>
      </c>
      <c r="H27" s="200" t="e">
        <f t="array" ref="H27">INDEX(G:G,SMALL(IF($G$12:$G$31&lt;&gt;"",ROW($12:$31),32),ROW(H16)))&amp;""</f>
        <v>#N/A</v>
      </c>
      <c r="I27" s="193"/>
      <c r="J27" s="193">
        <f>IFERROR(INDEX($AO$81:$BH$93,$J$1,2),"")</f>
        <v>0</v>
      </c>
      <c r="K27" s="316" t="str">
        <f>IF(综合数据!B5=TRUE,"继承人","")</f>
        <v>继承人</v>
      </c>
      <c r="L27" s="317">
        <f t="shared" si="0"/>
        <v>26</v>
      </c>
      <c r="M27" s="306" t="s">
        <v>4869</v>
      </c>
      <c r="N27" s="306" t="s">
        <v>4836</v>
      </c>
      <c r="O27" s="224" t="s">
        <v>4442</v>
      </c>
      <c r="P27" s="308" t="s">
        <v>4870</v>
      </c>
      <c r="Q27" s="308" t="s">
        <v>4871</v>
      </c>
      <c r="R27" s="306"/>
      <c r="S27" s="240" t="str">
        <f t="shared" ref="S27:AX27" si="13">S8</f>
        <v>我以人的行为而非言辞对其做判断。</v>
      </c>
      <c r="T27" s="240" t="str">
        <f t="shared" si="13"/>
        <v>我总是会去帮助遇到麻烦的人。</v>
      </c>
      <c r="U27" s="240" t="str">
        <f t="shared" si="13"/>
        <v>我在专注于某件事时，会排除一切障碍坚持到底。</v>
      </c>
      <c r="V27" s="240" t="str">
        <f t="shared" si="13"/>
        <v>我对公平有着强烈的执着，并且总是试图为争端寻找最公正的解决方案。</v>
      </c>
      <c r="W27" s="240" t="str">
        <f t="shared" si="13"/>
        <v>我信任自己的能力，并且会做任何力所能及的事以获得他人的信任。</v>
      </c>
      <c r="X27" s="240" t="str">
        <f t="shared" si="13"/>
        <v>其他人负责思考。我只负责行动。</v>
      </c>
      <c r="Y27" s="240" t="str">
        <f t="shared" si="13"/>
        <v>我会错用长单词以试图显得更聪明些。</v>
      </c>
      <c r="Z27" s="240" t="str">
        <f t="shared" si="13"/>
        <v>我时常感到厌烦。我的天命之旅什么时候才有进展呢？</v>
      </c>
      <c r="AA27" s="298" t="str">
        <f t="shared" si="13"/>
        <v>尊敬：民众应该受到体面而尊敬的对待。</v>
      </c>
      <c r="AB27" s="298" t="str">
        <f t="shared" si="13"/>
        <v>公平：没人可以在法律中得到优待，并且没人能凌驾于法律之上。</v>
      </c>
      <c r="AC27" s="298" t="str">
        <f t="shared" si="13"/>
        <v>自由：压迫人民的暴君绝不能被容忍。</v>
      </c>
      <c r="AD27" s="298" t="str">
        <f t="shared" si="13"/>
        <v>力量：如果我变得强大，我就可以理所当然的随心所欲。</v>
      </c>
      <c r="AE27" s="233" t="str">
        <f t="shared" si="13"/>
        <v>诚实：假装自己是另一种人不会有什么好处。</v>
      </c>
      <c r="AF27" s="298" t="str">
        <f t="shared" si="13"/>
        <v>命运：任何人或事情都无法让我偏离我那崇高的感召。</v>
      </c>
      <c r="AG27" s="299" t="str">
        <f t="shared" si="13"/>
        <v>我有一个家庭，但我现在不知道他们身处何处。我希望终有一日能够再次见到他们。</v>
      </c>
      <c r="AH27" s="299" t="str">
        <f t="shared" si="13"/>
        <v>我劳作于这片土地，我热爱这片土地，而且我将保卫这片土地。</v>
      </c>
      <c r="AI27" s="299" t="str">
        <f t="shared" si="13"/>
        <v>一名傲慢的贵族曾经死命痛打了我一顿，故而我将报复任何我遇到的恃强凌弱者。</v>
      </c>
      <c r="AJ27" s="299" t="str">
        <f t="shared" si="13"/>
        <v>我的工具是我以往生活的符号，因而我随身携带着它们以便永远记住我的根。</v>
      </c>
      <c r="AK27" s="299" t="str">
        <f t="shared" si="13"/>
        <v>我保护那些无力自我保护的人。</v>
      </c>
      <c r="AL27" s="299" t="str">
        <f t="shared" si="13"/>
        <v>我希望我的青梅竹马能伴着我一起追寻我的命运。</v>
      </c>
      <c r="AM27" s="300" t="str">
        <f t="shared" si="13"/>
        <v>统治我故乡的暴君会一直追杀我。</v>
      </c>
      <c r="AN27" s="300" t="str">
        <f t="shared" si="13"/>
        <v>我深信命运的征兆，以至于看不清自己的不足或是失败的可能性。</v>
      </c>
      <c r="AO27" s="300" t="str">
        <f t="shared" si="13"/>
        <v>自幼认识我的人知道我羞耻的秘密，所以我再也不能回家了。</v>
      </c>
      <c r="AP27" s="300" t="str">
        <f t="shared" si="13"/>
        <v>我对一些城里的恶习没有抵抗力，尤其是酗酒。</v>
      </c>
      <c r="AQ27" s="300" t="str">
        <f t="shared" si="13"/>
        <v>我暗地里会觉得，如果我是那个统领这片土地的暴君所有事情肯定会更好。</v>
      </c>
      <c r="AR27" s="300" t="str">
        <f t="shared" si="13"/>
        <v>我难以信任我的盟友。</v>
      </c>
      <c r="AS27" s="301" t="str">
        <f t="shared" si="13"/>
        <v>家人教会了我什么是对什么是错。</v>
      </c>
      <c r="AT27" s="301" t="str">
        <f t="shared" si="13"/>
        <v>我总是倾心于英雄传说，渴望成为不平凡的人物。</v>
      </c>
      <c r="AU27" s="301" t="str">
        <f t="shared" si="13"/>
        <v>我讨厌自己平凡乏味的生活，所以当需要有人挺身而出做正确的事时，我把握住了这个机会。</v>
      </c>
      <c r="AV27" s="301" t="str">
        <f t="shared" si="13"/>
        <v>我的父亲/母亲或者某位亲人曾是一名冒险者，他的勇气鼓舞了我。</v>
      </c>
      <c r="AW27" s="301" t="str">
        <f t="shared" si="13"/>
        <v>有一位疯疯癫癫的老隐者在我出生时曾预言我会完成伟业。</v>
      </c>
      <c r="AX27" s="301" t="str">
        <f t="shared" si="13"/>
        <v>我总是会维护那些比我弱的人。</v>
      </c>
      <c r="AY27" s="224" t="s">
        <v>4872</v>
      </c>
      <c r="AZ27" s="241" t="s">
        <v>4873</v>
      </c>
      <c r="BA27" s="241" t="s">
        <v>4874</v>
      </c>
      <c r="BB27" s="241" t="s">
        <v>4875</v>
      </c>
      <c r="BC27" s="241" t="s">
        <v>4876</v>
      </c>
      <c r="BD27" s="241" t="s">
        <v>4877</v>
      </c>
      <c r="BE27" s="241" t="s">
        <v>4878</v>
      </c>
      <c r="BF27" s="241"/>
      <c r="BG27" s="241"/>
      <c r="BH27" s="241"/>
      <c r="BI27" s="241"/>
      <c r="BJ27" s="241"/>
      <c r="BK27" s="241"/>
      <c r="BL27" s="241"/>
      <c r="BM27" s="241"/>
      <c r="BN27" s="241"/>
      <c r="BO27" s="241"/>
      <c r="BP27" s="241"/>
      <c r="BQ27" s="241"/>
      <c r="BR27" s="241"/>
      <c r="BS27" s="302"/>
    </row>
    <row r="28" customHeight="1" spans="1:71">
      <c r="A28" s="275">
        <f>IF(主要!Z103="",3,主要!Z103)</f>
        <v>3</v>
      </c>
      <c r="B28" t="str">
        <f>IFERROR(VLOOKUP(A28,F:G,2,0),"")</f>
        <v/>
      </c>
      <c r="C28">
        <f>IF($A28="","",COUNTIF($A$26:$A$30,$A28))</f>
        <v>1</v>
      </c>
      <c r="D28" s="225" t="s">
        <v>4879</v>
      </c>
      <c r="E28" s="232" t="str">
        <f t="array" ref="E28">INDEX(K:K,SMALL(IF($K$2:$K$78&lt;&gt;"",ROW($2:$78),79),ROW(K27)))&amp;""</f>
        <v>教团骑士</v>
      </c>
      <c r="F28" s="307"/>
      <c r="G28" s="315" t="e">
        <f>IF(AND(综合数据!B15=TRUE,H1&gt;0),"我有自己的一套缓解焦虑的仪式、咒语、或者习惯。","")</f>
        <v>#N/A</v>
      </c>
      <c r="H28" s="200" t="e">
        <f t="array" ref="H28">INDEX(G:G,SMALL(IF($G$12:$G$31&lt;&gt;"",ROW($12:$31),32),ROW(H17)))&amp;""</f>
        <v>#N/A</v>
      </c>
      <c r="I28" s="193"/>
      <c r="J28" s="193">
        <f>IFERROR(INDEX($AO$81:$BH$93,$J$1,3),"")</f>
        <v>0</v>
      </c>
      <c r="K28" s="316" t="str">
        <f>IF(综合数据!B5=TRUE,"教团骑士","")</f>
        <v>教团骑士</v>
      </c>
      <c r="L28" s="317">
        <f t="shared" si="0"/>
        <v>27</v>
      </c>
      <c r="M28" s="306" t="s">
        <v>4880</v>
      </c>
      <c r="N28" s="306" t="s">
        <v>4836</v>
      </c>
      <c r="O28" s="224" t="s">
        <v>4442</v>
      </c>
      <c r="P28" s="308" t="s">
        <v>4881</v>
      </c>
      <c r="Q28" s="308" t="s">
        <v>4882</v>
      </c>
      <c r="R28" s="306"/>
      <c r="S28" s="240" t="str">
        <f t="shared" ref="S28:AX28" si="14">S18</f>
        <v>我总是表现的恭敬有礼。</v>
      </c>
      <c r="T28" s="240" t="str">
        <f t="shared" si="14"/>
        <v>我的心中总是萦绕着战争时的记忆，那些残暴的画面总是挥之不去。</v>
      </c>
      <c r="U28" s="240" t="str">
        <f t="shared" si="14"/>
        <v>我曾失去太多的朋友，而现在已经很难交个新的朋友了。</v>
      </c>
      <c r="V28" s="240" t="str">
        <f t="shared" si="14"/>
        <v>我的军事生涯曾经历过各种情况，所以我能以此讲出许多鼓舞人心而又发人深省的故事。</v>
      </c>
      <c r="W28" s="240" t="str">
        <f t="shared" si="14"/>
        <v>我能盯着一只地狱犬看而毫不畏缩。</v>
      </c>
      <c r="X28" s="240" t="str">
        <f t="shared" si="14"/>
        <v>我喜欢强壮的感觉并且乐于打坏东西。</v>
      </c>
      <c r="Y28" s="240" t="str">
        <f t="shared" si="14"/>
        <v>我有着粗俗的幽默感。</v>
      </c>
      <c r="Z28" s="240" t="str">
        <f t="shared" si="14"/>
        <v>我迎难而上直面问题。一个简单直接的解决方案是通往成功的最佳路径。</v>
      </c>
      <c r="AA28" s="298" t="str">
        <f t="shared" si="14"/>
        <v>大义：我们的使命即是为保卫他人而献出自己的生命。</v>
      </c>
      <c r="AB28" s="298" t="str">
        <f t="shared" si="14"/>
        <v>责任：我服从权力，并且只做必须做的事。</v>
      </c>
      <c r="AC28" s="298" t="str">
        <f t="shared" si="14"/>
        <v>独立：盲目的服从命令，某种意义上就相当于接受暴君统治。</v>
      </c>
      <c r="AD28" s="298" t="str">
        <f t="shared" si="14"/>
        <v>力量：生活与战争一样，只有更强大的一方才能获胜。</v>
      </c>
      <c r="AE28" s="233" t="str">
        <f t="shared" si="14"/>
        <v>自持自重：不该以理想之名行杀戮之事，或是以其名义发动战争。</v>
      </c>
      <c r="AF28" s="298" t="str">
        <f t="shared" si="14"/>
        <v>国家：我的城市、国家和人民是最重要的事。</v>
      </c>
      <c r="AG28" s="299" t="str">
        <f t="shared" si="14"/>
        <v>我依然会以性命保护曾一起共事之人。</v>
      </c>
      <c r="AH28" s="299" t="str">
        <f t="shared" si="14"/>
        <v>有人在战场上救过我的命。因而现在我也不会丢下任何一个朋友。</v>
      </c>
      <c r="AI28" s="299" t="str">
        <f t="shared" si="14"/>
        <v>荣誉即吾命。</v>
      </c>
      <c r="AJ28" s="299" t="str">
        <f t="shared" si="14"/>
        <v>我永远不会忘记队伍曾遭受到的惨败，以及当时的敌人。</v>
      </c>
      <c r="AK28" s="299" t="str">
        <f t="shared" si="14"/>
        <v>那些与我同袍的人值得为之豁出性命。</v>
      </c>
      <c r="AL28" s="299" t="str">
        <f t="shared" si="14"/>
        <v>我为那些无法为他们自己战斗的人而战。</v>
      </c>
      <c r="AM28" s="300" t="str">
        <f t="shared" si="14"/>
        <v>我们曾在战场上面对的凶暴的敌人依然会令我恐惧的发抖。</v>
      </c>
      <c r="AN28" s="300" t="str">
        <f t="shared" si="14"/>
        <v>除那些久经沙场的武士外，任何人都不值得我尊重。</v>
      </c>
      <c r="AO28" s="300" t="str">
        <f t="shared" si="14"/>
        <v>我曾在战场上犯了一个严重的错并为此伤害了许多生命——而我为了能守住这个秘密愿意做任何事。</v>
      </c>
      <c r="AP28" s="300" t="str">
        <f t="shared" si="14"/>
        <v>我对敌人的仇恨盲目而缺乏理性。</v>
      </c>
      <c r="AQ28" s="300" t="str">
        <f t="shared" si="14"/>
        <v>我遵从法律，而不管其律条是否会招致不幸。</v>
      </c>
      <c r="AR28" s="300" t="str">
        <f t="shared" si="14"/>
        <v>我在犯错时宁可吞掉自己的护甲也不愿承认。</v>
      </c>
      <c r="AS28" s="301" t="str">
        <f t="shared" si="14"/>
        <v>我加入了民兵队，抵御怪物，保护我的社群</v>
      </c>
      <c r="AT28" s="301" t="str">
        <f t="shared" si="14"/>
        <v>我家有亲人是士兵，我希望继承这个传统。</v>
      </c>
      <c r="AU28" s="301" t="str">
        <f t="shared" si="14"/>
        <v>我被本地领主强征入伍。</v>
      </c>
      <c r="AV28" s="301" t="str">
        <f t="shared" si="14"/>
        <v>在我成长的过程中，故乡一直战火纷飞，满目疮痍。战斗是我唯一所知的生活方式。</v>
      </c>
      <c r="AW28" s="301" t="str">
        <f t="shared" si="14"/>
        <v>我想要出名和发财，所以加入了一伙雇佣兵集团，为出开价最高的人战斗。</v>
      </c>
      <c r="AX28" s="301" t="str">
        <f t="shared" si="14"/>
        <v>侵略者袭击了我的家乡，拿起武器保卫人民是我的使命。</v>
      </c>
      <c r="AY28" s="193"/>
      <c r="AZ28" s="241"/>
      <c r="BA28" s="241"/>
      <c r="BB28" s="241"/>
      <c r="BC28" s="241"/>
      <c r="BD28" s="241"/>
      <c r="BE28" s="241"/>
      <c r="BF28" s="241"/>
      <c r="BG28" s="241"/>
      <c r="BH28" s="241"/>
      <c r="BI28" s="241"/>
      <c r="BJ28" s="241"/>
      <c r="BK28" s="241"/>
      <c r="BL28" s="241"/>
      <c r="BM28" s="241"/>
      <c r="BN28" s="241"/>
      <c r="BO28" s="241"/>
      <c r="BP28" s="241"/>
      <c r="BQ28" s="241"/>
      <c r="BR28" s="241"/>
      <c r="BS28" s="302"/>
    </row>
    <row r="29" customHeight="1" spans="1:71">
      <c r="A29" s="275">
        <f>IF(主要!Z104="",4,主要!Z104)</f>
        <v>4</v>
      </c>
      <c r="B29" t="str">
        <f>IFERROR(VLOOKUP(A29,F:G,2,0),"")</f>
        <v/>
      </c>
      <c r="C29">
        <f>IF($A29="","",COUNTIF($A$26:$A$30,$A29))</f>
        <v>1</v>
      </c>
      <c r="D29" s="225" t="s">
        <v>4883</v>
      </c>
      <c r="E29" s="232" t="str">
        <f t="array" ref="E29">INDEX(K:K,SMALL(IF($K$2:$K$78&lt;&gt;"",ROW($2:$78),79),ROW(K28)))&amp;""</f>
        <v>老佣兵</v>
      </c>
      <c r="F29" s="307"/>
      <c r="G29" s="315" t="e">
        <f>IF(AND(综合数据!B15=TRUE,H1&gt;0),"活着比什么都重要，所以我从不让任何人踏入危险。","")</f>
        <v>#N/A</v>
      </c>
      <c r="H29" s="200" t="e">
        <f t="array" ref="H29">INDEX(G:G,SMALL(IF($G$12:$G$31&lt;&gt;"",ROW($12:$31),32),ROW(H18)))&amp;""</f>
        <v>#N/A</v>
      </c>
      <c r="I29" s="193"/>
      <c r="J29" s="193">
        <f>IFERROR(INDEX($AO$81:$BH$93,$J$1,4),"")</f>
        <v>0</v>
      </c>
      <c r="K29" s="316" t="str">
        <f>IF(综合数据!B5=TRUE,"老佣兵","")</f>
        <v>老佣兵</v>
      </c>
      <c r="L29" s="317">
        <f t="shared" si="0"/>
        <v>28</v>
      </c>
      <c r="M29" s="306" t="s">
        <v>4884</v>
      </c>
      <c r="N29" s="306" t="s">
        <v>4731</v>
      </c>
      <c r="O29" s="306"/>
      <c r="P29" s="308" t="s">
        <v>4885</v>
      </c>
      <c r="Q29" s="308" t="s">
        <v>4886</v>
      </c>
      <c r="R29" s="306"/>
      <c r="S29" s="240" t="str">
        <f t="shared" ref="S29:AX29" si="15">S18</f>
        <v>我总是表现的恭敬有礼。</v>
      </c>
      <c r="T29" s="240" t="str">
        <f t="shared" si="15"/>
        <v>我的心中总是萦绕着战争时的记忆，那些残暴的画面总是挥之不去。</v>
      </c>
      <c r="U29" s="240" t="str">
        <f t="shared" si="15"/>
        <v>我曾失去太多的朋友，而现在已经很难交个新的朋友了。</v>
      </c>
      <c r="V29" s="240" t="str">
        <f t="shared" si="15"/>
        <v>我的军事生涯曾经历过各种情况，所以我能以此讲出许多鼓舞人心而又发人深省的故事。</v>
      </c>
      <c r="W29" s="240" t="str">
        <f t="shared" si="15"/>
        <v>我能盯着一只地狱犬看而毫不畏缩。</v>
      </c>
      <c r="X29" s="240" t="str">
        <f t="shared" si="15"/>
        <v>我喜欢强壮的感觉并且乐于打坏东西。</v>
      </c>
      <c r="Y29" s="240" t="str">
        <f t="shared" si="15"/>
        <v>我有着粗俗的幽默感。</v>
      </c>
      <c r="Z29" s="240" t="str">
        <f t="shared" si="15"/>
        <v>我迎难而上直面问题。一个简单直接的解决方案是通往成功的最佳路径。</v>
      </c>
      <c r="AA29" s="298" t="str">
        <f t="shared" si="15"/>
        <v>大义：我们的使命即是为保卫他人而献出自己的生命。</v>
      </c>
      <c r="AB29" s="298" t="str">
        <f t="shared" si="15"/>
        <v>责任：我服从权力，并且只做必须做的事。</v>
      </c>
      <c r="AC29" s="298" t="str">
        <f t="shared" si="15"/>
        <v>独立：盲目的服从命令，某种意义上就相当于接受暴君统治。</v>
      </c>
      <c r="AD29" s="298" t="str">
        <f t="shared" si="15"/>
        <v>力量：生活与战争一样，只有更强大的一方才能获胜。</v>
      </c>
      <c r="AE29" s="233" t="str">
        <f t="shared" si="15"/>
        <v>自持自重：不该以理想之名行杀戮之事，或是以其名义发动战争。</v>
      </c>
      <c r="AF29" s="298" t="str">
        <f t="shared" si="15"/>
        <v>国家：我的城市、国家和人民是最重要的事。</v>
      </c>
      <c r="AG29" s="299" t="str">
        <f t="shared" si="15"/>
        <v>我依然会以性命保护曾一起共事之人。</v>
      </c>
      <c r="AH29" s="299" t="str">
        <f t="shared" si="15"/>
        <v>有人在战场上救过我的命。因而现在我也不会丢下任何一个朋友。</v>
      </c>
      <c r="AI29" s="299" t="str">
        <f t="shared" si="15"/>
        <v>荣誉即吾命。</v>
      </c>
      <c r="AJ29" s="299" t="str">
        <f t="shared" si="15"/>
        <v>我永远不会忘记队伍曾遭受到的惨败，以及当时的敌人。</v>
      </c>
      <c r="AK29" s="299" t="str">
        <f t="shared" si="15"/>
        <v>那些与我同袍的人值得为之豁出性命。</v>
      </c>
      <c r="AL29" s="299" t="str">
        <f t="shared" si="15"/>
        <v>我为那些无法为他们自己战斗的人而战。</v>
      </c>
      <c r="AM29" s="300" t="str">
        <f t="shared" si="15"/>
        <v>我们曾在战场上面对的凶暴的敌人依然会令我恐惧的发抖。</v>
      </c>
      <c r="AN29" s="300" t="str">
        <f t="shared" si="15"/>
        <v>除那些久经沙场的武士外，任何人都不值得我尊重。</v>
      </c>
      <c r="AO29" s="300" t="str">
        <f t="shared" si="15"/>
        <v>我曾在战场上犯了一个严重的错并为此伤害了许多生命——而我为了能守住这个秘密愿意做任何事。</v>
      </c>
      <c r="AP29" s="300" t="str">
        <f t="shared" si="15"/>
        <v>我对敌人的仇恨盲目而缺乏理性。</v>
      </c>
      <c r="AQ29" s="300" t="str">
        <f t="shared" si="15"/>
        <v>我遵从法律，而不管其律条是否会招致不幸。</v>
      </c>
      <c r="AR29" s="300" t="str">
        <f t="shared" si="15"/>
        <v>我在犯错时宁可吞掉自己的护甲也不愿承认。</v>
      </c>
      <c r="AS29" s="301" t="str">
        <f t="shared" si="15"/>
        <v>我加入了民兵队，抵御怪物，保护我的社群</v>
      </c>
      <c r="AT29" s="301" t="str">
        <f t="shared" si="15"/>
        <v>我家有亲人是士兵，我希望继承这个传统。</v>
      </c>
      <c r="AU29" s="301" t="str">
        <f t="shared" si="15"/>
        <v>我被本地领主强征入伍。</v>
      </c>
      <c r="AV29" s="301" t="str">
        <f t="shared" si="15"/>
        <v>在我成长的过程中，故乡一直战火纷飞，满目疮痍。战斗是我唯一所知的生活方式。</v>
      </c>
      <c r="AW29" s="301" t="str">
        <f t="shared" si="15"/>
        <v>我想要出名和发财，所以加入了一伙雇佣兵集团，为出开价最高的人战斗。</v>
      </c>
      <c r="AX29" s="301" t="str">
        <f t="shared" si="15"/>
        <v>侵略者袭击了我的家乡，拿起武器保卫人民是我的使命。</v>
      </c>
      <c r="AY29" s="193"/>
      <c r="AZ29" s="241"/>
      <c r="BA29" s="241"/>
      <c r="BB29" s="241"/>
      <c r="BC29" s="241"/>
      <c r="BD29" s="241"/>
      <c r="BE29" s="241"/>
      <c r="BF29" s="241"/>
      <c r="BG29" s="241"/>
      <c r="BH29" s="241"/>
      <c r="BI29" s="241"/>
      <c r="BJ29" s="241"/>
      <c r="BK29" s="241"/>
      <c r="BL29" s="241"/>
      <c r="BM29" s="241"/>
      <c r="BN29" s="241"/>
      <c r="BO29" s="241"/>
      <c r="BP29" s="241"/>
      <c r="BQ29" s="241"/>
      <c r="BR29" s="241"/>
      <c r="BS29" s="302"/>
    </row>
    <row r="30" customHeight="1" spans="1:71">
      <c r="A30" s="275">
        <f>IF(主要!Z105="",5,主要!Z105)</f>
        <v>5</v>
      </c>
      <c r="B30" t="str">
        <f>IFERROR(VLOOKUP(A30,F:G,2,0),"")</f>
        <v/>
      </c>
      <c r="C30">
        <f>IF($A30="","",COUNTIF($A$26:$A$30,$A30))</f>
        <v>1</v>
      </c>
      <c r="D30" s="191" t="s">
        <v>4887</v>
      </c>
      <c r="E30" s="232" t="str">
        <f t="array" ref="E30">INDEX(K:K,SMALL(IF($K$2:$K$78&lt;&gt;"",ROW($2:$78),79),ROW(K29)))&amp;""</f>
        <v>城市猎人</v>
      </c>
      <c r="F30" s="307"/>
      <c r="G30" s="315" t="e">
        <f>IF(AND(综合数据!B15=TRUE,H1&gt;0),"何必去尝试不见得有用的保守策略呢？我宁愿果断选择更激进的解决方案。","")</f>
        <v>#N/A</v>
      </c>
      <c r="H30" s="200" t="e">
        <f t="array" ref="H30">INDEX(G:G,SMALL(IF($G$12:$G$31&lt;&gt;"",ROW($12:$31),32),ROW(H19)))&amp;""</f>
        <v>#N/A</v>
      </c>
      <c r="I30" s="193"/>
      <c r="J30" s="193">
        <f>IFERROR(INDEX($AO$81:$BH$93,$J$1,5),"")</f>
        <v>0</v>
      </c>
      <c r="K30" s="316" t="str">
        <f>IF(综合数据!B5=TRUE,"城市猎人","")</f>
        <v>城市猎人</v>
      </c>
      <c r="L30" s="317">
        <f t="shared" si="0"/>
        <v>29</v>
      </c>
      <c r="M30" s="306" t="s">
        <v>4888</v>
      </c>
      <c r="N30" s="306" t="s">
        <v>4889</v>
      </c>
      <c r="O30" s="306"/>
      <c r="P30" s="308" t="s">
        <v>4890</v>
      </c>
      <c r="Q30" s="308" t="s">
        <v>4891</v>
      </c>
      <c r="R30" s="306"/>
      <c r="S30" s="240" t="str">
        <f t="shared" ref="S30:AX30" si="16">S4</f>
        <v>我总是计划好事情变糟时的应对方法。</v>
      </c>
      <c r="T30" s="240" t="str">
        <f t="shared" si="16"/>
        <v>无论情形如何我总能保持冷静。我从不会忽然提高音调或是让情绪影响自己。</v>
      </c>
      <c r="U30" s="240" t="str">
        <f t="shared" si="16"/>
        <v>我每到一个新地方做的第一件事就是记下每个有价值之物的位置——或是可能藏有类似东西的地点。</v>
      </c>
      <c r="V30" s="240" t="str">
        <f t="shared" si="16"/>
        <v>比起制造一个新敌人，我宁可交一个新朋友。</v>
      </c>
      <c r="W30" s="240" t="str">
        <f t="shared" si="16"/>
        <v>我极端的不易信任他人。表面上看上去越公正的人通常都藏着越多见不得光的事。</v>
      </c>
      <c r="X30" s="240" t="str">
        <f t="shared" si="16"/>
        <v>我不会考虑某个情形中的风险。永远别跟我谈几率。</v>
      </c>
      <c r="Y30" s="240" t="str">
        <f t="shared" si="16"/>
        <v>令我做某件事的最好手段就是跟我说不能那样做。</v>
      </c>
      <c r="Z30" s="240" t="str">
        <f t="shared" si="16"/>
        <v>最轻微的侮辱也能把我气炸了。</v>
      </c>
      <c r="AA30" s="298" t="str">
        <f t="shared" si="16"/>
        <v>荣誉：我不会偷行家的东西。</v>
      </c>
      <c r="AB30" s="298" t="str">
        <f t="shared" si="16"/>
        <v>自由：枷锁的存在以及即是被打破，而那些铸造枷锁的人也该受同样对待。</v>
      </c>
      <c r="AC30" s="298" t="str">
        <f t="shared" si="16"/>
        <v>仁爱：我从富人处窃取财富然后帮助有需要的人。</v>
      </c>
      <c r="AD30" s="298" t="str">
        <f t="shared" si="16"/>
        <v>贪婪：为了致富我愿意做任何事。</v>
      </c>
      <c r="AE30" s="233" t="str">
        <f t="shared" si="16"/>
        <v>人民：我忠于我的朋友而非任何理想，此外的其他人就算下到冥河里也与我无关。</v>
      </c>
      <c r="AF30" s="298" t="str">
        <f t="shared" si="16"/>
        <v>救赎：人人心中有善念。</v>
      </c>
      <c r="AG30" s="299" t="str">
        <f t="shared" si="16"/>
        <v>我试图偿还一个慷慨的资助者的老债务。</v>
      </c>
      <c r="AH30" s="299" t="str">
        <f t="shared" si="16"/>
        <v>我的非法所得是为了支持我的家庭。</v>
      </c>
      <c r="AI30" s="299" t="str">
        <f t="shared" si="16"/>
        <v>我有一件重要的东西被夺走了，并且我想要把它偷回来。</v>
      </c>
      <c r="AJ30" s="299" t="str">
        <f t="shared" si="16"/>
        <v>我会成为有史以来最伟大的盗贼。</v>
      </c>
      <c r="AK30" s="299" t="str">
        <f t="shared" si="16"/>
        <v>我因一桩严重罪行而内疚。并希望从中寻求自我救赎。</v>
      </c>
      <c r="AL30" s="299" t="str">
        <f t="shared" si="16"/>
        <v>我深爱的某人因我犯下的错误而死。而我决不会让这种事情再发生了。</v>
      </c>
      <c r="AM30" s="300" t="str">
        <f t="shared" si="16"/>
        <v>当我看到一些有价值的东西时，就会一心只想如何偷到它。</v>
      </c>
      <c r="AN30" s="300" t="str">
        <f t="shared" si="16"/>
        <v>在面对金钱与朋友间的抉择时，我通常都选择金钱。</v>
      </c>
      <c r="AO30" s="300" t="str">
        <f t="shared" si="16"/>
        <v>每当要记住某个计划时，我总会忘掉。就是无法忘掉，我也会选择性无视它。</v>
      </c>
      <c r="AP30" s="300" t="str">
        <f t="shared" si="16"/>
        <v>我撒谎时会故意作出某些习惯动作。</v>
      </c>
      <c r="AQ30" s="300" t="str">
        <f t="shared" si="16"/>
        <v>当事情看起来似乎开始糟糕时，我会转身掉头就跑。</v>
      </c>
      <c r="AR30" s="300" t="str">
        <f t="shared" si="16"/>
        <v>一名无辜者因我犯下的某桩罪行而进了监狱。这事我觉得挺好</v>
      </c>
      <c r="AS30" s="301" t="str">
        <f t="shared" si="16"/>
        <v>我早年痛恨当局权威，并且认为当一个罪犯是对抗暴政和压迫的最好方式。</v>
      </c>
      <c r="AT30" s="301" t="str">
        <f t="shared" si="16"/>
        <v>我被迫走上犯罪的道路，这是我唯一能活下来的方法。</v>
      </c>
      <c r="AU30" s="301" t="str">
        <f t="shared" si="16"/>
        <v>我和一群无赖与废柴们混在一起，从他们那儿学到了我的罪犯专业。</v>
      </c>
      <c r="AV30" s="301" t="str">
        <f t="shared" si="16"/>
        <v>父亲/母亲或者某位亲戚教会了我这项罪犯专业，好让我加入家族的生意。</v>
      </c>
      <c r="AW30" s="301" t="str">
        <f t="shared" si="16"/>
        <v>我离开了家，在盗贼行会或者其他犯罪组织里找到了一席之地。</v>
      </c>
      <c r="AX30" s="301" t="str">
        <f t="shared" si="16"/>
        <v>我总是觉得无聊，所以转向犯罪来打发时间，并且发现我挺擅长干这个。</v>
      </c>
      <c r="AY30" s="193"/>
      <c r="AZ30" s="241"/>
      <c r="BA30" s="241"/>
      <c r="BB30" s="241"/>
      <c r="BC30" s="241"/>
      <c r="BD30" s="241"/>
      <c r="BE30" s="241"/>
      <c r="BF30" s="241"/>
      <c r="BG30" s="241"/>
      <c r="BH30" s="241"/>
      <c r="BI30" s="241"/>
      <c r="BJ30" s="241"/>
      <c r="BK30" s="241"/>
      <c r="BL30" s="241"/>
      <c r="BM30" s="241"/>
      <c r="BN30" s="241"/>
      <c r="BO30" s="241"/>
      <c r="BP30" s="241"/>
      <c r="BQ30" s="241"/>
      <c r="BR30" s="241"/>
      <c r="BS30" s="302"/>
    </row>
    <row r="31" customHeight="1" spans="1:71">
      <c r="A31" s="212" t="s">
        <v>246</v>
      </c>
      <c r="B31" s="181">
        <f>COUNTIF(A26:A30,F5)+COUNTIF(A26:A30,F6)+COUNTIF(A26:A30,F7)++COUNTIF(A26:A30,F8)+COUNTIF(A26:A30,F9)+COUNTIF(A26:A30,F10)</f>
        <v>0</v>
      </c>
      <c r="D31" s="191" t="s">
        <v>4892</v>
      </c>
      <c r="E31" s="232" t="str">
        <f t="array" ref="E31">INDEX(K:K,SMALL(IF($K$2:$K$78&lt;&gt;"",ROW($2:$78),79),ROW(K30)))&amp;""</f>
        <v>乌斯伽部族成员</v>
      </c>
      <c r="F31" s="307"/>
      <c r="G31" s="315" t="e">
        <f>IF(AND(综合数据!B15=TRUE,H1&gt;0),"我容易受惊，但并不是懦夫。","")</f>
        <v>#N/A</v>
      </c>
      <c r="H31" s="200" t="e">
        <f t="array" ref="H31">INDEX(G:G,SMALL(IF($G$12:$G$31&lt;&gt;"",ROW($12:$31),32),ROW(H20)))&amp;""</f>
        <v>#N/A</v>
      </c>
      <c r="I31" s="193"/>
      <c r="J31" s="193">
        <f>IFERROR(INDEX($AO$81:$BH$93,$J$1,6),"")</f>
        <v>0</v>
      </c>
      <c r="K31" s="316" t="str">
        <f>IF(综合数据!B5=TRUE,"乌斯伽部族成员","")</f>
        <v>乌斯伽部族成员</v>
      </c>
      <c r="L31" s="317">
        <f t="shared" si="0"/>
        <v>30</v>
      </c>
      <c r="M31" s="306" t="s">
        <v>4595</v>
      </c>
      <c r="N31" s="306" t="s">
        <v>4893</v>
      </c>
      <c r="O31" s="224" t="s">
        <v>4442</v>
      </c>
      <c r="P31" s="308" t="s">
        <v>4894</v>
      </c>
      <c r="Q31" s="308" t="s">
        <v>4895</v>
      </c>
      <c r="R31" s="306"/>
      <c r="S31" s="240" t="str">
        <f t="shared" ref="S31:AX31" si="17">S14</f>
        <v>我因旅行欲望的驱使而背井离乡。</v>
      </c>
      <c r="T31" s="240" t="str">
        <f t="shared" si="17"/>
        <v>我像照顾新生儿般照顾同伴。</v>
      </c>
      <c r="U31" s="240" t="str">
        <f t="shared" si="17"/>
        <v>我曾马不停蹄地跑了二十五里以警告氏族有兽人来袭。如果有必要，我还会这么干。</v>
      </c>
      <c r="V31" s="240" t="str">
        <f t="shared" si="17"/>
        <v>我善于观察自然，并从中获得应对任何境况的经验。</v>
      </c>
      <c r="W31" s="240" t="str">
        <f t="shared" si="17"/>
        <v>财富和礼貌无法帮你对抗一头饥饿枭熊，而我对看重这些东西的家伙不屑一顾。</v>
      </c>
      <c r="X31" s="240" t="str">
        <f t="shared" si="17"/>
        <v>我习惯偶尔从地上捡起些东西再漫不经心地摆弄，有的时候还会弄坏它们。</v>
      </c>
      <c r="Y31" s="240" t="str">
        <f t="shared" si="17"/>
        <v>相对于与人相处，和动物在一起会让我更自在。</v>
      </c>
      <c r="Z31" s="240" t="str">
        <f t="shared" si="17"/>
        <v>我实际上是个由狼养大的孩子。</v>
      </c>
      <c r="AA31" s="298" t="str">
        <f t="shared" si="17"/>
        <v>改变：生活如四季流转，变化不止，而我们必须与之一道改变。</v>
      </c>
      <c r="AB31" s="298" t="str">
        <f t="shared" si="17"/>
        <v>大义：部族整体的幸福，是每个成员的义务。</v>
      </c>
      <c r="AC31" s="298" t="str">
        <f t="shared" si="17"/>
        <v>荣誉：我若玷污荣誉，便是给整个氏族蒙羞。</v>
      </c>
      <c r="AD31" s="298" t="str">
        <f t="shared" si="17"/>
        <v>力量：最强者即是规矩本身。</v>
      </c>
      <c r="AE31" s="233" t="str">
        <f t="shared" si="17"/>
        <v>自然：大自然比任何文明造物都重要。</v>
      </c>
      <c r="AF31" s="298" t="str">
        <f t="shared" si="17"/>
        <v>光荣：我必须在战斗中赢得荣耀，既为自己也为氏族。</v>
      </c>
      <c r="AG31" s="299" t="str">
        <f t="shared" si="17"/>
        <v>即使与其异地相隔，我的家族，氏族或部族是我生命中最重要的事物。</v>
      </c>
      <c r="AH31" s="299" t="str">
        <f t="shared" si="17"/>
        <v>破坏家园的原始风貌即是对我的伤害。</v>
      </c>
      <c r="AI31" s="299" t="str">
        <f t="shared" si="17"/>
        <v>我会让那些摧毁我家乡的恶徒见识什么叫狂怒。</v>
      </c>
      <c r="AJ31" s="299" t="str">
        <f t="shared" si="17"/>
        <v>我是部族最后的遗孤，因而只剩我可以让部族的威名成为传奇。</v>
      </c>
      <c r="AK31" s="299" t="str">
        <f t="shared" si="17"/>
        <v>我眼前时常浮现灾难将至的幻景，我要尽全力阻止其发生。</v>
      </c>
      <c r="AL31" s="299" t="str">
        <f t="shared" si="17"/>
        <v>抚养幼童继承部族是我的责任。</v>
      </c>
      <c r="AM31" s="300" t="str">
        <f t="shared" si="17"/>
        <v>我过度痴迷于麦酒、葡萄酒等醉人之物。</v>
      </c>
      <c r="AN31" s="300" t="str">
        <f t="shared" si="17"/>
        <v>繁忙充实的生活里没有谨慎的余地。</v>
      </c>
      <c r="AO31" s="300" t="str">
        <f t="shared" si="17"/>
        <v>我会记住每次侮辱，并对委屈我的人抱以无声的怨恨。</v>
      </c>
      <c r="AP31" s="300" t="str">
        <f t="shared" si="17"/>
        <v>我容易信任对那些来自其他种族，部族或社群的人。</v>
      </c>
      <c r="AQ31" s="300" t="str">
        <f t="shared" si="17"/>
        <v>大多时候我会选择用暴力克服难题。</v>
      </c>
      <c r="AR31" s="300" t="str">
        <f t="shared" si="17"/>
        <v>我不会救那些无法自救者。物竞天择，强者生存。</v>
      </c>
      <c r="AS31" s="301" t="str">
        <f t="shared" si="17"/>
        <v>我早年在野外度过了许多时间，喜欢上了这种生活方式。</v>
      </c>
      <c r="AT31" s="301" t="str">
        <f t="shared" si="17"/>
        <v>从以前开始我就无法忍受臭烘烘的城市，宁愿待在大自然中。</v>
      </c>
      <c r="AU31" s="301" t="str">
        <f t="shared" si="17"/>
        <v>我了解到那些潜伏在野外的黑暗，发誓要与之战斗。</v>
      </c>
      <c r="AV31" s="301" t="str">
        <f t="shared" si="17"/>
        <v>我的族群生活在文明的边沿，我从家人那里学到了在野外生存的技巧。</v>
      </c>
      <c r="AW31" s="301" t="str">
        <f t="shared" si="17"/>
        <v>在一次悲惨的遭遇之后，我抛下了原来的生活，退到了荒野中。</v>
      </c>
      <c r="AX31" s="301" t="str">
        <f t="shared" si="17"/>
        <v>我的家庭从文明社会中迁离了，我学会了适应新环境。</v>
      </c>
      <c r="AY31" s="193"/>
      <c r="AZ31" s="241"/>
      <c r="BA31" s="241"/>
      <c r="BB31" s="241"/>
      <c r="BC31" s="241"/>
      <c r="BD31" s="241"/>
      <c r="BE31" s="241"/>
      <c r="BF31" s="241"/>
      <c r="BG31" s="241"/>
      <c r="BH31" s="241"/>
      <c r="BI31" s="241"/>
      <c r="BJ31" s="241"/>
      <c r="BK31" s="241"/>
      <c r="BL31" s="241"/>
      <c r="BM31" s="241"/>
      <c r="BN31" s="241"/>
      <c r="BO31" s="241"/>
      <c r="BP31" s="241"/>
      <c r="BQ31" s="241"/>
      <c r="BR31" s="241"/>
      <c r="BS31" s="302"/>
    </row>
    <row r="32" customHeight="1" spans="1:71">
      <c r="A32" s="280" t="s">
        <v>765</v>
      </c>
      <c r="B32" s="281">
        <f>COUNTIF(C26:C30,"&gt;1")</f>
        <v>0</v>
      </c>
      <c r="C32" s="207"/>
      <c r="D32" s="225" t="s">
        <v>4896</v>
      </c>
      <c r="E32" s="232" t="str">
        <f t="array" ref="E32">INDEX(K:K,SMALL(IF($K$2:$K$78&lt;&gt;"",ROW($2:$78),79),ROW(K31)))&amp;""</f>
        <v>深水人贵族</v>
      </c>
      <c r="F32" s="279"/>
      <c r="H32" s="196"/>
      <c r="I32" s="193"/>
      <c r="J32" s="193">
        <f>IFERROR(INDEX($AO$81:$BH$93,$J$1,7),"")</f>
        <v>0</v>
      </c>
      <c r="K32" s="316" t="str">
        <f>IF(综合数据!B5=TRUE,"深水人贵族","")</f>
        <v>深水人贵族</v>
      </c>
      <c r="L32" s="317">
        <f t="shared" si="0"/>
        <v>31</v>
      </c>
      <c r="M32" s="224" t="s">
        <v>4552</v>
      </c>
      <c r="N32" s="224" t="s">
        <v>4897</v>
      </c>
      <c r="O32" s="224" t="s">
        <v>4442</v>
      </c>
      <c r="P32" s="297" t="s">
        <v>4898</v>
      </c>
      <c r="Q32" s="297" t="s">
        <v>4899</v>
      </c>
      <c r="R32" s="224"/>
      <c r="S32" s="240" t="str">
        <f t="shared" ref="S32:AX32" si="18">S12</f>
        <v>我的阿谀奉承能让其他人觉得自己举世无双。</v>
      </c>
      <c r="T32" s="240" t="str">
        <f t="shared" si="18"/>
        <v>平民们因我的仁慈和慷慨而喜爱我。</v>
      </c>
      <c r="U32" s="240" t="str">
        <f t="shared" si="18"/>
        <v>众所周知只要看一眼我威严的仪态，就能明白我和下层民众截然不同。</v>
      </c>
      <c r="V32" s="240" t="str">
        <f t="shared" si="18"/>
        <v>我为了时尚和美貌忍受了很大痛苦。</v>
      </c>
      <c r="W32" s="240" t="str">
        <f t="shared" si="18"/>
        <v>我不喜欢干脏活，更不会因不舒适的食宿勉强自己。</v>
      </c>
      <c r="X32" s="240" t="str">
        <f t="shared" si="18"/>
        <v>我拥有贵族的血统，但并不认为自己比平民百姓更高贵。我们流的血是相同的。</v>
      </c>
      <c r="Y32" s="240" t="str">
        <f t="shared" si="18"/>
        <v>一旦辜负我的期待，就将永远失去我的青睐。</v>
      </c>
      <c r="Z32" s="240" t="str">
        <f t="shared" si="18"/>
        <v>我一受到伤害就要碾碎对方，乃至辱其名声毁其土地。</v>
      </c>
      <c r="AA32" s="298" t="str">
        <f t="shared" si="18"/>
        <v>尊重：人们尊敬我是因为我的地位，但任何人无论地位高低，都应该被体面地对待。</v>
      </c>
      <c r="AB32" s="298" t="str">
        <f t="shared" si="18"/>
        <v>责任：我将服从上级视为责任，正如我的下属也必须要服从我一样。</v>
      </c>
      <c r="AC32" s="298" t="str">
        <f t="shared" si="18"/>
        <v>独立：我必须证明自己即使不借助家族的力量也仍可以自食其力。</v>
      </c>
      <c r="AD32" s="298" t="str">
        <f t="shared" si="18"/>
        <v>权力：只要我掌握了更大的权力，就没人能对我指手画脚了。</v>
      </c>
      <c r="AE32" s="233" t="str">
        <f t="shared" si="18"/>
        <v>家族：血浓于水。</v>
      </c>
      <c r="AF32" s="298" t="str">
        <f t="shared" si="18"/>
        <v>贵族义务：保护依附我的人们，是我的责任。</v>
      </c>
      <c r="AG32" s="299" t="str">
        <f t="shared" si="18"/>
        <v>为了获得家族的认可，我可以面对任何挑战。</v>
      </c>
      <c r="AH32" s="299" t="str">
        <f t="shared" si="18"/>
        <v>我必须不惜代价的维持住两个家族之间的联姻关系。</v>
      </c>
      <c r="AI32" s="299" t="str">
        <f t="shared" si="18"/>
        <v>任何事物都不如家族血亲更重要。</v>
      </c>
      <c r="AJ32" s="299" t="str">
        <f t="shared" si="18"/>
        <v>我爱上了家族所不齿的另一个家族的子嗣。</v>
      </c>
      <c r="AK32" s="299" t="str">
        <f t="shared" si="18"/>
        <v>我对主君的忠诚固若泰山。</v>
      </c>
      <c r="AL32" s="299" t="str">
        <f t="shared" si="18"/>
        <v>平民们将我视作人民的英雄。</v>
      </c>
      <c r="AM32" s="300" t="str">
        <f t="shared" si="18"/>
        <v>我暗自认为自己比所有人都高贵。</v>
      </c>
      <c r="AN32" s="300" t="str">
        <f t="shared" si="18"/>
        <v>我努力遮掩一个会永远摧毁家族的可耻秘密。</v>
      </c>
      <c r="AO32" s="300" t="str">
        <f t="shared" si="18"/>
        <v>我总会听到针对我的隐晦侮辱与威胁，且轻易就会因此而发怒。</v>
      </c>
      <c r="AP32" s="300" t="str">
        <f t="shared" si="18"/>
        <v>我总是放纵自己的肉体欲望。</v>
      </c>
      <c r="AQ32" s="300" t="str">
        <f t="shared" si="18"/>
        <v>事实上，世界就是围着我转的。</v>
      </c>
      <c r="AR32" s="300" t="str">
        <f t="shared" si="18"/>
        <v>我的言行总会为家族带来耻辱。</v>
      </c>
      <c r="AS32" s="301" t="str">
        <f t="shared" si="18"/>
        <v>我来自一个古老而显赫的家族，我必须要对得起家族的名誉。</v>
      </c>
      <c r="AT32" s="301" t="str">
        <f t="shared" si="18"/>
        <v>我的家族已经蒙羞，我打算挽回它的名誉。</v>
      </c>
      <c r="AU32" s="301" t="str">
        <f t="shared" si="18"/>
        <v>我的家族刚刚获得贵族头衔，这项拔擢把我们陡然推进了一个全新而奇异的世界。</v>
      </c>
      <c r="AV32" s="301" t="str">
        <f t="shared" si="18"/>
        <v>我的家族空有贵族头衔，祖上从没出过一个有名望的人。</v>
      </c>
      <c r="AW32" s="301" t="str">
        <f t="shared" si="18"/>
        <v>我的家族里人才济济，我希望自己不辜负这些榜样。</v>
      </c>
      <c r="AX32" s="301" t="str">
        <f t="shared" si="18"/>
        <v>我希望增加我家族的权利和影响力。</v>
      </c>
      <c r="AY32" s="193"/>
      <c r="AZ32" s="241"/>
      <c r="BA32" s="241"/>
      <c r="BB32" s="241"/>
      <c r="BC32" s="241"/>
      <c r="BD32" s="241"/>
      <c r="BE32" s="241"/>
      <c r="BF32" s="241"/>
      <c r="BG32" s="241"/>
      <c r="BH32" s="241"/>
      <c r="BI32" s="241"/>
      <c r="BJ32" s="241"/>
      <c r="BK32" s="241"/>
      <c r="BL32" s="241"/>
      <c r="BM32" s="241"/>
      <c r="BN32" s="241"/>
      <c r="BO32" s="241"/>
      <c r="BP32" s="241"/>
      <c r="BQ32" s="241"/>
      <c r="BR32" s="241"/>
      <c r="BS32" s="302"/>
    </row>
    <row r="33" customHeight="1" spans="1:71">
      <c r="D33" s="225" t="s">
        <v>4900</v>
      </c>
      <c r="E33" s="232" t="str">
        <f t="array" ref="E33">INDEX(K:K,SMALL(IF($K$2:$K$78&lt;&gt;"",ROW($2:$78),79),ROW(K32)))&amp;""</f>
        <v>俄佐立官员</v>
      </c>
      <c r="F33" s="222" t="s">
        <v>5</v>
      </c>
      <c r="G33" s="193" t="str">
        <f>IFERROR(INDEX($AA$2:$AF$78,$H$1,1),"")</f>
        <v/>
      </c>
      <c r="H33" s="196" t="e">
        <f t="array" ref="H33">INDEX(G:G,SMALL(IF($G$33:$G$50&lt;&gt;"",ROW($33:$50),51),ROW(H1)))&amp;""</f>
        <v>#N/A</v>
      </c>
      <c r="I33" s="193"/>
      <c r="J33" s="193">
        <f>IFERROR(INDEX($AO$81:$BH$93,$J$1,8),"")</f>
        <v>0</v>
      </c>
      <c r="K33" s="322" t="str">
        <f>IF(综合数据!B9=TRUE,"俄佐立官员","")</f>
        <v>俄佐立官员</v>
      </c>
      <c r="L33" s="323">
        <f t="shared" si="0"/>
        <v>32</v>
      </c>
      <c r="M33" s="224" t="s">
        <v>4901</v>
      </c>
      <c r="N33" s="193"/>
      <c r="O33" s="224" t="s">
        <v>4194</v>
      </c>
      <c r="P33" s="297" t="s">
        <v>4902</v>
      </c>
      <c r="Q33" s="297" t="s">
        <v>4903</v>
      </c>
      <c r="R33" s="224" t="s">
        <v>4904</v>
      </c>
      <c r="S33" s="240" t="s">
        <v>4905</v>
      </c>
      <c r="T33" s="240" t="s">
        <v>4906</v>
      </c>
      <c r="U33" s="240" t="s">
        <v>4907</v>
      </c>
      <c r="V33" s="240" t="s">
        <v>4908</v>
      </c>
      <c r="W33" s="240" t="s">
        <v>4909</v>
      </c>
      <c r="X33" s="240" t="s">
        <v>4910</v>
      </c>
      <c r="Y33" s="240" t="s">
        <v>4911</v>
      </c>
      <c r="Z33" s="240" t="s">
        <v>4912</v>
      </c>
      <c r="AA33" s="298" t="s">
        <v>4913</v>
      </c>
      <c r="AB33" s="298" t="s">
        <v>4914</v>
      </c>
      <c r="AC33" s="298" t="s">
        <v>4915</v>
      </c>
      <c r="AD33" s="298" t="s">
        <v>4916</v>
      </c>
      <c r="AE33" s="233" t="s">
        <v>4917</v>
      </c>
      <c r="AF33" s="298" t="s">
        <v>4918</v>
      </c>
      <c r="AG33" s="299" t="s">
        <v>4919</v>
      </c>
      <c r="AH33" s="299" t="s">
        <v>4920</v>
      </c>
      <c r="AI33" s="299" t="s">
        <v>4921</v>
      </c>
      <c r="AJ33" s="299" t="s">
        <v>4922</v>
      </c>
      <c r="AK33" s="299" t="s">
        <v>4923</v>
      </c>
      <c r="AL33" s="299" t="s">
        <v>4924</v>
      </c>
      <c r="AM33" s="300" t="s">
        <v>4925</v>
      </c>
      <c r="AN33" s="300" t="s">
        <v>4926</v>
      </c>
      <c r="AO33" s="300" t="s">
        <v>4927</v>
      </c>
      <c r="AP33" s="300" t="s">
        <v>4928</v>
      </c>
      <c r="AQ33" s="300" t="s">
        <v>4929</v>
      </c>
      <c r="AR33" s="300" t="s">
        <v>4930</v>
      </c>
      <c r="AS33" s="301"/>
      <c r="AT33" s="301"/>
      <c r="AU33" s="301"/>
      <c r="AV33" s="301"/>
      <c r="AW33" s="301"/>
      <c r="AX33" s="301"/>
      <c r="AY33" s="224"/>
      <c r="AZ33" s="297"/>
      <c r="BA33" s="297"/>
      <c r="BB33" s="297"/>
      <c r="BC33" s="297"/>
      <c r="BD33" s="297"/>
      <c r="BE33" s="297"/>
      <c r="BF33" s="297"/>
      <c r="BG33" s="297"/>
      <c r="BH33" s="297"/>
      <c r="BI33" s="297"/>
      <c r="BJ33" s="241"/>
      <c r="BK33" s="241"/>
      <c r="BL33" s="241"/>
      <c r="BM33" s="241"/>
      <c r="BN33" s="241"/>
      <c r="BO33" s="241"/>
      <c r="BP33" s="241"/>
      <c r="BQ33" s="241"/>
      <c r="BR33" s="241"/>
      <c r="BS33" s="302"/>
    </row>
    <row r="34" customHeight="1" spans="1:71">
      <c r="A34" s="324" t="s">
        <v>4931</v>
      </c>
      <c r="B34" s="185">
        <f>背景!R20</f>
        <v>0</v>
      </c>
      <c r="D34" s="259" t="s">
        <v>4932</v>
      </c>
      <c r="E34" s="232" t="str">
        <f t="array" ref="E34">INDEX(K:K,SMALL(IF($K$2:$K$78&lt;&gt;"",ROW($2:$78),79),ROW(K33)))&amp;""</f>
        <v>波洛斯军团兵</v>
      </c>
      <c r="F34" s="222"/>
      <c r="G34" s="193" t="str">
        <f>IFERROR(INDEX($AA$2:$AF$78,$H$1,2),"")</f>
        <v/>
      </c>
      <c r="H34" s="196" t="e">
        <f t="array" ref="H34">INDEX(G:G,SMALL(IF($G$33:$G$50&lt;&gt;"",ROW($33:$50),51),ROW(H2)))&amp;""</f>
        <v>#N/A</v>
      </c>
      <c r="I34" s="193"/>
      <c r="J34" s="193">
        <f>IFERROR(INDEX($AO$81:$BH$93,$J$1,9),"")</f>
        <v>0</v>
      </c>
      <c r="K34" s="322" t="str">
        <f>IF(综合数据!B9=TRUE,"波洛斯军团兵","")</f>
        <v>波洛斯军团兵</v>
      </c>
      <c r="L34" s="323">
        <f t="shared" si="0"/>
        <v>33</v>
      </c>
      <c r="M34" s="224" t="s">
        <v>4933</v>
      </c>
      <c r="N34" s="224" t="s">
        <v>4553</v>
      </c>
      <c r="O34" s="224" t="s">
        <v>4934</v>
      </c>
      <c r="P34" s="297" t="s">
        <v>4935</v>
      </c>
      <c r="Q34" s="297" t="s">
        <v>4936</v>
      </c>
      <c r="R34" s="224" t="s">
        <v>4937</v>
      </c>
      <c r="S34" s="240" t="s">
        <v>4938</v>
      </c>
      <c r="T34" s="240" t="s">
        <v>4939</v>
      </c>
      <c r="U34" s="240" t="s">
        <v>4940</v>
      </c>
      <c r="V34" s="240" t="s">
        <v>4941</v>
      </c>
      <c r="W34" s="240" t="s">
        <v>4942</v>
      </c>
      <c r="X34" s="240" t="s">
        <v>4943</v>
      </c>
      <c r="Y34" s="240" t="s">
        <v>4944</v>
      </c>
      <c r="Z34" s="240" t="s">
        <v>4945</v>
      </c>
      <c r="AA34" s="298" t="s">
        <v>4913</v>
      </c>
      <c r="AB34" s="298" t="s">
        <v>4946</v>
      </c>
      <c r="AC34" s="298" t="s">
        <v>4947</v>
      </c>
      <c r="AD34" s="298" t="s">
        <v>4948</v>
      </c>
      <c r="AE34" s="233" t="s">
        <v>4949</v>
      </c>
      <c r="AF34" s="298" t="s">
        <v>4950</v>
      </c>
      <c r="AG34" s="299" t="s">
        <v>4951</v>
      </c>
      <c r="AH34" s="299" t="s">
        <v>4952</v>
      </c>
      <c r="AI34" s="299" t="s">
        <v>4953</v>
      </c>
      <c r="AJ34" s="299" t="s">
        <v>4954</v>
      </c>
      <c r="AK34" s="299" t="s">
        <v>4955</v>
      </c>
      <c r="AL34" s="299" t="s">
        <v>4956</v>
      </c>
      <c r="AM34" s="300" t="s">
        <v>4957</v>
      </c>
      <c r="AN34" s="300" t="s">
        <v>4958</v>
      </c>
      <c r="AO34" s="300" t="s">
        <v>4959</v>
      </c>
      <c r="AP34" s="300" t="s">
        <v>4960</v>
      </c>
      <c r="AQ34" s="300" t="s">
        <v>4961</v>
      </c>
      <c r="AR34" s="300" t="s">
        <v>4962</v>
      </c>
      <c r="AS34" s="301"/>
      <c r="AT34" s="301"/>
      <c r="AU34" s="301"/>
      <c r="AV34" s="301"/>
      <c r="AW34" s="301"/>
      <c r="AX34" s="301"/>
      <c r="AY34" s="224"/>
      <c r="AZ34" s="297"/>
      <c r="BA34" s="297"/>
      <c r="BB34" s="297"/>
      <c r="BC34" s="297"/>
      <c r="BD34" s="297"/>
      <c r="BE34" s="297"/>
      <c r="BF34" s="297"/>
      <c r="BG34" s="241"/>
      <c r="BH34" s="241"/>
      <c r="BI34" s="241"/>
      <c r="BJ34" s="241"/>
      <c r="BK34" s="241"/>
      <c r="BL34" s="241"/>
      <c r="BM34" s="241"/>
      <c r="BN34" s="241"/>
      <c r="BO34" s="241"/>
      <c r="BP34" s="241"/>
      <c r="BQ34" s="241"/>
      <c r="BR34" s="241"/>
      <c r="BS34" s="302"/>
    </row>
    <row r="35" customHeight="1" spans="1:71">
      <c r="A35" s="225" t="s">
        <v>4963</v>
      </c>
      <c r="B35" s="194">
        <f>IFERROR(VLOOKUP(B34,K95:L98,2,0),0)</f>
        <v>0</v>
      </c>
      <c r="E35" s="232" t="str">
        <f t="array" ref="E35">INDEX(K:K,SMALL(IF($K$2:$K$78&lt;&gt;"",ROW($2:$78),79),ROW(K34)))&amp;""</f>
        <v>底密尔特务</v>
      </c>
      <c r="F35" s="222"/>
      <c r="G35" s="193" t="str">
        <f>IFERROR(INDEX($AA$2:$AF$78,$H$1,3),"")</f>
        <v/>
      </c>
      <c r="H35" s="196" t="e">
        <f t="array" ref="H35">INDEX(G:G,SMALL(IF($G$33:$G$50&lt;&gt;"",ROW($33:$50),51),ROW(H3)))&amp;""</f>
        <v>#N/A</v>
      </c>
      <c r="I35" s="193"/>
      <c r="J35" s="193">
        <f>IFERROR(INDEX($AO$81:$BH$93,$J$1,10),"")</f>
        <v>0</v>
      </c>
      <c r="K35" s="322" t="str">
        <f>IF(综合数据!B9=TRUE,"底密尔特务","")</f>
        <v>底密尔特务</v>
      </c>
      <c r="L35" s="323">
        <f t="shared" si="0"/>
        <v>34</v>
      </c>
      <c r="M35" s="224" t="s">
        <v>4278</v>
      </c>
      <c r="N35" s="224" t="s">
        <v>3852</v>
      </c>
      <c r="O35" s="224" t="s">
        <v>4442</v>
      </c>
      <c r="P35" s="297" t="s">
        <v>4964</v>
      </c>
      <c r="Q35" s="297" t="s">
        <v>4965</v>
      </c>
      <c r="R35" s="224" t="s">
        <v>4966</v>
      </c>
      <c r="S35" s="240" t="s">
        <v>4967</v>
      </c>
      <c r="T35" s="240" t="s">
        <v>4968</v>
      </c>
      <c r="U35" s="240" t="s">
        <v>4969</v>
      </c>
      <c r="V35" s="240" t="s">
        <v>4970</v>
      </c>
      <c r="W35" s="240" t="s">
        <v>4971</v>
      </c>
      <c r="X35" s="240" t="s">
        <v>4972</v>
      </c>
      <c r="Y35" s="240" t="s">
        <v>4973</v>
      </c>
      <c r="Z35" s="240" t="s">
        <v>4974</v>
      </c>
      <c r="AA35" s="298" t="s">
        <v>4975</v>
      </c>
      <c r="AB35" s="298" t="s">
        <v>4976</v>
      </c>
      <c r="AC35" s="298" t="s">
        <v>4977</v>
      </c>
      <c r="AD35" s="298" t="s">
        <v>4978</v>
      </c>
      <c r="AE35" s="233" t="s">
        <v>4979</v>
      </c>
      <c r="AF35" s="298" t="s">
        <v>4980</v>
      </c>
      <c r="AG35" s="299" t="s">
        <v>4981</v>
      </c>
      <c r="AH35" s="299" t="s">
        <v>4982</v>
      </c>
      <c r="AI35" s="299" t="s">
        <v>4983</v>
      </c>
      <c r="AJ35" s="299" t="s">
        <v>4984</v>
      </c>
      <c r="AK35" s="299" t="s">
        <v>4985</v>
      </c>
      <c r="AL35" s="299" t="s">
        <v>4986</v>
      </c>
      <c r="AM35" s="300" t="s">
        <v>4987</v>
      </c>
      <c r="AN35" s="300" t="s">
        <v>4988</v>
      </c>
      <c r="AO35" s="300" t="s">
        <v>4989</v>
      </c>
      <c r="AP35" s="300" t="s">
        <v>4990</v>
      </c>
      <c r="AQ35" s="300" t="s">
        <v>4991</v>
      </c>
      <c r="AR35" s="300" t="s">
        <v>4992</v>
      </c>
      <c r="AS35" s="301"/>
      <c r="AT35" s="301"/>
      <c r="AU35" s="301"/>
      <c r="AV35" s="301"/>
      <c r="AW35" s="301"/>
      <c r="AX35" s="301"/>
      <c r="AY35" s="224" t="s">
        <v>4993</v>
      </c>
      <c r="AZ35" s="297" t="s">
        <v>4994</v>
      </c>
      <c r="BA35" s="297" t="s">
        <v>4995</v>
      </c>
      <c r="BB35" s="297" t="s">
        <v>4996</v>
      </c>
      <c r="BC35" s="297" t="s">
        <v>4997</v>
      </c>
      <c r="BD35" s="297" t="s">
        <v>4998</v>
      </c>
      <c r="BE35" s="297" t="s">
        <v>4999</v>
      </c>
      <c r="BF35" s="297" t="s">
        <v>5000</v>
      </c>
      <c r="BG35" s="297" t="s">
        <v>5001</v>
      </c>
      <c r="BH35" s="241"/>
      <c r="BI35" s="241"/>
      <c r="BJ35" s="241"/>
      <c r="BK35" s="241"/>
      <c r="BL35" s="241"/>
      <c r="BM35" s="241"/>
      <c r="BN35" s="241"/>
      <c r="BO35" s="241"/>
      <c r="BP35" s="241"/>
      <c r="BQ35" s="241"/>
      <c r="BR35" s="241"/>
      <c r="BS35" s="302"/>
    </row>
    <row r="36" customHeight="1" spans="1:71">
      <c r="A36" s="225" t="s">
        <v>5002</v>
      </c>
      <c r="B36" s="190" t="str">
        <f>IFERROR(INDEX($M$95:$AH$98,$B$35,1),"")</f>
        <v/>
      </c>
      <c r="E36" s="232" t="str">
        <f t="array" ref="E36">INDEX(K:K,SMALL(IF($K$2:$K$78&lt;&gt;"",ROW($2:$78),79),ROW(K35)))&amp;""</f>
        <v>葛加理成员</v>
      </c>
      <c r="F36" s="222"/>
      <c r="G36" s="193" t="str">
        <f>IFERROR(INDEX($AA$2:$AF$78,$H$1,4),"")</f>
        <v/>
      </c>
      <c r="H36" s="196" t="e">
        <f t="array" ref="H36">INDEX(G:G,SMALL(IF($G$33:$G$50&lt;&gt;"",ROW($33:$50),51),ROW(H4)))&amp;""</f>
        <v>#N/A</v>
      </c>
      <c r="I36" s="193"/>
      <c r="J36" s="193">
        <f>IFERROR(INDEX($AO$81:$BH$93,$J$1,11),"")</f>
        <v>0</v>
      </c>
      <c r="K36" s="322" t="str">
        <f>IF(综合数据!B9=TRUE,"葛加理成员","")</f>
        <v>葛加理成员</v>
      </c>
      <c r="L36" s="323">
        <f t="shared" si="0"/>
        <v>35</v>
      </c>
      <c r="M36" s="224" t="s">
        <v>5003</v>
      </c>
      <c r="N36" s="224" t="s">
        <v>3931</v>
      </c>
      <c r="O36" s="224" t="s">
        <v>5004</v>
      </c>
      <c r="P36" s="297" t="s">
        <v>5005</v>
      </c>
      <c r="Q36" s="297" t="s">
        <v>5006</v>
      </c>
      <c r="R36" s="224" t="s">
        <v>5007</v>
      </c>
      <c r="S36" s="240" t="s">
        <v>5008</v>
      </c>
      <c r="T36" s="240" t="s">
        <v>5009</v>
      </c>
      <c r="U36" s="240" t="s">
        <v>5010</v>
      </c>
      <c r="V36" s="240" t="s">
        <v>5011</v>
      </c>
      <c r="W36" s="240" t="s">
        <v>5012</v>
      </c>
      <c r="X36" s="240" t="s">
        <v>5013</v>
      </c>
      <c r="Y36" s="240" t="s">
        <v>5014</v>
      </c>
      <c r="Z36" s="240" t="s">
        <v>5015</v>
      </c>
      <c r="AA36" s="298" t="s">
        <v>5016</v>
      </c>
      <c r="AB36" s="298" t="s">
        <v>5017</v>
      </c>
      <c r="AC36" s="298" t="s">
        <v>5018</v>
      </c>
      <c r="AD36" s="298" t="s">
        <v>5019</v>
      </c>
      <c r="AE36" s="233" t="s">
        <v>5020</v>
      </c>
      <c r="AF36" s="298" t="s">
        <v>5021</v>
      </c>
      <c r="AG36" s="299" t="s">
        <v>5022</v>
      </c>
      <c r="AH36" s="299" t="s">
        <v>5023</v>
      </c>
      <c r="AI36" s="299" t="s">
        <v>5024</v>
      </c>
      <c r="AJ36" s="299" t="s">
        <v>5025</v>
      </c>
      <c r="AK36" s="299" t="s">
        <v>5026</v>
      </c>
      <c r="AL36" s="299" t="s">
        <v>5027</v>
      </c>
      <c r="AM36" s="300" t="s">
        <v>5028</v>
      </c>
      <c r="AN36" s="300" t="s">
        <v>5029</v>
      </c>
      <c r="AO36" s="300" t="s">
        <v>5030</v>
      </c>
      <c r="AP36" s="300" t="s">
        <v>5031</v>
      </c>
      <c r="AQ36" s="300" t="s">
        <v>5032</v>
      </c>
      <c r="AR36" s="300" t="s">
        <v>5033</v>
      </c>
      <c r="AS36" s="301"/>
      <c r="AT36" s="301"/>
      <c r="AU36" s="301"/>
      <c r="AV36" s="301"/>
      <c r="AW36" s="301"/>
      <c r="AX36" s="301"/>
      <c r="AY36" s="193"/>
      <c r="AZ36" s="241"/>
      <c r="BA36" s="241"/>
      <c r="BB36" s="241"/>
      <c r="BC36" s="241"/>
      <c r="BD36" s="241"/>
      <c r="BE36" s="241"/>
      <c r="BF36" s="241"/>
      <c r="BG36" s="241"/>
      <c r="BH36" s="241"/>
      <c r="BI36" s="241"/>
      <c r="BJ36" s="241"/>
      <c r="BK36" s="241"/>
      <c r="BL36" s="241"/>
      <c r="BM36" s="241"/>
      <c r="BN36" s="241"/>
      <c r="BO36" s="241"/>
      <c r="BP36" s="241"/>
      <c r="BQ36" s="241"/>
      <c r="BR36" s="241"/>
      <c r="BS36" s="302"/>
    </row>
    <row r="37" customHeight="1" spans="1:71">
      <c r="A37" s="225" t="s">
        <v>5034</v>
      </c>
      <c r="B37" s="190" t="str">
        <f>IFERROR(INDEX($M$95:$AH$98,$B$35,2),"")</f>
        <v/>
      </c>
      <c r="E37" s="232" t="str">
        <f t="array" ref="E37">INDEX(K:K,SMALL(IF($K$2:$K$78&lt;&gt;"",ROW($2:$78),79),ROW(K36)))&amp;""</f>
        <v>古鲁反抗者</v>
      </c>
      <c r="F37" s="222"/>
      <c r="G37" s="193" t="str">
        <f>IFERROR(INDEX($AA$2:$AF$78,$H$1,5),"")</f>
        <v/>
      </c>
      <c r="H37" s="196" t="e">
        <f t="array" ref="H37">INDEX(G:G,SMALL(IF($G$33:$G$50&lt;&gt;"",ROW($33:$50),51),ROW(H5)))&amp;""</f>
        <v>#N/A</v>
      </c>
      <c r="I37" s="193"/>
      <c r="J37" s="193">
        <f>IFERROR(INDEX($AO$81:$BH$93,$J$1,12),"")</f>
        <v>0</v>
      </c>
      <c r="K37" s="322" t="str">
        <f>IF(综合数据!B9=TRUE,"古鲁反抗者","")</f>
        <v>古鲁反抗者</v>
      </c>
      <c r="L37" s="323">
        <f t="shared" si="0"/>
        <v>36</v>
      </c>
      <c r="M37" s="224" t="s">
        <v>5035</v>
      </c>
      <c r="N37" s="224" t="s">
        <v>1607</v>
      </c>
      <c r="O37" s="224" t="s">
        <v>5036</v>
      </c>
      <c r="P37" s="297" t="s">
        <v>5037</v>
      </c>
      <c r="Q37" s="297" t="s">
        <v>5038</v>
      </c>
      <c r="R37" s="224" t="s">
        <v>5039</v>
      </c>
      <c r="S37" s="240" t="s">
        <v>5040</v>
      </c>
      <c r="T37" s="240" t="s">
        <v>5041</v>
      </c>
      <c r="U37" s="240" t="s">
        <v>5042</v>
      </c>
      <c r="V37" s="240" t="s">
        <v>5043</v>
      </c>
      <c r="W37" s="240" t="s">
        <v>5044</v>
      </c>
      <c r="X37" s="240" t="s">
        <v>5045</v>
      </c>
      <c r="Y37" s="240" t="s">
        <v>5046</v>
      </c>
      <c r="Z37" s="240" t="s">
        <v>5047</v>
      </c>
      <c r="AA37" s="298" t="s">
        <v>5048</v>
      </c>
      <c r="AB37" s="298" t="s">
        <v>5049</v>
      </c>
      <c r="AC37" s="298" t="s">
        <v>5050</v>
      </c>
      <c r="AD37" s="298" t="s">
        <v>5051</v>
      </c>
      <c r="AE37" s="233" t="s">
        <v>5052</v>
      </c>
      <c r="AF37" s="298" t="s">
        <v>5053</v>
      </c>
      <c r="AG37" s="299" t="s">
        <v>5054</v>
      </c>
      <c r="AH37" s="299" t="s">
        <v>5055</v>
      </c>
      <c r="AI37" s="299" t="s">
        <v>5056</v>
      </c>
      <c r="AJ37" s="299" t="s">
        <v>5057</v>
      </c>
      <c r="AK37" s="299" t="s">
        <v>5058</v>
      </c>
      <c r="AL37" s="299" t="s">
        <v>5059</v>
      </c>
      <c r="AM37" s="300" t="s">
        <v>5060</v>
      </c>
      <c r="AN37" s="300" t="s">
        <v>5061</v>
      </c>
      <c r="AO37" s="300" t="s">
        <v>5062</v>
      </c>
      <c r="AP37" s="300" t="s">
        <v>5063</v>
      </c>
      <c r="AQ37" s="300" t="s">
        <v>5064</v>
      </c>
      <c r="AR37" s="300" t="s">
        <v>5065</v>
      </c>
      <c r="AS37" s="301"/>
      <c r="AT37" s="301"/>
      <c r="AU37" s="301"/>
      <c r="AV37" s="301"/>
      <c r="AW37" s="301"/>
      <c r="AX37" s="301"/>
      <c r="AY37" s="224" t="s">
        <v>5066</v>
      </c>
      <c r="AZ37" s="297" t="s">
        <v>5067</v>
      </c>
      <c r="BA37" s="297" t="s">
        <v>5068</v>
      </c>
      <c r="BB37" s="297" t="s">
        <v>5069</v>
      </c>
      <c r="BC37" s="297" t="s">
        <v>5070</v>
      </c>
      <c r="BD37" s="297" t="s">
        <v>5071</v>
      </c>
      <c r="BE37" s="297" t="s">
        <v>5072</v>
      </c>
      <c r="BF37" s="297" t="s">
        <v>5073</v>
      </c>
      <c r="BG37" s="297" t="s">
        <v>5074</v>
      </c>
      <c r="BH37" s="241"/>
      <c r="BI37" s="241"/>
      <c r="BJ37" s="241"/>
      <c r="BK37" s="241"/>
      <c r="BL37" s="241"/>
      <c r="BM37" s="241"/>
      <c r="BN37" s="241"/>
      <c r="BO37" s="241"/>
      <c r="BP37" s="241"/>
      <c r="BQ37" s="241"/>
      <c r="BR37" s="241"/>
      <c r="BS37" s="302"/>
    </row>
    <row r="38" customHeight="1" spans="1:71">
      <c r="A38" s="225" t="s">
        <v>5075</v>
      </c>
      <c r="B38" s="190" t="str">
        <f>IFERROR(INDEX($M$95:$AH$98,$B$35,3),"")</f>
        <v/>
      </c>
      <c r="E38" s="232" t="str">
        <f t="array" ref="E38">INDEX(K:K,SMALL(IF($K$2:$K$78&lt;&gt;"",ROW($2:$78),79),ROW(K37)))&amp;""</f>
        <v>伊捷工程师</v>
      </c>
      <c r="F38" s="222"/>
      <c r="G38" s="193" t="str">
        <f>IFERROR(INDEX($AA$2:$AF$78,$H$1,6),"")</f>
        <v/>
      </c>
      <c r="H38" s="196" t="e">
        <f t="array" ref="H38">INDEX(G:G,SMALL(IF($G$33:$G$50&lt;&gt;"",ROW($33:$50),51),ROW(H6)))&amp;""</f>
        <v>#N/A</v>
      </c>
      <c r="I38" s="193"/>
      <c r="J38" s="193">
        <f>IFERROR(INDEX($AO$81:$BH$93,$J$1,13),"")</f>
        <v>0</v>
      </c>
      <c r="K38" s="322" t="str">
        <f>IF(综合数据!B9=TRUE,"伊捷工程师","")</f>
        <v>伊捷工程师</v>
      </c>
      <c r="L38" s="323">
        <f t="shared" si="0"/>
        <v>37</v>
      </c>
      <c r="M38" s="224" t="s">
        <v>5076</v>
      </c>
      <c r="N38" s="224" t="s">
        <v>4441</v>
      </c>
      <c r="O38" s="224" t="s">
        <v>5077</v>
      </c>
      <c r="P38" s="297" t="s">
        <v>5078</v>
      </c>
      <c r="Q38" s="297" t="s">
        <v>5079</v>
      </c>
      <c r="R38" s="224" t="s">
        <v>5080</v>
      </c>
      <c r="S38" s="240" t="s">
        <v>5081</v>
      </c>
      <c r="T38" s="240" t="s">
        <v>5082</v>
      </c>
      <c r="U38" s="240" t="s">
        <v>5083</v>
      </c>
      <c r="V38" s="240" t="s">
        <v>5084</v>
      </c>
      <c r="W38" s="240" t="s">
        <v>5085</v>
      </c>
      <c r="X38" s="240" t="s">
        <v>5086</v>
      </c>
      <c r="Y38" s="240" t="s">
        <v>5087</v>
      </c>
      <c r="Z38" s="240" t="s">
        <v>5088</v>
      </c>
      <c r="AA38" s="298" t="s">
        <v>4975</v>
      </c>
      <c r="AB38" s="298" t="s">
        <v>5089</v>
      </c>
      <c r="AC38" s="298" t="s">
        <v>5090</v>
      </c>
      <c r="AD38" s="298" t="s">
        <v>5091</v>
      </c>
      <c r="AE38" s="233" t="s">
        <v>5092</v>
      </c>
      <c r="AF38" s="298" t="s">
        <v>5093</v>
      </c>
      <c r="AG38" s="299" t="s">
        <v>5094</v>
      </c>
      <c r="AH38" s="299" t="s">
        <v>5095</v>
      </c>
      <c r="AI38" s="299" t="s">
        <v>5096</v>
      </c>
      <c r="AJ38" s="299" t="s">
        <v>5097</v>
      </c>
      <c r="AK38" s="299" t="s">
        <v>5098</v>
      </c>
      <c r="AL38" s="299" t="s">
        <v>5099</v>
      </c>
      <c r="AM38" s="300" t="s">
        <v>5100</v>
      </c>
      <c r="AN38" s="300" t="s">
        <v>5101</v>
      </c>
      <c r="AO38" s="300" t="s">
        <v>5102</v>
      </c>
      <c r="AP38" s="300" t="s">
        <v>5103</v>
      </c>
      <c r="AQ38" s="300" t="s">
        <v>5104</v>
      </c>
      <c r="AR38" s="300" t="s">
        <v>5105</v>
      </c>
      <c r="AS38" s="301"/>
      <c r="AT38" s="301"/>
      <c r="AU38" s="301"/>
      <c r="AV38" s="301"/>
      <c r="AW38" s="301"/>
      <c r="AX38" s="301"/>
      <c r="AY38" s="193"/>
      <c r="AZ38" s="241"/>
      <c r="BA38" s="241"/>
      <c r="BB38" s="241"/>
      <c r="BC38" s="241"/>
      <c r="BD38" s="241"/>
      <c r="BE38" s="241"/>
      <c r="BF38" s="241"/>
      <c r="BG38" s="241"/>
      <c r="BH38" s="241"/>
      <c r="BI38" s="241"/>
      <c r="BJ38" s="241"/>
      <c r="BK38" s="241"/>
      <c r="BL38" s="241"/>
      <c r="BM38" s="241"/>
      <c r="BN38" s="241"/>
      <c r="BO38" s="241"/>
      <c r="BP38" s="241"/>
      <c r="BQ38" s="241"/>
      <c r="BR38" s="241"/>
      <c r="BS38" s="302"/>
    </row>
    <row r="39" customHeight="1" spans="1:71">
      <c r="A39" s="225" t="s">
        <v>5106</v>
      </c>
      <c r="B39" s="190" t="str">
        <f>IFERROR(INDEX($M$95:$AH$98,$B$35,4),"")</f>
        <v/>
      </c>
      <c r="E39" s="232" t="str">
        <f t="array" ref="E39">INDEX(K:K,SMALL(IF($K$2:$K$78&lt;&gt;"",ROW($2:$78),79),ROW(K38)))&amp;""</f>
        <v>欧佐夫议员</v>
      </c>
      <c r="F39" s="222"/>
      <c r="G39" s="325" t="e">
        <f>IF(AND(综合数据!B15=TRUE,H1&gt;0),"肾上腺素：我的经历如此离奇，以至于我已经无法适应平静的生活。","")</f>
        <v>#N/A</v>
      </c>
      <c r="H39" s="196" t="e">
        <f t="array" ref="H39">INDEX(G:G,SMALL(IF($G$33:$G$50&lt;&gt;"",ROW($33:$50),51),ROW(H7)))&amp;""</f>
        <v>#N/A</v>
      </c>
      <c r="I39" s="193"/>
      <c r="J39" s="193">
        <f>IFERROR(INDEX($AO$81:$BH$93,$J$1,14),"")</f>
        <v>0</v>
      </c>
      <c r="K39" s="322" t="str">
        <f>IF(综合数据!B9=TRUE,"欧佐夫议员","")</f>
        <v>欧佐夫议员</v>
      </c>
      <c r="L39" s="323">
        <f t="shared" si="0"/>
        <v>38</v>
      </c>
      <c r="M39" s="224" t="s">
        <v>5107</v>
      </c>
      <c r="N39" s="193"/>
      <c r="O39" s="224" t="s">
        <v>4194</v>
      </c>
      <c r="P39" s="297" t="s">
        <v>5108</v>
      </c>
      <c r="Q39" s="297" t="s">
        <v>5109</v>
      </c>
      <c r="R39" s="224" t="s">
        <v>5110</v>
      </c>
      <c r="S39" s="240" t="s">
        <v>5111</v>
      </c>
      <c r="T39" s="240" t="s">
        <v>5112</v>
      </c>
      <c r="U39" s="240" t="s">
        <v>5113</v>
      </c>
      <c r="V39" s="240" t="s">
        <v>5114</v>
      </c>
      <c r="W39" s="240" t="s">
        <v>5115</v>
      </c>
      <c r="X39" s="240" t="s">
        <v>5116</v>
      </c>
      <c r="Y39" s="240" t="s">
        <v>5117</v>
      </c>
      <c r="Z39" s="240" t="s">
        <v>5118</v>
      </c>
      <c r="AA39" s="298" t="s">
        <v>5119</v>
      </c>
      <c r="AB39" s="298" t="s">
        <v>5120</v>
      </c>
      <c r="AC39" s="298" t="s">
        <v>5121</v>
      </c>
      <c r="AD39" s="298" t="s">
        <v>5122</v>
      </c>
      <c r="AE39" s="233" t="s">
        <v>5123</v>
      </c>
      <c r="AF39" s="298" t="s">
        <v>5124</v>
      </c>
      <c r="AG39" s="299" t="s">
        <v>5125</v>
      </c>
      <c r="AH39" s="299" t="s">
        <v>5126</v>
      </c>
      <c r="AI39" s="299" t="s">
        <v>5127</v>
      </c>
      <c r="AJ39" s="299" t="s">
        <v>5128</v>
      </c>
      <c r="AK39" s="299" t="s">
        <v>5129</v>
      </c>
      <c r="AL39" s="299" t="s">
        <v>5130</v>
      </c>
      <c r="AM39" s="300" t="s">
        <v>5131</v>
      </c>
      <c r="AN39" s="300" t="s">
        <v>5132</v>
      </c>
      <c r="AO39" s="300" t="s">
        <v>5133</v>
      </c>
      <c r="AP39" s="300" t="s">
        <v>5134</v>
      </c>
      <c r="AQ39" s="300" t="s">
        <v>5135</v>
      </c>
      <c r="AR39" s="300" t="s">
        <v>5136</v>
      </c>
      <c r="AS39" s="301"/>
      <c r="AT39" s="301"/>
      <c r="AU39" s="301"/>
      <c r="AV39" s="301"/>
      <c r="AW39" s="301"/>
      <c r="AX39" s="301"/>
      <c r="AY39" s="224" t="s">
        <v>5137</v>
      </c>
      <c r="AZ39" s="241" t="s">
        <v>5138</v>
      </c>
      <c r="BA39" s="241" t="s">
        <v>5139</v>
      </c>
      <c r="BB39" s="241" t="s">
        <v>5140</v>
      </c>
      <c r="BC39" s="241" t="s">
        <v>5141</v>
      </c>
      <c r="BD39" s="241" t="s">
        <v>5142</v>
      </c>
      <c r="BE39" s="241" t="s">
        <v>5143</v>
      </c>
      <c r="BF39" s="241" t="s">
        <v>5144</v>
      </c>
      <c r="BG39" s="241" t="s">
        <v>5145</v>
      </c>
      <c r="BH39" s="241"/>
      <c r="BI39" s="241"/>
      <c r="BJ39" s="241"/>
      <c r="BK39" s="241"/>
      <c r="BL39" s="241"/>
      <c r="BM39" s="241"/>
      <c r="BN39" s="241"/>
      <c r="BO39" s="241"/>
      <c r="BP39" s="241"/>
      <c r="BQ39" s="241"/>
      <c r="BR39" s="241"/>
      <c r="BS39" s="302"/>
    </row>
    <row r="40" customHeight="1" spans="1:71">
      <c r="A40" s="225" t="s">
        <v>5146</v>
      </c>
      <c r="B40" s="190" t="str">
        <f>IFERROR(INDEX($M$95:$AH$98,$B$35,5),"")</f>
        <v/>
      </c>
      <c r="E40" s="232" t="str">
        <f t="array" ref="E40">INDEX(K:K,SMALL(IF($K$2:$K$78&lt;&gt;"",ROW($2:$78),79),ROW(K39)))&amp;""</f>
        <v>拉铎斯邪教徒</v>
      </c>
      <c r="F40" s="222"/>
      <c r="G40" s="325" t="e">
        <f>IF(AND(综合数据!B15=TRUE,H1&gt;0),"均势：我努力反制那些我认为应被责备的人的行为。","")</f>
        <v>#N/A</v>
      </c>
      <c r="H40" s="196" t="e">
        <f t="array" ref="H40">INDEX(G:G,SMALL(IF($G$33:$G$50&lt;&gt;"",ROW($33:$50),51),ROW(H8)))&amp;""</f>
        <v>#N/A</v>
      </c>
      <c r="I40" s="193"/>
      <c r="J40" s="193">
        <f>IFERROR(INDEX($AO$81:$BH$93,$J$1,15),"")</f>
        <v>0</v>
      </c>
      <c r="K40" s="322" t="str">
        <f>IF(综合数据!B9=TRUE,"拉铎斯邪教徒","")</f>
        <v>拉铎斯邪教徒</v>
      </c>
      <c r="L40" s="323">
        <f t="shared" si="0"/>
        <v>39</v>
      </c>
      <c r="M40" s="224" t="s">
        <v>4333</v>
      </c>
      <c r="N40" s="224" t="s">
        <v>4596</v>
      </c>
      <c r="O40" s="224" t="s">
        <v>5147</v>
      </c>
      <c r="P40" s="297" t="s">
        <v>5148</v>
      </c>
      <c r="Q40" s="297" t="s">
        <v>5149</v>
      </c>
      <c r="R40" s="224" t="s">
        <v>5150</v>
      </c>
      <c r="S40" s="240" t="s">
        <v>5151</v>
      </c>
      <c r="T40" s="240" t="s">
        <v>5152</v>
      </c>
      <c r="U40" s="240" t="s">
        <v>5153</v>
      </c>
      <c r="V40" s="240" t="s">
        <v>5154</v>
      </c>
      <c r="W40" s="240" t="s">
        <v>5155</v>
      </c>
      <c r="X40" s="240" t="s">
        <v>5156</v>
      </c>
      <c r="Y40" s="240" t="s">
        <v>5157</v>
      </c>
      <c r="Z40" s="240" t="s">
        <v>5158</v>
      </c>
      <c r="AA40" s="298" t="s">
        <v>5159</v>
      </c>
      <c r="AB40" s="298" t="s">
        <v>5160</v>
      </c>
      <c r="AC40" s="298" t="s">
        <v>5161</v>
      </c>
      <c r="AD40" s="298" t="s">
        <v>5162</v>
      </c>
      <c r="AE40" s="233" t="s">
        <v>5163</v>
      </c>
      <c r="AF40" s="298" t="s">
        <v>5164</v>
      </c>
      <c r="AG40" s="299" t="s">
        <v>5165</v>
      </c>
      <c r="AH40" s="299" t="s">
        <v>5166</v>
      </c>
      <c r="AI40" s="299" t="s">
        <v>5167</v>
      </c>
      <c r="AJ40" s="299" t="s">
        <v>5168</v>
      </c>
      <c r="AK40" s="299" t="s">
        <v>5169</v>
      </c>
      <c r="AL40" s="299" t="s">
        <v>5170</v>
      </c>
      <c r="AM40" s="300" t="s">
        <v>5171</v>
      </c>
      <c r="AN40" s="300" t="s">
        <v>5172</v>
      </c>
      <c r="AO40" s="300" t="s">
        <v>5173</v>
      </c>
      <c r="AP40" s="300" t="s">
        <v>5174</v>
      </c>
      <c r="AQ40" s="300" t="s">
        <v>5175</v>
      </c>
      <c r="AR40" s="300" t="s">
        <v>5176</v>
      </c>
      <c r="AS40" s="301"/>
      <c r="AT40" s="301"/>
      <c r="AU40" s="301"/>
      <c r="AV40" s="301"/>
      <c r="AW40" s="301"/>
      <c r="AX40" s="301"/>
      <c r="AY40" s="193"/>
      <c r="AZ40" s="241"/>
      <c r="BA40" s="241"/>
      <c r="BB40" s="241"/>
      <c r="BC40" s="241"/>
      <c r="BD40" s="241"/>
      <c r="BE40" s="241"/>
      <c r="BF40" s="241"/>
      <c r="BG40" s="241"/>
      <c r="BH40" s="241"/>
      <c r="BI40" s="241"/>
      <c r="BJ40" s="241"/>
      <c r="BK40" s="241"/>
      <c r="BL40" s="241"/>
      <c r="BM40" s="241"/>
      <c r="BN40" s="241"/>
      <c r="BO40" s="241"/>
      <c r="BP40" s="241"/>
      <c r="BQ40" s="241"/>
      <c r="BR40" s="241"/>
      <c r="BS40" s="302"/>
    </row>
    <row r="41" customHeight="1" spans="1:71">
      <c r="A41" s="225" t="s">
        <v>5177</v>
      </c>
      <c r="B41" s="190" t="str">
        <f>IFERROR(INDEX($M$95:$AH$98,$B$35,6),"")</f>
        <v/>
      </c>
      <c r="E41" s="232" t="str">
        <f t="array" ref="E41">INDEX(K:K,SMALL(IF($K$2:$K$78&lt;&gt;"",ROW($2:$78),79),ROW(K40)))&amp;""</f>
        <v>瑟雷尼亚祀徒</v>
      </c>
      <c r="F41" s="222"/>
      <c r="G41" s="325" t="e">
        <f>IF(AND(综合数据!B15=TRUE,H1&gt;0),"约束：我得罪了某人，于是不得不按他的要求做事以免被诅咒。","")</f>
        <v>#N/A</v>
      </c>
      <c r="H41" s="196" t="e">
        <f t="array" ref="H41">INDEX(G:G,SMALL(IF($G$33:$G$50&lt;&gt;"",ROW($33:$50),51),ROW(H9)))&amp;""</f>
        <v>#N/A</v>
      </c>
      <c r="I41" s="193"/>
      <c r="J41" s="193">
        <f>IFERROR(INDEX($AO$81:$BH$93,$J$1,16),"")</f>
        <v>0</v>
      </c>
      <c r="K41" s="322" t="str">
        <f>IF(综合数据!B9=TRUE,"瑟雷尼亚祀徒","")</f>
        <v>瑟雷尼亚祀徒</v>
      </c>
      <c r="L41" s="323">
        <f t="shared" si="0"/>
        <v>40</v>
      </c>
      <c r="M41" s="224" t="s">
        <v>5178</v>
      </c>
      <c r="N41" s="224" t="s">
        <v>5179</v>
      </c>
      <c r="O41" s="224" t="s">
        <v>5180</v>
      </c>
      <c r="P41" s="297" t="s">
        <v>5181</v>
      </c>
      <c r="Q41" s="297" t="s">
        <v>5182</v>
      </c>
      <c r="R41" s="224" t="s">
        <v>5183</v>
      </c>
      <c r="S41" s="240" t="s">
        <v>5184</v>
      </c>
      <c r="T41" s="240" t="s">
        <v>5185</v>
      </c>
      <c r="U41" s="240" t="s">
        <v>5186</v>
      </c>
      <c r="V41" s="240" t="s">
        <v>5187</v>
      </c>
      <c r="W41" s="240" t="s">
        <v>5188</v>
      </c>
      <c r="X41" s="240" t="s">
        <v>5189</v>
      </c>
      <c r="Y41" s="240" t="s">
        <v>5190</v>
      </c>
      <c r="Z41" s="240" t="s">
        <v>5191</v>
      </c>
      <c r="AA41" s="298" t="s">
        <v>5192</v>
      </c>
      <c r="AB41" s="298" t="s">
        <v>5193</v>
      </c>
      <c r="AC41" s="298" t="s">
        <v>5194</v>
      </c>
      <c r="AD41" s="298" t="s">
        <v>5195</v>
      </c>
      <c r="AE41" s="233" t="s">
        <v>5196</v>
      </c>
      <c r="AF41" s="298" t="s">
        <v>5197</v>
      </c>
      <c r="AG41" s="299" t="s">
        <v>5198</v>
      </c>
      <c r="AH41" s="299" t="s">
        <v>5199</v>
      </c>
      <c r="AI41" s="299" t="s">
        <v>5200</v>
      </c>
      <c r="AJ41" s="299" t="s">
        <v>5201</v>
      </c>
      <c r="AK41" s="299" t="s">
        <v>5202</v>
      </c>
      <c r="AL41" s="299" t="s">
        <v>5203</v>
      </c>
      <c r="AM41" s="300" t="s">
        <v>5204</v>
      </c>
      <c r="AN41" s="300" t="s">
        <v>5205</v>
      </c>
      <c r="AO41" s="300" t="s">
        <v>5206</v>
      </c>
      <c r="AP41" s="300" t="s">
        <v>5207</v>
      </c>
      <c r="AQ41" s="300" t="s">
        <v>5208</v>
      </c>
      <c r="AR41" s="300" t="s">
        <v>5209</v>
      </c>
      <c r="AS41" s="301"/>
      <c r="AT41" s="301"/>
      <c r="AU41" s="301"/>
      <c r="AV41" s="301"/>
      <c r="AW41" s="301"/>
      <c r="AX41" s="301"/>
      <c r="AY41" s="193"/>
      <c r="AZ41" s="241"/>
      <c r="BA41" s="241"/>
      <c r="BB41" s="241"/>
      <c r="BC41" s="241"/>
      <c r="BD41" s="241"/>
      <c r="BE41" s="241"/>
      <c r="BF41" s="241"/>
      <c r="BG41" s="241"/>
      <c r="BH41" s="241"/>
      <c r="BI41" s="241"/>
      <c r="BJ41" s="241"/>
      <c r="BK41" s="241"/>
      <c r="BL41" s="241"/>
      <c r="BM41" s="241"/>
      <c r="BN41" s="241"/>
      <c r="BO41" s="241"/>
      <c r="BP41" s="241"/>
      <c r="BQ41" s="241"/>
      <c r="BR41" s="241"/>
      <c r="BS41" s="302"/>
    </row>
    <row r="42" customHeight="1" spans="1:71">
      <c r="A42" s="225" t="s">
        <v>5210</v>
      </c>
      <c r="B42" s="190" t="str">
        <f>IFERROR(INDEX($M$95:$AH$98,$B$35,7),"")</f>
        <v/>
      </c>
      <c r="E42" s="232" t="str">
        <f t="array" ref="E42">INDEX(K:K,SMALL(IF($K$2:$K$78&lt;&gt;"",ROW($2:$78),79),ROW(K41)))&amp;""</f>
        <v>析米克科学家</v>
      </c>
      <c r="F42" s="222"/>
      <c r="G42" s="325" t="e">
        <f>IF(AND(综合数据!B15=TRUE,H1&gt;0),"逃离：我相信一定有什么在已知世界之外，我希望能找到它。","")</f>
        <v>#N/A</v>
      </c>
      <c r="H42" s="196" t="e">
        <f t="array" ref="H42">INDEX(G:G,SMALL(IF($G$33:$G$50&lt;&gt;"",ROW($33:$50),51),ROW(H10)))&amp;""</f>
        <v>#N/A</v>
      </c>
      <c r="I42" s="193"/>
      <c r="J42" s="193">
        <f>IFERROR(INDEX($AO$81:$BH$93,$J$1,17),"")</f>
        <v>0</v>
      </c>
      <c r="K42" s="322" t="str">
        <f>IF(综合数据!B9=TRUE,"析米克科学家","")</f>
        <v>析米克科学家</v>
      </c>
      <c r="L42" s="323">
        <f t="shared" si="0"/>
        <v>41</v>
      </c>
      <c r="M42" s="224" t="s">
        <v>5211</v>
      </c>
      <c r="N42" s="193"/>
      <c r="O42" s="224" t="s">
        <v>4194</v>
      </c>
      <c r="P42" s="297" t="s">
        <v>5212</v>
      </c>
      <c r="Q42" s="297" t="s">
        <v>5213</v>
      </c>
      <c r="R42" s="224" t="s">
        <v>5214</v>
      </c>
      <c r="S42" s="240" t="s">
        <v>5215</v>
      </c>
      <c r="T42" s="240" t="s">
        <v>5216</v>
      </c>
      <c r="U42" s="240" t="s">
        <v>5217</v>
      </c>
      <c r="V42" s="240" t="s">
        <v>5218</v>
      </c>
      <c r="W42" s="240" t="s">
        <v>5219</v>
      </c>
      <c r="X42" s="240" t="s">
        <v>5220</v>
      </c>
      <c r="Y42" s="240" t="s">
        <v>5221</v>
      </c>
      <c r="Z42" s="240" t="s">
        <v>5222</v>
      </c>
      <c r="AA42" s="298" t="s">
        <v>5223</v>
      </c>
      <c r="AB42" s="298" t="s">
        <v>5224</v>
      </c>
      <c r="AC42" s="298" t="s">
        <v>5225</v>
      </c>
      <c r="AD42" s="298" t="s">
        <v>5226</v>
      </c>
      <c r="AE42" s="233" t="s">
        <v>5227</v>
      </c>
      <c r="AF42" s="298" t="s">
        <v>5228</v>
      </c>
      <c r="AG42" s="299" t="s">
        <v>5229</v>
      </c>
      <c r="AH42" s="299" t="s">
        <v>5230</v>
      </c>
      <c r="AI42" s="299" t="s">
        <v>5231</v>
      </c>
      <c r="AJ42" s="299" t="s">
        <v>5232</v>
      </c>
      <c r="AK42" s="299" t="s">
        <v>5233</v>
      </c>
      <c r="AL42" s="299" t="s">
        <v>5234</v>
      </c>
      <c r="AM42" s="300" t="s">
        <v>5235</v>
      </c>
      <c r="AN42" s="300" t="s">
        <v>5236</v>
      </c>
      <c r="AO42" s="300" t="s">
        <v>5237</v>
      </c>
      <c r="AP42" s="300" t="s">
        <v>5238</v>
      </c>
      <c r="AQ42" s="300" t="s">
        <v>5239</v>
      </c>
      <c r="AR42" s="300" t="s">
        <v>5240</v>
      </c>
      <c r="AS42" s="301"/>
      <c r="AT42" s="301"/>
      <c r="AU42" s="301"/>
      <c r="AV42" s="301"/>
      <c r="AW42" s="301"/>
      <c r="AX42" s="301"/>
      <c r="AY42" s="224" t="s">
        <v>5241</v>
      </c>
      <c r="AZ42" s="297" t="s">
        <v>5242</v>
      </c>
      <c r="BA42" s="297" t="s">
        <v>5243</v>
      </c>
      <c r="BB42" s="297" t="s">
        <v>5244</v>
      </c>
      <c r="BC42" s="297" t="s">
        <v>5245</v>
      </c>
      <c r="BD42" s="297" t="s">
        <v>5246</v>
      </c>
      <c r="BE42" s="297" t="s">
        <v>5247</v>
      </c>
      <c r="BF42" s="241"/>
      <c r="BG42" s="241"/>
      <c r="BH42" s="241"/>
      <c r="BI42" s="241"/>
      <c r="BJ42" s="241"/>
      <c r="BK42" s="241"/>
      <c r="BL42" s="241"/>
      <c r="BM42" s="241"/>
      <c r="BN42" s="241"/>
      <c r="BO42" s="241"/>
      <c r="BP42" s="241"/>
      <c r="BQ42" s="241"/>
      <c r="BR42" s="241"/>
      <c r="BS42" s="302"/>
    </row>
    <row r="43" customHeight="1" spans="1:71">
      <c r="A43" s="225" t="s">
        <v>5248</v>
      </c>
      <c r="B43" s="190" t="str">
        <f>IFERROR(INDEX($M$95:$AH$98,$B$35,8),"")</f>
        <v/>
      </c>
      <c r="E43" s="232" t="str">
        <f t="array" ref="E43">INDEX(K:K,SMALL(IF($K$2:$K$78&lt;&gt;"",ROW($2:$78),79),ROW(K42)))&amp;""</f>
        <v>家族代理人</v>
      </c>
      <c r="F43" s="222"/>
      <c r="G43" s="325" t="e">
        <f>IF(AND(综合数据!B15=TRUE,H1&gt;0),"遗产：我的时间不多了，但我希望能做些什么来名垂青史。","")</f>
        <v>#N/A</v>
      </c>
      <c r="H43" s="196" t="e">
        <f t="array" ref="H43">INDEX(G:G,SMALL(IF($G$33:$G$50&lt;&gt;"",ROW($33:$50),51),ROW(H11)))&amp;""</f>
        <v>#N/A</v>
      </c>
      <c r="I43" s="193"/>
      <c r="J43" s="193">
        <f>IFERROR(INDEX($AO$81:$BH$93,$J$1,18),"")</f>
        <v>0</v>
      </c>
      <c r="K43" s="326" t="str">
        <f>IF(综合数据!B10=TRUE,"家族代理人","")</f>
        <v>家族代理人</v>
      </c>
      <c r="L43" s="327">
        <f t="shared" si="0"/>
        <v>42</v>
      </c>
      <c r="M43" s="224" t="s">
        <v>5249</v>
      </c>
      <c r="N43" s="224" t="s">
        <v>5250</v>
      </c>
      <c r="O43" s="193"/>
      <c r="P43" s="297" t="s">
        <v>5251</v>
      </c>
      <c r="Q43" s="297" t="s">
        <v>5252</v>
      </c>
      <c r="S43" s="240" t="s">
        <v>5253</v>
      </c>
      <c r="T43" s="240" t="s">
        <v>5254</v>
      </c>
      <c r="U43" s="240" t="s">
        <v>5255</v>
      </c>
      <c r="V43" s="240" t="s">
        <v>5256</v>
      </c>
      <c r="W43" s="240" t="s">
        <v>5257</v>
      </c>
      <c r="X43" s="240" t="s">
        <v>5258</v>
      </c>
      <c r="Y43" s="240" t="s">
        <v>5259</v>
      </c>
      <c r="Z43" s="240" t="s">
        <v>5260</v>
      </c>
      <c r="AA43" s="298" t="s">
        <v>5261</v>
      </c>
      <c r="AB43" s="298" t="s">
        <v>5262</v>
      </c>
      <c r="AC43" s="298" t="s">
        <v>5263</v>
      </c>
      <c r="AD43" s="298" t="s">
        <v>5264</v>
      </c>
      <c r="AE43" s="233" t="s">
        <v>5265</v>
      </c>
      <c r="AF43" s="298" t="s">
        <v>5266</v>
      </c>
      <c r="AG43" s="299" t="s">
        <v>5267</v>
      </c>
      <c r="AH43" s="299" t="s">
        <v>5268</v>
      </c>
      <c r="AI43" s="299" t="s">
        <v>5269</v>
      </c>
      <c r="AJ43" s="299" t="s">
        <v>5270</v>
      </c>
      <c r="AK43" s="299" t="s">
        <v>5271</v>
      </c>
      <c r="AL43" s="299" t="s">
        <v>5272</v>
      </c>
      <c r="AM43" s="300" t="s">
        <v>5267</v>
      </c>
      <c r="AN43" s="300" t="s">
        <v>5268</v>
      </c>
      <c r="AO43" s="300" t="s">
        <v>5269</v>
      </c>
      <c r="AP43" s="300" t="s">
        <v>5270</v>
      </c>
      <c r="AQ43" s="300" t="s">
        <v>5271</v>
      </c>
      <c r="AR43" s="300" t="s">
        <v>5272</v>
      </c>
      <c r="AS43" s="301"/>
      <c r="AT43" s="301"/>
      <c r="AU43" s="301"/>
      <c r="AV43" s="301"/>
      <c r="AW43" s="301"/>
      <c r="AX43" s="301"/>
      <c r="AY43" s="224" t="s">
        <v>5273</v>
      </c>
      <c r="AZ43" s="241" t="s">
        <v>5274</v>
      </c>
      <c r="BA43" s="241" t="s">
        <v>146</v>
      </c>
      <c r="BB43" s="241" t="s">
        <v>5275</v>
      </c>
      <c r="BC43" s="241" t="s">
        <v>5276</v>
      </c>
      <c r="BD43" s="241" t="s">
        <v>5277</v>
      </c>
      <c r="BE43" s="241" t="s">
        <v>5278</v>
      </c>
      <c r="BF43" s="241" t="s">
        <v>5279</v>
      </c>
      <c r="BG43" s="241" t="s">
        <v>5280</v>
      </c>
      <c r="BH43" s="241"/>
      <c r="BI43" s="241"/>
      <c r="BJ43" s="241"/>
      <c r="BK43" s="241"/>
      <c r="BL43" s="241"/>
      <c r="BM43" s="241"/>
      <c r="BN43" s="241"/>
      <c r="BO43" s="241"/>
      <c r="BP43" s="241"/>
      <c r="BQ43" s="241"/>
      <c r="BR43" s="241"/>
      <c r="BS43" s="302"/>
    </row>
    <row r="44" customHeight="1" spans="1:71">
      <c r="A44" s="225" t="s">
        <v>5281</v>
      </c>
      <c r="B44" s="190" t="str">
        <f>IFERROR(INDEX($M$95:$AH$98,$B$35,9),"")</f>
        <v/>
      </c>
      <c r="E44" s="232" t="str">
        <f t="array" ref="E44">INDEX(K:K,SMALL(IF($K$2:$K$78&lt;&gt;"",ROW($2:$78),79),ROW(K43)))&amp;""</f>
        <v>笑面人</v>
      </c>
      <c r="F44" s="222"/>
      <c r="G44" s="325" t="e">
        <f>IF(AND(综合数据!B15=TRUE,H1&gt;0),"误导：我拼命地向他人隐藏自己的缺点或过错。","")</f>
        <v>#N/A</v>
      </c>
      <c r="H44" s="196" t="e">
        <f t="array" ref="H44">INDEX(G:G,SMALL(IF($G$33:$G$50&lt;&gt;"",ROW($33:$50),51),ROW(H12)))&amp;""</f>
        <v>#N/A</v>
      </c>
      <c r="I44" s="193"/>
      <c r="J44" s="193">
        <f>IFERROR(INDEX($AO$81:$BH$93,$J$1,19),"")</f>
        <v>0</v>
      </c>
      <c r="K44" s="328" t="str">
        <f>IF(综合数据!B11=TRUE,"笑面人","")</f>
        <v>笑面人</v>
      </c>
      <c r="L44" s="329">
        <f t="shared" si="0"/>
        <v>43</v>
      </c>
      <c r="M44" s="224" t="s">
        <v>5282</v>
      </c>
      <c r="N44" s="224" t="s">
        <v>5283</v>
      </c>
      <c r="O44" s="193"/>
      <c r="P44" s="297" t="s">
        <v>5284</v>
      </c>
      <c r="Q44" s="297" t="s">
        <v>5285</v>
      </c>
      <c r="S44" s="240" t="s">
        <v>5286</v>
      </c>
      <c r="T44" s="240" t="s">
        <v>5287</v>
      </c>
      <c r="U44" s="240" t="s">
        <v>5288</v>
      </c>
      <c r="V44" s="240" t="s">
        <v>5289</v>
      </c>
      <c r="W44" s="240" t="s">
        <v>5290</v>
      </c>
      <c r="X44" s="240" t="s">
        <v>5291</v>
      </c>
      <c r="Y44" s="240" t="s">
        <v>5292</v>
      </c>
      <c r="Z44" s="240" t="s">
        <v>5293</v>
      </c>
      <c r="AA44" s="298" t="s">
        <v>5294</v>
      </c>
      <c r="AB44" s="298" t="s">
        <v>5295</v>
      </c>
      <c r="AC44" s="298" t="s">
        <v>5296</v>
      </c>
      <c r="AD44" s="298" t="s">
        <v>5297</v>
      </c>
      <c r="AE44" s="233" t="s">
        <v>5298</v>
      </c>
      <c r="AF44" s="298" t="s">
        <v>5299</v>
      </c>
      <c r="AG44" s="299" t="s">
        <v>5300</v>
      </c>
      <c r="AH44" s="299" t="s">
        <v>5301</v>
      </c>
      <c r="AI44" s="299" t="s">
        <v>5302</v>
      </c>
      <c r="AJ44" s="299" t="s">
        <v>5303</v>
      </c>
      <c r="AK44" s="299" t="s">
        <v>5304</v>
      </c>
      <c r="AL44" s="299" t="s">
        <v>5305</v>
      </c>
      <c r="AM44" s="300" t="s">
        <v>5306</v>
      </c>
      <c r="AN44" s="300" t="s">
        <v>5307</v>
      </c>
      <c r="AO44" s="300" t="s">
        <v>5308</v>
      </c>
      <c r="AP44" s="300" t="s">
        <v>5309</v>
      </c>
      <c r="AQ44" s="300" t="s">
        <v>5310</v>
      </c>
      <c r="AR44" s="300" t="s">
        <v>5311</v>
      </c>
      <c r="AS44" s="301"/>
      <c r="AT44" s="301"/>
      <c r="AU44" s="301"/>
      <c r="AV44" s="301"/>
      <c r="AW44" s="301"/>
      <c r="AX44" s="301"/>
      <c r="AY44" s="224" t="s">
        <v>5312</v>
      </c>
      <c r="AZ44" s="241" t="s">
        <v>5313</v>
      </c>
      <c r="BA44" s="241" t="s">
        <v>5314</v>
      </c>
      <c r="BB44" s="241" t="s">
        <v>5315</v>
      </c>
      <c r="BC44" s="241" t="s">
        <v>5316</v>
      </c>
      <c r="BD44" s="241" t="s">
        <v>5317</v>
      </c>
      <c r="BE44" s="241" t="s">
        <v>5318</v>
      </c>
      <c r="BF44" s="241"/>
      <c r="BG44" s="241"/>
      <c r="BH44" s="241"/>
      <c r="BI44" s="241"/>
      <c r="BJ44" s="241"/>
      <c r="BK44" s="241"/>
      <c r="BL44" s="241"/>
      <c r="BM44" s="241"/>
      <c r="BN44" s="241"/>
      <c r="BO44" s="241"/>
      <c r="BP44" s="241"/>
      <c r="BQ44" s="241"/>
      <c r="BR44" s="241"/>
      <c r="BS44" s="302"/>
    </row>
    <row r="45" customHeight="1" spans="1:71">
      <c r="A45" s="259" t="s">
        <v>5319</v>
      </c>
      <c r="B45" s="190" t="str">
        <f>IFERROR(INDEX($M$95:$AH$98,$B$35,10),"")</f>
        <v/>
      </c>
      <c r="E45" s="232" t="str">
        <f t="array" ref="E45">INDEX(K:K,SMALL(IF($K$2:$K$78&lt;&gt;"",ROW($2:$78),79),ROW(K44)))&amp;""</f>
        <v>伏击者特工</v>
      </c>
      <c r="F45" s="222"/>
      <c r="G45" s="325" t="e">
        <f>IF(AND(综合数据!B15=TRUE,H1&gt;0),"沉醉：我已经这样生活了很久，都无法想象其他生活方式了。","")</f>
        <v>#N/A</v>
      </c>
      <c r="H45" s="196" t="e">
        <f t="array" ref="H45">INDEX(G:G,SMALL(IF($G$33:$G$50&lt;&gt;"",ROW($33:$50),51),ROW(H13)))&amp;""</f>
        <v>#N/A</v>
      </c>
      <c r="I45" s="193"/>
      <c r="J45" s="193">
        <f>IFERROR(INDEX($AO$81:$BH$93,$J$1,20),"")</f>
        <v>0</v>
      </c>
      <c r="K45" s="328" t="str">
        <f>IF(综合数据!B11=TRUE,"伏击者特工","")</f>
        <v>伏击者特工</v>
      </c>
      <c r="L45" s="329">
        <f t="shared" si="0"/>
        <v>44</v>
      </c>
      <c r="M45" s="224" t="s">
        <v>4278</v>
      </c>
      <c r="N45" s="224" t="s">
        <v>3931</v>
      </c>
      <c r="O45" s="224" t="s">
        <v>4442</v>
      </c>
      <c r="P45" s="297" t="s">
        <v>5320</v>
      </c>
      <c r="Q45" s="297" t="s">
        <v>5321</v>
      </c>
      <c r="S45" s="240" t="s">
        <v>5322</v>
      </c>
      <c r="T45" s="240" t="s">
        <v>5323</v>
      </c>
      <c r="U45" s="240" t="s">
        <v>5324</v>
      </c>
      <c r="V45" s="240" t="s">
        <v>5325</v>
      </c>
      <c r="W45" s="240" t="s">
        <v>5326</v>
      </c>
      <c r="X45" s="240" t="s">
        <v>5327</v>
      </c>
      <c r="Y45" s="240" t="str">
        <f>""</f>
        <v/>
      </c>
      <c r="Z45" s="240" t="str">
        <f>""</f>
        <v/>
      </c>
      <c r="AA45" s="298" t="s">
        <v>5328</v>
      </c>
      <c r="AB45" s="298" t="s">
        <v>5329</v>
      </c>
      <c r="AC45" s="298" t="s">
        <v>5330</v>
      </c>
      <c r="AD45" s="298" t="s">
        <v>5331</v>
      </c>
      <c r="AE45" s="233" t="s">
        <v>5332</v>
      </c>
      <c r="AF45" s="298" t="s">
        <v>5333</v>
      </c>
      <c r="AG45" s="299" t="s">
        <v>5334</v>
      </c>
      <c r="AH45" s="299" t="s">
        <v>5335</v>
      </c>
      <c r="AI45" s="299" t="s">
        <v>5336</v>
      </c>
      <c r="AJ45" s="299" t="s">
        <v>5337</v>
      </c>
      <c r="AK45" s="299" t="str">
        <f>""</f>
        <v/>
      </c>
      <c r="AL45" s="299" t="str">
        <f>""</f>
        <v/>
      </c>
      <c r="AM45" s="300" t="s">
        <v>5338</v>
      </c>
      <c r="AN45" s="300" t="s">
        <v>5339</v>
      </c>
      <c r="AO45" s="300" t="s">
        <v>5340</v>
      </c>
      <c r="AP45" s="300" t="s">
        <v>5341</v>
      </c>
      <c r="AQ45" s="300" t="str">
        <f>""</f>
        <v/>
      </c>
      <c r="AR45" s="300" t="str">
        <f>""</f>
        <v/>
      </c>
      <c r="AS45" s="301"/>
      <c r="AT45" s="301"/>
      <c r="AU45" s="301"/>
      <c r="AV45" s="301"/>
      <c r="AW45" s="301"/>
      <c r="AX45" s="301"/>
      <c r="AY45" s="224" t="s">
        <v>5342</v>
      </c>
      <c r="AZ45" s="241" t="s">
        <v>5343</v>
      </c>
      <c r="BA45" s="241" t="s">
        <v>5344</v>
      </c>
      <c r="BB45" s="241" t="s">
        <v>5345</v>
      </c>
      <c r="BC45" s="241" t="s">
        <v>5346</v>
      </c>
      <c r="BD45" s="241" t="s">
        <v>5347</v>
      </c>
      <c r="BE45" s="241" t="s">
        <v>5348</v>
      </c>
      <c r="BF45" s="241"/>
      <c r="BG45" s="241"/>
      <c r="BH45" s="241"/>
      <c r="BI45" s="241"/>
      <c r="BJ45" s="241"/>
      <c r="BK45" s="241"/>
      <c r="BL45" s="241"/>
      <c r="BM45" s="241"/>
      <c r="BN45" s="241"/>
      <c r="BO45" s="241"/>
      <c r="BP45" s="241"/>
      <c r="BQ45" s="241"/>
      <c r="BR45" s="241"/>
      <c r="BS45" s="302"/>
    </row>
    <row r="46" customHeight="1" spans="1:71">
      <c r="B46" s="190" t="str">
        <f>IFERROR(INDEX($M$95:$AH$98,$B$35,11),"")</f>
        <v/>
      </c>
      <c r="E46" s="232" t="str">
        <f t="array" ref="E46">INDEX(K:K,SMALL(IF($K$2:$K$78&lt;&gt;"",ROW($2:$78),79),ROW(K45)))&amp;""</f>
        <v>名人冒险家的子孙</v>
      </c>
      <c r="F46" s="222"/>
      <c r="G46" s="325" t="e">
        <f>IF(AND(综合数据!B15=TRUE,H1&gt;0),"职责：为了我的人民、信仰、家庭或老师，我要继续传承这值得夸耀的遗产。","")</f>
        <v>#N/A</v>
      </c>
      <c r="H46" s="196" t="e">
        <f t="array" ref="H46">INDEX(G:G,SMALL(IF($G$33:$G$50&lt;&gt;"",ROW($33:$50),51),ROW(H14)))&amp;""</f>
        <v>#N/A</v>
      </c>
      <c r="I46" s="193">
        <f>IFERROR(INDEX(BI81:BI93,J1,1),0)</f>
        <v>0</v>
      </c>
      <c r="J46" s="193">
        <f>IFERROR(INDEX($BJ$81:$BU$93,$J$1,1),"")</f>
        <v>0</v>
      </c>
      <c r="K46" s="330" t="str">
        <f>IF(综合数据!B12=TRUE,"名人冒险家的子孙","")</f>
        <v>名人冒险家的子孙</v>
      </c>
      <c r="L46" s="331">
        <f t="shared" si="0"/>
        <v>45</v>
      </c>
      <c r="M46" s="224" t="s">
        <v>5349</v>
      </c>
      <c r="N46" s="224" t="s">
        <v>3852</v>
      </c>
      <c r="O46" s="224" t="s">
        <v>4194</v>
      </c>
      <c r="P46" s="297" t="s">
        <v>5350</v>
      </c>
      <c r="Q46" s="297" t="s">
        <v>5351</v>
      </c>
      <c r="S46" s="240" t="s">
        <v>5352</v>
      </c>
      <c r="T46" s="240" t="s">
        <v>5353</v>
      </c>
      <c r="U46" s="240" t="s">
        <v>5354</v>
      </c>
      <c r="V46" s="240" t="s">
        <v>5355</v>
      </c>
      <c r="W46" s="240" t="s">
        <v>5356</v>
      </c>
      <c r="X46" s="240" t="s">
        <v>5357</v>
      </c>
      <c r="Y46" s="240" t="s">
        <v>5358</v>
      </c>
      <c r="Z46" s="240" t="s">
        <v>5359</v>
      </c>
      <c r="AA46" s="298" t="s">
        <v>5360</v>
      </c>
      <c r="AB46" s="298" t="s">
        <v>5361</v>
      </c>
      <c r="AC46" s="298" t="s">
        <v>5362</v>
      </c>
      <c r="AD46" s="298" t="s">
        <v>5363</v>
      </c>
      <c r="AE46" s="233" t="s">
        <v>5364</v>
      </c>
      <c r="AF46" s="298" t="s">
        <v>5365</v>
      </c>
      <c r="AG46" s="299" t="s">
        <v>5366</v>
      </c>
      <c r="AH46" s="299" t="s">
        <v>5367</v>
      </c>
      <c r="AI46" s="299" t="s">
        <v>5368</v>
      </c>
      <c r="AJ46" s="299" t="s">
        <v>5369</v>
      </c>
      <c r="AK46" s="299" t="s">
        <v>5370</v>
      </c>
      <c r="AL46" s="299" t="s">
        <v>5371</v>
      </c>
      <c r="AM46" s="300" t="s">
        <v>5372</v>
      </c>
      <c r="AN46" s="300" t="s">
        <v>5373</v>
      </c>
      <c r="AO46" s="300" t="s">
        <v>5374</v>
      </c>
      <c r="AP46" s="300" t="s">
        <v>5375</v>
      </c>
      <c r="AQ46" s="300" t="s">
        <v>5376</v>
      </c>
      <c r="AR46" s="300" t="s">
        <v>5377</v>
      </c>
      <c r="AS46" s="301"/>
      <c r="AT46" s="301"/>
      <c r="AU46" s="301"/>
      <c r="AV46" s="301"/>
      <c r="AW46" s="301"/>
      <c r="AX46" s="301"/>
      <c r="AY46" s="193"/>
      <c r="AZ46" s="241"/>
      <c r="BA46" s="241"/>
      <c r="BB46" s="241"/>
      <c r="BC46" s="241"/>
      <c r="BD46" s="241"/>
      <c r="BE46" s="241"/>
      <c r="BF46" s="241"/>
      <c r="BG46" s="241"/>
      <c r="BH46" s="241"/>
      <c r="BI46" s="241"/>
      <c r="BJ46" s="241"/>
      <c r="BK46" s="241"/>
      <c r="BL46" s="241"/>
      <c r="BM46" s="241"/>
      <c r="BN46" s="241"/>
      <c r="BO46" s="241"/>
      <c r="BP46" s="241"/>
      <c r="BQ46" s="241"/>
      <c r="BR46" s="241"/>
      <c r="BS46" s="302"/>
    </row>
    <row r="47" customHeight="1" spans="1:71">
      <c r="B47" s="190" t="str">
        <f>IFERROR(INDEX($M$95:$AH$98,$B$35,12),"")</f>
        <v/>
      </c>
      <c r="E47" s="232" t="str">
        <f t="array" ref="E47">INDEX(K:K,SMALL(IF($K$2:$K$78&lt;&gt;"",ROW($2:$78),79),ROW(K46)))&amp;""</f>
        <v>失败商人</v>
      </c>
      <c r="F47" s="222"/>
      <c r="G47" s="325" t="e">
        <f>IF(AND(综合数据!B15=TRUE,H1&gt;0),"承诺：我的生命不再仅属于我自己，更要实现某位逝者的梦想。","")</f>
        <v>#N/A</v>
      </c>
      <c r="H47" s="196" t="e">
        <f t="array" ref="H47">INDEX(G:G,SMALL(IF($G$33:$G$50&lt;&gt;"",ROW($33:$50),51),ROW(H15)))&amp;""</f>
        <v>#N/A</v>
      </c>
      <c r="I47" s="193"/>
      <c r="J47" s="193">
        <f>IFERROR(INDEX($BJ$81:$BU$93,$J$1,2),"")</f>
        <v>0</v>
      </c>
      <c r="K47" s="330" t="str">
        <f>IF(综合数据!B12=TRUE,"失败商人","")</f>
        <v>失败商人</v>
      </c>
      <c r="L47" s="331">
        <f t="shared" si="0"/>
        <v>46</v>
      </c>
      <c r="M47" s="224" t="s">
        <v>5249</v>
      </c>
      <c r="N47" s="224" t="s">
        <v>4441</v>
      </c>
      <c r="O47" s="224" t="s">
        <v>4442</v>
      </c>
      <c r="P47" s="297" t="s">
        <v>5378</v>
      </c>
      <c r="Q47" s="297" t="s">
        <v>5379</v>
      </c>
      <c r="S47" s="240" t="s">
        <v>5380</v>
      </c>
      <c r="T47" s="240" t="s">
        <v>5381</v>
      </c>
      <c r="U47" s="240" t="s">
        <v>5382</v>
      </c>
      <c r="V47" s="240" t="s">
        <v>5383</v>
      </c>
      <c r="W47" s="240" t="s">
        <v>5384</v>
      </c>
      <c r="X47" s="240" t="s">
        <v>5385</v>
      </c>
      <c r="Y47" s="240" t="s">
        <v>5386</v>
      </c>
      <c r="Z47" s="240" t="s">
        <v>5387</v>
      </c>
      <c r="AA47" s="298" t="s">
        <v>5388</v>
      </c>
      <c r="AB47" s="298" t="s">
        <v>5389</v>
      </c>
      <c r="AC47" s="298" t="s">
        <v>5390</v>
      </c>
      <c r="AD47" s="298" t="s">
        <v>5391</v>
      </c>
      <c r="AE47" s="233" t="s">
        <v>5392</v>
      </c>
      <c r="AF47" s="298" t="s">
        <v>5393</v>
      </c>
      <c r="AG47" s="299" t="s">
        <v>5394</v>
      </c>
      <c r="AH47" s="299" t="s">
        <v>5395</v>
      </c>
      <c r="AI47" s="299" t="s">
        <v>5396</v>
      </c>
      <c r="AJ47" s="299" t="s">
        <v>5397</v>
      </c>
      <c r="AK47" s="299" t="s">
        <v>5398</v>
      </c>
      <c r="AL47" s="299" t="s">
        <v>5399</v>
      </c>
      <c r="AM47" s="300" t="s">
        <v>5400</v>
      </c>
      <c r="AN47" s="300" t="s">
        <v>5401</v>
      </c>
      <c r="AO47" s="300" t="s">
        <v>5402</v>
      </c>
      <c r="AP47" s="300" t="s">
        <v>5403</v>
      </c>
      <c r="AQ47" s="300" t="s">
        <v>5404</v>
      </c>
      <c r="AR47" s="300" t="s">
        <v>5405</v>
      </c>
      <c r="AS47" s="301"/>
      <c r="AT47" s="301"/>
      <c r="AU47" s="301"/>
      <c r="AV47" s="301"/>
      <c r="AW47" s="301"/>
      <c r="AX47" s="301"/>
      <c r="AY47" s="193"/>
      <c r="AZ47" s="241"/>
      <c r="BA47" s="241"/>
      <c r="BB47" s="241"/>
      <c r="BC47" s="241"/>
      <c r="BD47" s="241"/>
      <c r="BE47" s="241"/>
      <c r="BF47" s="241"/>
      <c r="BG47" s="241"/>
      <c r="BH47" s="241"/>
      <c r="BI47" s="241"/>
      <c r="BJ47" s="241"/>
      <c r="BK47" s="241"/>
      <c r="BL47" s="241"/>
      <c r="BM47" s="241"/>
      <c r="BN47" s="241"/>
      <c r="BO47" s="241"/>
      <c r="BP47" s="241"/>
      <c r="BQ47" s="241"/>
      <c r="BR47" s="241"/>
      <c r="BS47" s="302"/>
    </row>
    <row r="48" customHeight="1" spans="1:71">
      <c r="B48" s="190" t="str">
        <f>IFERROR(INDEX($M$95:$AH$98,$B$35,13),"")</f>
        <v/>
      </c>
      <c r="E48" s="232" t="str">
        <f t="array" ref="E48">INDEX(K:K,SMALL(IF($K$2:$K$78&lt;&gt;"",ROW($2:$78),79),ROW(K47)))&amp;""</f>
        <v>赌徒</v>
      </c>
      <c r="F48" s="222"/>
      <c r="G48" s="325" t="e">
        <f>IF(AND(综合数据!B15=TRUE,H1&gt;0),"启示录：我想知道有什么谎言可以超越死亡、世界或迷雾。","")</f>
        <v>#N/A</v>
      </c>
      <c r="H48" s="196" t="e">
        <f t="array" ref="H48">INDEX(G:G,SMALL(IF($G$33:$G$50&lt;&gt;"",ROW($33:$50),51),ROW(H16)))&amp;""</f>
        <v>#N/A</v>
      </c>
      <c r="I48" s="193"/>
      <c r="J48" s="193">
        <f>IFERROR(INDEX($BJ$81:$BU$93,$J$1,3),"")</f>
        <v>0</v>
      </c>
      <c r="K48" s="330" t="str">
        <f>IF(综合数据!B12=TRUE,"赌徒","")</f>
        <v>赌徒</v>
      </c>
      <c r="L48" s="331">
        <f t="shared" si="0"/>
        <v>47</v>
      </c>
      <c r="M48" s="224" t="s">
        <v>5406</v>
      </c>
      <c r="N48" s="224" t="s">
        <v>4553</v>
      </c>
      <c r="O48" s="224" t="s">
        <v>4442</v>
      </c>
      <c r="P48" s="297" t="s">
        <v>5407</v>
      </c>
      <c r="Q48" s="297" t="s">
        <v>5408</v>
      </c>
      <c r="S48" s="240" t="s">
        <v>5409</v>
      </c>
      <c r="T48" s="240" t="s">
        <v>5410</v>
      </c>
      <c r="U48" s="240" t="s">
        <v>5411</v>
      </c>
      <c r="V48" s="240" t="s">
        <v>5412</v>
      </c>
      <c r="W48" s="240" t="s">
        <v>5413</v>
      </c>
      <c r="X48" s="240" t="s">
        <v>5414</v>
      </c>
      <c r="Y48" s="240" t="s">
        <v>5415</v>
      </c>
      <c r="Z48" s="240" t="s">
        <v>5416</v>
      </c>
      <c r="AA48" s="298" t="s">
        <v>5417</v>
      </c>
      <c r="AB48" s="298" t="s">
        <v>5418</v>
      </c>
      <c r="AC48" s="298" t="s">
        <v>5419</v>
      </c>
      <c r="AD48" s="298" t="s">
        <v>5420</v>
      </c>
      <c r="AE48" s="233" t="s">
        <v>5421</v>
      </c>
      <c r="AF48" s="298" t="s">
        <v>5422</v>
      </c>
      <c r="AG48" s="299" t="s">
        <v>5423</v>
      </c>
      <c r="AH48" s="299" t="s">
        <v>5424</v>
      </c>
      <c r="AI48" s="299" t="s">
        <v>5425</v>
      </c>
      <c r="AJ48" s="299" t="s">
        <v>5426</v>
      </c>
      <c r="AK48" s="299" t="s">
        <v>5427</v>
      </c>
      <c r="AL48" s="299" t="s">
        <v>5428</v>
      </c>
      <c r="AM48" s="300" t="s">
        <v>5429</v>
      </c>
      <c r="AN48" s="300" t="s">
        <v>5430</v>
      </c>
      <c r="AO48" s="300" t="s">
        <v>5431</v>
      </c>
      <c r="AP48" s="300" t="s">
        <v>5432</v>
      </c>
      <c r="AQ48" s="300" t="s">
        <v>5433</v>
      </c>
      <c r="AR48" s="300" t="s">
        <v>5434</v>
      </c>
      <c r="AS48" s="301"/>
      <c r="AT48" s="301"/>
      <c r="AU48" s="301"/>
      <c r="AV48" s="301"/>
      <c r="AW48" s="301"/>
      <c r="AX48" s="301"/>
      <c r="AY48" s="193"/>
      <c r="AZ48" s="241"/>
      <c r="BA48" s="241"/>
      <c r="BB48" s="241"/>
      <c r="BC48" s="241"/>
      <c r="BD48" s="241"/>
      <c r="BE48" s="241"/>
      <c r="BF48" s="241"/>
      <c r="BG48" s="241"/>
      <c r="BH48" s="241"/>
      <c r="BI48" s="241"/>
      <c r="BJ48" s="241"/>
      <c r="BK48" s="241"/>
      <c r="BL48" s="241"/>
      <c r="BM48" s="241"/>
      <c r="BN48" s="241"/>
      <c r="BO48" s="241"/>
      <c r="BP48" s="241"/>
      <c r="BQ48" s="241"/>
      <c r="BR48" s="241"/>
      <c r="BS48" s="302"/>
    </row>
    <row r="49" customHeight="1" spans="2:71">
      <c r="B49" s="190" t="str">
        <f>IFERROR(INDEX($M$95:$AH$98,$B$35,14),"")</f>
        <v/>
      </c>
      <c r="E49" s="232" t="str">
        <f t="array" ref="E49">INDEX(K:K,SMALL(IF($K$2:$K$78&lt;&gt;"",ROW($2:$78),79),ROW(K48)))&amp;""</f>
        <v>自诉人</v>
      </c>
      <c r="F49" s="222"/>
      <c r="G49" s="325" t="e">
        <f>IF(AND(综合数据!B15=TRUE,H1&gt;0),"庇护所：我知晓运作世界的力量，并努力在其之外建设一个世外桃源。","")</f>
        <v>#N/A</v>
      </c>
      <c r="H49" s="196" t="e">
        <f t="array" ref="H49">INDEX(G:G,SMALL(IF($G$33:$G$50&lt;&gt;"",ROW($33:$50),51),ROW(H17)))&amp;""</f>
        <v>#N/A</v>
      </c>
      <c r="I49" s="193"/>
      <c r="J49" s="193">
        <f>IFERROR(INDEX($BJ$81:$BU$93,$J$1,4),"")</f>
        <v>0</v>
      </c>
      <c r="K49" s="330" t="str">
        <f>IF(综合数据!B12=TRUE,"自诉人","")</f>
        <v>自诉人</v>
      </c>
      <c r="L49" s="331">
        <f t="shared" si="0"/>
        <v>48</v>
      </c>
      <c r="M49" s="224" t="s">
        <v>5435</v>
      </c>
      <c r="N49" s="224" t="s">
        <v>4441</v>
      </c>
      <c r="O49" s="224" t="s">
        <v>4442</v>
      </c>
      <c r="P49" s="297" t="s">
        <v>5436</v>
      </c>
      <c r="Q49" s="297" t="s">
        <v>5437</v>
      </c>
      <c r="S49" s="240" t="s">
        <v>5438</v>
      </c>
      <c r="T49" s="240" t="s">
        <v>5439</v>
      </c>
      <c r="U49" s="240" t="s">
        <v>5440</v>
      </c>
      <c r="V49" s="240" t="s">
        <v>5441</v>
      </c>
      <c r="W49" s="240" t="s">
        <v>5442</v>
      </c>
      <c r="X49" s="240" t="s">
        <v>5443</v>
      </c>
      <c r="Y49" s="240" t="s">
        <v>5444</v>
      </c>
      <c r="Z49" s="240" t="s">
        <v>5445</v>
      </c>
      <c r="AA49" s="298" t="s">
        <v>5446</v>
      </c>
      <c r="AB49" s="298" t="s">
        <v>5447</v>
      </c>
      <c r="AC49" s="298" t="s">
        <v>5448</v>
      </c>
      <c r="AD49" s="298" t="s">
        <v>5449</v>
      </c>
      <c r="AE49" s="233" t="s">
        <v>5450</v>
      </c>
      <c r="AF49" s="298" t="s">
        <v>5451</v>
      </c>
      <c r="AG49" s="299" t="s">
        <v>5452</v>
      </c>
      <c r="AH49" s="299" t="s">
        <v>5453</v>
      </c>
      <c r="AI49" s="299" t="s">
        <v>5454</v>
      </c>
      <c r="AJ49" s="299" t="s">
        <v>5455</v>
      </c>
      <c r="AK49" s="299" t="s">
        <v>5456</v>
      </c>
      <c r="AL49" s="299" t="s">
        <v>5457</v>
      </c>
      <c r="AM49" s="300" t="s">
        <v>5458</v>
      </c>
      <c r="AN49" s="300" t="s">
        <v>5459</v>
      </c>
      <c r="AO49" s="300" t="s">
        <v>5460</v>
      </c>
      <c r="AP49" s="300" t="s">
        <v>5461</v>
      </c>
      <c r="AQ49" s="300" t="s">
        <v>5462</v>
      </c>
      <c r="AR49" s="300" t="s">
        <v>5463</v>
      </c>
      <c r="AS49" s="301"/>
      <c r="AT49" s="301"/>
      <c r="AU49" s="301"/>
      <c r="AV49" s="301"/>
      <c r="AW49" s="301"/>
      <c r="AX49" s="301"/>
      <c r="AY49" s="193"/>
      <c r="AZ49" s="241"/>
      <c r="BA49" s="241"/>
      <c r="BB49" s="241"/>
      <c r="BC49" s="241"/>
      <c r="BD49" s="241"/>
      <c r="BE49" s="241"/>
      <c r="BF49" s="241"/>
      <c r="BG49" s="241"/>
      <c r="BH49" s="241"/>
      <c r="BI49" s="241"/>
      <c r="BJ49" s="241"/>
      <c r="BK49" s="241"/>
      <c r="BL49" s="241"/>
      <c r="BM49" s="241"/>
      <c r="BN49" s="241"/>
      <c r="BO49" s="241"/>
      <c r="BP49" s="241"/>
      <c r="BQ49" s="241"/>
      <c r="BR49" s="241"/>
      <c r="BS49" s="302"/>
    </row>
    <row r="50" customHeight="1" spans="2:71">
      <c r="B50" s="190" t="str">
        <f>IFERROR(INDEX($M$95:$AH$98,$B$35,15),"")</f>
        <v/>
      </c>
      <c r="E50" s="232" t="str">
        <f t="array" ref="E50">INDEX(K:K,SMALL(IF($K$2:$K$78&lt;&gt;"",ROW($2:$78),79),ROW(K49)))&amp;""</f>
        <v>竞争对手实习生</v>
      </c>
      <c r="F50" s="222"/>
      <c r="G50" s="325" t="e">
        <f>IF(AND(综合数据!B15=TRUE,H1&gt;0),"真相：哪怕对任何人都没好处，我也认为真相才是最重要的。","")</f>
        <v>#N/A</v>
      </c>
      <c r="H50" s="196" t="e">
        <f t="array" ref="H50">INDEX(G:G,SMALL(IF($G$33:$G$50&lt;&gt;"",ROW($33:$50),51),ROW(H18)))&amp;""</f>
        <v>#N/A</v>
      </c>
      <c r="I50" s="193"/>
      <c r="J50" s="193">
        <f>IFERROR(INDEX($BJ$81:$BU$93,$J$1,5),"")</f>
        <v>0</v>
      </c>
      <c r="K50" s="330" t="str">
        <f>IF(综合数据!B12=TRUE,"竞争对手实习生","")</f>
        <v>竞争对手实习生</v>
      </c>
      <c r="L50" s="331">
        <f t="shared" si="0"/>
        <v>49</v>
      </c>
      <c r="M50" s="224" t="s">
        <v>5464</v>
      </c>
      <c r="N50" s="224" t="s">
        <v>4441</v>
      </c>
      <c r="O50" s="224" t="s">
        <v>4442</v>
      </c>
      <c r="P50" s="297" t="s">
        <v>5465</v>
      </c>
      <c r="Q50" s="297" t="s">
        <v>5466</v>
      </c>
      <c r="S50" s="240" t="s">
        <v>5467</v>
      </c>
      <c r="T50" s="240" t="s">
        <v>5468</v>
      </c>
      <c r="U50" s="240" t="s">
        <v>5469</v>
      </c>
      <c r="V50" s="240" t="s">
        <v>5470</v>
      </c>
      <c r="W50" s="240" t="s">
        <v>5471</v>
      </c>
      <c r="X50" s="240" t="s">
        <v>5472</v>
      </c>
      <c r="Y50" s="240" t="s">
        <v>5473</v>
      </c>
      <c r="Z50" s="240" t="s">
        <v>5474</v>
      </c>
      <c r="AA50" s="298" t="s">
        <v>5475</v>
      </c>
      <c r="AB50" s="298" t="s">
        <v>5476</v>
      </c>
      <c r="AC50" s="298" t="s">
        <v>5477</v>
      </c>
      <c r="AD50" s="298" t="s">
        <v>5478</v>
      </c>
      <c r="AE50" s="233" t="s">
        <v>5479</v>
      </c>
      <c r="AF50" s="298" t="s">
        <v>5480</v>
      </c>
      <c r="AG50" s="299" t="s">
        <v>5481</v>
      </c>
      <c r="AH50" s="299" t="s">
        <v>5482</v>
      </c>
      <c r="AI50" s="299" t="s">
        <v>5483</v>
      </c>
      <c r="AJ50" s="299" t="s">
        <v>5484</v>
      </c>
      <c r="AK50" s="299" t="s">
        <v>5485</v>
      </c>
      <c r="AL50" s="299" t="s">
        <v>5486</v>
      </c>
      <c r="AM50" s="300" t="s">
        <v>5487</v>
      </c>
      <c r="AN50" s="300" t="s">
        <v>5488</v>
      </c>
      <c r="AO50" s="300" t="s">
        <v>5489</v>
      </c>
      <c r="AP50" s="300" t="s">
        <v>5490</v>
      </c>
      <c r="AQ50" s="300" t="s">
        <v>5491</v>
      </c>
      <c r="AR50" s="300" t="s">
        <v>5492</v>
      </c>
      <c r="AS50" s="301"/>
      <c r="AT50" s="301"/>
      <c r="AU50" s="301"/>
      <c r="AV50" s="301"/>
      <c r="AW50" s="301"/>
      <c r="AX50" s="301"/>
      <c r="AY50" s="193"/>
      <c r="AZ50" s="241"/>
      <c r="BA50" s="241"/>
      <c r="BB50" s="241"/>
      <c r="BC50" s="241"/>
      <c r="BD50" s="241"/>
      <c r="BE50" s="241"/>
      <c r="BF50" s="241"/>
      <c r="BG50" s="241"/>
      <c r="BH50" s="241"/>
      <c r="BI50" s="241"/>
      <c r="BJ50" s="241"/>
      <c r="BK50" s="241"/>
      <c r="BL50" s="241"/>
      <c r="BM50" s="241"/>
      <c r="BN50" s="241"/>
      <c r="BO50" s="241"/>
      <c r="BP50" s="241"/>
      <c r="BQ50" s="241"/>
      <c r="BR50" s="241"/>
      <c r="BS50" s="302"/>
    </row>
    <row r="51" customHeight="1" spans="2:71">
      <c r="B51" s="190" t="str">
        <f>IFERROR(INDEX($M$95:$AH$98,$B$35,16),"")</f>
        <v/>
      </c>
      <c r="E51" s="232" t="str">
        <f t="array" ref="E51">INDEX(K:K,SMALL(IF($K$2:$K$78&lt;&gt;"",ROW($2:$78),79),ROW(K50)))&amp;""</f>
        <v>健将</v>
      </c>
      <c r="F51" s="279"/>
      <c r="H51" s="196"/>
      <c r="I51" s="193"/>
      <c r="J51" s="193">
        <f>IFERROR(INDEX($BJ$81:$BU$93,$J$1,6),"")</f>
        <v>0</v>
      </c>
      <c r="K51" s="332" t="str">
        <f>IF(综合数据!B13=TRUE,"健将","")</f>
        <v>健将</v>
      </c>
      <c r="L51" s="333">
        <f t="shared" si="0"/>
        <v>50</v>
      </c>
      <c r="M51" s="224" t="s">
        <v>5493</v>
      </c>
      <c r="N51" s="224" t="s">
        <v>3944</v>
      </c>
      <c r="O51" s="224" t="s">
        <v>4442</v>
      </c>
      <c r="P51" s="297" t="s">
        <v>5494</v>
      </c>
      <c r="Q51" s="297" t="s">
        <v>5495</v>
      </c>
      <c r="S51" s="240" t="s">
        <v>5496</v>
      </c>
      <c r="T51" s="240" t="s">
        <v>5497</v>
      </c>
      <c r="U51" s="240" t="s">
        <v>5498</v>
      </c>
      <c r="V51" s="240" t="s">
        <v>5499</v>
      </c>
      <c r="W51" s="240" t="s">
        <v>5500</v>
      </c>
      <c r="X51" s="240" t="s">
        <v>5501</v>
      </c>
      <c r="Y51" s="240" t="s">
        <v>5502</v>
      </c>
      <c r="Z51" s="240" t="s">
        <v>5503</v>
      </c>
      <c r="AA51" s="298" t="s">
        <v>5504</v>
      </c>
      <c r="AB51" s="298" t="s">
        <v>5505</v>
      </c>
      <c r="AC51" s="298" t="s">
        <v>5506</v>
      </c>
      <c r="AD51" s="298" t="s">
        <v>5507</v>
      </c>
      <c r="AE51" s="233" t="s">
        <v>5508</v>
      </c>
      <c r="AF51" s="298" t="s">
        <v>5509</v>
      </c>
      <c r="AG51" s="299" t="s">
        <v>5510</v>
      </c>
      <c r="AH51" s="299" t="s">
        <v>5511</v>
      </c>
      <c r="AI51" s="299" t="s">
        <v>5512</v>
      </c>
      <c r="AJ51" s="299" t="s">
        <v>5513</v>
      </c>
      <c r="AK51" s="299" t="s">
        <v>5514</v>
      </c>
      <c r="AL51" s="299" t="s">
        <v>5515</v>
      </c>
      <c r="AM51" s="300" t="s">
        <v>5516</v>
      </c>
      <c r="AN51" s="300" t="s">
        <v>5517</v>
      </c>
      <c r="AO51" s="300" t="s">
        <v>5518</v>
      </c>
      <c r="AP51" s="300" t="s">
        <v>5519</v>
      </c>
      <c r="AQ51" s="300" t="s">
        <v>5520</v>
      </c>
      <c r="AR51" s="300" t="s">
        <v>5521</v>
      </c>
      <c r="AS51" s="301"/>
      <c r="AT51" s="301"/>
      <c r="AU51" s="301"/>
      <c r="AV51" s="301"/>
      <c r="AW51" s="301"/>
      <c r="AX51" s="301"/>
      <c r="AY51" s="193" t="s">
        <v>5522</v>
      </c>
      <c r="AZ51" s="241" t="s">
        <v>5523</v>
      </c>
      <c r="BA51" s="241" t="s">
        <v>5524</v>
      </c>
      <c r="BB51" s="241" t="s">
        <v>5525</v>
      </c>
      <c r="BC51" s="241" t="s">
        <v>5526</v>
      </c>
      <c r="BD51" s="241" t="s">
        <v>5527</v>
      </c>
      <c r="BE51" s="241" t="s">
        <v>5528</v>
      </c>
      <c r="BF51" s="241" t="s">
        <v>5529</v>
      </c>
      <c r="BG51" s="241" t="s">
        <v>5530</v>
      </c>
      <c r="BH51" s="241"/>
      <c r="BI51" s="241"/>
      <c r="BJ51" s="241"/>
      <c r="BK51" s="241"/>
      <c r="BL51" s="241"/>
      <c r="BM51" s="241"/>
      <c r="BN51" s="241"/>
      <c r="BO51" s="241"/>
      <c r="BP51" s="241"/>
      <c r="BQ51" s="241"/>
      <c r="BR51" s="241"/>
      <c r="BS51" s="302"/>
    </row>
    <row r="52" customHeight="1" spans="2:71">
      <c r="B52" s="190" t="str">
        <f>IFERROR(INDEX($M$95:$AH$98,$B$35,17),"")</f>
        <v/>
      </c>
      <c r="E52" s="232" t="str">
        <f t="array" ref="E52">INDEX(K:K,SMALL(IF($K$2:$K$78&lt;&gt;"",ROW($2:$78),79),ROW(K51)))&amp;""</f>
        <v>鬼上身者</v>
      </c>
      <c r="F52" s="222" t="s">
        <v>7</v>
      </c>
      <c r="G52" s="193" t="str">
        <f>IFERROR(INDEX($AG$2:$AL$78,$H$1,1),"")</f>
        <v/>
      </c>
      <c r="H52" s="196" t="e">
        <f t="array" ref="H52">INDEX(G:G,SMALL(IF($G$52:$G$69&lt;&gt;"",ROW($52:$69),70),ROW(H1)))&amp;""</f>
        <v>#N/A</v>
      </c>
      <c r="I52" s="193"/>
      <c r="J52" s="193">
        <f>IFERROR(INDEX($BJ$81:$BU$93,$J$1,7),"")</f>
        <v>0</v>
      </c>
      <c r="K52" s="334" t="str">
        <f>IF(综合数据!B15=TRUE,"鬼上身者","")</f>
        <v>鬼上身者</v>
      </c>
      <c r="L52" s="335">
        <f t="shared" si="0"/>
        <v>51</v>
      </c>
      <c r="M52" s="198" t="s">
        <v>5531</v>
      </c>
      <c r="O52" s="224" t="s">
        <v>5532</v>
      </c>
      <c r="P52" s="297" t="s">
        <v>5533</v>
      </c>
      <c r="Q52" s="297" t="s">
        <v>5534</v>
      </c>
      <c r="S52" s="240" t="str">
        <f t="shared" ref="S52:AR52" si="19">""</f>
        <v/>
      </c>
      <c r="T52" s="240" t="str">
        <f t="shared" si="19"/>
        <v/>
      </c>
      <c r="U52" s="240" t="str">
        <f t="shared" si="19"/>
        <v/>
      </c>
      <c r="V52" s="240" t="str">
        <f t="shared" si="19"/>
        <v/>
      </c>
      <c r="W52" s="240" t="str">
        <f t="shared" si="19"/>
        <v/>
      </c>
      <c r="X52" s="240" t="str">
        <f t="shared" si="19"/>
        <v/>
      </c>
      <c r="Y52" s="240" t="str">
        <f t="shared" si="19"/>
        <v/>
      </c>
      <c r="Z52" s="240" t="str">
        <f t="shared" si="19"/>
        <v/>
      </c>
      <c r="AA52" s="298" t="str">
        <f t="shared" si="19"/>
        <v/>
      </c>
      <c r="AB52" s="298" t="str">
        <f t="shared" si="19"/>
        <v/>
      </c>
      <c r="AC52" s="298" t="str">
        <f t="shared" si="19"/>
        <v/>
      </c>
      <c r="AD52" s="298" t="str">
        <f t="shared" si="19"/>
        <v/>
      </c>
      <c r="AE52" s="233" t="str">
        <f t="shared" si="19"/>
        <v/>
      </c>
      <c r="AF52" s="298" t="str">
        <f t="shared" si="19"/>
        <v/>
      </c>
      <c r="AG52" s="299" t="str">
        <f t="shared" si="19"/>
        <v/>
      </c>
      <c r="AH52" s="299" t="str">
        <f t="shared" si="19"/>
        <v/>
      </c>
      <c r="AI52" s="299" t="str">
        <f t="shared" si="19"/>
        <v/>
      </c>
      <c r="AJ52" s="299" t="str">
        <f t="shared" si="19"/>
        <v/>
      </c>
      <c r="AK52" s="299" t="str">
        <f t="shared" si="19"/>
        <v/>
      </c>
      <c r="AL52" s="299" t="str">
        <f t="shared" si="19"/>
        <v/>
      </c>
      <c r="AM52" s="300" t="str">
        <f t="shared" si="19"/>
        <v/>
      </c>
      <c r="AN52" s="300" t="str">
        <f t="shared" si="19"/>
        <v/>
      </c>
      <c r="AO52" s="300" t="str">
        <f t="shared" si="19"/>
        <v/>
      </c>
      <c r="AP52" s="300" t="str">
        <f t="shared" si="19"/>
        <v/>
      </c>
      <c r="AQ52" s="300" t="str">
        <f t="shared" si="19"/>
        <v/>
      </c>
      <c r="AR52" s="300" t="str">
        <f t="shared" si="19"/>
        <v/>
      </c>
      <c r="AS52" s="301"/>
      <c r="AT52" s="301"/>
      <c r="AU52" s="301"/>
      <c r="AV52" s="301"/>
      <c r="AW52" s="301"/>
      <c r="AX52" s="301"/>
      <c r="AY52" s="198" t="s">
        <v>5535</v>
      </c>
      <c r="AZ52" s="241" t="s">
        <v>5536</v>
      </c>
      <c r="BA52" s="241" t="s">
        <v>5537</v>
      </c>
      <c r="BB52" s="241" t="s">
        <v>5538</v>
      </c>
      <c r="BC52" s="241" t="s">
        <v>5539</v>
      </c>
      <c r="BD52" s="241" t="s">
        <v>5540</v>
      </c>
      <c r="BE52" s="241" t="s">
        <v>5541</v>
      </c>
      <c r="BF52" s="241" t="s">
        <v>5542</v>
      </c>
      <c r="BG52" s="241" t="s">
        <v>5543</v>
      </c>
      <c r="BH52" s="241" t="s">
        <v>5544</v>
      </c>
      <c r="BI52" s="241" t="s">
        <v>5545</v>
      </c>
      <c r="BJ52" s="241"/>
      <c r="BK52" s="241"/>
      <c r="BL52" s="241"/>
      <c r="BM52" s="241"/>
      <c r="BN52" s="241"/>
      <c r="BO52" s="241"/>
      <c r="BP52" s="241"/>
      <c r="BQ52" s="241"/>
      <c r="BR52" s="241"/>
      <c r="BS52" s="302"/>
    </row>
    <row r="53" customHeight="1" spans="2:71">
      <c r="B53" s="190" t="str">
        <f>IFERROR(INDEX($M$95:$AH$98,$B$35,18),"")</f>
        <v/>
      </c>
      <c r="E53" s="232" t="str">
        <f t="array" ref="E53">INDEX(K:K,SMALL(IF($K$2:$K$78&lt;&gt;"",ROW($2:$78),79),ROW(K52)))&amp;""</f>
        <v>调查员</v>
      </c>
      <c r="F53" s="222"/>
      <c r="G53" s="193" t="str">
        <f>IFERROR(INDEX($AG$2:$AL$78,$H$1,2),"")</f>
        <v/>
      </c>
      <c r="H53" s="196" t="e">
        <f t="array" ref="H53">INDEX(G:G,SMALL(IF($G$52:$G$69&lt;&gt;"",ROW($52:$69),70),ROW(H2)))&amp;""</f>
        <v>#N/A</v>
      </c>
      <c r="I53" s="193"/>
      <c r="J53" s="193">
        <f>IFERROR(INDEX($BJ$81:$BU$93,$J$1,8),"")</f>
        <v>0</v>
      </c>
      <c r="K53" s="334" t="str">
        <f>IF(综合数据!B15=TRUE,"调查员","")</f>
        <v>调查员</v>
      </c>
      <c r="L53" s="335">
        <f t="shared" si="0"/>
        <v>52</v>
      </c>
      <c r="M53" s="198" t="s">
        <v>5546</v>
      </c>
      <c r="N53" s="198" t="s">
        <v>4777</v>
      </c>
      <c r="P53" s="297" t="s">
        <v>5547</v>
      </c>
      <c r="Q53" s="297" t="s">
        <v>5548</v>
      </c>
      <c r="S53" s="240" t="str">
        <f t="shared" ref="S53:AR53" si="20">""</f>
        <v/>
      </c>
      <c r="T53" s="240" t="str">
        <f t="shared" si="20"/>
        <v/>
      </c>
      <c r="U53" s="240" t="str">
        <f t="shared" si="20"/>
        <v/>
      </c>
      <c r="V53" s="240" t="str">
        <f t="shared" si="20"/>
        <v/>
      </c>
      <c r="W53" s="240" t="str">
        <f t="shared" si="20"/>
        <v/>
      </c>
      <c r="X53" s="240" t="str">
        <f t="shared" si="20"/>
        <v/>
      </c>
      <c r="Y53" s="240" t="str">
        <f t="shared" si="20"/>
        <v/>
      </c>
      <c r="Z53" s="240" t="str">
        <f t="shared" si="20"/>
        <v/>
      </c>
      <c r="AA53" s="298" t="str">
        <f t="shared" si="20"/>
        <v/>
      </c>
      <c r="AB53" s="298" t="str">
        <f t="shared" si="20"/>
        <v/>
      </c>
      <c r="AC53" s="298" t="str">
        <f t="shared" si="20"/>
        <v/>
      </c>
      <c r="AD53" s="298" t="str">
        <f t="shared" si="20"/>
        <v/>
      </c>
      <c r="AE53" s="233" t="str">
        <f t="shared" si="20"/>
        <v/>
      </c>
      <c r="AF53" s="298" t="str">
        <f t="shared" si="20"/>
        <v/>
      </c>
      <c r="AG53" s="299" t="str">
        <f t="shared" si="20"/>
        <v/>
      </c>
      <c r="AH53" s="299" t="str">
        <f t="shared" si="20"/>
        <v/>
      </c>
      <c r="AI53" s="299" t="str">
        <f t="shared" si="20"/>
        <v/>
      </c>
      <c r="AJ53" s="299" t="str">
        <f t="shared" si="20"/>
        <v/>
      </c>
      <c r="AK53" s="299" t="str">
        <f t="shared" si="20"/>
        <v/>
      </c>
      <c r="AL53" s="299" t="str">
        <f t="shared" si="20"/>
        <v/>
      </c>
      <c r="AM53" s="300" t="str">
        <f t="shared" si="20"/>
        <v/>
      </c>
      <c r="AN53" s="300" t="str">
        <f t="shared" si="20"/>
        <v/>
      </c>
      <c r="AO53" s="300" t="str">
        <f t="shared" si="20"/>
        <v/>
      </c>
      <c r="AP53" s="300" t="str">
        <f t="shared" si="20"/>
        <v/>
      </c>
      <c r="AQ53" s="300" t="str">
        <f t="shared" si="20"/>
        <v/>
      </c>
      <c r="AR53" s="300" t="str">
        <f t="shared" si="20"/>
        <v/>
      </c>
      <c r="AS53" s="301"/>
      <c r="AT53" s="301"/>
      <c r="AU53" s="301"/>
      <c r="AV53" s="301"/>
      <c r="AW53" s="301"/>
      <c r="AX53" s="301"/>
      <c r="AY53" s="198" t="s">
        <v>5549</v>
      </c>
      <c r="AZ53" s="241" t="s">
        <v>5550</v>
      </c>
      <c r="BA53" s="241" t="s">
        <v>5551</v>
      </c>
      <c r="BB53" s="241" t="s">
        <v>5552</v>
      </c>
      <c r="BC53" s="241" t="s">
        <v>5553</v>
      </c>
      <c r="BD53" s="241" t="s">
        <v>5554</v>
      </c>
      <c r="BE53" s="241" t="s">
        <v>5555</v>
      </c>
      <c r="BF53" s="241" t="s">
        <v>5556</v>
      </c>
      <c r="BG53" s="241" t="s">
        <v>5557</v>
      </c>
      <c r="BH53" s="241"/>
      <c r="BI53" s="241"/>
      <c r="BJ53" s="241"/>
      <c r="BK53" s="241"/>
      <c r="BL53" s="241"/>
      <c r="BM53" s="241"/>
      <c r="BN53" s="241"/>
      <c r="BO53" s="241"/>
      <c r="BP53" s="241"/>
      <c r="BQ53" s="241"/>
      <c r="BR53" s="241"/>
      <c r="BS53" s="302"/>
    </row>
    <row r="54" customHeight="1" spans="2:71">
      <c r="B54" s="190" t="str">
        <f>IFERROR(INDEX($M$95:$AH$98,$B$35,19),"")</f>
        <v/>
      </c>
      <c r="E54" s="232" t="str">
        <f t="array" ref="E54">INDEX(K:K,SMALL(IF($K$2:$K$78&lt;&gt;"",ROW($2:$78),79),ROW(K53)))&amp;""</f>
        <v>衡鉴学生</v>
      </c>
      <c r="F54" s="222"/>
      <c r="G54" s="193" t="str">
        <f>IFERROR(INDEX($AG$2:$AL$78,$H$1,3),"")</f>
        <v/>
      </c>
      <c r="H54" s="196" t="e">
        <f t="array" ref="H54">INDEX(G:G,SMALL(IF($G$52:$G$69&lt;&gt;"",ROW($52:$69),70),ROW(H3)))&amp;""</f>
        <v>#N/A</v>
      </c>
      <c r="I54" s="193"/>
      <c r="J54" s="193">
        <f>IFERROR(INDEX($BJ$81:$BU$93,$J$1,9),"")</f>
        <v>0</v>
      </c>
      <c r="K54" s="336" t="str">
        <f>IF(综合数据!B17=TRUE,"衡鉴学生","")</f>
        <v>衡鉴学生</v>
      </c>
      <c r="L54" s="337">
        <f t="shared" si="0"/>
        <v>53</v>
      </c>
      <c r="M54" s="198" t="s">
        <v>5558</v>
      </c>
      <c r="O54" s="198" t="s">
        <v>4194</v>
      </c>
      <c r="P54" s="297" t="s">
        <v>5559</v>
      </c>
      <c r="Q54" s="297" t="s">
        <v>5560</v>
      </c>
      <c r="R54" s="193" t="s">
        <v>5561</v>
      </c>
      <c r="S54" s="240" t="s">
        <v>5562</v>
      </c>
      <c r="T54" s="240" t="s">
        <v>5563</v>
      </c>
      <c r="U54" s="240" t="s">
        <v>5564</v>
      </c>
      <c r="V54" s="240" t="s">
        <v>5565</v>
      </c>
      <c r="W54" s="240" t="s">
        <v>5566</v>
      </c>
      <c r="X54" s="240" t="s">
        <v>5567</v>
      </c>
      <c r="Y54" s="240" t="str">
        <f t="shared" ref="Y54:AR54" si="21">""</f>
        <v/>
      </c>
      <c r="Z54" s="240" t="str">
        <f t="shared" si="21"/>
        <v/>
      </c>
      <c r="AA54" s="298" t="str">
        <f t="shared" si="21"/>
        <v/>
      </c>
      <c r="AB54" s="298" t="str">
        <f t="shared" si="21"/>
        <v/>
      </c>
      <c r="AC54" s="298" t="str">
        <f t="shared" si="21"/>
        <v/>
      </c>
      <c r="AD54" s="298" t="str">
        <f t="shared" si="21"/>
        <v/>
      </c>
      <c r="AE54" s="233" t="str">
        <f t="shared" si="21"/>
        <v/>
      </c>
      <c r="AF54" s="298" t="str">
        <f t="shared" si="21"/>
        <v/>
      </c>
      <c r="AG54" s="299" t="str">
        <f t="shared" si="21"/>
        <v/>
      </c>
      <c r="AH54" s="299" t="str">
        <f t="shared" si="21"/>
        <v/>
      </c>
      <c r="AI54" s="299" t="str">
        <f t="shared" si="21"/>
        <v/>
      </c>
      <c r="AJ54" s="299" t="str">
        <f t="shared" si="21"/>
        <v/>
      </c>
      <c r="AK54" s="299" t="str">
        <f t="shared" si="21"/>
        <v/>
      </c>
      <c r="AL54" s="299" t="str">
        <f t="shared" si="21"/>
        <v/>
      </c>
      <c r="AM54" s="300" t="str">
        <f t="shared" si="21"/>
        <v/>
      </c>
      <c r="AN54" s="300" t="str">
        <f t="shared" si="21"/>
        <v/>
      </c>
      <c r="AO54" s="300" t="str">
        <f t="shared" si="21"/>
        <v/>
      </c>
      <c r="AP54" s="300" t="str">
        <f t="shared" si="21"/>
        <v/>
      </c>
      <c r="AQ54" s="300" t="str">
        <f t="shared" si="21"/>
        <v/>
      </c>
      <c r="AR54" s="300" t="str">
        <f t="shared" si="21"/>
        <v/>
      </c>
      <c r="AS54" s="301"/>
      <c r="AT54" s="301"/>
      <c r="AU54" s="301"/>
      <c r="AV54" s="301"/>
      <c r="AW54" s="301"/>
      <c r="AX54" s="301"/>
      <c r="AY54" s="198"/>
      <c r="AZ54" s="241"/>
      <c r="BA54" s="241"/>
      <c r="BB54" s="241"/>
      <c r="BC54" s="241"/>
      <c r="BD54" s="241"/>
      <c r="BE54" s="241"/>
      <c r="BF54" s="241"/>
      <c r="BG54" s="241"/>
      <c r="BH54" s="241"/>
      <c r="BI54" s="241"/>
      <c r="BJ54" s="241"/>
      <c r="BK54" s="241"/>
      <c r="BL54" s="241"/>
      <c r="BM54" s="241"/>
      <c r="BN54" s="241"/>
      <c r="BO54" s="241"/>
      <c r="BP54" s="241"/>
      <c r="BQ54" s="241"/>
      <c r="BR54" s="241"/>
      <c r="BS54" s="302"/>
    </row>
    <row r="55" customHeight="1" spans="2:71">
      <c r="B55" s="190" t="str">
        <f>IFERROR(INDEX($M$95:$AH$98,$B$35,20),"")</f>
        <v/>
      </c>
      <c r="E55" s="232" t="str">
        <f t="array" ref="E55">INDEX(K:K,SMALL(IF($K$2:$K$78&lt;&gt;"",ROW($2:$78),79),ROW(K54)))&amp;""</f>
        <v>粹丽学生</v>
      </c>
      <c r="F55" s="222"/>
      <c r="G55" s="193" t="str">
        <f>IFERROR(INDEX($AG$2:$AL$78,$H$1,4),"")</f>
        <v/>
      </c>
      <c r="H55" s="196" t="e">
        <f t="array" ref="H55">INDEX(G:G,SMALL(IF($G$52:$G$69&lt;&gt;"",ROW($52:$69),70),ROW(H4)))&amp;""</f>
        <v>#N/A</v>
      </c>
      <c r="I55" s="193"/>
      <c r="J55" s="193">
        <f>IFERROR(INDEX($BJ$81:$BU$93,$J$1,10),"")</f>
        <v>0</v>
      </c>
      <c r="K55" s="336" t="str">
        <f>IF(综合数据!B17=TRUE,"粹丽学生","")</f>
        <v>粹丽学生</v>
      </c>
      <c r="L55" s="337">
        <f t="shared" si="0"/>
        <v>54</v>
      </c>
      <c r="M55" s="198" t="s">
        <v>4333</v>
      </c>
      <c r="N55" s="198" t="s">
        <v>4893</v>
      </c>
      <c r="O55" s="224" t="s">
        <v>4442</v>
      </c>
      <c r="P55" s="297" t="s">
        <v>5568</v>
      </c>
      <c r="Q55" s="297" t="s">
        <v>5569</v>
      </c>
      <c r="R55" s="193" t="s">
        <v>5570</v>
      </c>
      <c r="S55" s="240" t="s">
        <v>5571</v>
      </c>
      <c r="T55" s="240" t="s">
        <v>5572</v>
      </c>
      <c r="U55" s="240" t="s">
        <v>5573</v>
      </c>
      <c r="V55" s="240" t="s">
        <v>5574</v>
      </c>
      <c r="W55" s="240" t="s">
        <v>5575</v>
      </c>
      <c r="X55" s="240" t="s">
        <v>5576</v>
      </c>
      <c r="Y55" s="240" t="str">
        <f t="shared" ref="Y55:AR55" si="22">""</f>
        <v/>
      </c>
      <c r="Z55" s="240" t="str">
        <f t="shared" si="22"/>
        <v/>
      </c>
      <c r="AA55" s="298" t="str">
        <f t="shared" si="22"/>
        <v/>
      </c>
      <c r="AB55" s="298" t="str">
        <f t="shared" si="22"/>
        <v/>
      </c>
      <c r="AC55" s="298" t="str">
        <f t="shared" si="22"/>
        <v/>
      </c>
      <c r="AD55" s="298" t="str">
        <f t="shared" si="22"/>
        <v/>
      </c>
      <c r="AE55" s="233" t="str">
        <f t="shared" si="22"/>
        <v/>
      </c>
      <c r="AF55" s="298" t="str">
        <f t="shared" si="22"/>
        <v/>
      </c>
      <c r="AG55" s="299" t="str">
        <f t="shared" si="22"/>
        <v/>
      </c>
      <c r="AH55" s="299" t="str">
        <f t="shared" si="22"/>
        <v/>
      </c>
      <c r="AI55" s="299" t="str">
        <f t="shared" si="22"/>
        <v/>
      </c>
      <c r="AJ55" s="299" t="str">
        <f t="shared" si="22"/>
        <v/>
      </c>
      <c r="AK55" s="299" t="str">
        <f t="shared" si="22"/>
        <v/>
      </c>
      <c r="AL55" s="299" t="str">
        <f t="shared" si="22"/>
        <v/>
      </c>
      <c r="AM55" s="300" t="str">
        <f t="shared" si="22"/>
        <v/>
      </c>
      <c r="AN55" s="300" t="str">
        <f t="shared" si="22"/>
        <v/>
      </c>
      <c r="AO55" s="300" t="str">
        <f t="shared" si="22"/>
        <v/>
      </c>
      <c r="AP55" s="300" t="str">
        <f t="shared" si="22"/>
        <v/>
      </c>
      <c r="AQ55" s="300" t="str">
        <f t="shared" si="22"/>
        <v/>
      </c>
      <c r="AR55" s="300" t="str">
        <f t="shared" si="22"/>
        <v/>
      </c>
      <c r="AS55" s="301"/>
      <c r="AT55" s="301"/>
      <c r="AU55" s="301"/>
      <c r="AV55" s="301"/>
      <c r="AW55" s="301"/>
      <c r="AX55" s="301"/>
      <c r="AY55" s="198"/>
      <c r="AZ55" s="241"/>
      <c r="BA55" s="241"/>
      <c r="BB55" s="241"/>
      <c r="BC55" s="241"/>
      <c r="BD55" s="241"/>
      <c r="BE55" s="241"/>
      <c r="BF55" s="241"/>
      <c r="BG55" s="241"/>
      <c r="BH55" s="241"/>
      <c r="BI55" s="241"/>
      <c r="BJ55" s="241"/>
      <c r="BK55" s="241"/>
      <c r="BL55" s="241"/>
      <c r="BM55" s="241"/>
      <c r="BN55" s="241"/>
      <c r="BO55" s="241"/>
      <c r="BP55" s="241"/>
      <c r="BQ55" s="241"/>
      <c r="BR55" s="241"/>
      <c r="BS55" s="302"/>
    </row>
    <row r="56" customHeight="1" spans="2:71">
      <c r="B56" s="190" t="str">
        <f>IFERROR(INDEX($M$95:$AH$98,$B$35,21),"")</f>
        <v/>
      </c>
      <c r="E56" s="232" t="str">
        <f t="array" ref="E56">INDEX(K:K,SMALL(IF($K$2:$K$78&lt;&gt;"",ROW($2:$78),79),ROW(K55)))&amp;""</f>
        <v>量析学生</v>
      </c>
      <c r="F56" s="222"/>
      <c r="G56" s="193" t="str">
        <f>IFERROR(INDEX($AG$2:$AL$78,$H$1,5),"")</f>
        <v/>
      </c>
      <c r="H56" s="196" t="e">
        <f t="array" ref="H56">INDEX(G:G,SMALL(IF($G$52:$G$69&lt;&gt;"",ROW($52:$69),70),ROW(H5)))&amp;""</f>
        <v>#N/A</v>
      </c>
      <c r="I56" s="193"/>
      <c r="J56" s="193">
        <f>IFERROR(INDEX($BJ$81:$BU$93,$J$1,11),"")</f>
        <v>0</v>
      </c>
      <c r="K56" s="336" t="str">
        <f>IF(综合数据!B17=TRUE,"量析学生","")</f>
        <v>量析学生</v>
      </c>
      <c r="L56" s="337">
        <f t="shared" si="0"/>
        <v>55</v>
      </c>
      <c r="M56" s="198" t="s">
        <v>5577</v>
      </c>
      <c r="N56" s="198" t="s">
        <v>4441</v>
      </c>
      <c r="O56" s="224" t="s">
        <v>4442</v>
      </c>
      <c r="P56" s="297" t="s">
        <v>5578</v>
      </c>
      <c r="Q56" s="297" t="s">
        <v>5579</v>
      </c>
      <c r="R56" s="193" t="s">
        <v>5580</v>
      </c>
      <c r="S56" s="240" t="s">
        <v>5581</v>
      </c>
      <c r="T56" s="240" t="s">
        <v>5582</v>
      </c>
      <c r="U56" s="240" t="s">
        <v>5583</v>
      </c>
      <c r="V56" s="240" t="s">
        <v>5584</v>
      </c>
      <c r="W56" s="240" t="s">
        <v>5585</v>
      </c>
      <c r="X56" s="240" t="s">
        <v>5586</v>
      </c>
      <c r="Y56" s="240" t="str">
        <f t="shared" ref="Y56:AR56" si="23">""</f>
        <v/>
      </c>
      <c r="Z56" s="240" t="str">
        <f t="shared" si="23"/>
        <v/>
      </c>
      <c r="AA56" s="298" t="str">
        <f t="shared" si="23"/>
        <v/>
      </c>
      <c r="AB56" s="298" t="str">
        <f t="shared" si="23"/>
        <v/>
      </c>
      <c r="AC56" s="298" t="str">
        <f t="shared" si="23"/>
        <v/>
      </c>
      <c r="AD56" s="298" t="str">
        <f t="shared" si="23"/>
        <v/>
      </c>
      <c r="AE56" s="233" t="str">
        <f t="shared" si="23"/>
        <v/>
      </c>
      <c r="AF56" s="298" t="str">
        <f t="shared" si="23"/>
        <v/>
      </c>
      <c r="AG56" s="299" t="str">
        <f t="shared" si="23"/>
        <v/>
      </c>
      <c r="AH56" s="299" t="str">
        <f t="shared" si="23"/>
        <v/>
      </c>
      <c r="AI56" s="299" t="str">
        <f t="shared" si="23"/>
        <v/>
      </c>
      <c r="AJ56" s="299" t="str">
        <f t="shared" si="23"/>
        <v/>
      </c>
      <c r="AK56" s="299" t="str">
        <f t="shared" si="23"/>
        <v/>
      </c>
      <c r="AL56" s="299" t="str">
        <f t="shared" si="23"/>
        <v/>
      </c>
      <c r="AM56" s="300" t="str">
        <f t="shared" si="23"/>
        <v/>
      </c>
      <c r="AN56" s="300" t="str">
        <f t="shared" si="23"/>
        <v/>
      </c>
      <c r="AO56" s="300" t="str">
        <f t="shared" si="23"/>
        <v/>
      </c>
      <c r="AP56" s="300" t="str">
        <f t="shared" si="23"/>
        <v/>
      </c>
      <c r="AQ56" s="300" t="str">
        <f t="shared" si="23"/>
        <v/>
      </c>
      <c r="AR56" s="300" t="str">
        <f t="shared" si="23"/>
        <v/>
      </c>
      <c r="AS56" s="301"/>
      <c r="AT56" s="301"/>
      <c r="AU56" s="301"/>
      <c r="AV56" s="301"/>
      <c r="AW56" s="301"/>
      <c r="AX56" s="301"/>
      <c r="AY56" s="198"/>
      <c r="AZ56" s="241"/>
      <c r="BA56" s="241"/>
      <c r="BB56" s="241"/>
      <c r="BC56" s="241"/>
      <c r="BD56" s="241"/>
      <c r="BE56" s="241"/>
      <c r="BF56" s="241"/>
      <c r="BG56" s="241"/>
      <c r="BH56" s="241"/>
      <c r="BI56" s="241"/>
      <c r="BJ56" s="241"/>
      <c r="BK56" s="241"/>
      <c r="BL56" s="241"/>
      <c r="BM56" s="241"/>
      <c r="BN56" s="241"/>
      <c r="BO56" s="241"/>
      <c r="BP56" s="241"/>
      <c r="BQ56" s="241"/>
      <c r="BR56" s="241"/>
      <c r="BS56" s="302"/>
    </row>
    <row r="57" customHeight="1" spans="2:71">
      <c r="B57" s="199" t="str">
        <f>IFERROR(INDEX($M$95:$AH$98,$B$35,22),"")</f>
        <v/>
      </c>
      <c r="E57" s="232" t="str">
        <f t="array" ref="E57">INDEX(K:K,SMALL(IF($K$2:$K$78&lt;&gt;"",ROW($2:$78),79),ROW(K56)))&amp;""</f>
        <v>银毫学生</v>
      </c>
      <c r="F57" s="222"/>
      <c r="G57" s="193" t="str">
        <f>IFERROR(INDEX($AG$2:$AL$78,$H$1,6),"")</f>
        <v/>
      </c>
      <c r="H57" s="196" t="e">
        <f t="array" ref="H57">INDEX(G:G,SMALL(IF($G$52:$G$69&lt;&gt;"",ROW($52:$69),70),ROW(H6)))&amp;""</f>
        <v>#N/A</v>
      </c>
      <c r="I57" s="193"/>
      <c r="J57" s="193">
        <f>IFERROR(INDEX($BJ$81:$BU$93,$J$1,12),"")</f>
        <v>0</v>
      </c>
      <c r="K57" s="336" t="str">
        <f>IF(综合数据!B17=TRUE,"银毫学生","")</f>
        <v>银毫学生</v>
      </c>
      <c r="L57" s="337">
        <f t="shared" si="0"/>
        <v>56</v>
      </c>
      <c r="M57" s="198" t="s">
        <v>5587</v>
      </c>
      <c r="O57" s="198" t="s">
        <v>4194</v>
      </c>
      <c r="P57" s="297" t="s">
        <v>5588</v>
      </c>
      <c r="Q57" s="297" t="s">
        <v>5589</v>
      </c>
      <c r="R57" s="193" t="s">
        <v>5590</v>
      </c>
      <c r="S57" s="240" t="s">
        <v>5591</v>
      </c>
      <c r="T57" s="240" t="s">
        <v>5592</v>
      </c>
      <c r="U57" s="240" t="s">
        <v>5593</v>
      </c>
      <c r="V57" s="240" t="s">
        <v>5594</v>
      </c>
      <c r="W57" s="240" t="s">
        <v>5595</v>
      </c>
      <c r="X57" s="240" t="s">
        <v>5596</v>
      </c>
      <c r="Y57" s="240" t="str">
        <f t="shared" ref="Y57:AR57" si="24">""</f>
        <v/>
      </c>
      <c r="Z57" s="240" t="str">
        <f t="shared" si="24"/>
        <v/>
      </c>
      <c r="AA57" s="298" t="str">
        <f t="shared" si="24"/>
        <v/>
      </c>
      <c r="AB57" s="298" t="str">
        <f t="shared" si="24"/>
        <v/>
      </c>
      <c r="AC57" s="298" t="str">
        <f t="shared" si="24"/>
        <v/>
      </c>
      <c r="AD57" s="298" t="str">
        <f t="shared" si="24"/>
        <v/>
      </c>
      <c r="AE57" s="233" t="str">
        <f t="shared" si="24"/>
        <v/>
      </c>
      <c r="AF57" s="298" t="str">
        <f t="shared" si="24"/>
        <v/>
      </c>
      <c r="AG57" s="299" t="str">
        <f t="shared" si="24"/>
        <v/>
      </c>
      <c r="AH57" s="299" t="str">
        <f t="shared" si="24"/>
        <v/>
      </c>
      <c r="AI57" s="299" t="str">
        <f t="shared" si="24"/>
        <v/>
      </c>
      <c r="AJ57" s="299" t="str">
        <f t="shared" si="24"/>
        <v/>
      </c>
      <c r="AK57" s="299" t="str">
        <f t="shared" si="24"/>
        <v/>
      </c>
      <c r="AL57" s="299" t="str">
        <f t="shared" si="24"/>
        <v/>
      </c>
      <c r="AM57" s="300" t="str">
        <f t="shared" si="24"/>
        <v/>
      </c>
      <c r="AN57" s="300" t="str">
        <f t="shared" si="24"/>
        <v/>
      </c>
      <c r="AO57" s="300" t="str">
        <f t="shared" si="24"/>
        <v/>
      </c>
      <c r="AP57" s="300" t="str">
        <f t="shared" si="24"/>
        <v/>
      </c>
      <c r="AQ57" s="300" t="str">
        <f t="shared" si="24"/>
        <v/>
      </c>
      <c r="AR57" s="300" t="str">
        <f t="shared" si="24"/>
        <v/>
      </c>
      <c r="AS57" s="301"/>
      <c r="AT57" s="301"/>
      <c r="AU57" s="301"/>
      <c r="AV57" s="301"/>
      <c r="AW57" s="301"/>
      <c r="AX57" s="301"/>
      <c r="AY57" s="198"/>
      <c r="AZ57" s="241"/>
      <c r="BA57" s="241"/>
      <c r="BB57" s="241"/>
      <c r="BC57" s="241"/>
      <c r="BD57" s="241"/>
      <c r="BE57" s="241"/>
      <c r="BF57" s="241"/>
      <c r="BG57" s="241"/>
      <c r="BH57" s="241"/>
      <c r="BI57" s="241"/>
      <c r="BJ57" s="241"/>
      <c r="BK57" s="241"/>
      <c r="BL57" s="241"/>
      <c r="BM57" s="241"/>
      <c r="BN57" s="241"/>
      <c r="BO57" s="241"/>
      <c r="BP57" s="241"/>
      <c r="BQ57" s="241"/>
      <c r="BR57" s="241"/>
      <c r="BS57" s="302"/>
    </row>
    <row r="58" customHeight="1" spans="2:71">
      <c r="E58" s="232" t="str">
        <f t="array" ref="E58">INDEX(K:K,SMALL(IF($K$2:$K$78&lt;&gt;"",ROW($2:$78),79),ROW(K57)))&amp;""</f>
        <v>靡华学生</v>
      </c>
      <c r="F58" s="222"/>
      <c r="G58" s="325" t="e">
        <f>IF(AND(综合数据!B15=TRUE,H1&gt;0),"我不顾一切地希望回到某地或某人身旁，但我在迷雾中迷失了方向。","")</f>
        <v>#N/A</v>
      </c>
      <c r="H58" s="196" t="e">
        <f t="array" ref="H58">INDEX(G:G,SMALL(IF($G$52:$G$69&lt;&gt;"",ROW($52:$69),70),ROW(H7)))&amp;""</f>
        <v>#N/A</v>
      </c>
      <c r="I58" s="193">
        <f>IFERROR(INDEX(BV81:BV93,J1,1),0)</f>
        <v>0</v>
      </c>
      <c r="J58" s="193">
        <f>IFERROR(INDEX($BW$81:$CF$93,$J$1,1),"")</f>
        <v>0</v>
      </c>
      <c r="K58" s="336" t="str">
        <f>IF(综合数据!B17=TRUE,"靡华学生","")</f>
        <v>靡华学生</v>
      </c>
      <c r="L58" s="337">
        <f t="shared" si="0"/>
        <v>57</v>
      </c>
      <c r="M58" s="198" t="s">
        <v>5003</v>
      </c>
      <c r="N58" s="198" t="s">
        <v>1607</v>
      </c>
      <c r="O58" s="224" t="s">
        <v>4442</v>
      </c>
      <c r="P58" s="297" t="s">
        <v>5597</v>
      </c>
      <c r="Q58" s="297" t="s">
        <v>5598</v>
      </c>
      <c r="R58" s="193" t="s">
        <v>5599</v>
      </c>
      <c r="S58" s="240" t="s">
        <v>5600</v>
      </c>
      <c r="T58" s="240" t="s">
        <v>5601</v>
      </c>
      <c r="U58" s="240" t="s">
        <v>5602</v>
      </c>
      <c r="V58" s="240" t="s">
        <v>5603</v>
      </c>
      <c r="W58" s="240" t="s">
        <v>5604</v>
      </c>
      <c r="X58" s="240" t="s">
        <v>5605</v>
      </c>
      <c r="Y58" s="240" t="str">
        <f t="shared" ref="Y58:AR58" si="25">""</f>
        <v/>
      </c>
      <c r="Z58" s="240" t="str">
        <f t="shared" si="25"/>
        <v/>
      </c>
      <c r="AA58" s="298" t="str">
        <f t="shared" si="25"/>
        <v/>
      </c>
      <c r="AB58" s="298" t="str">
        <f t="shared" si="25"/>
        <v/>
      </c>
      <c r="AC58" s="298" t="str">
        <f t="shared" si="25"/>
        <v/>
      </c>
      <c r="AD58" s="298" t="str">
        <f t="shared" si="25"/>
        <v/>
      </c>
      <c r="AE58" s="233" t="str">
        <f t="shared" si="25"/>
        <v/>
      </c>
      <c r="AF58" s="298" t="str">
        <f t="shared" si="25"/>
        <v/>
      </c>
      <c r="AG58" s="299" t="str">
        <f t="shared" si="25"/>
        <v/>
      </c>
      <c r="AH58" s="299" t="str">
        <f t="shared" si="25"/>
        <v/>
      </c>
      <c r="AI58" s="299" t="str">
        <f t="shared" si="25"/>
        <v/>
      </c>
      <c r="AJ58" s="299" t="str">
        <f t="shared" si="25"/>
        <v/>
      </c>
      <c r="AK58" s="299" t="str">
        <f t="shared" si="25"/>
        <v/>
      </c>
      <c r="AL58" s="299" t="str">
        <f t="shared" si="25"/>
        <v/>
      </c>
      <c r="AM58" s="300" t="str">
        <f t="shared" si="25"/>
        <v/>
      </c>
      <c r="AN58" s="300" t="str">
        <f t="shared" si="25"/>
        <v/>
      </c>
      <c r="AO58" s="300" t="str">
        <f t="shared" si="25"/>
        <v/>
      </c>
      <c r="AP58" s="300" t="str">
        <f t="shared" si="25"/>
        <v/>
      </c>
      <c r="AQ58" s="300" t="str">
        <f t="shared" si="25"/>
        <v/>
      </c>
      <c r="AR58" s="300" t="str">
        <f t="shared" si="25"/>
        <v/>
      </c>
      <c r="AS58" s="301"/>
      <c r="AT58" s="301"/>
      <c r="AU58" s="301"/>
      <c r="AV58" s="301"/>
      <c r="AW58" s="301"/>
      <c r="AX58" s="301"/>
      <c r="AY58" s="198"/>
      <c r="AZ58" s="241"/>
      <c r="BA58" s="241"/>
      <c r="BB58" s="241"/>
      <c r="BC58" s="241"/>
      <c r="BD58" s="241"/>
      <c r="BE58" s="241"/>
      <c r="BF58" s="241"/>
      <c r="BG58" s="241"/>
      <c r="BH58" s="241"/>
      <c r="BI58" s="241"/>
      <c r="BJ58" s="241"/>
      <c r="BK58" s="241"/>
      <c r="BL58" s="241"/>
      <c r="BM58" s="241"/>
      <c r="BN58" s="241"/>
      <c r="BO58" s="241"/>
      <c r="BP58" s="241"/>
      <c r="BQ58" s="241"/>
      <c r="BR58" s="241"/>
      <c r="BS58" s="302"/>
    </row>
    <row r="59" customHeight="1" spans="2:71">
      <c r="E59" s="232" t="str">
        <f t="array" ref="E59">INDEX(K:K,SMALL(IF($K$2:$K$78&lt;&gt;"",ROW($2:$78),79),ROW(K58)))&amp;""</f>
        <v>星界浪客</v>
      </c>
      <c r="F59" s="222"/>
      <c r="G59" s="325" t="e">
        <f>IF(AND(综合数据!B15=TRUE,H1&gt;0),"我所做的一切都是为了一位不可向其他人透露的强大主人。","")</f>
        <v>#N/A</v>
      </c>
      <c r="H59" s="196" t="e">
        <f t="array" ref="H59">INDEX(G:G,SMALL(IF($G$52:$G$69&lt;&gt;"",ROW($52:$69),70),ROW(H8)))&amp;""</f>
        <v>#N/A</v>
      </c>
      <c r="I59" s="193"/>
      <c r="J59" s="193">
        <f>IFERROR(INDEX($BW$81:$CF$93,$J$1,2),"")</f>
        <v>0</v>
      </c>
      <c r="K59" s="338" t="str">
        <f>IF(综合数据!B19=TRUE,"星界浪客","")</f>
        <v>星界浪客</v>
      </c>
      <c r="L59" s="339">
        <f t="shared" si="0"/>
        <v>58</v>
      </c>
      <c r="M59" s="198" t="s">
        <v>4193</v>
      </c>
      <c r="O59" s="198" t="s">
        <v>4194</v>
      </c>
      <c r="P59" s="297" t="s">
        <v>5606</v>
      </c>
      <c r="Q59" s="297" t="s">
        <v>5607</v>
      </c>
      <c r="S59" s="240" t="str">
        <f t="shared" ref="S59:AR59" si="26">""</f>
        <v/>
      </c>
      <c r="T59" s="240" t="str">
        <f t="shared" si="26"/>
        <v/>
      </c>
      <c r="U59" s="240" t="str">
        <f t="shared" si="26"/>
        <v/>
      </c>
      <c r="V59" s="240" t="str">
        <f t="shared" si="26"/>
        <v/>
      </c>
      <c r="W59" s="240" t="str">
        <f t="shared" si="26"/>
        <v/>
      </c>
      <c r="X59" s="240" t="str">
        <f t="shared" si="26"/>
        <v/>
      </c>
      <c r="Y59" s="240" t="str">
        <f t="shared" si="26"/>
        <v/>
      </c>
      <c r="Z59" s="240" t="str">
        <f t="shared" si="26"/>
        <v/>
      </c>
      <c r="AA59" s="298" t="str">
        <f t="shared" si="26"/>
        <v/>
      </c>
      <c r="AB59" s="298" t="str">
        <f t="shared" si="26"/>
        <v/>
      </c>
      <c r="AC59" s="298" t="str">
        <f t="shared" si="26"/>
        <v/>
      </c>
      <c r="AD59" s="298" t="str">
        <f t="shared" si="26"/>
        <v/>
      </c>
      <c r="AE59" s="233" t="str">
        <f t="shared" si="26"/>
        <v/>
      </c>
      <c r="AF59" s="298" t="str">
        <f t="shared" si="26"/>
        <v/>
      </c>
      <c r="AG59" s="299" t="str">
        <f t="shared" si="26"/>
        <v/>
      </c>
      <c r="AH59" s="299" t="str">
        <f t="shared" si="26"/>
        <v/>
      </c>
      <c r="AI59" s="299" t="str">
        <f t="shared" si="26"/>
        <v/>
      </c>
      <c r="AJ59" s="299" t="str">
        <f t="shared" si="26"/>
        <v/>
      </c>
      <c r="AK59" s="299" t="str">
        <f t="shared" si="26"/>
        <v/>
      </c>
      <c r="AL59" s="299" t="str">
        <f t="shared" si="26"/>
        <v/>
      </c>
      <c r="AM59" s="300" t="str">
        <f t="shared" si="26"/>
        <v/>
      </c>
      <c r="AN59" s="300" t="str">
        <f t="shared" si="26"/>
        <v/>
      </c>
      <c r="AO59" s="300" t="str">
        <f t="shared" si="26"/>
        <v/>
      </c>
      <c r="AP59" s="300" t="str">
        <f t="shared" si="26"/>
        <v/>
      </c>
      <c r="AQ59" s="300" t="str">
        <f t="shared" si="26"/>
        <v/>
      </c>
      <c r="AR59" s="300" t="str">
        <f t="shared" si="26"/>
        <v/>
      </c>
      <c r="AS59" s="301"/>
      <c r="AT59" s="301"/>
      <c r="AU59" s="301"/>
      <c r="AV59" s="301"/>
      <c r="AW59" s="301"/>
      <c r="AX59" s="301"/>
      <c r="AY59" s="198" t="s">
        <v>5608</v>
      </c>
      <c r="AZ59" s="241" t="s">
        <v>5609</v>
      </c>
      <c r="BA59" s="241" t="s">
        <v>5610</v>
      </c>
      <c r="BB59" s="241" t="s">
        <v>5611</v>
      </c>
      <c r="BC59" s="241" t="s">
        <v>5612</v>
      </c>
      <c r="BD59" s="241" t="s">
        <v>5613</v>
      </c>
      <c r="BE59" s="241" t="s">
        <v>5614</v>
      </c>
      <c r="BF59" s="241" t="s">
        <v>5615</v>
      </c>
      <c r="BG59" s="241" t="s">
        <v>5616</v>
      </c>
      <c r="BH59" s="241" t="s">
        <v>5617</v>
      </c>
      <c r="BI59" s="241" t="s">
        <v>5618</v>
      </c>
      <c r="BJ59" s="241"/>
      <c r="BK59" s="241"/>
      <c r="BL59" s="241"/>
      <c r="BM59" s="241"/>
      <c r="BN59" s="241"/>
      <c r="BO59" s="241"/>
      <c r="BP59" s="241"/>
      <c r="BQ59" s="241"/>
      <c r="BR59" s="241"/>
      <c r="BS59" s="302"/>
    </row>
    <row r="60" customHeight="1" spans="2:71">
      <c r="E60" s="232" t="str">
        <f t="array" ref="E60">INDEX(K:K,SMALL(IF($K$2:$K$78&lt;&gt;"",ROW($2:$78),79),ROW(K59)))&amp;""</f>
        <v>荒宇人</v>
      </c>
      <c r="F60" s="222"/>
      <c r="G60" s="325" t="e">
        <f>IF(AND(综合数据!B15=TRUE,H1&gt;0),"我非常敬重消失的导师，现在正在一边继续他留下的工作一边在寻找着他。","")</f>
        <v>#N/A</v>
      </c>
      <c r="H60" s="196" t="e">
        <f t="array" ref="H60">INDEX(G:G,SMALL(IF($G$52:$G$69&lt;&gt;"",ROW($52:$69),70),ROW(H9)))&amp;""</f>
        <v>#N/A</v>
      </c>
      <c r="I60" s="193"/>
      <c r="J60" s="193">
        <f>IFERROR(INDEX($BW$81:$CF$93,$J$1,3),"")</f>
        <v>0</v>
      </c>
      <c r="K60" s="338" t="str">
        <f>IF(综合数据!B19=TRUE,"荒宇人","")</f>
        <v>荒宇人</v>
      </c>
      <c r="L60" s="339">
        <f t="shared" si="0"/>
        <v>59</v>
      </c>
      <c r="M60" s="198" t="s">
        <v>4595</v>
      </c>
      <c r="N60" s="198" t="s">
        <v>5619</v>
      </c>
      <c r="P60" s="297" t="s">
        <v>5620</v>
      </c>
      <c r="Q60" s="297" t="s">
        <v>5621</v>
      </c>
      <c r="S60" s="240" t="str">
        <f t="shared" ref="S60:AR60" si="27">""</f>
        <v/>
      </c>
      <c r="T60" s="240" t="str">
        <f t="shared" si="27"/>
        <v/>
      </c>
      <c r="U60" s="240" t="str">
        <f t="shared" si="27"/>
        <v/>
      </c>
      <c r="V60" s="240" t="str">
        <f t="shared" si="27"/>
        <v/>
      </c>
      <c r="W60" s="240" t="str">
        <f t="shared" si="27"/>
        <v/>
      </c>
      <c r="X60" s="240" t="str">
        <f t="shared" si="27"/>
        <v/>
      </c>
      <c r="Y60" s="240" t="str">
        <f t="shared" si="27"/>
        <v/>
      </c>
      <c r="Z60" s="240" t="str">
        <f t="shared" si="27"/>
        <v/>
      </c>
      <c r="AA60" s="298" t="str">
        <f t="shared" si="27"/>
        <v/>
      </c>
      <c r="AB60" s="298" t="str">
        <f t="shared" si="27"/>
        <v/>
      </c>
      <c r="AC60" s="298" t="str">
        <f t="shared" si="27"/>
        <v/>
      </c>
      <c r="AD60" s="298" t="str">
        <f t="shared" si="27"/>
        <v/>
      </c>
      <c r="AE60" s="233" t="str">
        <f t="shared" si="27"/>
        <v/>
      </c>
      <c r="AF60" s="298" t="str">
        <f t="shared" si="27"/>
        <v/>
      </c>
      <c r="AG60" s="299" t="str">
        <f t="shared" si="27"/>
        <v/>
      </c>
      <c r="AH60" s="299" t="str">
        <f t="shared" si="27"/>
        <v/>
      </c>
      <c r="AI60" s="299" t="str">
        <f t="shared" si="27"/>
        <v/>
      </c>
      <c r="AJ60" s="299" t="str">
        <f t="shared" si="27"/>
        <v/>
      </c>
      <c r="AK60" s="299" t="str">
        <f t="shared" si="27"/>
        <v/>
      </c>
      <c r="AL60" s="299" t="str">
        <f t="shared" si="27"/>
        <v/>
      </c>
      <c r="AM60" s="300" t="str">
        <f t="shared" si="27"/>
        <v/>
      </c>
      <c r="AN60" s="300" t="str">
        <f t="shared" si="27"/>
        <v/>
      </c>
      <c r="AO60" s="300" t="str">
        <f t="shared" si="27"/>
        <v/>
      </c>
      <c r="AP60" s="300" t="str">
        <f t="shared" si="27"/>
        <v/>
      </c>
      <c r="AQ60" s="300" t="str">
        <f t="shared" si="27"/>
        <v/>
      </c>
      <c r="AR60" s="300" t="str">
        <f t="shared" si="27"/>
        <v/>
      </c>
      <c r="AS60" s="301"/>
      <c r="AT60" s="301"/>
      <c r="AU60" s="301"/>
      <c r="AV60" s="301"/>
      <c r="AW60" s="301"/>
      <c r="AX60" s="301"/>
      <c r="AY60" s="198" t="s">
        <v>5622</v>
      </c>
      <c r="AZ60" s="241" t="s">
        <v>5623</v>
      </c>
      <c r="BA60" s="241" t="s">
        <v>5624</v>
      </c>
      <c r="BB60" s="241" t="s">
        <v>5625</v>
      </c>
      <c r="BC60" s="241" t="s">
        <v>5626</v>
      </c>
      <c r="BD60" s="241" t="s">
        <v>5627</v>
      </c>
      <c r="BE60" s="241" t="s">
        <v>5628</v>
      </c>
      <c r="BF60" s="241" t="s">
        <v>5629</v>
      </c>
      <c r="BG60" s="241" t="s">
        <v>5630</v>
      </c>
      <c r="BH60" s="241" t="s">
        <v>5631</v>
      </c>
      <c r="BI60" s="241" t="s">
        <v>5632</v>
      </c>
      <c r="BJ60" s="241"/>
      <c r="BK60" s="241"/>
      <c r="BL60" s="241"/>
      <c r="BM60" s="241"/>
      <c r="BN60" s="241"/>
      <c r="BO60" s="241"/>
      <c r="BP60" s="241"/>
      <c r="BQ60" s="241"/>
      <c r="BR60" s="241"/>
      <c r="BS60" s="302"/>
    </row>
    <row r="61" customHeight="1" spans="2:71">
      <c r="E61" s="232" t="str">
        <f t="array" ref="E61">INDEX(K:K,SMALL(IF($K$2:$K$78&lt;&gt;"",ROW($2:$78),79),ROW(K60)))&amp;""</f>
        <v>巨人养子</v>
      </c>
      <c r="F61" s="222"/>
      <c r="G61" s="325" t="e">
        <f>IF(AND(综合数据!B15=TRUE,H1&gt;0),"我见识过巨大的黑暗，所以我决心化身光明带领其他光明一起对抗它。","")</f>
        <v>#N/A</v>
      </c>
      <c r="H61" s="196" t="e">
        <f t="array" ref="H61">INDEX(G:G,SMALL(IF($G$52:$G$69&lt;&gt;"",ROW($52:$69),70),ROW(H10)))&amp;""</f>
        <v>#N/A</v>
      </c>
      <c r="I61" s="193"/>
      <c r="J61" s="193">
        <f>IFERROR(INDEX($BW$81:$CF$93,$J$1,4),"")</f>
        <v>0</v>
      </c>
      <c r="K61" s="340" t="str">
        <f>IF(综合数据!B20=TRUE,"巨人养子","")</f>
        <v>巨人养子</v>
      </c>
      <c r="L61" s="341">
        <f t="shared" si="0"/>
        <v>60</v>
      </c>
      <c r="M61" s="198" t="s">
        <v>5633</v>
      </c>
      <c r="O61" s="198" t="s">
        <v>5634</v>
      </c>
      <c r="P61" s="297" t="s">
        <v>5635</v>
      </c>
      <c r="Q61" s="297" t="s">
        <v>5636</v>
      </c>
      <c r="S61" s="240" t="s">
        <v>5637</v>
      </c>
      <c r="T61" s="240" t="s">
        <v>5638</v>
      </c>
      <c r="U61" s="240" t="s">
        <v>5639</v>
      </c>
      <c r="V61" s="240" t="s">
        <v>5640</v>
      </c>
      <c r="W61" s="240" t="s">
        <v>5641</v>
      </c>
      <c r="X61" s="240" t="s">
        <v>5642</v>
      </c>
      <c r="Y61" s="240" t="str">
        <f t="shared" ref="Y61:AR61" si="28">""</f>
        <v/>
      </c>
      <c r="Z61" s="240" t="str">
        <f t="shared" si="28"/>
        <v/>
      </c>
      <c r="AA61" s="298" t="str">
        <f t="shared" si="28"/>
        <v/>
      </c>
      <c r="AB61" s="298" t="str">
        <f t="shared" si="28"/>
        <v/>
      </c>
      <c r="AC61" s="298" t="str">
        <f t="shared" si="28"/>
        <v/>
      </c>
      <c r="AD61" s="298" t="str">
        <f t="shared" si="28"/>
        <v/>
      </c>
      <c r="AE61" s="233" t="str">
        <f t="shared" si="28"/>
        <v/>
      </c>
      <c r="AF61" s="298" t="str">
        <f t="shared" si="28"/>
        <v/>
      </c>
      <c r="AG61" s="299" t="str">
        <f t="shared" si="28"/>
        <v/>
      </c>
      <c r="AH61" s="299" t="str">
        <f t="shared" si="28"/>
        <v/>
      </c>
      <c r="AI61" s="299" t="str">
        <f t="shared" si="28"/>
        <v/>
      </c>
      <c r="AJ61" s="299" t="str">
        <f t="shared" si="28"/>
        <v/>
      </c>
      <c r="AK61" s="299" t="str">
        <f t="shared" si="28"/>
        <v/>
      </c>
      <c r="AL61" s="299" t="str">
        <f t="shared" si="28"/>
        <v/>
      </c>
      <c r="AM61" s="300" t="str">
        <f t="shared" si="28"/>
        <v/>
      </c>
      <c r="AN61" s="300" t="str">
        <f t="shared" si="28"/>
        <v/>
      </c>
      <c r="AO61" s="300" t="str">
        <f t="shared" si="28"/>
        <v/>
      </c>
      <c r="AP61" s="300" t="str">
        <f t="shared" si="28"/>
        <v/>
      </c>
      <c r="AQ61" s="300" t="str">
        <f t="shared" si="28"/>
        <v/>
      </c>
      <c r="AR61" s="300" t="str">
        <f t="shared" si="28"/>
        <v/>
      </c>
      <c r="AS61" s="301"/>
      <c r="AT61" s="301"/>
      <c r="AU61" s="301"/>
      <c r="AV61" s="301"/>
      <c r="AW61" s="301"/>
      <c r="AX61" s="301"/>
      <c r="AY61" s="198" t="s">
        <v>5643</v>
      </c>
      <c r="AZ61" s="241" t="s">
        <v>5644</v>
      </c>
      <c r="BA61" s="241" t="s">
        <v>5645</v>
      </c>
      <c r="BB61" s="241" t="s">
        <v>5646</v>
      </c>
      <c r="BC61" s="241" t="s">
        <v>5647</v>
      </c>
      <c r="BD61" s="241" t="s">
        <v>5648</v>
      </c>
      <c r="BE61" s="241" t="s">
        <v>5649</v>
      </c>
      <c r="BF61" s="241"/>
      <c r="BG61" s="241"/>
      <c r="BH61" s="241"/>
      <c r="BI61" s="241"/>
      <c r="BJ61" s="241"/>
      <c r="BK61" s="241"/>
      <c r="BL61" s="241"/>
      <c r="BM61" s="241"/>
      <c r="BN61" s="241"/>
      <c r="BO61" s="241"/>
      <c r="BP61" s="241"/>
      <c r="BQ61" s="241"/>
      <c r="BR61" s="241"/>
      <c r="BS61" s="302"/>
    </row>
    <row r="62" customHeight="1" spans="2:71">
      <c r="E62" s="232" t="str">
        <f t="array" ref="E62">INDEX(K:K,SMALL(IF($K$2:$K$78&lt;&gt;"",ROW($2:$78),79),ROW(K61)))&amp;""</f>
        <v>符文雕刻者</v>
      </c>
      <c r="F62" s="222"/>
      <c r="G62" s="325" t="e">
        <f>IF(AND(综合数据!B15=TRUE,H1&gt;0),"我最爱的人变成了怪物、杀人犯、或是其他威胁，我决心要救赎他。","")</f>
        <v>#N/A</v>
      </c>
      <c r="H62" s="196" t="e">
        <f t="array" ref="H62">INDEX(G:G,SMALL(IF($G$52:$G$69&lt;&gt;"",ROW($52:$69),70),ROW(H11)))&amp;""</f>
        <v>#N/A</v>
      </c>
      <c r="I62" s="193"/>
      <c r="J62" s="193">
        <f>IFERROR(INDEX($BW$81:$CF$93,$J$1,5),"")</f>
        <v>0</v>
      </c>
      <c r="K62" s="340" t="str">
        <f>IF(综合数据!B20=TRUE,"符文雕刻者","")</f>
        <v>符文雕刻者</v>
      </c>
      <c r="L62" s="341">
        <f t="shared" si="0"/>
        <v>61</v>
      </c>
      <c r="M62" s="198" t="s">
        <v>5650</v>
      </c>
      <c r="N62" s="224" t="s">
        <v>4441</v>
      </c>
      <c r="O62" s="198" t="s">
        <v>4324</v>
      </c>
      <c r="P62" s="297" t="s">
        <v>5651</v>
      </c>
      <c r="Q62" s="297" t="s">
        <v>5652</v>
      </c>
      <c r="S62" s="240" t="s">
        <v>5653</v>
      </c>
      <c r="T62" s="240" t="s">
        <v>5654</v>
      </c>
      <c r="U62" s="240" t="s">
        <v>5655</v>
      </c>
      <c r="V62" s="240" t="s">
        <v>5656</v>
      </c>
      <c r="W62" s="240" t="s">
        <v>5657</v>
      </c>
      <c r="X62" s="240" t="s">
        <v>5658</v>
      </c>
      <c r="Y62" s="240" t="str">
        <f t="shared" ref="Y62:AR62" si="29">""</f>
        <v/>
      </c>
      <c r="Z62" s="240" t="str">
        <f t="shared" si="29"/>
        <v/>
      </c>
      <c r="AA62" s="298" t="str">
        <f t="shared" si="29"/>
        <v/>
      </c>
      <c r="AB62" s="298" t="str">
        <f t="shared" si="29"/>
        <v/>
      </c>
      <c r="AC62" s="298" t="str">
        <f t="shared" si="29"/>
        <v/>
      </c>
      <c r="AD62" s="298" t="str">
        <f t="shared" si="29"/>
        <v/>
      </c>
      <c r="AE62" s="233" t="str">
        <f t="shared" si="29"/>
        <v/>
      </c>
      <c r="AF62" s="298" t="str">
        <f t="shared" si="29"/>
        <v/>
      </c>
      <c r="AG62" s="299" t="str">
        <f t="shared" si="29"/>
        <v/>
      </c>
      <c r="AH62" s="299" t="str">
        <f t="shared" si="29"/>
        <v/>
      </c>
      <c r="AI62" s="299" t="str">
        <f t="shared" si="29"/>
        <v/>
      </c>
      <c r="AJ62" s="299" t="str">
        <f t="shared" si="29"/>
        <v/>
      </c>
      <c r="AK62" s="299" t="str">
        <f t="shared" si="29"/>
        <v/>
      </c>
      <c r="AL62" s="299" t="str">
        <f t="shared" si="29"/>
        <v/>
      </c>
      <c r="AM62" s="300" t="str">
        <f t="shared" si="29"/>
        <v/>
      </c>
      <c r="AN62" s="300" t="str">
        <f t="shared" si="29"/>
        <v/>
      </c>
      <c r="AO62" s="300" t="str">
        <f t="shared" si="29"/>
        <v/>
      </c>
      <c r="AP62" s="300" t="str">
        <f t="shared" si="29"/>
        <v/>
      </c>
      <c r="AQ62" s="300" t="str">
        <f t="shared" si="29"/>
        <v/>
      </c>
      <c r="AR62" s="300" t="str">
        <f t="shared" si="29"/>
        <v/>
      </c>
      <c r="AS62" s="301"/>
      <c r="AT62" s="301"/>
      <c r="AU62" s="301"/>
      <c r="AV62" s="301"/>
      <c r="AW62" s="301"/>
      <c r="AX62" s="301"/>
      <c r="AY62" s="198" t="s">
        <v>5659</v>
      </c>
      <c r="AZ62" s="241" t="s">
        <v>5660</v>
      </c>
      <c r="BA62" s="241" t="s">
        <v>5661</v>
      </c>
      <c r="BB62" s="241" t="s">
        <v>5662</v>
      </c>
      <c r="BC62" s="241" t="s">
        <v>5663</v>
      </c>
      <c r="BD62" s="241" t="s">
        <v>5664</v>
      </c>
      <c r="BE62" s="241" t="s">
        <v>5665</v>
      </c>
      <c r="BF62" s="241"/>
      <c r="BG62" s="241"/>
      <c r="BH62" s="241"/>
      <c r="BI62" s="241"/>
      <c r="BJ62" s="241"/>
      <c r="BK62" s="241"/>
      <c r="BL62" s="241"/>
      <c r="BM62" s="241"/>
      <c r="BN62" s="241"/>
      <c r="BO62" s="241"/>
      <c r="BP62" s="241"/>
      <c r="BQ62" s="241"/>
      <c r="BR62" s="241"/>
      <c r="BS62" s="302"/>
    </row>
    <row r="63" customHeight="1" spans="2:71">
      <c r="E63" s="232" t="str">
        <f t="array" ref="E63">INDEX(K:K,SMALL(IF($K$2:$K$78&lt;&gt;"",ROW($2:$78),79),ROW(K62)))&amp;""</f>
        <v>门镇守卫</v>
      </c>
      <c r="F63" s="222"/>
      <c r="G63" s="325" t="e">
        <f>IF(AND(综合数据!B15=TRUE,H1&gt;0),"全世界都被一个可怕的谎言所迷惑，我决定要揭露真相。","")</f>
        <v>#N/A</v>
      </c>
      <c r="H63" s="196" t="e">
        <f t="array" ref="H63">INDEX(G:G,SMALL(IF($G$52:$G$69&lt;&gt;"",ROW($52:$69),70),ROW(H12)))&amp;""</f>
        <v>#N/A</v>
      </c>
      <c r="I63" s="193"/>
      <c r="J63" s="193">
        <f>IFERROR(INDEX($BW$81:$CF$93,$J$1,6),"")</f>
        <v>0</v>
      </c>
      <c r="K63" s="342" t="str">
        <f>IF(综合数据!B21=TRUE,"门镇守卫","")</f>
        <v>门镇守卫</v>
      </c>
      <c r="L63" s="343">
        <f t="shared" si="0"/>
        <v>62</v>
      </c>
      <c r="M63" s="198" t="s">
        <v>5666</v>
      </c>
      <c r="O63" s="224" t="s">
        <v>4194</v>
      </c>
      <c r="P63" s="297" t="s">
        <v>5667</v>
      </c>
      <c r="Q63" s="297" t="s">
        <v>5668</v>
      </c>
      <c r="S63" s="240" t="s">
        <v>5669</v>
      </c>
      <c r="T63" s="240" t="s">
        <v>5670</v>
      </c>
      <c r="U63" s="240" t="s">
        <v>5671</v>
      </c>
      <c r="V63" s="240" t="s">
        <v>5672</v>
      </c>
      <c r="W63" s="240" t="s">
        <v>5673</v>
      </c>
      <c r="X63" s="240" t="s">
        <v>5674</v>
      </c>
      <c r="Y63" s="240" t="str">
        <f t="shared" ref="Y63:AR63" si="30">""</f>
        <v/>
      </c>
      <c r="Z63" s="240" t="str">
        <f t="shared" si="30"/>
        <v/>
      </c>
      <c r="AA63" s="298" t="str">
        <f t="shared" si="30"/>
        <v/>
      </c>
      <c r="AB63" s="298" t="str">
        <f t="shared" si="30"/>
        <v/>
      </c>
      <c r="AC63" s="298" t="str">
        <f t="shared" si="30"/>
        <v/>
      </c>
      <c r="AD63" s="298" t="str">
        <f t="shared" si="30"/>
        <v/>
      </c>
      <c r="AE63" s="233" t="str">
        <f t="shared" si="30"/>
        <v/>
      </c>
      <c r="AF63" s="298" t="str">
        <f t="shared" si="30"/>
        <v/>
      </c>
      <c r="AG63" s="299" t="str">
        <f t="shared" si="30"/>
        <v/>
      </c>
      <c r="AH63" s="299" t="str">
        <f t="shared" si="30"/>
        <v/>
      </c>
      <c r="AI63" s="299" t="str">
        <f t="shared" si="30"/>
        <v/>
      </c>
      <c r="AJ63" s="299" t="str">
        <f t="shared" si="30"/>
        <v/>
      </c>
      <c r="AK63" s="299" t="str">
        <f t="shared" si="30"/>
        <v/>
      </c>
      <c r="AL63" s="299" t="str">
        <f t="shared" si="30"/>
        <v/>
      </c>
      <c r="AM63" s="300" t="str">
        <f t="shared" si="30"/>
        <v/>
      </c>
      <c r="AN63" s="300" t="str">
        <f t="shared" si="30"/>
        <v/>
      </c>
      <c r="AO63" s="300" t="str">
        <f t="shared" si="30"/>
        <v/>
      </c>
      <c r="AP63" s="300" t="str">
        <f t="shared" si="30"/>
        <v/>
      </c>
      <c r="AQ63" s="300" t="str">
        <f t="shared" si="30"/>
        <v/>
      </c>
      <c r="AR63" s="300" t="str">
        <f t="shared" si="30"/>
        <v/>
      </c>
      <c r="AS63" s="301"/>
      <c r="AT63" s="301"/>
      <c r="AU63" s="301"/>
      <c r="AV63" s="301"/>
      <c r="AW63" s="301"/>
      <c r="AX63" s="301"/>
      <c r="AY63" s="198" t="s">
        <v>5675</v>
      </c>
      <c r="AZ63" s="241" t="s">
        <v>5676</v>
      </c>
      <c r="BA63" s="241" t="s">
        <v>5677</v>
      </c>
      <c r="BB63" s="241" t="s">
        <v>5678</v>
      </c>
      <c r="BC63" s="241" t="s">
        <v>5679</v>
      </c>
      <c r="BD63" s="241" t="s">
        <v>5680</v>
      </c>
      <c r="BE63" s="241" t="s">
        <v>5681</v>
      </c>
      <c r="BF63" s="241"/>
      <c r="BG63" s="241"/>
      <c r="BH63" s="241"/>
      <c r="BI63" s="241"/>
      <c r="BJ63" s="241"/>
      <c r="BK63" s="241"/>
      <c r="BL63" s="241"/>
      <c r="BM63" s="241"/>
      <c r="BN63" s="241"/>
      <c r="BO63" s="241"/>
      <c r="BP63" s="241"/>
      <c r="BQ63" s="241"/>
      <c r="BR63" s="241"/>
      <c r="BS63" s="302"/>
    </row>
    <row r="64" customHeight="1" spans="2:71">
      <c r="E64" s="232" t="str">
        <f t="array" ref="E64">INDEX(K:K,SMALL(IF($K$2:$K$78&lt;&gt;"",ROW($2:$78),79),ROW(K63)))&amp;""</f>
        <v>位面哲学家-神明非神会</v>
      </c>
      <c r="F64" s="222"/>
      <c r="G64" s="325" t="e">
        <f>IF(AND(综合数据!B15=TRUE,H1&gt;0),"我特别怀念某个人，所以我毫不犹豫地收养了一个让我能想到他的人。","")</f>
        <v>#N/A</v>
      </c>
      <c r="H64" s="196" t="e">
        <f t="array" ref="H64">INDEX(G:G,SMALL(IF($G$52:$G$69&lt;&gt;"",ROW($52:$69),70),ROW(H13)))&amp;""</f>
        <v>#N/A</v>
      </c>
      <c r="I64" s="193"/>
      <c r="J64" s="193">
        <f>IFERROR(INDEX($BW$81:$CF$93,$J$1,7),"")</f>
        <v>0</v>
      </c>
      <c r="K64" s="342" t="str">
        <f>IF(综合数据!B21=TRUE,"位面哲学家-神明非神会","")</f>
        <v>位面哲学家-神明非神会</v>
      </c>
      <c r="L64" s="343">
        <f t="shared" si="0"/>
        <v>63</v>
      </c>
      <c r="M64" s="198" t="s">
        <v>5682</v>
      </c>
      <c r="O64" s="224" t="s">
        <v>4194</v>
      </c>
      <c r="P64" s="297" t="s">
        <v>5683</v>
      </c>
      <c r="Q64" s="297" t="s">
        <v>5684</v>
      </c>
      <c r="S64" s="240" t="s">
        <v>5685</v>
      </c>
      <c r="T64" s="240" t="s">
        <v>5686</v>
      </c>
      <c r="U64" s="240" t="s">
        <v>5687</v>
      </c>
      <c r="V64" s="240" t="s">
        <v>5688</v>
      </c>
      <c r="W64" s="240" t="s">
        <v>5689</v>
      </c>
      <c r="X64" s="240" t="s">
        <v>5690</v>
      </c>
      <c r="Y64" s="240" t="str">
        <f t="shared" ref="Y64:AR64" si="31">""</f>
        <v/>
      </c>
      <c r="Z64" s="240" t="str">
        <f t="shared" si="31"/>
        <v/>
      </c>
      <c r="AA64" s="298" t="str">
        <f t="shared" si="31"/>
        <v/>
      </c>
      <c r="AB64" s="298" t="str">
        <f t="shared" si="31"/>
        <v/>
      </c>
      <c r="AC64" s="298" t="str">
        <f t="shared" si="31"/>
        <v/>
      </c>
      <c r="AD64" s="298" t="str">
        <f t="shared" si="31"/>
        <v/>
      </c>
      <c r="AE64" s="233" t="str">
        <f t="shared" si="31"/>
        <v/>
      </c>
      <c r="AF64" s="298" t="str">
        <f t="shared" si="31"/>
        <v/>
      </c>
      <c r="AG64" s="299" t="str">
        <f t="shared" si="31"/>
        <v/>
      </c>
      <c r="AH64" s="299" t="str">
        <f t="shared" si="31"/>
        <v/>
      </c>
      <c r="AI64" s="299" t="str">
        <f t="shared" si="31"/>
        <v/>
      </c>
      <c r="AJ64" s="299" t="str">
        <f t="shared" si="31"/>
        <v/>
      </c>
      <c r="AK64" s="299" t="str">
        <f t="shared" si="31"/>
        <v/>
      </c>
      <c r="AL64" s="299" t="str">
        <f t="shared" si="31"/>
        <v/>
      </c>
      <c r="AM64" s="300" t="str">
        <f t="shared" si="31"/>
        <v/>
      </c>
      <c r="AN64" s="300" t="str">
        <f t="shared" si="31"/>
        <v/>
      </c>
      <c r="AO64" s="300" t="str">
        <f t="shared" si="31"/>
        <v/>
      </c>
      <c r="AP64" s="300" t="str">
        <f t="shared" si="31"/>
        <v/>
      </c>
      <c r="AQ64" s="300" t="str">
        <f t="shared" si="31"/>
        <v/>
      </c>
      <c r="AR64" s="300" t="str">
        <f t="shared" si="31"/>
        <v/>
      </c>
      <c r="AS64" s="301"/>
      <c r="AT64" s="301"/>
      <c r="AU64" s="301"/>
      <c r="AV64" s="301"/>
      <c r="AW64" s="301"/>
      <c r="AX64" s="301"/>
      <c r="AY64" s="198" t="s">
        <v>5675</v>
      </c>
      <c r="AZ64" s="241" t="s">
        <v>5691</v>
      </c>
      <c r="BA64" s="241" t="s">
        <v>5692</v>
      </c>
      <c r="BB64" s="241" t="s">
        <v>5693</v>
      </c>
      <c r="BC64" s="241" t="s">
        <v>5694</v>
      </c>
      <c r="BD64" s="241" t="s">
        <v>5695</v>
      </c>
      <c r="BE64" s="241" t="s">
        <v>5696</v>
      </c>
      <c r="BF64" s="241"/>
      <c r="BG64" s="241"/>
      <c r="BH64" s="241"/>
      <c r="BI64" s="241"/>
      <c r="BJ64" s="241"/>
      <c r="BK64" s="241"/>
      <c r="BL64" s="241"/>
      <c r="BM64" s="241"/>
      <c r="BN64" s="241"/>
      <c r="BO64" s="241"/>
      <c r="BP64" s="241"/>
      <c r="BQ64" s="241"/>
      <c r="BR64" s="241"/>
      <c r="BS64" s="302"/>
    </row>
    <row r="65" customHeight="1" spans="5:84">
      <c r="E65" s="232" t="str">
        <f t="array" ref="E65">INDEX(K:K,SMALL(IF($K$2:$K$78&lt;&gt;"",ROW($2:$78),79),ROW(K64)))&amp;""</f>
        <v>位面哲学家-无望党</v>
      </c>
      <c r="F65" s="222"/>
      <c r="G65" s="325" t="e">
        <f>IF(AND(综合数据!B15=TRUE,H1&gt;0),"某种巨大的邪恶的栖身在我体内，我将为消灭它、以及世上其他的邪恶战斗到底。","")</f>
        <v>#N/A</v>
      </c>
      <c r="H65" s="196" t="e">
        <f t="array" ref="H65">INDEX(G:G,SMALL(IF($G$52:$G$69&lt;&gt;"",ROW($52:$69),70),ROW(H14)))&amp;""</f>
        <v>#N/A</v>
      </c>
      <c r="I65" s="193"/>
      <c r="J65" s="193">
        <f>IFERROR(INDEX($BW$81:$CF$93,$J$1,8),"")</f>
        <v>0</v>
      </c>
      <c r="K65" s="342" t="str">
        <f>IF(综合数据!B21=TRUE,"位面哲学家-无望党","")</f>
        <v>位面哲学家-无望党</v>
      </c>
      <c r="L65" s="343">
        <f t="shared" si="0"/>
        <v>64</v>
      </c>
      <c r="M65" s="198" t="s">
        <v>5697</v>
      </c>
      <c r="O65" s="181" t="str">
        <f>O$64</f>
        <v>任选两门语言</v>
      </c>
      <c r="P65" s="297" t="str">
        <f t="shared" ref="P65:X75" si="32">P$64</f>
        <v>信念之力</v>
      </c>
      <c r="Q65" s="297" t="str">
        <f t="shared" si="32"/>
        <v>你获得专长 外层位面后裔。此外，你组织的成员会保证你在任何其他成员的房屋或组织的设施中的自由、住宿、与饮食。</v>
      </c>
      <c r="S65" s="240" t="str">
        <f t="shared" si="32"/>
        <v>我可不信任何一个神。只要时间够，我也能和它们一样强大，或者比它们更强大。</v>
      </c>
      <c r="T65" s="240" t="str">
        <f t="shared" si="32"/>
        <v>经验学识便是一切；活在当下。</v>
      </c>
      <c r="U65" s="240" t="str">
        <f t="shared" si="32"/>
        <v>我能从任何东西崩坏后留下的尘埃中悟出新的哲理。</v>
      </c>
      <c r="V65" s="240" t="str">
        <f t="shared" si="32"/>
        <v>生活井然有序，而我正在保持这种秩序。</v>
      </c>
      <c r="W65" s="240" t="str">
        <f t="shared" si="32"/>
        <v>当别人搞什么大计划时，多元宇宙估计会笑话他们，当然，我也笑。</v>
      </c>
      <c r="X65" s="240" t="str">
        <f t="shared" si="32"/>
        <v>我知道什么是正确的，但没有人站在我这边！</v>
      </c>
      <c r="Y65" s="240" t="str">
        <f t="shared" ref="Y65:AR65" si="33">""</f>
        <v/>
      </c>
      <c r="Z65" s="240" t="str">
        <f t="shared" si="33"/>
        <v/>
      </c>
      <c r="AA65" s="298" t="str">
        <f t="shared" si="33"/>
        <v/>
      </c>
      <c r="AB65" s="298" t="str">
        <f t="shared" si="33"/>
        <v/>
      </c>
      <c r="AC65" s="298" t="str">
        <f t="shared" si="33"/>
        <v/>
      </c>
      <c r="AD65" s="298" t="str">
        <f t="shared" si="33"/>
        <v/>
      </c>
      <c r="AE65" s="233" t="str">
        <f t="shared" si="33"/>
        <v/>
      </c>
      <c r="AF65" s="298" t="str">
        <f t="shared" si="33"/>
        <v/>
      </c>
      <c r="AG65" s="299" t="str">
        <f t="shared" si="33"/>
        <v/>
      </c>
      <c r="AH65" s="299" t="str">
        <f t="shared" si="33"/>
        <v/>
      </c>
      <c r="AI65" s="299" t="str">
        <f t="shared" si="33"/>
        <v/>
      </c>
      <c r="AJ65" s="299" t="str">
        <f t="shared" si="33"/>
        <v/>
      </c>
      <c r="AK65" s="299" t="str">
        <f t="shared" si="33"/>
        <v/>
      </c>
      <c r="AL65" s="299" t="str">
        <f t="shared" si="33"/>
        <v/>
      </c>
      <c r="AM65" s="300" t="str">
        <f t="shared" si="33"/>
        <v/>
      </c>
      <c r="AN65" s="300" t="str">
        <f t="shared" si="33"/>
        <v/>
      </c>
      <c r="AO65" s="300" t="str">
        <f t="shared" si="33"/>
        <v/>
      </c>
      <c r="AP65" s="300" t="str">
        <f t="shared" si="33"/>
        <v/>
      </c>
      <c r="AQ65" s="300" t="str">
        <f t="shared" si="33"/>
        <v/>
      </c>
      <c r="AR65" s="300" t="str">
        <f t="shared" si="33"/>
        <v/>
      </c>
      <c r="AS65" s="301"/>
      <c r="AT65" s="301"/>
      <c r="AU65" s="301"/>
      <c r="AV65" s="301"/>
      <c r="AW65" s="301"/>
      <c r="AX65" s="301"/>
      <c r="AY65" s="181" t="str">
        <f>AY$64</f>
        <v>饰品</v>
      </c>
      <c r="AZ65" s="241" t="str">
        <f t="shared" ref="AZ65:BE75" si="34">AZ$64</f>
        <v>装有我导师照片与一段我无法理解的铭文的吊坠小盒</v>
      </c>
      <c r="BA65" s="241" t="str">
        <f t="shared" si="34"/>
        <v>漂白的颅鼠头骨，它的眼眶内还被镶嵌了彩色的玻璃珠</v>
      </c>
      <c r="BB65" s="241" t="str">
        <f t="shared" si="34"/>
        <v>一大叠画有半套画谜的羊皮纸</v>
      </c>
      <c r="BC65" s="241" t="str">
        <f t="shared" si="34"/>
        <v>扭曲的刃藤编制而成的手镯</v>
      </c>
      <c r="BD65" s="241" t="str">
        <f t="shared" si="34"/>
        <v>锈迹斑斑的青铜刀剑的一块碎片</v>
      </c>
      <c r="BE65" s="241" t="str">
        <f t="shared" si="34"/>
        <v>一枚被遗忘的神明的损坏圣徽</v>
      </c>
      <c r="BF65" s="241"/>
      <c r="BG65" s="241"/>
      <c r="BH65" s="241"/>
      <c r="BI65" s="241"/>
      <c r="BJ65" s="241"/>
      <c r="BK65" s="241"/>
      <c r="BL65" s="241"/>
      <c r="BM65" s="241"/>
      <c r="BN65" s="241"/>
      <c r="BO65" s="241"/>
      <c r="BP65" s="241"/>
      <c r="BQ65" s="241"/>
      <c r="BR65" s="241"/>
      <c r="BS65" s="302"/>
    </row>
    <row r="66" customHeight="1" spans="5:84">
      <c r="E66" s="232" t="str">
        <f t="array" ref="E66">INDEX(K:K,SMALL(IF($K$2:$K$78&lt;&gt;"",ROW($2:$78),79),ROW(K65)))&amp;""</f>
        <v>位面哲学家-末日守卫</v>
      </c>
      <c r="F66" s="222"/>
      <c r="G66" s="325" t="e">
        <f>IF(AND(综合数据!B15=TRUE,H1&gt;0),"我正为自己或身边的人寻找一种治愈痛苦或诅咒的方法。","")</f>
        <v>#N/A</v>
      </c>
      <c r="H66" s="196" t="e">
        <f t="array" ref="H66">INDEX(G:G,SMALL(IF($G$52:$G$69&lt;&gt;"",ROW($52:$69),70),ROW(H15)))&amp;""</f>
        <v>#N/A</v>
      </c>
      <c r="I66" s="193"/>
      <c r="J66" s="193">
        <f>IFERROR(INDEX($BW$81:$CF$93,$J$1,9),"")</f>
        <v>0</v>
      </c>
      <c r="K66" s="342" t="str">
        <f>IF(综合数据!B21=TRUE,"位面哲学家-末日守卫","")</f>
        <v>位面哲学家-末日守卫</v>
      </c>
      <c r="L66" s="343">
        <f t="shared" si="0"/>
        <v>65</v>
      </c>
      <c r="M66" s="198" t="s">
        <v>5577</v>
      </c>
      <c r="O66" s="181" t="str">
        <f t="shared" ref="O66:O75" si="35">O$64</f>
        <v>任选两门语言</v>
      </c>
      <c r="P66" s="297" t="str">
        <f t="shared" si="32"/>
        <v>信念之力</v>
      </c>
      <c r="Q66" s="297" t="str">
        <f t="shared" si="32"/>
        <v>你获得专长 外层位面后裔。此外，你组织的成员会保证你在任何其他成员的房屋或组织的设施中的自由、住宿、与饮食。</v>
      </c>
      <c r="S66" s="240" t="str">
        <f t="shared" si="32"/>
        <v>我可不信任何一个神。只要时间够，我也能和它们一样强大，或者比它们更强大。</v>
      </c>
      <c r="T66" s="240" t="str">
        <f t="shared" si="32"/>
        <v>经验学识便是一切；活在当下。</v>
      </c>
      <c r="U66" s="240" t="str">
        <f t="shared" si="32"/>
        <v>我能从任何东西崩坏后留下的尘埃中悟出新的哲理。</v>
      </c>
      <c r="V66" s="240" t="str">
        <f t="shared" si="32"/>
        <v>生活井然有序，而我正在保持这种秩序。</v>
      </c>
      <c r="W66" s="240" t="str">
        <f t="shared" si="32"/>
        <v>当别人搞什么大计划时，多元宇宙估计会笑话他们，当然，我也笑。</v>
      </c>
      <c r="X66" s="240" t="str">
        <f t="shared" si="32"/>
        <v>我知道什么是正确的，但没有人站在我这边！</v>
      </c>
      <c r="Y66" s="240" t="str">
        <f t="shared" ref="Y66:AR66" si="36">""</f>
        <v/>
      </c>
      <c r="Z66" s="240" t="str">
        <f t="shared" si="36"/>
        <v/>
      </c>
      <c r="AA66" s="298" t="str">
        <f t="shared" si="36"/>
        <v/>
      </c>
      <c r="AB66" s="298" t="str">
        <f t="shared" si="36"/>
        <v/>
      </c>
      <c r="AC66" s="298" t="str">
        <f t="shared" si="36"/>
        <v/>
      </c>
      <c r="AD66" s="298" t="str">
        <f t="shared" si="36"/>
        <v/>
      </c>
      <c r="AE66" s="233" t="str">
        <f t="shared" si="36"/>
        <v/>
      </c>
      <c r="AF66" s="298" t="str">
        <f t="shared" si="36"/>
        <v/>
      </c>
      <c r="AG66" s="299" t="str">
        <f t="shared" si="36"/>
        <v/>
      </c>
      <c r="AH66" s="299" t="str">
        <f t="shared" si="36"/>
        <v/>
      </c>
      <c r="AI66" s="299" t="str">
        <f t="shared" si="36"/>
        <v/>
      </c>
      <c r="AJ66" s="299" t="str">
        <f t="shared" si="36"/>
        <v/>
      </c>
      <c r="AK66" s="299" t="str">
        <f t="shared" si="36"/>
        <v/>
      </c>
      <c r="AL66" s="299" t="str">
        <f t="shared" si="36"/>
        <v/>
      </c>
      <c r="AM66" s="300" t="str">
        <f t="shared" si="36"/>
        <v/>
      </c>
      <c r="AN66" s="300" t="str">
        <f t="shared" si="36"/>
        <v/>
      </c>
      <c r="AO66" s="300" t="str">
        <f t="shared" si="36"/>
        <v/>
      </c>
      <c r="AP66" s="300" t="str">
        <f t="shared" si="36"/>
        <v/>
      </c>
      <c r="AQ66" s="300" t="str">
        <f t="shared" si="36"/>
        <v/>
      </c>
      <c r="AR66" s="300" t="str">
        <f t="shared" si="36"/>
        <v/>
      </c>
      <c r="AS66" s="301"/>
      <c r="AT66" s="301"/>
      <c r="AU66" s="301"/>
      <c r="AV66" s="301"/>
      <c r="AW66" s="301"/>
      <c r="AX66" s="301"/>
      <c r="AY66" s="181" t="str">
        <f t="shared" ref="AY66:AY77" si="37">AY$64</f>
        <v>饰品</v>
      </c>
      <c r="AZ66" s="241" t="str">
        <f t="shared" si="34"/>
        <v>装有我导师照片与一段我无法理解的铭文的吊坠小盒</v>
      </c>
      <c r="BA66" s="241" t="str">
        <f t="shared" si="34"/>
        <v>漂白的颅鼠头骨，它的眼眶内还被镶嵌了彩色的玻璃珠</v>
      </c>
      <c r="BB66" s="241" t="str">
        <f t="shared" si="34"/>
        <v>一大叠画有半套画谜的羊皮纸</v>
      </c>
      <c r="BC66" s="241" t="str">
        <f t="shared" si="34"/>
        <v>扭曲的刃藤编制而成的手镯</v>
      </c>
      <c r="BD66" s="241" t="str">
        <f t="shared" si="34"/>
        <v>锈迹斑斑的青铜刀剑的一块碎片</v>
      </c>
      <c r="BE66" s="241" t="str">
        <f t="shared" si="34"/>
        <v>一枚被遗忘的神明的损坏圣徽</v>
      </c>
      <c r="BF66" s="241"/>
      <c r="BG66" s="241"/>
      <c r="BH66" s="241"/>
      <c r="BI66" s="241"/>
      <c r="BJ66" s="241"/>
      <c r="BK66" s="241"/>
      <c r="BL66" s="241"/>
      <c r="BM66" s="241"/>
      <c r="BN66" s="241"/>
      <c r="BO66" s="241"/>
      <c r="BP66" s="241"/>
      <c r="BQ66" s="241"/>
      <c r="BR66" s="241"/>
      <c r="BS66" s="302"/>
    </row>
    <row r="67" customHeight="1" spans="5:84">
      <c r="E67" s="232" t="str">
        <f t="array" ref="E67">INDEX(K:K,SMALL(IF($K$2:$K$78&lt;&gt;"",ROW($2:$78),79),ROW(K66)))&amp;""</f>
        <v>位面哲学家-定命盟</v>
      </c>
      <c r="F67" s="222"/>
      <c r="G67" s="325" t="e">
        <f>IF(AND(综合数据!B15=TRUE,H1&gt;0),"精魂被我所吸引，我也在尝试各种办法希望为它们寻得安宁。","")</f>
        <v>#N/A</v>
      </c>
      <c r="H67" s="196" t="e">
        <f t="array" ref="H67">INDEX(G:G,SMALL(IF($G$52:$G$69&lt;&gt;"",ROW($52:$69),70),ROW(H16)))&amp;""</f>
        <v>#N/A</v>
      </c>
      <c r="I67" s="235"/>
      <c r="J67" s="235">
        <f>IFERROR(INDEX($BW$81:$CF$93,$J$1,10),"")</f>
        <v>0</v>
      </c>
      <c r="K67" s="342" t="str">
        <f>IF(综合数据!B21=TRUE,"位面哲学家-定命盟","")</f>
        <v>位面哲学家-定命盟</v>
      </c>
      <c r="L67" s="343">
        <f t="shared" si="0"/>
        <v>66</v>
      </c>
      <c r="M67" s="198" t="s">
        <v>5698</v>
      </c>
      <c r="O67" s="181" t="str">
        <f t="shared" si="35"/>
        <v>任选两门语言</v>
      </c>
      <c r="P67" s="297" t="str">
        <f t="shared" si="32"/>
        <v>信念之力</v>
      </c>
      <c r="Q67" s="297" t="str">
        <f t="shared" si="32"/>
        <v>你获得专长 外层位面后裔。此外，你组织的成员会保证你在任何其他成员的房屋或组织的设施中的自由、住宿、与饮食。</v>
      </c>
      <c r="S67" s="240" t="str">
        <f t="shared" si="32"/>
        <v>我可不信任何一个神。只要时间够，我也能和它们一样强大，或者比它们更强大。</v>
      </c>
      <c r="T67" s="240" t="str">
        <f t="shared" si="32"/>
        <v>经验学识便是一切；活在当下。</v>
      </c>
      <c r="U67" s="240" t="str">
        <f t="shared" si="32"/>
        <v>我能从任何东西崩坏后留下的尘埃中悟出新的哲理。</v>
      </c>
      <c r="V67" s="240" t="str">
        <f t="shared" si="32"/>
        <v>生活井然有序，而我正在保持这种秩序。</v>
      </c>
      <c r="W67" s="240" t="str">
        <f t="shared" si="32"/>
        <v>当别人搞什么大计划时，多元宇宙估计会笑话他们，当然，我也笑。</v>
      </c>
      <c r="X67" s="240" t="str">
        <f t="shared" si="32"/>
        <v>我知道什么是正确的，但没有人站在我这边！</v>
      </c>
      <c r="Y67" s="240" t="str">
        <f t="shared" ref="Y67:AR67" si="38">""</f>
        <v/>
      </c>
      <c r="Z67" s="240" t="str">
        <f t="shared" si="38"/>
        <v/>
      </c>
      <c r="AA67" s="298" t="str">
        <f t="shared" si="38"/>
        <v/>
      </c>
      <c r="AB67" s="298" t="str">
        <f t="shared" si="38"/>
        <v/>
      </c>
      <c r="AC67" s="298" t="str">
        <f t="shared" si="38"/>
        <v/>
      </c>
      <c r="AD67" s="298" t="str">
        <f t="shared" si="38"/>
        <v/>
      </c>
      <c r="AE67" s="233" t="str">
        <f t="shared" si="38"/>
        <v/>
      </c>
      <c r="AF67" s="298" t="str">
        <f t="shared" si="38"/>
        <v/>
      </c>
      <c r="AG67" s="299" t="str">
        <f t="shared" si="38"/>
        <v/>
      </c>
      <c r="AH67" s="299" t="str">
        <f t="shared" si="38"/>
        <v/>
      </c>
      <c r="AI67" s="299" t="str">
        <f t="shared" si="38"/>
        <v/>
      </c>
      <c r="AJ67" s="299" t="str">
        <f t="shared" si="38"/>
        <v/>
      </c>
      <c r="AK67" s="299" t="str">
        <f t="shared" si="38"/>
        <v/>
      </c>
      <c r="AL67" s="299" t="str">
        <f t="shared" si="38"/>
        <v/>
      </c>
      <c r="AM67" s="300" t="str">
        <f t="shared" si="38"/>
        <v/>
      </c>
      <c r="AN67" s="300" t="str">
        <f t="shared" si="38"/>
        <v/>
      </c>
      <c r="AO67" s="300" t="str">
        <f t="shared" si="38"/>
        <v/>
      </c>
      <c r="AP67" s="300" t="str">
        <f t="shared" si="38"/>
        <v/>
      </c>
      <c r="AQ67" s="300" t="str">
        <f t="shared" si="38"/>
        <v/>
      </c>
      <c r="AR67" s="300" t="str">
        <f t="shared" si="38"/>
        <v/>
      </c>
      <c r="AS67" s="301"/>
      <c r="AT67" s="301"/>
      <c r="AU67" s="301"/>
      <c r="AV67" s="301"/>
      <c r="AW67" s="301"/>
      <c r="AX67" s="301"/>
      <c r="AY67" s="181" t="str">
        <f t="shared" si="37"/>
        <v>饰品</v>
      </c>
      <c r="AZ67" s="241" t="str">
        <f t="shared" si="34"/>
        <v>装有我导师照片与一段我无法理解的铭文的吊坠小盒</v>
      </c>
      <c r="BA67" s="241" t="str">
        <f t="shared" si="34"/>
        <v>漂白的颅鼠头骨，它的眼眶内还被镶嵌了彩色的玻璃珠</v>
      </c>
      <c r="BB67" s="241" t="str">
        <f t="shared" si="34"/>
        <v>一大叠画有半套画谜的羊皮纸</v>
      </c>
      <c r="BC67" s="241" t="str">
        <f t="shared" si="34"/>
        <v>扭曲的刃藤编制而成的手镯</v>
      </c>
      <c r="BD67" s="241" t="str">
        <f t="shared" si="34"/>
        <v>锈迹斑斑的青铜刀剑的一块碎片</v>
      </c>
      <c r="BE67" s="241" t="str">
        <f t="shared" si="34"/>
        <v>一枚被遗忘的神明的损坏圣徽</v>
      </c>
      <c r="BF67" s="241"/>
      <c r="BG67" s="241"/>
      <c r="BH67" s="241"/>
      <c r="BI67" s="241"/>
      <c r="BJ67" s="241"/>
      <c r="BK67" s="241"/>
      <c r="BL67" s="241"/>
      <c r="BM67" s="241"/>
      <c r="BN67" s="241"/>
      <c r="BO67" s="241"/>
      <c r="BP67" s="241"/>
      <c r="BQ67" s="241"/>
      <c r="BR67" s="241"/>
      <c r="BS67" s="302"/>
    </row>
    <row r="68" customHeight="1" spans="5:84">
      <c r="E68" s="232" t="str">
        <f t="array" ref="E68">INDEX(K:K,SMALL(IF($K$2:$K$78&lt;&gt;"",ROW($2:$78),79),ROW(K67)))&amp;""</f>
        <v>位面哲学家-秩序厅</v>
      </c>
      <c r="F68" s="222"/>
      <c r="G68" s="325" t="e">
        <f>IF(AND(综合数据!B15=TRUE,H1&gt;0),"我用精明的头脑解决各种问题，并为那些被冤枉的人伸张正义。","")</f>
        <v>#N/A</v>
      </c>
      <c r="H68" s="196" t="e">
        <f t="array" ref="H68">INDEX(G:G,SMALL(IF($G$52:$G$69&lt;&gt;"",ROW($52:$69),70),ROW(H17)))&amp;""</f>
        <v>#N/A</v>
      </c>
      <c r="K68" s="342" t="str">
        <f>IF(综合数据!B21=TRUE,"位面哲学家-秩序厅","")</f>
        <v>位面哲学家-秩序厅</v>
      </c>
      <c r="L68" s="343">
        <f t="shared" ref="L68:L78" si="39">L67+1</f>
        <v>67</v>
      </c>
      <c r="M68" s="198" t="s">
        <v>4644</v>
      </c>
      <c r="O68" s="181" t="str">
        <f t="shared" si="35"/>
        <v>任选两门语言</v>
      </c>
      <c r="P68" s="297" t="str">
        <f t="shared" si="32"/>
        <v>信念之力</v>
      </c>
      <c r="Q68" s="297" t="str">
        <f t="shared" si="32"/>
        <v>你获得专长 外层位面后裔。此外，你组织的成员会保证你在任何其他成员的房屋或组织的设施中的自由、住宿、与饮食。</v>
      </c>
      <c r="S68" s="240" t="str">
        <f t="shared" si="32"/>
        <v>我可不信任何一个神。只要时间够，我也能和它们一样强大，或者比它们更强大。</v>
      </c>
      <c r="T68" s="240" t="str">
        <f t="shared" si="32"/>
        <v>经验学识便是一切；活在当下。</v>
      </c>
      <c r="U68" s="240" t="str">
        <f t="shared" si="32"/>
        <v>我能从任何东西崩坏后留下的尘埃中悟出新的哲理。</v>
      </c>
      <c r="V68" s="240" t="str">
        <f t="shared" si="32"/>
        <v>生活井然有序，而我正在保持这种秩序。</v>
      </c>
      <c r="W68" s="240" t="str">
        <f t="shared" si="32"/>
        <v>当别人搞什么大计划时，多元宇宙估计会笑话他们，当然，我也笑。</v>
      </c>
      <c r="X68" s="240" t="str">
        <f t="shared" si="32"/>
        <v>我知道什么是正确的，但没有人站在我这边！</v>
      </c>
      <c r="Y68" s="240" t="str">
        <f t="shared" ref="Y68:AR68" si="40">""</f>
        <v/>
      </c>
      <c r="Z68" s="240" t="str">
        <f t="shared" si="40"/>
        <v/>
      </c>
      <c r="AA68" s="298" t="str">
        <f t="shared" si="40"/>
        <v/>
      </c>
      <c r="AB68" s="298" t="str">
        <f t="shared" si="40"/>
        <v/>
      </c>
      <c r="AC68" s="298" t="str">
        <f t="shared" si="40"/>
        <v/>
      </c>
      <c r="AD68" s="298" t="str">
        <f t="shared" si="40"/>
        <v/>
      </c>
      <c r="AE68" s="233" t="str">
        <f t="shared" si="40"/>
        <v/>
      </c>
      <c r="AF68" s="298" t="str">
        <f t="shared" si="40"/>
        <v/>
      </c>
      <c r="AG68" s="299" t="str">
        <f t="shared" si="40"/>
        <v/>
      </c>
      <c r="AH68" s="299" t="str">
        <f t="shared" si="40"/>
        <v/>
      </c>
      <c r="AI68" s="299" t="str">
        <f t="shared" si="40"/>
        <v/>
      </c>
      <c r="AJ68" s="299" t="str">
        <f t="shared" si="40"/>
        <v/>
      </c>
      <c r="AK68" s="299" t="str">
        <f t="shared" si="40"/>
        <v/>
      </c>
      <c r="AL68" s="299" t="str">
        <f t="shared" si="40"/>
        <v/>
      </c>
      <c r="AM68" s="300" t="str">
        <f t="shared" si="40"/>
        <v/>
      </c>
      <c r="AN68" s="300" t="str">
        <f t="shared" si="40"/>
        <v/>
      </c>
      <c r="AO68" s="300" t="str">
        <f t="shared" si="40"/>
        <v/>
      </c>
      <c r="AP68" s="300" t="str">
        <f t="shared" si="40"/>
        <v/>
      </c>
      <c r="AQ68" s="300" t="str">
        <f t="shared" si="40"/>
        <v/>
      </c>
      <c r="AR68" s="300" t="str">
        <f t="shared" si="40"/>
        <v/>
      </c>
      <c r="AS68" s="301"/>
      <c r="AT68" s="301"/>
      <c r="AU68" s="301"/>
      <c r="AV68" s="301"/>
      <c r="AW68" s="301"/>
      <c r="AX68" s="301"/>
      <c r="AY68" s="181" t="str">
        <f t="shared" si="37"/>
        <v>饰品</v>
      </c>
      <c r="AZ68" s="241" t="str">
        <f t="shared" si="34"/>
        <v>装有我导师照片与一段我无法理解的铭文的吊坠小盒</v>
      </c>
      <c r="BA68" s="241" t="str">
        <f t="shared" si="34"/>
        <v>漂白的颅鼠头骨，它的眼眶内还被镶嵌了彩色的玻璃珠</v>
      </c>
      <c r="BB68" s="241" t="str">
        <f t="shared" si="34"/>
        <v>一大叠画有半套画谜的羊皮纸</v>
      </c>
      <c r="BC68" s="241" t="str">
        <f t="shared" si="34"/>
        <v>扭曲的刃藤编制而成的手镯</v>
      </c>
      <c r="BD68" s="241" t="str">
        <f t="shared" si="34"/>
        <v>锈迹斑斑的青铜刀剑的一块碎片</v>
      </c>
      <c r="BE68" s="241" t="str">
        <f t="shared" si="34"/>
        <v>一枚被遗忘的神明的损坏圣徽</v>
      </c>
      <c r="BF68" s="241"/>
      <c r="BG68" s="241"/>
      <c r="BH68" s="241"/>
      <c r="BI68" s="241"/>
      <c r="BJ68" s="241"/>
      <c r="BK68" s="241"/>
      <c r="BL68" s="241"/>
      <c r="BM68" s="241"/>
      <c r="BN68" s="241"/>
      <c r="BO68" s="241"/>
      <c r="BP68" s="241"/>
      <c r="BQ68" s="241"/>
      <c r="BR68" s="241"/>
      <c r="BS68" s="302"/>
    </row>
    <row r="69" customHeight="1" spans="5:84">
      <c r="E69" s="232" t="str">
        <f t="array" ref="E69">INDEX(K:K,SMALL(IF($K$2:$K$78&lt;&gt;"",ROW($2:$78),79),ROW(K68)))&amp;""</f>
        <v>位面哲学家-祸乱之手</v>
      </c>
      <c r="F69" s="222"/>
      <c r="G69" s="325" t="e">
        <f>IF(AND(综合数据!B15=TRUE,H1&gt;0),"我失去了一位我在意的人，但他仍会出现在我内疚的幻境或是梦中、亦或像精魂一样出现在我面前。","")</f>
        <v>#N/A</v>
      </c>
      <c r="H69" s="196" t="e">
        <f t="array" ref="H69">INDEX(G:G,SMALL(IF($G$52:$G$69&lt;&gt;"",ROW($52:$69),70),ROW(H18)))&amp;""</f>
        <v>#N/A</v>
      </c>
      <c r="K69" s="342" t="str">
        <f>IF(综合数据!B21=TRUE,"位面哲学家-祸乱之手","")</f>
        <v>位面哲学家-祸乱之手</v>
      </c>
      <c r="L69" s="343">
        <f t="shared" si="39"/>
        <v>68</v>
      </c>
      <c r="M69" s="198" t="s">
        <v>5699</v>
      </c>
      <c r="O69" s="181" t="str">
        <f t="shared" si="35"/>
        <v>任选两门语言</v>
      </c>
      <c r="P69" s="297" t="str">
        <f t="shared" si="32"/>
        <v>信念之力</v>
      </c>
      <c r="Q69" s="297" t="str">
        <f t="shared" si="32"/>
        <v>你获得专长 外层位面后裔。此外，你组织的成员会保证你在任何其他成员的房屋或组织的设施中的自由、住宿、与饮食。</v>
      </c>
      <c r="S69" s="240" t="str">
        <f t="shared" si="32"/>
        <v>我可不信任何一个神。只要时间够，我也能和它们一样强大，或者比它们更强大。</v>
      </c>
      <c r="T69" s="240" t="str">
        <f t="shared" si="32"/>
        <v>经验学识便是一切；活在当下。</v>
      </c>
      <c r="U69" s="240" t="str">
        <f t="shared" si="32"/>
        <v>我能从任何东西崩坏后留下的尘埃中悟出新的哲理。</v>
      </c>
      <c r="V69" s="240" t="str">
        <f t="shared" si="32"/>
        <v>生活井然有序，而我正在保持这种秩序。</v>
      </c>
      <c r="W69" s="240" t="str">
        <f t="shared" si="32"/>
        <v>当别人搞什么大计划时，多元宇宙估计会笑话他们，当然，我也笑。</v>
      </c>
      <c r="X69" s="240" t="str">
        <f t="shared" si="32"/>
        <v>我知道什么是正确的，但没有人站在我这边！</v>
      </c>
      <c r="Y69" s="240" t="str">
        <f t="shared" ref="Y69:AR69" si="41">""</f>
        <v/>
      </c>
      <c r="Z69" s="240" t="str">
        <f t="shared" si="41"/>
        <v/>
      </c>
      <c r="AA69" s="298" t="str">
        <f t="shared" si="41"/>
        <v/>
      </c>
      <c r="AB69" s="298" t="str">
        <f t="shared" si="41"/>
        <v/>
      </c>
      <c r="AC69" s="298" t="str">
        <f t="shared" si="41"/>
        <v/>
      </c>
      <c r="AD69" s="298" t="str">
        <f t="shared" si="41"/>
        <v/>
      </c>
      <c r="AE69" s="233" t="str">
        <f t="shared" si="41"/>
        <v/>
      </c>
      <c r="AF69" s="298" t="str">
        <f t="shared" si="41"/>
        <v/>
      </c>
      <c r="AG69" s="299" t="str">
        <f t="shared" si="41"/>
        <v/>
      </c>
      <c r="AH69" s="299" t="str">
        <f t="shared" si="41"/>
        <v/>
      </c>
      <c r="AI69" s="299" t="str">
        <f t="shared" si="41"/>
        <v/>
      </c>
      <c r="AJ69" s="299" t="str">
        <f t="shared" si="41"/>
        <v/>
      </c>
      <c r="AK69" s="299" t="str">
        <f t="shared" si="41"/>
        <v/>
      </c>
      <c r="AL69" s="299" t="str">
        <f t="shared" si="41"/>
        <v/>
      </c>
      <c r="AM69" s="300" t="str">
        <f t="shared" si="41"/>
        <v/>
      </c>
      <c r="AN69" s="300" t="str">
        <f t="shared" si="41"/>
        <v/>
      </c>
      <c r="AO69" s="300" t="str">
        <f t="shared" si="41"/>
        <v/>
      </c>
      <c r="AP69" s="300" t="str">
        <f t="shared" si="41"/>
        <v/>
      </c>
      <c r="AQ69" s="300" t="str">
        <f t="shared" si="41"/>
        <v/>
      </c>
      <c r="AR69" s="300" t="str">
        <f t="shared" si="41"/>
        <v/>
      </c>
      <c r="AS69" s="301"/>
      <c r="AT69" s="301"/>
      <c r="AU69" s="301"/>
      <c r="AV69" s="301"/>
      <c r="AW69" s="301"/>
      <c r="AX69" s="301"/>
      <c r="AY69" s="181" t="str">
        <f t="shared" si="37"/>
        <v>饰品</v>
      </c>
      <c r="AZ69" s="241" t="str">
        <f t="shared" si="34"/>
        <v>装有我导师照片与一段我无法理解的铭文的吊坠小盒</v>
      </c>
      <c r="BA69" s="241" t="str">
        <f t="shared" si="34"/>
        <v>漂白的颅鼠头骨，它的眼眶内还被镶嵌了彩色的玻璃珠</v>
      </c>
      <c r="BB69" s="241" t="str">
        <f t="shared" si="34"/>
        <v>一大叠画有半套画谜的羊皮纸</v>
      </c>
      <c r="BC69" s="241" t="str">
        <f t="shared" si="34"/>
        <v>扭曲的刃藤编制而成的手镯</v>
      </c>
      <c r="BD69" s="241" t="str">
        <f t="shared" si="34"/>
        <v>锈迹斑斑的青铜刀剑的一块碎片</v>
      </c>
      <c r="BE69" s="241" t="str">
        <f t="shared" si="34"/>
        <v>一枚被遗忘的神明的损坏圣徽</v>
      </c>
      <c r="BF69" s="241"/>
      <c r="BG69" s="241"/>
      <c r="BH69" s="241"/>
      <c r="BI69" s="241"/>
      <c r="BJ69" s="241"/>
      <c r="BK69" s="241"/>
      <c r="BL69" s="241"/>
      <c r="BM69" s="241"/>
      <c r="BN69" s="241"/>
      <c r="BO69" s="241"/>
      <c r="BP69" s="241"/>
      <c r="BQ69" s="241"/>
      <c r="BR69" s="241"/>
      <c r="BS69" s="302"/>
    </row>
    <row r="70" customHeight="1" spans="5:84">
      <c r="E70" s="232" t="str">
        <f t="array" ref="E70">INDEX(K:K,SMALL(IF($K$2:$K$78&lt;&gt;"",ROW($2:$78),79),ROW(K69)))&amp;""</f>
        <v>位面哲学家-和谐营</v>
      </c>
      <c r="F70" s="279"/>
      <c r="H70" s="196"/>
      <c r="K70" s="342" t="str">
        <f>IF(综合数据!B21=TRUE,"位面哲学家-和谐营","")</f>
        <v>位面哲学家-和谐营</v>
      </c>
      <c r="L70" s="343">
        <f t="shared" si="39"/>
        <v>69</v>
      </c>
      <c r="M70" s="198" t="s">
        <v>5700</v>
      </c>
      <c r="O70" s="181" t="str">
        <f t="shared" si="35"/>
        <v>任选两门语言</v>
      </c>
      <c r="P70" s="297" t="str">
        <f t="shared" si="32"/>
        <v>信念之力</v>
      </c>
      <c r="Q70" s="297" t="str">
        <f t="shared" si="32"/>
        <v>你获得专长 外层位面后裔。此外，你组织的成员会保证你在任何其他成员的房屋或组织的设施中的自由、住宿、与饮食。</v>
      </c>
      <c r="S70" s="240" t="str">
        <f t="shared" si="32"/>
        <v>我可不信任何一个神。只要时间够，我也能和它们一样强大，或者比它们更强大。</v>
      </c>
      <c r="T70" s="240" t="str">
        <f t="shared" si="32"/>
        <v>经验学识便是一切；活在当下。</v>
      </c>
      <c r="U70" s="240" t="str">
        <f t="shared" si="32"/>
        <v>我能从任何东西崩坏后留下的尘埃中悟出新的哲理。</v>
      </c>
      <c r="V70" s="240" t="str">
        <f t="shared" si="32"/>
        <v>生活井然有序，而我正在保持这种秩序。</v>
      </c>
      <c r="W70" s="240" t="str">
        <f t="shared" si="32"/>
        <v>当别人搞什么大计划时，多元宇宙估计会笑话他们，当然，我也笑。</v>
      </c>
      <c r="X70" s="240" t="str">
        <f t="shared" si="32"/>
        <v>我知道什么是正确的，但没有人站在我这边！</v>
      </c>
      <c r="Y70" s="240" t="str">
        <f t="shared" ref="Y70:AR70" si="42">""</f>
        <v/>
      </c>
      <c r="Z70" s="240" t="str">
        <f t="shared" si="42"/>
        <v/>
      </c>
      <c r="AA70" s="298" t="str">
        <f t="shared" si="42"/>
        <v/>
      </c>
      <c r="AB70" s="298" t="str">
        <f t="shared" si="42"/>
        <v/>
      </c>
      <c r="AC70" s="298" t="str">
        <f t="shared" si="42"/>
        <v/>
      </c>
      <c r="AD70" s="298" t="str">
        <f t="shared" si="42"/>
        <v/>
      </c>
      <c r="AE70" s="233" t="str">
        <f t="shared" si="42"/>
        <v/>
      </c>
      <c r="AF70" s="298" t="str">
        <f t="shared" si="42"/>
        <v/>
      </c>
      <c r="AG70" s="299" t="str">
        <f t="shared" si="42"/>
        <v/>
      </c>
      <c r="AH70" s="299" t="str">
        <f t="shared" si="42"/>
        <v/>
      </c>
      <c r="AI70" s="299" t="str">
        <f t="shared" si="42"/>
        <v/>
      </c>
      <c r="AJ70" s="299" t="str">
        <f t="shared" si="42"/>
        <v/>
      </c>
      <c r="AK70" s="299" t="str">
        <f t="shared" si="42"/>
        <v/>
      </c>
      <c r="AL70" s="299" t="str">
        <f t="shared" si="42"/>
        <v/>
      </c>
      <c r="AM70" s="300" t="str">
        <f t="shared" si="42"/>
        <v/>
      </c>
      <c r="AN70" s="300" t="str">
        <f t="shared" si="42"/>
        <v/>
      </c>
      <c r="AO70" s="300" t="str">
        <f t="shared" si="42"/>
        <v/>
      </c>
      <c r="AP70" s="300" t="str">
        <f t="shared" si="42"/>
        <v/>
      </c>
      <c r="AQ70" s="300" t="str">
        <f t="shared" si="42"/>
        <v/>
      </c>
      <c r="AR70" s="300" t="str">
        <f t="shared" si="42"/>
        <v/>
      </c>
      <c r="AS70" s="301"/>
      <c r="AT70" s="301"/>
      <c r="AU70" s="301"/>
      <c r="AV70" s="301"/>
      <c r="AW70" s="301"/>
      <c r="AX70" s="301"/>
      <c r="AY70" s="181" t="str">
        <f t="shared" si="37"/>
        <v>饰品</v>
      </c>
      <c r="AZ70" s="241" t="str">
        <f t="shared" si="34"/>
        <v>装有我导师照片与一段我无法理解的铭文的吊坠小盒</v>
      </c>
      <c r="BA70" s="241" t="str">
        <f t="shared" si="34"/>
        <v>漂白的颅鼠头骨，它的眼眶内还被镶嵌了彩色的玻璃珠</v>
      </c>
      <c r="BB70" s="241" t="str">
        <f t="shared" si="34"/>
        <v>一大叠画有半套画谜的羊皮纸</v>
      </c>
      <c r="BC70" s="241" t="str">
        <f t="shared" si="34"/>
        <v>扭曲的刃藤编制而成的手镯</v>
      </c>
      <c r="BD70" s="241" t="str">
        <f t="shared" si="34"/>
        <v>锈迹斑斑的青铜刀剑的一块碎片</v>
      </c>
      <c r="BE70" s="241" t="str">
        <f t="shared" si="34"/>
        <v>一枚被遗忘的神明的损坏圣徽</v>
      </c>
      <c r="BF70" s="241"/>
      <c r="BG70" s="241"/>
      <c r="BH70" s="241"/>
      <c r="BI70" s="241"/>
      <c r="BJ70" s="241"/>
      <c r="BK70" s="241"/>
      <c r="BL70" s="241"/>
      <c r="BM70" s="241"/>
      <c r="BN70" s="241"/>
      <c r="BO70" s="241"/>
      <c r="BP70" s="241"/>
      <c r="BQ70" s="241"/>
      <c r="BR70" s="241"/>
      <c r="BS70" s="302"/>
    </row>
    <row r="71" customHeight="1" spans="5:84">
      <c r="E71" s="232" t="str">
        <f t="array" ref="E71">INDEX(K:K,SMALL(IF($K$2:$K$78&lt;&gt;"",ROW($2:$78),79),ROW(K70)))&amp;""</f>
        <v>位面哲学家-灰烬先驱</v>
      </c>
      <c r="F71" s="222" t="s">
        <v>9</v>
      </c>
      <c r="G71" s="193" t="str">
        <f>IFERROR(INDEX($AM$2:$AR$78,$H$1,1),"")</f>
        <v/>
      </c>
      <c r="H71" s="196" t="e">
        <f t="array" ref="H71">INDEX(G:G,SMALL(IF($G$71:$G$88&lt;&gt;"",ROW($71:$88),89),ROW(H1)))&amp;""</f>
        <v>#N/A</v>
      </c>
      <c r="K71" s="342" t="str">
        <f>IF(综合数据!B21=TRUE,"位面哲学家-灰烬先驱","")</f>
        <v>位面哲学家-灰烬先驱</v>
      </c>
      <c r="L71" s="343">
        <f t="shared" si="39"/>
        <v>70</v>
      </c>
      <c r="M71" s="198" t="s">
        <v>5211</v>
      </c>
      <c r="O71" s="181" t="str">
        <f t="shared" si="35"/>
        <v>任选两门语言</v>
      </c>
      <c r="P71" s="297" t="str">
        <f t="shared" si="32"/>
        <v>信念之力</v>
      </c>
      <c r="Q71" s="297" t="str">
        <f t="shared" si="32"/>
        <v>你获得专长 外层位面后裔。此外，你组织的成员会保证你在任何其他成员的房屋或组织的设施中的自由、住宿、与饮食。</v>
      </c>
      <c r="S71" s="240" t="str">
        <f t="shared" si="32"/>
        <v>我可不信任何一个神。只要时间够，我也能和它们一样强大，或者比它们更强大。</v>
      </c>
      <c r="T71" s="240" t="str">
        <f t="shared" si="32"/>
        <v>经验学识便是一切；活在当下。</v>
      </c>
      <c r="U71" s="240" t="str">
        <f t="shared" si="32"/>
        <v>我能从任何东西崩坏后留下的尘埃中悟出新的哲理。</v>
      </c>
      <c r="V71" s="240" t="str">
        <f t="shared" si="32"/>
        <v>生活井然有序，而我正在保持这种秩序。</v>
      </c>
      <c r="W71" s="240" t="str">
        <f t="shared" si="32"/>
        <v>当别人搞什么大计划时，多元宇宙估计会笑话他们，当然，我也笑。</v>
      </c>
      <c r="X71" s="240" t="str">
        <f t="shared" si="32"/>
        <v>我知道什么是正确的，但没有人站在我这边！</v>
      </c>
      <c r="Y71" s="240" t="str">
        <f t="shared" ref="Y71:AR71" si="43">""</f>
        <v/>
      </c>
      <c r="Z71" s="240" t="str">
        <f t="shared" si="43"/>
        <v/>
      </c>
      <c r="AA71" s="298" t="str">
        <f t="shared" si="43"/>
        <v/>
      </c>
      <c r="AB71" s="298" t="str">
        <f t="shared" si="43"/>
        <v/>
      </c>
      <c r="AC71" s="298" t="str">
        <f t="shared" si="43"/>
        <v/>
      </c>
      <c r="AD71" s="298" t="str">
        <f t="shared" si="43"/>
        <v/>
      </c>
      <c r="AE71" s="233" t="str">
        <f t="shared" si="43"/>
        <v/>
      </c>
      <c r="AF71" s="298" t="str">
        <f t="shared" si="43"/>
        <v/>
      </c>
      <c r="AG71" s="299" t="str">
        <f t="shared" si="43"/>
        <v/>
      </c>
      <c r="AH71" s="299" t="str">
        <f t="shared" si="43"/>
        <v/>
      </c>
      <c r="AI71" s="299" t="str">
        <f t="shared" si="43"/>
        <v/>
      </c>
      <c r="AJ71" s="299" t="str">
        <f t="shared" si="43"/>
        <v/>
      </c>
      <c r="AK71" s="299" t="str">
        <f t="shared" si="43"/>
        <v/>
      </c>
      <c r="AL71" s="299" t="str">
        <f t="shared" si="43"/>
        <v/>
      </c>
      <c r="AM71" s="300" t="str">
        <f t="shared" si="43"/>
        <v/>
      </c>
      <c r="AN71" s="300" t="str">
        <f t="shared" si="43"/>
        <v/>
      </c>
      <c r="AO71" s="300" t="str">
        <f t="shared" si="43"/>
        <v/>
      </c>
      <c r="AP71" s="300" t="str">
        <f t="shared" si="43"/>
        <v/>
      </c>
      <c r="AQ71" s="300" t="str">
        <f t="shared" si="43"/>
        <v/>
      </c>
      <c r="AR71" s="300" t="str">
        <f t="shared" si="43"/>
        <v/>
      </c>
      <c r="AS71" s="301"/>
      <c r="AT71" s="301"/>
      <c r="AU71" s="301"/>
      <c r="AV71" s="301"/>
      <c r="AW71" s="301"/>
      <c r="AX71" s="301"/>
      <c r="AY71" s="181" t="str">
        <f t="shared" si="37"/>
        <v>饰品</v>
      </c>
      <c r="AZ71" s="241" t="str">
        <f t="shared" si="34"/>
        <v>装有我导师照片与一段我无法理解的铭文的吊坠小盒</v>
      </c>
      <c r="BA71" s="241" t="str">
        <f t="shared" si="34"/>
        <v>漂白的颅鼠头骨，它的眼眶内还被镶嵌了彩色的玻璃珠</v>
      </c>
      <c r="BB71" s="241" t="str">
        <f t="shared" si="34"/>
        <v>一大叠画有半套画谜的羊皮纸</v>
      </c>
      <c r="BC71" s="241" t="str">
        <f t="shared" si="34"/>
        <v>扭曲的刃藤编制而成的手镯</v>
      </c>
      <c r="BD71" s="241" t="str">
        <f t="shared" si="34"/>
        <v>锈迹斑斑的青铜刀剑的一块碎片</v>
      </c>
      <c r="BE71" s="241" t="str">
        <f t="shared" si="34"/>
        <v>一枚被遗忘的神明的损坏圣徽</v>
      </c>
      <c r="BF71" s="241"/>
      <c r="BG71" s="241"/>
      <c r="BH71" s="241"/>
      <c r="BI71" s="241"/>
      <c r="BJ71" s="241"/>
      <c r="BK71" s="241"/>
      <c r="BL71" s="241"/>
      <c r="BM71" s="241"/>
      <c r="BN71" s="241"/>
      <c r="BO71" s="241"/>
      <c r="BP71" s="241"/>
      <c r="BQ71" s="241"/>
      <c r="BR71" s="241"/>
      <c r="BS71" s="302"/>
    </row>
    <row r="72" customHeight="1" spans="5:84">
      <c r="E72" s="232" t="str">
        <f t="array" ref="E72">INDEX(K:K,SMALL(IF($K$2:$K$78&lt;&gt;"",ROW($2:$78),79),ROW(K71)))&amp;""</f>
        <v>位面哲学家-屠悯会</v>
      </c>
      <c r="F72" s="222"/>
      <c r="G72" s="193" t="str">
        <f>IFERROR(INDEX($AM$2:$AR$78,$H$1,2),"")</f>
        <v/>
      </c>
      <c r="H72" s="196" t="e">
        <f t="array" ref="H72">INDEX(G:G,SMALL(IF($G$71:$G$88&lt;&gt;"",ROW($71:$88),89),ROW(H2)))&amp;""</f>
        <v>#N/A</v>
      </c>
      <c r="K72" s="342" t="str">
        <f>IF(综合数据!B21=TRUE,"位面哲学家-屠悯会","")</f>
        <v>位面哲学家-屠悯会</v>
      </c>
      <c r="L72" s="343">
        <f t="shared" si="39"/>
        <v>71</v>
      </c>
      <c r="M72" s="198" t="s">
        <v>5701</v>
      </c>
      <c r="O72" s="181" t="str">
        <f t="shared" si="35"/>
        <v>任选两门语言</v>
      </c>
      <c r="P72" s="297" t="str">
        <f t="shared" si="32"/>
        <v>信念之力</v>
      </c>
      <c r="Q72" s="297" t="str">
        <f t="shared" si="32"/>
        <v>你获得专长 外层位面后裔。此外，你组织的成员会保证你在任何其他成员的房屋或组织的设施中的自由、住宿、与饮食。</v>
      </c>
      <c r="S72" s="240" t="str">
        <f t="shared" si="32"/>
        <v>我可不信任何一个神。只要时间够，我也能和它们一样强大，或者比它们更强大。</v>
      </c>
      <c r="T72" s="240" t="str">
        <f t="shared" si="32"/>
        <v>经验学识便是一切；活在当下。</v>
      </c>
      <c r="U72" s="240" t="str">
        <f t="shared" si="32"/>
        <v>我能从任何东西崩坏后留下的尘埃中悟出新的哲理。</v>
      </c>
      <c r="V72" s="240" t="str">
        <f t="shared" si="32"/>
        <v>生活井然有序，而我正在保持这种秩序。</v>
      </c>
      <c r="W72" s="240" t="str">
        <f t="shared" si="32"/>
        <v>当别人搞什么大计划时，多元宇宙估计会笑话他们，当然，我也笑。</v>
      </c>
      <c r="X72" s="240" t="str">
        <f t="shared" si="32"/>
        <v>我知道什么是正确的，但没有人站在我这边！</v>
      </c>
      <c r="Y72" s="240" t="str">
        <f t="shared" ref="Y72:AR72" si="44">""</f>
        <v/>
      </c>
      <c r="Z72" s="240" t="str">
        <f t="shared" si="44"/>
        <v/>
      </c>
      <c r="AA72" s="298" t="str">
        <f t="shared" si="44"/>
        <v/>
      </c>
      <c r="AB72" s="298" t="str">
        <f t="shared" si="44"/>
        <v/>
      </c>
      <c r="AC72" s="298" t="str">
        <f t="shared" si="44"/>
        <v/>
      </c>
      <c r="AD72" s="298" t="str">
        <f t="shared" si="44"/>
        <v/>
      </c>
      <c r="AE72" s="233" t="str">
        <f t="shared" si="44"/>
        <v/>
      </c>
      <c r="AF72" s="298" t="str">
        <f t="shared" si="44"/>
        <v/>
      </c>
      <c r="AG72" s="299" t="str">
        <f t="shared" si="44"/>
        <v/>
      </c>
      <c r="AH72" s="299" t="str">
        <f t="shared" si="44"/>
        <v/>
      </c>
      <c r="AI72" s="299" t="str">
        <f t="shared" si="44"/>
        <v/>
      </c>
      <c r="AJ72" s="299" t="str">
        <f t="shared" si="44"/>
        <v/>
      </c>
      <c r="AK72" s="299" t="str">
        <f t="shared" si="44"/>
        <v/>
      </c>
      <c r="AL72" s="299" t="str">
        <f t="shared" si="44"/>
        <v/>
      </c>
      <c r="AM72" s="300" t="str">
        <f t="shared" si="44"/>
        <v/>
      </c>
      <c r="AN72" s="300" t="str">
        <f t="shared" si="44"/>
        <v/>
      </c>
      <c r="AO72" s="300" t="str">
        <f t="shared" si="44"/>
        <v/>
      </c>
      <c r="AP72" s="300" t="str">
        <f t="shared" si="44"/>
        <v/>
      </c>
      <c r="AQ72" s="300" t="str">
        <f t="shared" si="44"/>
        <v/>
      </c>
      <c r="AR72" s="300" t="str">
        <f t="shared" si="44"/>
        <v/>
      </c>
      <c r="AS72" s="301"/>
      <c r="AT72" s="301"/>
      <c r="AU72" s="301"/>
      <c r="AV72" s="301"/>
      <c r="AW72" s="301"/>
      <c r="AX72" s="301"/>
      <c r="AY72" s="181" t="str">
        <f t="shared" si="37"/>
        <v>饰品</v>
      </c>
      <c r="AZ72" s="241" t="str">
        <f t="shared" si="34"/>
        <v>装有我导师照片与一段我无法理解的铭文的吊坠小盒</v>
      </c>
      <c r="BA72" s="241" t="str">
        <f t="shared" si="34"/>
        <v>漂白的颅鼠头骨，它的眼眶内还被镶嵌了彩色的玻璃珠</v>
      </c>
      <c r="BB72" s="241" t="str">
        <f t="shared" si="34"/>
        <v>一大叠画有半套画谜的羊皮纸</v>
      </c>
      <c r="BC72" s="241" t="str">
        <f t="shared" si="34"/>
        <v>扭曲的刃藤编制而成的手镯</v>
      </c>
      <c r="BD72" s="241" t="str">
        <f t="shared" si="34"/>
        <v>锈迹斑斑的青铜刀剑的一块碎片</v>
      </c>
      <c r="BE72" s="241" t="str">
        <f t="shared" si="34"/>
        <v>一枚被遗忘的神明的损坏圣徽</v>
      </c>
      <c r="BF72" s="241"/>
      <c r="BG72" s="241"/>
      <c r="BH72" s="241"/>
      <c r="BI72" s="241"/>
      <c r="BJ72" s="241"/>
      <c r="BK72" s="241"/>
      <c r="BL72" s="241"/>
      <c r="BM72" s="241"/>
      <c r="BN72" s="241"/>
      <c r="BO72" s="241"/>
      <c r="BP72" s="241"/>
      <c r="BQ72" s="241"/>
      <c r="BR72" s="241"/>
      <c r="BS72" s="302"/>
    </row>
    <row r="73" customHeight="1" spans="5:84">
      <c r="E73" s="232" t="str">
        <f t="array" ref="E73">INDEX(K:K,SMALL(IF($K$2:$K$78&lt;&gt;"",ROW($2:$78),79),ROW(K72)))&amp;""</f>
        <v>位面哲学家-心灵之眼</v>
      </c>
      <c r="F73" s="222"/>
      <c r="G73" s="193" t="str">
        <f>IFERROR(INDEX($AM$2:$AR$78,$H$1,3),"")</f>
        <v/>
      </c>
      <c r="H73" s="196" t="e">
        <f t="array" ref="H73">INDEX(G:G,SMALL(IF($G$71:$G$88&lt;&gt;"",ROW($71:$88),89),ROW(H3)))&amp;""</f>
        <v>#N/A</v>
      </c>
      <c r="K73" s="342" t="str">
        <f>IF(综合数据!B21=TRUE,"位面哲学家-心灵之眼","")</f>
        <v>位面哲学家-心灵之眼</v>
      </c>
      <c r="L73" s="343">
        <f t="shared" si="39"/>
        <v>72</v>
      </c>
      <c r="M73" s="198" t="s">
        <v>5702</v>
      </c>
      <c r="O73" s="181" t="str">
        <f t="shared" si="35"/>
        <v>任选两门语言</v>
      </c>
      <c r="P73" s="297" t="str">
        <f t="shared" si="32"/>
        <v>信念之力</v>
      </c>
      <c r="Q73" s="297" t="str">
        <f t="shared" si="32"/>
        <v>你获得专长 外层位面后裔。此外，你组织的成员会保证你在任何其他成员的房屋或组织的设施中的自由、住宿、与饮食。</v>
      </c>
      <c r="S73" s="240" t="str">
        <f t="shared" si="32"/>
        <v>我可不信任何一个神。只要时间够，我也能和它们一样强大，或者比它们更强大。</v>
      </c>
      <c r="T73" s="240" t="str">
        <f t="shared" si="32"/>
        <v>经验学识便是一切；活在当下。</v>
      </c>
      <c r="U73" s="240" t="str">
        <f t="shared" si="32"/>
        <v>我能从任何东西崩坏后留下的尘埃中悟出新的哲理。</v>
      </c>
      <c r="V73" s="240" t="str">
        <f t="shared" si="32"/>
        <v>生活井然有序，而我正在保持这种秩序。</v>
      </c>
      <c r="W73" s="240" t="str">
        <f t="shared" si="32"/>
        <v>当别人搞什么大计划时，多元宇宙估计会笑话他们，当然，我也笑。</v>
      </c>
      <c r="X73" s="240" t="str">
        <f t="shared" si="32"/>
        <v>我知道什么是正确的，但没有人站在我这边！</v>
      </c>
      <c r="Y73" s="240" t="str">
        <f t="shared" ref="Y73:AR73" si="45">""</f>
        <v/>
      </c>
      <c r="Z73" s="240" t="str">
        <f t="shared" si="45"/>
        <v/>
      </c>
      <c r="AA73" s="298" t="str">
        <f t="shared" si="45"/>
        <v/>
      </c>
      <c r="AB73" s="298" t="str">
        <f t="shared" si="45"/>
        <v/>
      </c>
      <c r="AC73" s="298" t="str">
        <f t="shared" si="45"/>
        <v/>
      </c>
      <c r="AD73" s="298" t="str">
        <f t="shared" si="45"/>
        <v/>
      </c>
      <c r="AE73" s="233" t="str">
        <f t="shared" si="45"/>
        <v/>
      </c>
      <c r="AF73" s="298" t="str">
        <f t="shared" si="45"/>
        <v/>
      </c>
      <c r="AG73" s="299" t="str">
        <f t="shared" si="45"/>
        <v/>
      </c>
      <c r="AH73" s="299" t="str">
        <f t="shared" si="45"/>
        <v/>
      </c>
      <c r="AI73" s="299" t="str">
        <f t="shared" si="45"/>
        <v/>
      </c>
      <c r="AJ73" s="299" t="str">
        <f t="shared" si="45"/>
        <v/>
      </c>
      <c r="AK73" s="299" t="str">
        <f t="shared" si="45"/>
        <v/>
      </c>
      <c r="AL73" s="299" t="str">
        <f t="shared" si="45"/>
        <v/>
      </c>
      <c r="AM73" s="300" t="str">
        <f t="shared" si="45"/>
        <v/>
      </c>
      <c r="AN73" s="300" t="str">
        <f t="shared" si="45"/>
        <v/>
      </c>
      <c r="AO73" s="300" t="str">
        <f t="shared" si="45"/>
        <v/>
      </c>
      <c r="AP73" s="300" t="str">
        <f t="shared" si="45"/>
        <v/>
      </c>
      <c r="AQ73" s="300" t="str">
        <f t="shared" si="45"/>
        <v/>
      </c>
      <c r="AR73" s="300" t="str">
        <f t="shared" si="45"/>
        <v/>
      </c>
      <c r="AS73" s="301"/>
      <c r="AT73" s="301"/>
      <c r="AU73" s="301"/>
      <c r="AV73" s="301"/>
      <c r="AW73" s="301"/>
      <c r="AX73" s="301"/>
      <c r="AY73" s="181" t="str">
        <f t="shared" si="37"/>
        <v>饰品</v>
      </c>
      <c r="AZ73" s="241" t="str">
        <f t="shared" si="34"/>
        <v>装有我导师照片与一段我无法理解的铭文的吊坠小盒</v>
      </c>
      <c r="BA73" s="241" t="str">
        <f t="shared" si="34"/>
        <v>漂白的颅鼠头骨，它的眼眶内还被镶嵌了彩色的玻璃珠</v>
      </c>
      <c r="BB73" s="241" t="str">
        <f t="shared" si="34"/>
        <v>一大叠画有半套画谜的羊皮纸</v>
      </c>
      <c r="BC73" s="241" t="str">
        <f t="shared" si="34"/>
        <v>扭曲的刃藤编制而成的手镯</v>
      </c>
      <c r="BD73" s="241" t="str">
        <f t="shared" si="34"/>
        <v>锈迹斑斑的青铜刀剑的一块碎片</v>
      </c>
      <c r="BE73" s="241" t="str">
        <f t="shared" si="34"/>
        <v>一枚被遗忘的神明的损坏圣徽</v>
      </c>
      <c r="BF73" s="241"/>
      <c r="BG73" s="241"/>
      <c r="BH73" s="241"/>
      <c r="BI73" s="241"/>
      <c r="BJ73" s="241"/>
      <c r="BK73" s="241"/>
      <c r="BL73" s="241"/>
      <c r="BM73" s="241"/>
      <c r="BN73" s="241"/>
      <c r="BO73" s="241"/>
      <c r="BP73" s="241"/>
      <c r="BQ73" s="241"/>
      <c r="BR73" s="241"/>
      <c r="BS73" s="302"/>
    </row>
    <row r="74" customHeight="1" spans="5:84">
      <c r="E74" s="232" t="str">
        <f t="array" ref="E74">INDEX(K:K,SMALL(IF($K$2:$K$78&lt;&gt;"",ROW($2:$78),79),ROW(K73)))&amp;""</f>
        <v>位面哲学家-感觉团</v>
      </c>
      <c r="F74" s="222"/>
      <c r="G74" s="193" t="str">
        <f>IFERROR(INDEX($AM$2:$AR$78,$H$1,4),"")</f>
        <v/>
      </c>
      <c r="H74" s="196" t="e">
        <f t="array" ref="H74">INDEX(G:G,SMALL(IF($G$71:$G$88&lt;&gt;"",ROW($71:$88),89),ROW(H4)))&amp;""</f>
        <v>#N/A</v>
      </c>
      <c r="K74" s="342" t="str">
        <f>IF(综合数据!B21=TRUE,"位面哲学家-感觉团","")</f>
        <v>位面哲学家-感觉团</v>
      </c>
      <c r="L74" s="343">
        <f t="shared" si="39"/>
        <v>73</v>
      </c>
      <c r="M74" s="198" t="s">
        <v>5703</v>
      </c>
      <c r="O74" s="181" t="str">
        <f t="shared" si="35"/>
        <v>任选两门语言</v>
      </c>
      <c r="P74" s="297" t="str">
        <f t="shared" si="32"/>
        <v>信念之力</v>
      </c>
      <c r="Q74" s="297" t="str">
        <f t="shared" si="32"/>
        <v>你获得专长 外层位面后裔。此外，你组织的成员会保证你在任何其他成员的房屋或组织的设施中的自由、住宿、与饮食。</v>
      </c>
      <c r="S74" s="240" t="str">
        <f t="shared" si="32"/>
        <v>我可不信任何一个神。只要时间够，我也能和它们一样强大，或者比它们更强大。</v>
      </c>
      <c r="T74" s="240" t="str">
        <f t="shared" si="32"/>
        <v>经验学识便是一切；活在当下。</v>
      </c>
      <c r="U74" s="240" t="str">
        <f t="shared" si="32"/>
        <v>我能从任何东西崩坏后留下的尘埃中悟出新的哲理。</v>
      </c>
      <c r="V74" s="240" t="str">
        <f t="shared" si="32"/>
        <v>生活井然有序，而我正在保持这种秩序。</v>
      </c>
      <c r="W74" s="240" t="str">
        <f t="shared" si="32"/>
        <v>当别人搞什么大计划时，多元宇宙估计会笑话他们，当然，我也笑。</v>
      </c>
      <c r="X74" s="240" t="str">
        <f t="shared" si="32"/>
        <v>我知道什么是正确的，但没有人站在我这边！</v>
      </c>
      <c r="Y74" s="240" t="str">
        <f t="shared" ref="Y74:AR74" si="46">""</f>
        <v/>
      </c>
      <c r="Z74" s="240" t="str">
        <f t="shared" si="46"/>
        <v/>
      </c>
      <c r="AA74" s="298" t="str">
        <f t="shared" si="46"/>
        <v/>
      </c>
      <c r="AB74" s="298" t="str">
        <f t="shared" si="46"/>
        <v/>
      </c>
      <c r="AC74" s="298" t="str">
        <f t="shared" si="46"/>
        <v/>
      </c>
      <c r="AD74" s="298" t="str">
        <f t="shared" si="46"/>
        <v/>
      </c>
      <c r="AE74" s="233" t="str">
        <f t="shared" si="46"/>
        <v/>
      </c>
      <c r="AF74" s="298" t="str">
        <f t="shared" si="46"/>
        <v/>
      </c>
      <c r="AG74" s="299" t="str">
        <f t="shared" si="46"/>
        <v/>
      </c>
      <c r="AH74" s="299" t="str">
        <f t="shared" si="46"/>
        <v/>
      </c>
      <c r="AI74" s="299" t="str">
        <f t="shared" si="46"/>
        <v/>
      </c>
      <c r="AJ74" s="299" t="str">
        <f t="shared" si="46"/>
        <v/>
      </c>
      <c r="AK74" s="299" t="str">
        <f t="shared" si="46"/>
        <v/>
      </c>
      <c r="AL74" s="299" t="str">
        <f t="shared" si="46"/>
        <v/>
      </c>
      <c r="AM74" s="300" t="str">
        <f t="shared" si="46"/>
        <v/>
      </c>
      <c r="AN74" s="300" t="str">
        <f t="shared" si="46"/>
        <v/>
      </c>
      <c r="AO74" s="300" t="str">
        <f t="shared" si="46"/>
        <v/>
      </c>
      <c r="AP74" s="300" t="str">
        <f t="shared" si="46"/>
        <v/>
      </c>
      <c r="AQ74" s="300" t="str">
        <f t="shared" si="46"/>
        <v/>
      </c>
      <c r="AR74" s="300" t="str">
        <f t="shared" si="46"/>
        <v/>
      </c>
      <c r="AS74" s="301"/>
      <c r="AT74" s="301"/>
      <c r="AU74" s="301"/>
      <c r="AV74" s="301"/>
      <c r="AW74" s="301"/>
      <c r="AX74" s="301"/>
      <c r="AY74" s="181" t="str">
        <f t="shared" si="37"/>
        <v>饰品</v>
      </c>
      <c r="AZ74" s="241" t="str">
        <f t="shared" si="34"/>
        <v>装有我导师照片与一段我无法理解的铭文的吊坠小盒</v>
      </c>
      <c r="BA74" s="241" t="str">
        <f t="shared" si="34"/>
        <v>漂白的颅鼠头骨，它的眼眶内还被镶嵌了彩色的玻璃珠</v>
      </c>
      <c r="BB74" s="241" t="str">
        <f t="shared" si="34"/>
        <v>一大叠画有半套画谜的羊皮纸</v>
      </c>
      <c r="BC74" s="241" t="str">
        <f t="shared" si="34"/>
        <v>扭曲的刃藤编制而成的手镯</v>
      </c>
      <c r="BD74" s="241" t="str">
        <f t="shared" si="34"/>
        <v>锈迹斑斑的青铜刀剑的一块碎片</v>
      </c>
      <c r="BE74" s="241" t="str">
        <f t="shared" si="34"/>
        <v>一枚被遗忘的神明的损坏圣徽</v>
      </c>
      <c r="BF74" s="241"/>
      <c r="BG74" s="241"/>
      <c r="BH74" s="241"/>
      <c r="BI74" s="241"/>
      <c r="BJ74" s="241"/>
      <c r="BK74" s="241"/>
      <c r="BL74" s="241"/>
      <c r="BM74" s="241"/>
      <c r="BN74" s="241"/>
      <c r="BO74" s="241"/>
      <c r="BP74" s="241"/>
      <c r="BQ74" s="241"/>
      <c r="BR74" s="241"/>
      <c r="BS74" s="302"/>
    </row>
    <row r="75" customHeight="1" spans="5:84">
      <c r="E75" s="232" t="str">
        <f t="array" ref="E75">INDEX(K:K,SMALL(IF($K$2:$K$78&lt;&gt;"",ROW($2:$78),79),ROW(K74)))&amp;""</f>
        <v>位面哲学家-超然社</v>
      </c>
      <c r="F75" s="222"/>
      <c r="G75" s="193" t="str">
        <f>IFERROR(INDEX($AM$2:$AR$78,$H$1,5),"")</f>
        <v/>
      </c>
      <c r="H75" s="196" t="e">
        <f t="array" ref="H75">INDEX(G:G,SMALL(IF($G$71:$G$88&lt;&gt;"",ROW($71:$88),89),ROW(H5)))&amp;""</f>
        <v>#N/A</v>
      </c>
      <c r="K75" s="342" t="str">
        <f>IF(综合数据!B21=TRUE,"位面哲学家-超然社","")</f>
        <v>位面哲学家-超然社</v>
      </c>
      <c r="L75" s="343">
        <f t="shared" si="39"/>
        <v>74</v>
      </c>
      <c r="M75" s="198" t="s">
        <v>5704</v>
      </c>
      <c r="O75" s="181" t="str">
        <f t="shared" si="35"/>
        <v>任选两门语言</v>
      </c>
      <c r="P75" s="297" t="str">
        <f t="shared" si="32"/>
        <v>信念之力</v>
      </c>
      <c r="Q75" s="297" t="str">
        <f t="shared" si="32"/>
        <v>你获得专长 外层位面后裔。此外，你组织的成员会保证你在任何其他成员的房屋或组织的设施中的自由、住宿、与饮食。</v>
      </c>
      <c r="S75" s="240" t="str">
        <f t="shared" si="32"/>
        <v>我可不信任何一个神。只要时间够，我也能和它们一样强大，或者比它们更强大。</v>
      </c>
      <c r="T75" s="240" t="str">
        <f t="shared" si="32"/>
        <v>经验学识便是一切；活在当下。</v>
      </c>
      <c r="U75" s="240" t="str">
        <f t="shared" si="32"/>
        <v>我能从任何东西崩坏后留下的尘埃中悟出新的哲理。</v>
      </c>
      <c r="V75" s="240" t="str">
        <f t="shared" si="32"/>
        <v>生活井然有序，而我正在保持这种秩序。</v>
      </c>
      <c r="W75" s="240" t="str">
        <f t="shared" si="32"/>
        <v>当别人搞什么大计划时，多元宇宙估计会笑话他们，当然，我也笑。</v>
      </c>
      <c r="X75" s="240" t="str">
        <f t="shared" si="32"/>
        <v>我知道什么是正确的，但没有人站在我这边！</v>
      </c>
      <c r="Y75" s="240" t="str">
        <f t="shared" ref="Y75:AR75" si="47">""</f>
        <v/>
      </c>
      <c r="Z75" s="240" t="str">
        <f t="shared" si="47"/>
        <v/>
      </c>
      <c r="AA75" s="298" t="str">
        <f t="shared" si="47"/>
        <v/>
      </c>
      <c r="AB75" s="298" t="str">
        <f t="shared" si="47"/>
        <v/>
      </c>
      <c r="AC75" s="298" t="str">
        <f t="shared" si="47"/>
        <v/>
      </c>
      <c r="AD75" s="298" t="str">
        <f t="shared" si="47"/>
        <v/>
      </c>
      <c r="AE75" s="233" t="str">
        <f t="shared" si="47"/>
        <v/>
      </c>
      <c r="AF75" s="298" t="str">
        <f t="shared" si="47"/>
        <v/>
      </c>
      <c r="AG75" s="299" t="str">
        <f t="shared" si="47"/>
        <v/>
      </c>
      <c r="AH75" s="299" t="str">
        <f t="shared" si="47"/>
        <v/>
      </c>
      <c r="AI75" s="299" t="str">
        <f t="shared" si="47"/>
        <v/>
      </c>
      <c r="AJ75" s="299" t="str">
        <f t="shared" si="47"/>
        <v/>
      </c>
      <c r="AK75" s="299" t="str">
        <f t="shared" si="47"/>
        <v/>
      </c>
      <c r="AL75" s="299" t="str">
        <f t="shared" si="47"/>
        <v/>
      </c>
      <c r="AM75" s="300" t="str">
        <f t="shared" si="47"/>
        <v/>
      </c>
      <c r="AN75" s="300" t="str">
        <f t="shared" si="47"/>
        <v/>
      </c>
      <c r="AO75" s="300" t="str">
        <f t="shared" si="47"/>
        <v/>
      </c>
      <c r="AP75" s="300" t="str">
        <f t="shared" si="47"/>
        <v/>
      </c>
      <c r="AQ75" s="300" t="str">
        <f t="shared" si="47"/>
        <v/>
      </c>
      <c r="AR75" s="300" t="str">
        <f t="shared" si="47"/>
        <v/>
      </c>
      <c r="AS75" s="301"/>
      <c r="AT75" s="301"/>
      <c r="AU75" s="301"/>
      <c r="AV75" s="301"/>
      <c r="AW75" s="301"/>
      <c r="AX75" s="301"/>
      <c r="AY75" s="181" t="str">
        <f t="shared" si="37"/>
        <v>饰品</v>
      </c>
      <c r="AZ75" s="241" t="str">
        <f t="shared" si="34"/>
        <v>装有我导师照片与一段我无法理解的铭文的吊坠小盒</v>
      </c>
      <c r="BA75" s="241" t="str">
        <f t="shared" si="34"/>
        <v>漂白的颅鼠头骨，它的眼眶内还被镶嵌了彩色的玻璃珠</v>
      </c>
      <c r="BB75" s="241" t="str">
        <f t="shared" si="34"/>
        <v>一大叠画有半套画谜的羊皮纸</v>
      </c>
      <c r="BC75" s="241" t="str">
        <f t="shared" si="34"/>
        <v>扭曲的刃藤编制而成的手镯</v>
      </c>
      <c r="BD75" s="241" t="str">
        <f t="shared" si="34"/>
        <v>锈迹斑斑的青铜刀剑的一块碎片</v>
      </c>
      <c r="BE75" s="241" t="str">
        <f t="shared" si="34"/>
        <v>一枚被遗忘的神明的损坏圣徽</v>
      </c>
      <c r="BF75" s="241"/>
      <c r="BG75" s="241"/>
      <c r="BH75" s="241"/>
      <c r="BI75" s="241"/>
      <c r="BJ75" s="241"/>
      <c r="BK75" s="241"/>
      <c r="BL75" s="241"/>
      <c r="BM75" s="241"/>
      <c r="BN75" s="241"/>
      <c r="BO75" s="241"/>
      <c r="BP75" s="241"/>
      <c r="BQ75" s="241"/>
      <c r="BR75" s="241"/>
      <c r="BS75" s="302"/>
    </row>
    <row r="76" customHeight="1" spans="5:84">
      <c r="E76" s="232" t="str">
        <f t="array" ref="E76">INDEX(K:K,SMALL(IF($K$2:$K$78&lt;&gt;"",ROW($2:$78),79),ROW(K75)))&amp;""</f>
        <v>受宠者</v>
      </c>
      <c r="F76" s="222"/>
      <c r="G76" s="193" t="str">
        <f>IFERROR(INDEX($AM$2:$AR$78,$H$1,6),"")</f>
        <v/>
      </c>
      <c r="H76" s="196" t="e">
        <f t="array" ref="H76">INDEX(G:G,SMALL(IF($G$71:$G$88&lt;&gt;"",ROW($71:$88),89),ROW(H6)))&amp;""</f>
        <v>#N/A</v>
      </c>
      <c r="K76" s="344" t="str">
        <f>IF(综合数据!B22=TRUE,"受宠者","")</f>
        <v>受宠者</v>
      </c>
      <c r="L76" s="345">
        <f t="shared" si="39"/>
        <v>75</v>
      </c>
      <c r="M76" s="198" t="s">
        <v>4440</v>
      </c>
      <c r="N76" s="224" t="s">
        <v>4553</v>
      </c>
      <c r="O76" s="198" t="s">
        <v>5705</v>
      </c>
      <c r="P76" s="297" t="s">
        <v>5706</v>
      </c>
      <c r="Q76" s="297" t="s">
        <v>5707</v>
      </c>
      <c r="S76" s="240" t="s">
        <v>5708</v>
      </c>
      <c r="T76" s="240" t="s">
        <v>5709</v>
      </c>
      <c r="U76" s="240" t="s">
        <v>5710</v>
      </c>
      <c r="V76" s="240" t="s">
        <v>5711</v>
      </c>
      <c r="W76" s="240" t="s">
        <v>5712</v>
      </c>
      <c r="X76" s="240" t="s">
        <v>5713</v>
      </c>
      <c r="Y76" s="240" t="str">
        <f t="shared" ref="Y76:AR76" si="48">""</f>
        <v/>
      </c>
      <c r="Z76" s="240" t="str">
        <f t="shared" si="48"/>
        <v/>
      </c>
      <c r="AA76" s="298" t="str">
        <f t="shared" si="48"/>
        <v/>
      </c>
      <c r="AB76" s="298" t="str">
        <f t="shared" si="48"/>
        <v/>
      </c>
      <c r="AC76" s="298" t="str">
        <f t="shared" si="48"/>
        <v/>
      </c>
      <c r="AD76" s="298" t="str">
        <f t="shared" si="48"/>
        <v/>
      </c>
      <c r="AE76" s="233" t="str">
        <f t="shared" si="48"/>
        <v/>
      </c>
      <c r="AF76" s="298" t="str">
        <f t="shared" si="48"/>
        <v/>
      </c>
      <c r="AG76" s="299" t="str">
        <f t="shared" si="48"/>
        <v/>
      </c>
      <c r="AH76" s="299" t="str">
        <f t="shared" si="48"/>
        <v/>
      </c>
      <c r="AI76" s="299" t="str">
        <f t="shared" si="48"/>
        <v/>
      </c>
      <c r="AJ76" s="299" t="str">
        <f t="shared" si="48"/>
        <v/>
      </c>
      <c r="AK76" s="299" t="str">
        <f t="shared" si="48"/>
        <v/>
      </c>
      <c r="AL76" s="299" t="str">
        <f t="shared" si="48"/>
        <v/>
      </c>
      <c r="AM76" s="300" t="str">
        <f t="shared" si="48"/>
        <v/>
      </c>
      <c r="AN76" s="300" t="str">
        <f t="shared" si="48"/>
        <v/>
      </c>
      <c r="AO76" s="300" t="str">
        <f t="shared" si="48"/>
        <v/>
      </c>
      <c r="AP76" s="300" t="str">
        <f t="shared" si="48"/>
        <v/>
      </c>
      <c r="AQ76" s="300" t="str">
        <f t="shared" si="48"/>
        <v/>
      </c>
      <c r="AR76" s="300" t="str">
        <f t="shared" si="48"/>
        <v/>
      </c>
      <c r="AS76" s="301"/>
      <c r="AT76" s="301"/>
      <c r="AU76" s="301"/>
      <c r="AV76" s="301"/>
      <c r="AW76" s="301"/>
      <c r="AX76" s="301"/>
      <c r="AY76" s="181" t="str">
        <f t="shared" si="37"/>
        <v>饰品</v>
      </c>
      <c r="AZ76" s="241" t="s">
        <v>5714</v>
      </c>
      <c r="BA76" s="241" t="s">
        <v>5715</v>
      </c>
      <c r="BB76" s="241" t="s">
        <v>5716</v>
      </c>
      <c r="BC76" s="241" t="s">
        <v>5717</v>
      </c>
      <c r="BD76" s="241" t="s">
        <v>5718</v>
      </c>
      <c r="BE76" s="241" t="s">
        <v>5719</v>
      </c>
      <c r="BS76" s="196"/>
    </row>
    <row r="77" customHeight="1" spans="5:84">
      <c r="E77" s="232" t="str">
        <f t="array" ref="E77">INDEX(K:K,SMALL(IF($K$2:$K$78&lt;&gt;"",ROW($2:$78),79),ROW(K76)))&amp;""</f>
        <v>受难者</v>
      </c>
      <c r="F77" s="222"/>
      <c r="G77" s="325" t="e">
        <f>IF(AND(综合数据!B15=TRUE,H1&gt;0),"我觉得自己是扫把星，接近我的人都没有好下场。","")</f>
        <v>#N/A</v>
      </c>
      <c r="H77" s="196" t="e">
        <f t="array" ref="H77">INDEX(G:G,SMALL(IF($G$71:$G$88&lt;&gt;"",ROW($71:$88),89),ROW(H7)))&amp;""</f>
        <v>#N/A</v>
      </c>
      <c r="K77" s="346" t="str">
        <f>IF(综合数据!B22=TRUE,"受难者","")</f>
        <v>受难者</v>
      </c>
      <c r="L77" s="345">
        <f t="shared" si="39"/>
        <v>76</v>
      </c>
      <c r="M77" s="198" t="s">
        <v>5720</v>
      </c>
      <c r="N77" s="224" t="s">
        <v>4553</v>
      </c>
      <c r="O77" s="198" t="s">
        <v>5705</v>
      </c>
      <c r="P77" s="297" t="s">
        <v>5721</v>
      </c>
      <c r="Q77" s="297" t="s">
        <v>5722</v>
      </c>
      <c r="S77" s="240" t="s">
        <v>5723</v>
      </c>
      <c r="T77" s="240" t="s">
        <v>5724</v>
      </c>
      <c r="U77" s="240" t="s">
        <v>5725</v>
      </c>
      <c r="V77" s="240" t="s">
        <v>5726</v>
      </c>
      <c r="W77" s="240" t="s">
        <v>5727</v>
      </c>
      <c r="X77" s="240" t="s">
        <v>5728</v>
      </c>
      <c r="Y77" s="240" t="str">
        <f t="shared" ref="Y77:AR77" si="49">""</f>
        <v/>
      </c>
      <c r="Z77" s="240" t="str">
        <f t="shared" si="49"/>
        <v/>
      </c>
      <c r="AA77" s="298" t="str">
        <f t="shared" si="49"/>
        <v/>
      </c>
      <c r="AB77" s="298" t="str">
        <f t="shared" si="49"/>
        <v/>
      </c>
      <c r="AC77" s="298" t="str">
        <f t="shared" si="49"/>
        <v/>
      </c>
      <c r="AD77" s="298" t="str">
        <f t="shared" si="49"/>
        <v/>
      </c>
      <c r="AE77" s="233" t="str">
        <f t="shared" si="49"/>
        <v/>
      </c>
      <c r="AF77" s="298" t="str">
        <f t="shared" si="49"/>
        <v/>
      </c>
      <c r="AG77" s="299" t="str">
        <f t="shared" si="49"/>
        <v/>
      </c>
      <c r="AH77" s="299" t="str">
        <f t="shared" si="49"/>
        <v/>
      </c>
      <c r="AI77" s="299" t="str">
        <f t="shared" si="49"/>
        <v/>
      </c>
      <c r="AJ77" s="299" t="str">
        <f t="shared" si="49"/>
        <v/>
      </c>
      <c r="AK77" s="299" t="str">
        <f t="shared" si="49"/>
        <v/>
      </c>
      <c r="AL77" s="299" t="str">
        <f t="shared" si="49"/>
        <v/>
      </c>
      <c r="AM77" s="300" t="str">
        <f t="shared" si="49"/>
        <v/>
      </c>
      <c r="AN77" s="300" t="str">
        <f t="shared" si="49"/>
        <v/>
      </c>
      <c r="AO77" s="300" t="str">
        <f t="shared" si="49"/>
        <v/>
      </c>
      <c r="AP77" s="300" t="str">
        <f t="shared" si="49"/>
        <v/>
      </c>
      <c r="AQ77" s="300" t="str">
        <f t="shared" si="49"/>
        <v/>
      </c>
      <c r="AR77" s="300" t="str">
        <f t="shared" si="49"/>
        <v/>
      </c>
      <c r="AS77" s="301"/>
      <c r="AT77" s="301"/>
      <c r="AU77" s="301"/>
      <c r="AV77" s="301"/>
      <c r="AW77" s="301"/>
      <c r="AX77" s="301"/>
      <c r="AY77" s="181" t="str">
        <f t="shared" si="37"/>
        <v>饰品</v>
      </c>
      <c r="AZ77" s="241" t="s">
        <v>5729</v>
      </c>
      <c r="BA77" s="241" t="s">
        <v>5730</v>
      </c>
      <c r="BB77" s="241" t="s">
        <v>5731</v>
      </c>
      <c r="BC77" s="241" t="s">
        <v>5732</v>
      </c>
      <c r="BD77" s="241" t="s">
        <v>5733</v>
      </c>
      <c r="BE77" s="241" t="s">
        <v>5734</v>
      </c>
      <c r="BS77" s="196"/>
    </row>
    <row r="78" customHeight="1" spans="5:84">
      <c r="E78" s="303" t="str">
        <f t="array" ref="E78">INDEX(K:K,SMALL(IF($K$2:$K$78&lt;&gt;"",ROW($2:$78),79),ROW(K77)))&amp;""</f>
        <v/>
      </c>
      <c r="F78" s="222"/>
      <c r="G78" s="325" t="e">
        <f>IF(AND(综合数据!B15=TRUE,H1&gt;0),"我总觉得有什么东西尾随着我，它会出现在镜中、梦中、以及其他常人不可能在的地方。","")</f>
        <v>#N/A</v>
      </c>
      <c r="H78" s="196" t="e">
        <f t="array" ref="H78">INDEX(G:G,SMALL(IF($G$71:$G$88&lt;&gt;"",ROW($71:$88),89),ROW(H8)))&amp;""</f>
        <v>#N/A</v>
      </c>
      <c r="K78" s="347" t="str">
        <f>IF(综合数据!B23=TRUE,"审判官","")</f>
        <v/>
      </c>
      <c r="L78" s="348">
        <f t="shared" si="39"/>
        <v>77</v>
      </c>
      <c r="M78" s="234" t="s">
        <v>5735</v>
      </c>
      <c r="N78" s="234" t="s">
        <v>5736</v>
      </c>
      <c r="O78" s="234"/>
      <c r="P78" s="349" t="s">
        <v>4902</v>
      </c>
      <c r="Q78" s="349" t="s">
        <v>5737</v>
      </c>
      <c r="R78" s="235"/>
      <c r="S78" s="260" t="s">
        <v>5738</v>
      </c>
      <c r="T78" s="260" t="s">
        <v>5739</v>
      </c>
      <c r="U78" s="260" t="s">
        <v>5740</v>
      </c>
      <c r="V78" s="260" t="s">
        <v>5741</v>
      </c>
      <c r="W78" s="260" t="s">
        <v>5742</v>
      </c>
      <c r="X78" s="260" t="s">
        <v>5743</v>
      </c>
      <c r="Y78" s="260" t="s">
        <v>5744</v>
      </c>
      <c r="Z78" s="260" t="s">
        <v>5745</v>
      </c>
      <c r="AA78" s="350" t="s">
        <v>5746</v>
      </c>
      <c r="AB78" s="350" t="s">
        <v>5747</v>
      </c>
      <c r="AC78" s="350" t="s">
        <v>5748</v>
      </c>
      <c r="AD78" s="350" t="s">
        <v>5749</v>
      </c>
      <c r="AE78" s="351" t="s">
        <v>5750</v>
      </c>
      <c r="AF78" s="350" t="s">
        <v>5751</v>
      </c>
      <c r="AG78" s="352" t="s">
        <v>5752</v>
      </c>
      <c r="AH78" s="352" t="s">
        <v>5753</v>
      </c>
      <c r="AI78" s="352" t="s">
        <v>5754</v>
      </c>
      <c r="AJ78" s="352" t="s">
        <v>5755</v>
      </c>
      <c r="AK78" s="352" t="s">
        <v>5756</v>
      </c>
      <c r="AL78" s="352" t="s">
        <v>5757</v>
      </c>
      <c r="AM78" s="353" t="s">
        <v>5758</v>
      </c>
      <c r="AN78" s="353" t="s">
        <v>5759</v>
      </c>
      <c r="AO78" s="353" t="s">
        <v>5760</v>
      </c>
      <c r="AP78" s="353" t="s">
        <v>5761</v>
      </c>
      <c r="AQ78" s="353" t="s">
        <v>5762</v>
      </c>
      <c r="AR78" s="353" t="s">
        <v>5763</v>
      </c>
      <c r="AS78" s="354"/>
      <c r="AT78" s="354"/>
      <c r="AU78" s="354"/>
      <c r="AV78" s="354"/>
      <c r="AW78" s="354"/>
      <c r="AX78" s="354"/>
      <c r="AY78" s="234"/>
      <c r="AZ78" s="355"/>
      <c r="BA78" s="355"/>
      <c r="BB78" s="355"/>
      <c r="BC78" s="355"/>
      <c r="BD78" s="355"/>
      <c r="BE78" s="355"/>
      <c r="BF78" s="356"/>
      <c r="BG78" s="356"/>
      <c r="BH78" s="355"/>
      <c r="BI78" s="355"/>
      <c r="BJ78" s="355"/>
      <c r="BK78" s="355"/>
      <c r="BL78" s="355"/>
      <c r="BM78" s="355"/>
      <c r="BN78" s="355"/>
      <c r="BO78" s="355"/>
      <c r="BP78" s="355"/>
      <c r="BQ78" s="355"/>
      <c r="BR78" s="355"/>
      <c r="BS78" s="357"/>
    </row>
    <row r="79" customHeight="1" spans="5:84">
      <c r="F79" s="222"/>
      <c r="G79" s="325" t="e">
        <f>IF(AND(综合数据!B15=TRUE,H1&gt;0),"我特别迷信，所以一辈子都在努力规避厄运、恶灵或是迷雾。","")</f>
        <v>#N/A</v>
      </c>
      <c r="H79" s="196" t="e">
        <f t="array" ref="H79">INDEX(G:G,SMALL(IF($G$71:$G$88&lt;&gt;"",ROW($71:$88),89),ROW(H9)))&amp;""</f>
        <v>#N/A</v>
      </c>
    </row>
    <row r="80" customHeight="1" spans="5:84">
      <c r="F80" s="222"/>
      <c r="G80" s="325" t="e">
        <f>IF(AND(综合数据!B15=TRUE,H1&gt;0),"我会不择手段的阻止他人发现我过去犯下的不可告人的恶行。","")</f>
        <v>#N/A</v>
      </c>
      <c r="H80" s="196" t="e">
        <f t="array" ref="H80">INDEX(G:G,SMALL(IF($G$71:$G$88&lt;&gt;"",ROW($71:$88),89),ROW(H10)))&amp;""</f>
        <v>#N/A</v>
      </c>
      <c r="K80" s="252"/>
      <c r="L80" s="184"/>
      <c r="M80" s="218" t="s">
        <v>4185</v>
      </c>
      <c r="N80" s="218"/>
      <c r="O80" s="218"/>
      <c r="P80" s="218"/>
      <c r="Q80" s="218"/>
      <c r="R80" s="218"/>
      <c r="S80" s="218" t="s">
        <v>5764</v>
      </c>
      <c r="T80" s="184"/>
      <c r="U80" s="184"/>
      <c r="V80" s="184"/>
      <c r="W80" s="184"/>
      <c r="X80" s="184"/>
      <c r="Y80" s="184"/>
      <c r="Z80" s="218" t="s">
        <v>5765</v>
      </c>
      <c r="AA80" s="184"/>
      <c r="AB80" s="184"/>
      <c r="AC80" s="184"/>
      <c r="AD80" s="184"/>
      <c r="AE80" s="184"/>
      <c r="AF80" s="184"/>
      <c r="AG80" s="218" t="s">
        <v>5766</v>
      </c>
      <c r="AH80" s="184"/>
      <c r="AI80" s="184"/>
      <c r="AJ80" s="184"/>
      <c r="AK80" s="184"/>
      <c r="AL80" s="184"/>
      <c r="AM80" s="184"/>
      <c r="AN80" s="218" t="s">
        <v>5767</v>
      </c>
      <c r="AO80" s="218"/>
      <c r="AP80" s="218"/>
      <c r="AQ80" s="218"/>
      <c r="AR80" s="218"/>
      <c r="AS80" s="218"/>
      <c r="AT80" s="218"/>
      <c r="AU80" s="218"/>
      <c r="AV80" s="218"/>
      <c r="AW80" s="218"/>
      <c r="AX80" s="218"/>
      <c r="AY80" s="218"/>
      <c r="AZ80" s="218"/>
      <c r="BA80" s="218"/>
      <c r="BB80" s="218"/>
      <c r="BC80" s="218"/>
      <c r="BD80" s="218"/>
      <c r="BE80" s="218"/>
      <c r="BF80" s="218"/>
      <c r="BG80" s="218"/>
      <c r="BH80" s="218"/>
      <c r="BI80" s="218" t="s">
        <v>5768</v>
      </c>
      <c r="BJ80" s="218"/>
      <c r="BK80" s="218"/>
      <c r="BL80" s="218"/>
      <c r="BM80" s="218"/>
      <c r="BN80" s="218"/>
      <c r="BO80" s="218"/>
      <c r="BP80" s="218"/>
      <c r="BQ80" s="218"/>
      <c r="BR80" s="218"/>
      <c r="BS80" s="218"/>
      <c r="BT80" s="218"/>
      <c r="BU80" s="218"/>
      <c r="BV80" s="218" t="s">
        <v>5769</v>
      </c>
      <c r="BW80" s="218"/>
      <c r="BX80" s="218"/>
      <c r="BY80" s="218"/>
      <c r="BZ80" s="218"/>
      <c r="CA80" s="218"/>
      <c r="CB80" s="218"/>
      <c r="CC80" s="218"/>
      <c r="CD80" s="218"/>
      <c r="CE80" s="218"/>
      <c r="CF80" s="220"/>
    </row>
    <row r="81" customHeight="1" spans="6:84">
      <c r="F81" s="222"/>
      <c r="G81" s="325" t="e">
        <f>IF(AND(综合数据!B15=TRUE,H1&gt;0),"我非常好骗，一听说什么故事或是传说马上就信。","")</f>
        <v>#N/A</v>
      </c>
      <c r="H81" s="196" t="e">
        <f t="array" ref="H81">INDEX(G:G,SMALL(IF($G$71:$G$88&lt;&gt;"",ROW($71:$88),89),ROW(H11)))&amp;""</f>
        <v>#N/A</v>
      </c>
      <c r="K81" s="358" t="s">
        <v>1510</v>
      </c>
      <c r="L81" s="193">
        <v>1</v>
      </c>
      <c r="M81" s="224" t="s">
        <v>5770</v>
      </c>
      <c r="N81" s="224" t="s">
        <v>5771</v>
      </c>
      <c r="O81" s="224" t="s">
        <v>5772</v>
      </c>
      <c r="P81" s="224" t="s">
        <v>5773</v>
      </c>
      <c r="Q81" s="224" t="s">
        <v>5774</v>
      </c>
      <c r="R81" s="224" t="s">
        <v>5775</v>
      </c>
      <c r="S81" s="297" t="s">
        <v>4025</v>
      </c>
      <c r="T81" s="241" t="s">
        <v>5776</v>
      </c>
      <c r="U81" s="241" t="s">
        <v>5777</v>
      </c>
      <c r="V81" s="241" t="s">
        <v>5778</v>
      </c>
      <c r="W81" s="241" t="s">
        <v>5779</v>
      </c>
      <c r="X81" s="241" t="s">
        <v>5780</v>
      </c>
      <c r="Y81" s="241" t="s">
        <v>5781</v>
      </c>
      <c r="Z81" s="226" t="s">
        <v>5782</v>
      </c>
      <c r="AA81" s="240" t="s">
        <v>5783</v>
      </c>
      <c r="AB81" s="240" t="s">
        <v>5784</v>
      </c>
      <c r="AC81" s="240" t="s">
        <v>5785</v>
      </c>
      <c r="AD81" s="240" t="s">
        <v>5786</v>
      </c>
      <c r="AE81" s="240" t="s">
        <v>5787</v>
      </c>
      <c r="AF81" s="240" t="s">
        <v>5788</v>
      </c>
      <c r="AG81" s="233" t="s">
        <v>5789</v>
      </c>
      <c r="AH81" s="233" t="s">
        <v>5790</v>
      </c>
      <c r="AI81" s="233" t="s">
        <v>5791</v>
      </c>
      <c r="AJ81" s="233" t="s">
        <v>5792</v>
      </c>
      <c r="AK81" s="233" t="s">
        <v>5793</v>
      </c>
      <c r="AL81" s="233" t="s">
        <v>5794</v>
      </c>
      <c r="AM81" s="233" t="s">
        <v>5795</v>
      </c>
      <c r="AN81" s="359" t="s">
        <v>5796</v>
      </c>
      <c r="AO81" s="299" t="s">
        <v>5797</v>
      </c>
      <c r="AP81" s="299" t="s">
        <v>5798</v>
      </c>
      <c r="AQ81" s="299" t="s">
        <v>5799</v>
      </c>
      <c r="AR81" s="299" t="s">
        <v>5800</v>
      </c>
      <c r="AS81" s="299" t="s">
        <v>5801</v>
      </c>
      <c r="AT81" s="299" t="s">
        <v>5802</v>
      </c>
      <c r="AU81" s="299" t="s">
        <v>5803</v>
      </c>
      <c r="AV81" s="299" t="s">
        <v>5804</v>
      </c>
      <c r="AW81" s="299" t="s">
        <v>5805</v>
      </c>
      <c r="AX81" s="299" t="s">
        <v>5806</v>
      </c>
      <c r="AY81" s="359"/>
      <c r="AZ81" s="299"/>
      <c r="BA81" s="299"/>
      <c r="BB81" s="299"/>
      <c r="BC81" s="299"/>
      <c r="BD81" s="299"/>
      <c r="BE81" s="299"/>
      <c r="BF81" s="299"/>
      <c r="BG81" s="299"/>
      <c r="BH81" s="299"/>
      <c r="BI81" s="360" t="s">
        <v>5807</v>
      </c>
      <c r="BJ81" s="300" t="s">
        <v>5808</v>
      </c>
      <c r="BK81" s="300" t="s">
        <v>5809</v>
      </c>
      <c r="BL81" s="300" t="s">
        <v>5810</v>
      </c>
      <c r="BM81" s="300" t="s">
        <v>5811</v>
      </c>
      <c r="BN81" s="300" t="s">
        <v>5812</v>
      </c>
      <c r="BO81" s="300" t="s">
        <v>5813</v>
      </c>
      <c r="BP81" s="300" t="s">
        <v>5814</v>
      </c>
      <c r="BQ81" s="300" t="s">
        <v>5815</v>
      </c>
      <c r="BR81" s="300" t="s">
        <v>5816</v>
      </c>
      <c r="BS81" s="300" t="s">
        <v>5817</v>
      </c>
      <c r="BT81" s="300"/>
      <c r="BU81" s="300"/>
      <c r="BV81" s="301"/>
      <c r="BW81" s="301"/>
      <c r="BX81" s="301"/>
      <c r="BY81" s="301"/>
      <c r="BZ81" s="301"/>
      <c r="CA81" s="301"/>
      <c r="CB81" s="301"/>
      <c r="CC81" s="301"/>
      <c r="CD81" s="301"/>
      <c r="CE81" s="301"/>
      <c r="CF81" s="361"/>
    </row>
    <row r="82" customHeight="1" spans="6:84">
      <c r="F82" s="222"/>
      <c r="G82" s="325" t="e">
        <f>IF(AND(综合数据!B15=TRUE,H1&gt;0),"我是一名怀疑论者，所以我不相信任何怪力乱神。","")</f>
        <v>#N/A</v>
      </c>
      <c r="H82" s="196" t="e">
        <f t="array" ref="H82">INDEX(G:G,SMALL(IF($G$71:$G$88&lt;&gt;"",ROW($71:$88),89),ROW(H12)))&amp;""</f>
        <v>#N/A</v>
      </c>
      <c r="K82" s="358" t="s">
        <v>1540</v>
      </c>
      <c r="L82" s="193">
        <v>2</v>
      </c>
      <c r="M82" s="224" t="s">
        <v>5818</v>
      </c>
      <c r="N82" s="224" t="s">
        <v>5819</v>
      </c>
      <c r="O82" s="224" t="s">
        <v>5820</v>
      </c>
      <c r="P82" s="224" t="s">
        <v>5821</v>
      </c>
      <c r="Q82" s="224" t="s">
        <v>5822</v>
      </c>
      <c r="R82" s="224" t="s">
        <v>5823</v>
      </c>
      <c r="S82" s="297" t="s">
        <v>5824</v>
      </c>
      <c r="T82" s="241" t="s">
        <v>5825</v>
      </c>
      <c r="U82" s="241" t="s">
        <v>5826</v>
      </c>
      <c r="V82" s="241" t="s">
        <v>5827</v>
      </c>
      <c r="W82" s="241" t="s">
        <v>5828</v>
      </c>
      <c r="X82" s="241" t="s">
        <v>5829</v>
      </c>
      <c r="Y82" s="241" t="s">
        <v>5830</v>
      </c>
      <c r="Z82" s="226" t="s">
        <v>3888</v>
      </c>
      <c r="AA82" s="240" t="s">
        <v>5831</v>
      </c>
      <c r="AB82" s="240" t="s">
        <v>5832</v>
      </c>
      <c r="AC82" s="240" t="s">
        <v>5833</v>
      </c>
      <c r="AD82" s="240" t="s">
        <v>5834</v>
      </c>
      <c r="AE82" s="240" t="s">
        <v>5835</v>
      </c>
      <c r="AF82" s="240" t="s">
        <v>5836</v>
      </c>
      <c r="AG82" s="298" t="s">
        <v>5837</v>
      </c>
      <c r="AH82" s="233" t="s">
        <v>5838</v>
      </c>
      <c r="AI82" s="233" t="s">
        <v>5839</v>
      </c>
      <c r="AJ82" s="233" t="s">
        <v>5840</v>
      </c>
      <c r="AK82" s="233" t="s">
        <v>5841</v>
      </c>
      <c r="AL82" s="233" t="s">
        <v>5842</v>
      </c>
      <c r="AM82" s="233" t="s">
        <v>5843</v>
      </c>
      <c r="AN82" s="299" t="s">
        <v>5844</v>
      </c>
      <c r="AO82" s="299" t="s">
        <v>5845</v>
      </c>
      <c r="AP82" s="299" t="s">
        <v>5846</v>
      </c>
      <c r="AQ82" s="299" t="s">
        <v>5847</v>
      </c>
      <c r="AR82" s="299" t="s">
        <v>5848</v>
      </c>
      <c r="AS82" s="299" t="s">
        <v>5849</v>
      </c>
      <c r="AT82" s="299" t="s">
        <v>5850</v>
      </c>
      <c r="AU82" s="299" t="s">
        <v>5851</v>
      </c>
      <c r="AV82" s="299" t="s">
        <v>5852</v>
      </c>
      <c r="AW82" s="299" t="s">
        <v>5853</v>
      </c>
      <c r="AX82" s="299" t="s">
        <v>5854</v>
      </c>
      <c r="AY82" s="299" t="s">
        <v>5855</v>
      </c>
      <c r="AZ82" s="299" t="s">
        <v>5856</v>
      </c>
      <c r="BA82" s="299" t="s">
        <v>5857</v>
      </c>
      <c r="BB82" s="299" t="s">
        <v>5858</v>
      </c>
      <c r="BC82" s="299" t="s">
        <v>5859</v>
      </c>
      <c r="BD82" s="299" t="s">
        <v>5860</v>
      </c>
      <c r="BE82" s="299" t="s">
        <v>5861</v>
      </c>
      <c r="BF82" s="299" t="s">
        <v>5862</v>
      </c>
      <c r="BG82" s="299" t="s">
        <v>5863</v>
      </c>
      <c r="BH82" s="299" t="s">
        <v>5864</v>
      </c>
      <c r="BI82" s="360" t="s">
        <v>5865</v>
      </c>
      <c r="BJ82" s="300" t="s">
        <v>5866</v>
      </c>
      <c r="BK82" s="300" t="s">
        <v>5867</v>
      </c>
      <c r="BL82" s="300" t="s">
        <v>5868</v>
      </c>
      <c r="BM82" s="300" t="s">
        <v>5869</v>
      </c>
      <c r="BN82" s="300" t="s">
        <v>5870</v>
      </c>
      <c r="BO82" s="300" t="s">
        <v>5871</v>
      </c>
      <c r="BP82" s="300" t="s">
        <v>5872</v>
      </c>
      <c r="BQ82" s="300" t="s">
        <v>5873</v>
      </c>
      <c r="BR82" s="300" t="s">
        <v>5874</v>
      </c>
      <c r="BS82" s="300" t="s">
        <v>5875</v>
      </c>
      <c r="BT82" s="300"/>
      <c r="BU82" s="300"/>
      <c r="BV82" s="301"/>
      <c r="BW82" s="301"/>
      <c r="BX82" s="301"/>
      <c r="BY82" s="301"/>
      <c r="BZ82" s="301"/>
      <c r="CA82" s="301"/>
      <c r="CB82" s="301"/>
      <c r="CC82" s="301"/>
      <c r="CD82" s="301"/>
      <c r="CE82" s="301"/>
      <c r="CF82" s="361"/>
    </row>
    <row r="83" customHeight="1" spans="6:84">
      <c r="F83" s="222"/>
      <c r="G83" s="325" t="e">
        <f>IF(AND(综合数据!B15=TRUE,H1&gt;0),"我知道未来已是注定的，无论做什么都只是实现命定的结局罢了。","")</f>
        <v>#N/A</v>
      </c>
      <c r="H83" s="196" t="e">
        <f t="array" ref="H83">INDEX(G:G,SMALL(IF($G$71:$G$88&lt;&gt;"",ROW($71:$88),89),ROW(H13)))&amp;""</f>
        <v>#N/A</v>
      </c>
      <c r="K83" s="358" t="s">
        <v>1570</v>
      </c>
      <c r="L83" s="193">
        <v>3</v>
      </c>
      <c r="M83" s="224" t="s">
        <v>5876</v>
      </c>
      <c r="N83" s="224" t="s">
        <v>5877</v>
      </c>
      <c r="O83" s="224" t="s">
        <v>5878</v>
      </c>
      <c r="P83" s="224" t="s">
        <v>5879</v>
      </c>
      <c r="Q83" s="224" t="s">
        <v>5880</v>
      </c>
      <c r="R83" s="224" t="s">
        <v>5881</v>
      </c>
      <c r="S83" s="297" t="s">
        <v>5882</v>
      </c>
      <c r="T83" s="241" t="s">
        <v>5883</v>
      </c>
      <c r="U83" s="241" t="s">
        <v>5884</v>
      </c>
      <c r="V83" s="241" t="s">
        <v>5885</v>
      </c>
      <c r="W83" s="241" t="s">
        <v>5886</v>
      </c>
      <c r="X83" s="241" t="s">
        <v>5887</v>
      </c>
      <c r="Y83" s="241" t="s">
        <v>5888</v>
      </c>
      <c r="Z83" s="226" t="s">
        <v>5889</v>
      </c>
      <c r="AA83" s="226" t="s">
        <v>5890</v>
      </c>
      <c r="AB83" s="226" t="s">
        <v>5891</v>
      </c>
      <c r="AC83" s="226" t="s">
        <v>5892</v>
      </c>
      <c r="AD83" s="226" t="s">
        <v>5893</v>
      </c>
      <c r="AE83" s="226" t="s">
        <v>5894</v>
      </c>
      <c r="AF83" s="226" t="s">
        <v>5895</v>
      </c>
      <c r="AG83" s="298" t="s">
        <v>5896</v>
      </c>
      <c r="AH83" s="233" t="s">
        <v>5897</v>
      </c>
      <c r="AI83" s="233" t="s">
        <v>5898</v>
      </c>
      <c r="AJ83" s="233" t="s">
        <v>5899</v>
      </c>
      <c r="AK83" s="233" t="s">
        <v>5900</v>
      </c>
      <c r="AL83" s="233" t="s">
        <v>5901</v>
      </c>
      <c r="AM83" s="233" t="s">
        <v>5902</v>
      </c>
      <c r="AN83" s="359" t="s">
        <v>1492</v>
      </c>
      <c r="AO83" s="299" t="s">
        <v>5903</v>
      </c>
      <c r="AP83" s="299" t="s">
        <v>5904</v>
      </c>
      <c r="AQ83" s="299" t="s">
        <v>5905</v>
      </c>
      <c r="AR83" s="299" t="s">
        <v>5906</v>
      </c>
      <c r="AS83" s="299" t="s">
        <v>5907</v>
      </c>
      <c r="AT83" s="299" t="s">
        <v>5908</v>
      </c>
      <c r="AU83" s="299" t="s">
        <v>5909</v>
      </c>
      <c r="AV83" s="299" t="s">
        <v>5910</v>
      </c>
      <c r="AW83" s="299"/>
      <c r="AX83" s="299"/>
      <c r="AY83" s="299"/>
      <c r="AZ83" s="299"/>
      <c r="BA83" s="299"/>
      <c r="BB83" s="299"/>
      <c r="BC83" s="299"/>
      <c r="BD83" s="299"/>
      <c r="BE83" s="299"/>
      <c r="BF83" s="299"/>
      <c r="BG83" s="299"/>
      <c r="BH83" s="299"/>
      <c r="BI83" s="300" t="s">
        <v>5911</v>
      </c>
      <c r="BJ83" s="300" t="s">
        <v>5912</v>
      </c>
      <c r="BK83" s="300" t="s">
        <v>5913</v>
      </c>
      <c r="BL83" s="300" t="s">
        <v>5914</v>
      </c>
      <c r="BM83" s="300" t="s">
        <v>5915</v>
      </c>
      <c r="BN83" s="300" t="s">
        <v>5916</v>
      </c>
      <c r="BO83" s="300" t="s">
        <v>5917</v>
      </c>
      <c r="BP83" s="300" t="s">
        <v>5918</v>
      </c>
      <c r="BQ83" s="300" t="s">
        <v>5919</v>
      </c>
      <c r="BR83" s="300"/>
      <c r="BS83" s="300"/>
      <c r="BT83" s="300"/>
      <c r="BU83" s="300"/>
      <c r="BV83" s="301" t="s">
        <v>5920</v>
      </c>
      <c r="BW83" s="301" t="s">
        <v>5921</v>
      </c>
      <c r="BX83" s="301" t="s">
        <v>5922</v>
      </c>
      <c r="BY83" s="301" t="s">
        <v>5923</v>
      </c>
      <c r="BZ83" s="301" t="s">
        <v>5924</v>
      </c>
      <c r="CA83" s="301" t="s">
        <v>5925</v>
      </c>
      <c r="CB83" s="301" t="s">
        <v>5926</v>
      </c>
      <c r="CC83" s="301" t="s">
        <v>5927</v>
      </c>
      <c r="CD83" s="301" t="s">
        <v>5928</v>
      </c>
      <c r="CE83" s="301" t="s">
        <v>5929</v>
      </c>
      <c r="CF83" s="361" t="s">
        <v>5930</v>
      </c>
    </row>
    <row r="84" customHeight="1" spans="6:84">
      <c r="F84" s="222"/>
      <c r="G84" s="325" t="e">
        <f>IF(AND(综合数据!B15=TRUE,H1&gt;0),"我愿意从任何人或任何事中发掘闪光点，为此甚至会对明显的恶意视而不见。","")</f>
        <v>#N/A</v>
      </c>
      <c r="H84" s="196" t="e">
        <f t="array" ref="H84">INDEX(G:G,SMALL(IF($G$71:$G$88&lt;&gt;"",ROW($71:$88),89),ROW(H14)))&amp;""</f>
        <v>#N/A</v>
      </c>
      <c r="K84" s="358" t="s">
        <v>1600</v>
      </c>
      <c r="L84" s="193">
        <v>4</v>
      </c>
      <c r="M84" s="224" t="s">
        <v>5931</v>
      </c>
      <c r="N84" s="224" t="s">
        <v>5932</v>
      </c>
      <c r="O84" s="224" t="s">
        <v>5933</v>
      </c>
      <c r="P84" s="224" t="s">
        <v>5934</v>
      </c>
      <c r="Q84" s="224" t="s">
        <v>5935</v>
      </c>
      <c r="R84" s="224" t="s">
        <v>5936</v>
      </c>
      <c r="S84" s="297" t="s">
        <v>5937</v>
      </c>
      <c r="T84" s="241" t="s">
        <v>5938</v>
      </c>
      <c r="U84" s="241" t="s">
        <v>5939</v>
      </c>
      <c r="V84" s="241" t="s">
        <v>5940</v>
      </c>
      <c r="W84" s="241" t="s">
        <v>5941</v>
      </c>
      <c r="X84" s="241" t="s">
        <v>5942</v>
      </c>
      <c r="Y84" s="241" t="s">
        <v>5943</v>
      </c>
      <c r="Z84" s="226" t="s">
        <v>5944</v>
      </c>
      <c r="AA84" s="240" t="s">
        <v>5945</v>
      </c>
      <c r="AB84" s="240" t="s">
        <v>5946</v>
      </c>
      <c r="AC84" s="240" t="s">
        <v>5947</v>
      </c>
      <c r="AD84" s="240" t="s">
        <v>5948</v>
      </c>
      <c r="AE84" s="240" t="s">
        <v>5949</v>
      </c>
      <c r="AF84" s="240" t="s">
        <v>5950</v>
      </c>
      <c r="AG84" s="298" t="s">
        <v>5951</v>
      </c>
      <c r="AH84" s="233" t="s">
        <v>5952</v>
      </c>
      <c r="AI84" s="233" t="s">
        <v>5953</v>
      </c>
      <c r="AJ84" s="233" t="s">
        <v>5954</v>
      </c>
      <c r="AK84" s="233" t="s">
        <v>5955</v>
      </c>
      <c r="AL84" s="233" t="s">
        <v>5956</v>
      </c>
      <c r="AM84" s="233" t="s">
        <v>5957</v>
      </c>
      <c r="AN84" s="299" t="s">
        <v>5958</v>
      </c>
      <c r="AO84" s="299" t="s">
        <v>5959</v>
      </c>
      <c r="AP84" s="299" t="s">
        <v>5960</v>
      </c>
      <c r="AQ84" s="299" t="s">
        <v>5961</v>
      </c>
      <c r="AR84" s="299" t="s">
        <v>5962</v>
      </c>
      <c r="AS84" s="299" t="s">
        <v>5963</v>
      </c>
      <c r="AT84" s="299" t="s">
        <v>5964</v>
      </c>
      <c r="AU84" s="299"/>
      <c r="AV84" s="299"/>
      <c r="AW84" s="299"/>
      <c r="AX84" s="299"/>
      <c r="AY84" s="299"/>
      <c r="AZ84" s="299"/>
      <c r="BA84" s="299"/>
      <c r="BB84" s="299"/>
      <c r="BC84" s="299"/>
      <c r="BD84" s="299"/>
      <c r="BE84" s="299"/>
      <c r="BF84" s="299"/>
      <c r="BG84" s="299"/>
      <c r="BH84" s="299"/>
      <c r="BI84" s="360" t="s">
        <v>1493</v>
      </c>
      <c r="BJ84" s="300" t="s">
        <v>1523</v>
      </c>
      <c r="BK84" s="360" t="s">
        <v>5965</v>
      </c>
      <c r="BL84" s="300" t="s">
        <v>1583</v>
      </c>
      <c r="BM84" s="300" t="s">
        <v>1614</v>
      </c>
      <c r="BN84" s="300" t="s">
        <v>1641</v>
      </c>
      <c r="BO84" s="300" t="s">
        <v>1668</v>
      </c>
      <c r="BP84" s="300" t="s">
        <v>1690</v>
      </c>
      <c r="BQ84" s="300" t="s">
        <v>1699</v>
      </c>
      <c r="BR84" s="300" t="s">
        <v>1710</v>
      </c>
      <c r="BS84" s="300" t="s">
        <v>1719</v>
      </c>
      <c r="BT84" s="300"/>
      <c r="BU84" s="300"/>
      <c r="BV84" s="301" t="s">
        <v>5966</v>
      </c>
      <c r="BW84" s="301" t="s">
        <v>5967</v>
      </c>
      <c r="BX84" s="301" t="s">
        <v>5968</v>
      </c>
      <c r="BY84" s="301" t="s">
        <v>5969</v>
      </c>
      <c r="BZ84" s="301" t="s">
        <v>5970</v>
      </c>
      <c r="CA84" s="301" t="s">
        <v>5971</v>
      </c>
      <c r="CB84" s="301" t="s">
        <v>5972</v>
      </c>
      <c r="CC84" s="301" t="s">
        <v>5973</v>
      </c>
      <c r="CD84" s="301" t="s">
        <v>5974</v>
      </c>
      <c r="CE84" s="301" t="s">
        <v>5975</v>
      </c>
      <c r="CF84" s="361" t="s">
        <v>5976</v>
      </c>
    </row>
    <row r="85" customHeight="1" spans="6:84">
      <c r="F85" s="222"/>
      <c r="G85" s="325" t="e">
        <f>IF(AND(综合数据!B15=TRUE,H1&gt;0),"我在某类地点——譬如森林、城市、或是墓地见到过邪恶，因此拒绝去那些地方。","")</f>
        <v>#N/A</v>
      </c>
      <c r="H85" s="196" t="e">
        <f t="array" ref="H85">INDEX(G:G,SMALL(IF($G$71:$G$88&lt;&gt;"",ROW($71:$88),89),ROW(H15)))&amp;""</f>
        <v>#N/A</v>
      </c>
      <c r="K85" s="358" t="s">
        <v>1631</v>
      </c>
      <c r="L85" s="193">
        <v>5</v>
      </c>
      <c r="M85" s="224" t="s">
        <v>5977</v>
      </c>
      <c r="N85" s="224" t="s">
        <v>5978</v>
      </c>
      <c r="O85" s="224" t="s">
        <v>5979</v>
      </c>
      <c r="P85" s="224" t="s">
        <v>5980</v>
      </c>
      <c r="Q85" s="224" t="s">
        <v>5981</v>
      </c>
      <c r="R85" s="224" t="s">
        <v>5982</v>
      </c>
      <c r="S85" s="297" t="s">
        <v>5983</v>
      </c>
      <c r="T85" s="297" t="s">
        <v>5984</v>
      </c>
      <c r="U85" s="297" t="s">
        <v>5985</v>
      </c>
      <c r="V85" s="297" t="s">
        <v>5986</v>
      </c>
      <c r="W85" s="297" t="s">
        <v>5987</v>
      </c>
      <c r="X85" s="297" t="s">
        <v>5988</v>
      </c>
      <c r="Y85" s="297" t="s">
        <v>5989</v>
      </c>
      <c r="Z85" s="226" t="s">
        <v>5951</v>
      </c>
      <c r="AA85" s="240" t="s">
        <v>5990</v>
      </c>
      <c r="AB85" s="240" t="s">
        <v>5991</v>
      </c>
      <c r="AC85" s="240" t="s">
        <v>5992</v>
      </c>
      <c r="AD85" s="240" t="s">
        <v>5993</v>
      </c>
      <c r="AE85" s="240" t="s">
        <v>5994</v>
      </c>
      <c r="AF85" s="240" t="s">
        <v>5995</v>
      </c>
      <c r="AG85" s="298" t="s">
        <v>5807</v>
      </c>
      <c r="AH85" s="233" t="s">
        <v>5996</v>
      </c>
      <c r="AI85" s="233" t="s">
        <v>5997</v>
      </c>
      <c r="AJ85" s="233" t="s">
        <v>5998</v>
      </c>
      <c r="AK85" s="233" t="s">
        <v>5999</v>
      </c>
      <c r="AL85" s="233" t="s">
        <v>6000</v>
      </c>
      <c r="AM85" s="233" t="s">
        <v>6001</v>
      </c>
      <c r="AN85" s="359" t="s">
        <v>1495</v>
      </c>
      <c r="AO85" s="299" t="s">
        <v>1525</v>
      </c>
      <c r="AP85" s="299" t="s">
        <v>1555</v>
      </c>
      <c r="AQ85" s="299" t="s">
        <v>1585</v>
      </c>
      <c r="AR85" s="299" t="s">
        <v>1616</v>
      </c>
      <c r="AS85" s="299" t="s">
        <v>1643</v>
      </c>
      <c r="AT85" s="299" t="s">
        <v>1670</v>
      </c>
      <c r="AU85" s="299"/>
      <c r="AV85" s="299"/>
      <c r="AW85" s="299"/>
      <c r="AX85" s="299"/>
      <c r="AY85" s="299"/>
      <c r="AZ85" s="299"/>
      <c r="BA85" s="299"/>
      <c r="BB85" s="299"/>
      <c r="BC85" s="299"/>
      <c r="BD85" s="299"/>
      <c r="BE85" s="299"/>
      <c r="BF85" s="299"/>
      <c r="BG85" s="299"/>
      <c r="BH85" s="299"/>
      <c r="BI85" s="300" t="s">
        <v>109</v>
      </c>
      <c r="BJ85" s="300" t="s">
        <v>6002</v>
      </c>
      <c r="BK85" s="300" t="s">
        <v>6003</v>
      </c>
      <c r="BL85" s="300" t="s">
        <v>6004</v>
      </c>
      <c r="BM85" s="300" t="s">
        <v>6005</v>
      </c>
      <c r="BN85" s="300" t="s">
        <v>6006</v>
      </c>
      <c r="BO85" s="300" t="s">
        <v>6007</v>
      </c>
      <c r="BP85" s="300" t="s">
        <v>6008</v>
      </c>
      <c r="BQ85" s="300" t="s">
        <v>6009</v>
      </c>
      <c r="BR85" s="300" t="s">
        <v>6010</v>
      </c>
      <c r="BS85" s="300" t="s">
        <v>6011</v>
      </c>
      <c r="BT85" s="300" t="s">
        <v>6012</v>
      </c>
      <c r="BU85" s="300" t="s">
        <v>6013</v>
      </c>
      <c r="BV85" s="301" t="s">
        <v>5911</v>
      </c>
      <c r="BW85" s="301" t="s">
        <v>6014</v>
      </c>
      <c r="BX85" s="301" t="s">
        <v>6015</v>
      </c>
      <c r="BY85" s="301" t="s">
        <v>6016</v>
      </c>
      <c r="BZ85" s="301" t="s">
        <v>6017</v>
      </c>
      <c r="CA85" s="301" t="s">
        <v>6018</v>
      </c>
      <c r="CB85" s="301" t="s">
        <v>6019</v>
      </c>
      <c r="CC85" s="301" t="s">
        <v>6020</v>
      </c>
      <c r="CD85" s="301" t="s">
        <v>6021</v>
      </c>
      <c r="CE85" s="301" t="s">
        <v>6022</v>
      </c>
      <c r="CF85" s="361" t="s">
        <v>6023</v>
      </c>
    </row>
    <row r="86" customHeight="1" spans="6:84">
      <c r="F86" s="222"/>
      <c r="G86" s="325" t="e">
        <f>IF(AND(综合数据!B15=TRUE,H1&gt;0),"我格外地谨慎，会脑补无数突发情况并挨个去设计应对计划。","")</f>
        <v>#N/A</v>
      </c>
      <c r="H86" s="196" t="e">
        <f t="array" ref="H86">INDEX(G:G,SMALL(IF($G$71:$G$88&lt;&gt;"",ROW($71:$88),89),ROW(H16)))&amp;""</f>
        <v>#N/A</v>
      </c>
      <c r="K86" s="358" t="s">
        <v>1657</v>
      </c>
      <c r="L86" s="193">
        <v>6</v>
      </c>
      <c r="M86" s="224" t="s">
        <v>6024</v>
      </c>
      <c r="N86" s="224" t="s">
        <v>6025</v>
      </c>
      <c r="O86" s="224" t="s">
        <v>6026</v>
      </c>
      <c r="P86" s="224" t="s">
        <v>6027</v>
      </c>
      <c r="Q86" s="224" t="s">
        <v>6028</v>
      </c>
      <c r="R86" s="224" t="s">
        <v>6029</v>
      </c>
      <c r="S86" s="297" t="s">
        <v>6030</v>
      </c>
      <c r="T86" s="241" t="s">
        <v>6031</v>
      </c>
      <c r="U86" s="241" t="s">
        <v>6032</v>
      </c>
      <c r="V86" s="241" t="s">
        <v>6033</v>
      </c>
      <c r="W86" s="241" t="s">
        <v>6034</v>
      </c>
      <c r="X86" s="241" t="s">
        <v>6035</v>
      </c>
      <c r="Y86" s="241" t="s">
        <v>6036</v>
      </c>
      <c r="Z86" s="226" t="s">
        <v>6037</v>
      </c>
      <c r="AA86" s="240" t="s">
        <v>6038</v>
      </c>
      <c r="AB86" s="240" t="s">
        <v>6039</v>
      </c>
      <c r="AC86" s="240" t="s">
        <v>6040</v>
      </c>
      <c r="AD86" s="240" t="s">
        <v>6041</v>
      </c>
      <c r="AE86" s="240" t="s">
        <v>6042</v>
      </c>
      <c r="AF86" s="240" t="s">
        <v>6043</v>
      </c>
      <c r="AG86" s="298" t="s">
        <v>6044</v>
      </c>
      <c r="AH86" s="233" t="s">
        <v>6045</v>
      </c>
      <c r="AI86" s="233" t="s">
        <v>6046</v>
      </c>
      <c r="AJ86" s="233" t="s">
        <v>6047</v>
      </c>
      <c r="AK86" s="233" t="s">
        <v>6048</v>
      </c>
      <c r="AL86" s="233" t="s">
        <v>6049</v>
      </c>
      <c r="AM86" s="233" t="s">
        <v>6050</v>
      </c>
      <c r="AN86" s="359" t="s">
        <v>1496</v>
      </c>
      <c r="AO86" s="299" t="s">
        <v>1526</v>
      </c>
      <c r="AP86" s="299" t="s">
        <v>1556</v>
      </c>
      <c r="AQ86" s="299" t="s">
        <v>1586</v>
      </c>
      <c r="AR86" s="299" t="s">
        <v>1617</v>
      </c>
      <c r="AS86" s="299" t="s">
        <v>1644</v>
      </c>
      <c r="AT86" s="299" t="s">
        <v>6051</v>
      </c>
      <c r="AU86" s="299" t="s">
        <v>1691</v>
      </c>
      <c r="AV86" s="299" t="s">
        <v>1700</v>
      </c>
      <c r="AW86" s="299"/>
      <c r="AX86" s="299"/>
      <c r="AY86" s="299"/>
      <c r="AZ86" s="299"/>
      <c r="BA86" s="299"/>
      <c r="BB86" s="299"/>
      <c r="BC86" s="299"/>
      <c r="BD86" s="299"/>
      <c r="BE86" s="299"/>
      <c r="BF86" s="299"/>
      <c r="BG86" s="299"/>
      <c r="BH86" s="299"/>
      <c r="BI86" s="300" t="s">
        <v>6052</v>
      </c>
      <c r="BJ86" s="300" t="s">
        <v>6053</v>
      </c>
      <c r="BK86" s="300" t="s">
        <v>6054</v>
      </c>
      <c r="BL86" s="300" t="s">
        <v>6055</v>
      </c>
      <c r="BM86" s="300" t="s">
        <v>6056</v>
      </c>
      <c r="BN86" s="300" t="s">
        <v>6057</v>
      </c>
      <c r="BO86" s="300" t="s">
        <v>6058</v>
      </c>
      <c r="BP86" s="300" t="s">
        <v>6059</v>
      </c>
      <c r="BQ86" s="300" t="s">
        <v>6060</v>
      </c>
      <c r="BR86" s="300" t="s">
        <v>6061</v>
      </c>
      <c r="BS86" s="300" t="s">
        <v>6062</v>
      </c>
      <c r="BT86" s="300"/>
      <c r="BU86" s="300"/>
      <c r="BV86" s="301" t="s">
        <v>6030</v>
      </c>
      <c r="BW86" s="301" t="s">
        <v>6063</v>
      </c>
      <c r="BX86" s="301" t="s">
        <v>6064</v>
      </c>
      <c r="BY86" s="301" t="s">
        <v>6065</v>
      </c>
      <c r="BZ86" s="301" t="s">
        <v>6066</v>
      </c>
      <c r="CA86" s="301" t="s">
        <v>6067</v>
      </c>
      <c r="CB86" s="301" t="s">
        <v>6068</v>
      </c>
      <c r="CC86" s="301" t="s">
        <v>6069</v>
      </c>
      <c r="CD86" s="301" t="s">
        <v>6070</v>
      </c>
      <c r="CE86" s="301" t="s">
        <v>6071</v>
      </c>
      <c r="CF86" s="361" t="s">
        <v>6072</v>
      </c>
    </row>
    <row r="87" customHeight="1" spans="6:84">
      <c r="F87" s="222"/>
      <c r="G87" s="325" t="e">
        <f>IF(AND(综合数据!B15=TRUE,H1&gt;0),"我因击败邪恶而闻名，但那其实是我编的，而且邪恶势力也知道。","")</f>
        <v>#N/A</v>
      </c>
      <c r="H87" s="196" t="e">
        <f t="array" ref="H87">INDEX(G:G,SMALL(IF($G$71:$G$88&lt;&gt;"",ROW($71:$88),89),ROW(H17)))&amp;""</f>
        <v>#N/A</v>
      </c>
      <c r="K87" s="358" t="s">
        <v>1683</v>
      </c>
      <c r="L87" s="193">
        <v>7</v>
      </c>
      <c r="M87" s="224" t="s">
        <v>6073</v>
      </c>
      <c r="N87" s="224" t="s">
        <v>6074</v>
      </c>
      <c r="O87" s="224" t="s">
        <v>6075</v>
      </c>
      <c r="P87" s="224" t="s">
        <v>6076</v>
      </c>
      <c r="Q87" s="224" t="s">
        <v>6077</v>
      </c>
      <c r="R87" s="224" t="s">
        <v>6078</v>
      </c>
      <c r="S87" s="297" t="s">
        <v>6079</v>
      </c>
      <c r="T87" s="241" t="s">
        <v>6080</v>
      </c>
      <c r="U87" s="241" t="s">
        <v>6081</v>
      </c>
      <c r="V87" s="241" t="s">
        <v>6082</v>
      </c>
      <c r="W87" s="241" t="s">
        <v>6083</v>
      </c>
      <c r="X87" s="241" t="s">
        <v>6084</v>
      </c>
      <c r="Y87" s="241" t="s">
        <v>6085</v>
      </c>
      <c r="Z87" s="226" t="s">
        <v>6086</v>
      </c>
      <c r="AA87" s="240" t="s">
        <v>6087</v>
      </c>
      <c r="AB87" s="240" t="s">
        <v>6088</v>
      </c>
      <c r="AC87" s="240" t="s">
        <v>6089</v>
      </c>
      <c r="AD87" s="240" t="s">
        <v>6090</v>
      </c>
      <c r="AE87" s="240" t="s">
        <v>6091</v>
      </c>
      <c r="AF87" s="240" t="s">
        <v>6092</v>
      </c>
      <c r="AG87" s="298" t="s">
        <v>6093</v>
      </c>
      <c r="AH87" s="233" t="s">
        <v>1528</v>
      </c>
      <c r="AI87" s="233" t="s">
        <v>1558</v>
      </c>
      <c r="AJ87" s="233" t="s">
        <v>1588</v>
      </c>
      <c r="AK87" s="233" t="s">
        <v>1619</v>
      </c>
      <c r="AL87" s="233" t="s">
        <v>1646</v>
      </c>
      <c r="AM87" s="233" t="s">
        <v>1673</v>
      </c>
      <c r="AN87" s="359" t="s">
        <v>6094</v>
      </c>
      <c r="AO87" s="299" t="s">
        <v>6095</v>
      </c>
      <c r="AP87" s="299" t="s">
        <v>6096</v>
      </c>
      <c r="AQ87" s="299" t="s">
        <v>6097</v>
      </c>
      <c r="AR87" s="299" t="s">
        <v>6098</v>
      </c>
      <c r="AS87" s="299" t="s">
        <v>6099</v>
      </c>
      <c r="AT87" s="299" t="s">
        <v>6100</v>
      </c>
      <c r="AU87" s="299"/>
      <c r="AV87" s="299"/>
      <c r="AW87" s="299"/>
      <c r="AX87" s="299"/>
      <c r="AY87" s="299"/>
      <c r="AZ87" s="299"/>
      <c r="BA87" s="299"/>
      <c r="BB87" s="299"/>
      <c r="BC87" s="299"/>
      <c r="BD87" s="299"/>
      <c r="BE87" s="299"/>
      <c r="BF87" s="299"/>
      <c r="BG87" s="299"/>
      <c r="BH87" s="299"/>
      <c r="BI87" s="300" t="s">
        <v>5896</v>
      </c>
      <c r="BJ87" s="300" t="s">
        <v>6101</v>
      </c>
      <c r="BK87" s="300" t="s">
        <v>6102</v>
      </c>
      <c r="BL87" s="300" t="s">
        <v>6103</v>
      </c>
      <c r="BM87" s="300" t="s">
        <v>6104</v>
      </c>
      <c r="BN87" s="360" t="s">
        <v>6105</v>
      </c>
      <c r="BO87" s="300" t="s">
        <v>6106</v>
      </c>
      <c r="BP87" s="300"/>
      <c r="BQ87" s="300"/>
      <c r="BR87" s="300"/>
      <c r="BS87" s="300"/>
      <c r="BT87" s="300"/>
      <c r="BU87" s="300"/>
      <c r="BV87" s="301" t="s">
        <v>6107</v>
      </c>
      <c r="BW87" s="301" t="s">
        <v>6108</v>
      </c>
      <c r="BX87" s="301" t="s">
        <v>6109</v>
      </c>
      <c r="BY87" s="301" t="s">
        <v>6110</v>
      </c>
      <c r="BZ87" s="301" t="s">
        <v>6111</v>
      </c>
      <c r="CA87" s="301" t="s">
        <v>6112</v>
      </c>
      <c r="CB87" s="301" t="s">
        <v>6113</v>
      </c>
      <c r="CC87" s="301" t="s">
        <v>6114</v>
      </c>
      <c r="CD87" s="301" t="s">
        <v>6115</v>
      </c>
      <c r="CE87" s="301"/>
      <c r="CF87" s="361"/>
    </row>
    <row r="88" customHeight="1" spans="6:84">
      <c r="F88" s="222"/>
      <c r="G88" s="325" t="e">
        <f>IF(AND(综合数据!B15=TRUE,H1&gt;0),"我相信为了成功可以不择手段，因此会为了实现自己的目前轻易地做出牺牲。","")</f>
        <v>#N/A</v>
      </c>
      <c r="H88" s="196" t="e">
        <f t="array" ref="H88">INDEX(G:G,SMALL(IF($G$71:$G$88&lt;&gt;"",ROW($71:$88),89),ROW(H18)))&amp;""</f>
        <v>#N/A</v>
      </c>
      <c r="K88" s="358" t="s">
        <v>1692</v>
      </c>
      <c r="L88" s="193">
        <v>8</v>
      </c>
      <c r="M88" s="224" t="s">
        <v>6116</v>
      </c>
      <c r="N88" s="224" t="s">
        <v>6117</v>
      </c>
      <c r="O88" s="224" t="s">
        <v>6118</v>
      </c>
      <c r="P88" s="224" t="s">
        <v>6119</v>
      </c>
      <c r="Q88" s="224" t="s">
        <v>6120</v>
      </c>
      <c r="R88" s="224" t="s">
        <v>6121</v>
      </c>
      <c r="S88" s="297" t="s">
        <v>6122</v>
      </c>
      <c r="T88" s="241" t="s">
        <v>6123</v>
      </c>
      <c r="U88" s="241" t="s">
        <v>6124</v>
      </c>
      <c r="V88" s="241" t="s">
        <v>6125</v>
      </c>
      <c r="W88" s="241" t="s">
        <v>6126</v>
      </c>
      <c r="X88" s="241" t="s">
        <v>6127</v>
      </c>
      <c r="Y88" s="241" t="s">
        <v>6128</v>
      </c>
      <c r="Z88" s="226" t="s">
        <v>6129</v>
      </c>
      <c r="AA88" s="240" t="s">
        <v>6130</v>
      </c>
      <c r="AB88" s="240" t="s">
        <v>6131</v>
      </c>
      <c r="AC88" s="240" t="s">
        <v>6132</v>
      </c>
      <c r="AD88" s="240" t="s">
        <v>6133</v>
      </c>
      <c r="AE88" s="240" t="s">
        <v>6134</v>
      </c>
      <c r="AF88" s="240" t="s">
        <v>6135</v>
      </c>
      <c r="AG88" s="298" t="s">
        <v>5865</v>
      </c>
      <c r="AH88" s="233" t="s">
        <v>6136</v>
      </c>
      <c r="AI88" s="233" t="s">
        <v>6137</v>
      </c>
      <c r="AJ88" s="233" t="s">
        <v>6138</v>
      </c>
      <c r="AK88" s="233" t="s">
        <v>6139</v>
      </c>
      <c r="AL88" s="233" t="s">
        <v>6140</v>
      </c>
      <c r="AM88" s="233" t="s">
        <v>6141</v>
      </c>
      <c r="AN88" s="299" t="s">
        <v>307</v>
      </c>
      <c r="AO88" s="299" t="s">
        <v>6142</v>
      </c>
      <c r="AP88" s="299" t="s">
        <v>6143</v>
      </c>
      <c r="AQ88" s="299" t="s">
        <v>6144</v>
      </c>
      <c r="AR88" s="299" t="s">
        <v>6145</v>
      </c>
      <c r="AS88" s="299" t="s">
        <v>6146</v>
      </c>
      <c r="AT88" s="299" t="s">
        <v>6147</v>
      </c>
      <c r="AU88" s="299" t="s">
        <v>6148</v>
      </c>
      <c r="AV88" s="299" t="s">
        <v>6149</v>
      </c>
      <c r="AW88" s="299" t="s">
        <v>6150</v>
      </c>
      <c r="AX88" s="299" t="s">
        <v>6151</v>
      </c>
      <c r="AY88" s="299"/>
      <c r="AZ88" s="299"/>
      <c r="BA88" s="299"/>
      <c r="BB88" s="299"/>
      <c r="BC88" s="299"/>
      <c r="BD88" s="299"/>
      <c r="BE88" s="299"/>
      <c r="BF88" s="299"/>
      <c r="BG88" s="299"/>
      <c r="BH88" s="299"/>
      <c r="BI88" s="360" t="s">
        <v>5937</v>
      </c>
      <c r="BJ88" s="300" t="s">
        <v>1529</v>
      </c>
      <c r="BK88" s="300" t="s">
        <v>1559</v>
      </c>
      <c r="BL88" s="300" t="s">
        <v>1589</v>
      </c>
      <c r="BM88" s="300" t="s">
        <v>1620</v>
      </c>
      <c r="BN88" s="300" t="s">
        <v>1647</v>
      </c>
      <c r="BO88" s="300" t="s">
        <v>1674</v>
      </c>
      <c r="BP88" s="300"/>
      <c r="BQ88" s="300"/>
      <c r="BR88" s="300"/>
      <c r="BS88" s="300"/>
      <c r="BT88" s="300"/>
      <c r="BU88" s="300"/>
      <c r="BV88" s="301" t="s">
        <v>6152</v>
      </c>
      <c r="BW88" s="301" t="s">
        <v>6153</v>
      </c>
      <c r="BX88" s="301" t="s">
        <v>6154</v>
      </c>
      <c r="BY88" s="301" t="s">
        <v>6155</v>
      </c>
      <c r="BZ88" s="301" t="s">
        <v>6156</v>
      </c>
      <c r="CA88" s="301" t="s">
        <v>6157</v>
      </c>
      <c r="CB88" s="301" t="s">
        <v>6158</v>
      </c>
      <c r="CC88" s="301" t="s">
        <v>6159</v>
      </c>
      <c r="CD88" s="301" t="s">
        <v>6160</v>
      </c>
      <c r="CE88" s="301"/>
      <c r="CF88" s="361"/>
    </row>
    <row r="89" customHeight="1" spans="6:84">
      <c r="F89" s="279"/>
      <c r="H89" s="196"/>
      <c r="K89" s="358" t="s">
        <v>1701</v>
      </c>
      <c r="L89" s="193">
        <v>9</v>
      </c>
      <c r="M89" s="224" t="s">
        <v>6161</v>
      </c>
      <c r="N89" s="224" t="s">
        <v>6162</v>
      </c>
      <c r="O89" s="224" t="s">
        <v>6163</v>
      </c>
      <c r="P89" s="224" t="s">
        <v>6164</v>
      </c>
      <c r="Q89" s="224" t="s">
        <v>6165</v>
      </c>
      <c r="R89" s="224" t="s">
        <v>6166</v>
      </c>
      <c r="S89" s="297" t="s">
        <v>6167</v>
      </c>
      <c r="T89" s="241" t="s">
        <v>6168</v>
      </c>
      <c r="U89" s="241" t="s">
        <v>6169</v>
      </c>
      <c r="V89" s="241" t="s">
        <v>6170</v>
      </c>
      <c r="W89" s="241" t="s">
        <v>6171</v>
      </c>
      <c r="X89" s="241" t="s">
        <v>6172</v>
      </c>
      <c r="Y89" s="241" t="s">
        <v>6173</v>
      </c>
      <c r="Z89" s="226" t="s">
        <v>6174</v>
      </c>
      <c r="AA89" s="240" t="s">
        <v>6175</v>
      </c>
      <c r="AB89" s="240" t="s">
        <v>6176</v>
      </c>
      <c r="AC89" s="240" t="s">
        <v>6177</v>
      </c>
      <c r="AD89" s="240" t="s">
        <v>6178</v>
      </c>
      <c r="AE89" s="240" t="s">
        <v>6179</v>
      </c>
      <c r="AF89" s="240" t="s">
        <v>6180</v>
      </c>
      <c r="AG89" s="298" t="s">
        <v>6181</v>
      </c>
      <c r="AH89" s="233" t="s">
        <v>6182</v>
      </c>
      <c r="AI89" s="233" t="s">
        <v>6183</v>
      </c>
      <c r="AJ89" s="233" t="s">
        <v>6184</v>
      </c>
      <c r="AK89" s="233" t="s">
        <v>6185</v>
      </c>
      <c r="AL89" s="233" t="s">
        <v>6186</v>
      </c>
      <c r="AM89" s="233" t="s">
        <v>6187</v>
      </c>
      <c r="AN89" s="299" t="s">
        <v>6188</v>
      </c>
      <c r="AO89" s="299" t="s">
        <v>6189</v>
      </c>
      <c r="AP89" s="299" t="s">
        <v>6190</v>
      </c>
      <c r="AQ89" s="299" t="s">
        <v>6191</v>
      </c>
      <c r="AR89" s="299" t="s">
        <v>6192</v>
      </c>
      <c r="AS89" s="299" t="s">
        <v>6193</v>
      </c>
      <c r="AT89" s="299" t="s">
        <v>6194</v>
      </c>
      <c r="AU89" s="299" t="s">
        <v>6195</v>
      </c>
      <c r="AV89" s="299" t="s">
        <v>6196</v>
      </c>
      <c r="AW89" s="299" t="s">
        <v>6197</v>
      </c>
      <c r="AX89" s="299" t="s">
        <v>6198</v>
      </c>
      <c r="AY89" s="299"/>
      <c r="AZ89" s="299"/>
      <c r="BA89" s="299"/>
      <c r="BB89" s="299"/>
      <c r="BC89" s="299"/>
      <c r="BD89" s="299"/>
      <c r="BE89" s="299"/>
      <c r="BF89" s="299"/>
      <c r="BG89" s="299"/>
      <c r="BH89" s="299"/>
      <c r="BI89" s="300" t="s">
        <v>6199</v>
      </c>
      <c r="BJ89" s="300" t="s">
        <v>6200</v>
      </c>
      <c r="BK89" s="300" t="s">
        <v>6201</v>
      </c>
      <c r="BL89" s="300" t="s">
        <v>6202</v>
      </c>
      <c r="BM89" s="300" t="s">
        <v>6203</v>
      </c>
      <c r="BN89" s="300" t="s">
        <v>6204</v>
      </c>
      <c r="BO89" s="300" t="s">
        <v>6205</v>
      </c>
      <c r="BP89" s="300" t="s">
        <v>6206</v>
      </c>
      <c r="BQ89" s="300" t="s">
        <v>6207</v>
      </c>
      <c r="BR89" s="300"/>
      <c r="BS89" s="300"/>
      <c r="BT89" s="300"/>
      <c r="BU89" s="300"/>
      <c r="BV89" s="301"/>
      <c r="BW89" s="301"/>
      <c r="BX89" s="301"/>
      <c r="BY89" s="301"/>
      <c r="BZ89" s="301"/>
      <c r="CA89" s="301"/>
      <c r="CB89" s="301"/>
      <c r="CC89" s="301"/>
      <c r="CD89" s="301"/>
      <c r="CE89" s="301"/>
      <c r="CF89" s="361"/>
    </row>
    <row r="90" customHeight="1" spans="6:84">
      <c r="F90" s="222" t="s">
        <v>4191</v>
      </c>
      <c r="G90" s="193" t="str">
        <f>IFERROR(INDEX($AS$2:$AX$78,$H$1,1),"")</f>
        <v/>
      </c>
      <c r="H90" s="200"/>
      <c r="K90" s="358" t="s">
        <v>1711</v>
      </c>
      <c r="L90" s="193">
        <v>10</v>
      </c>
      <c r="M90" s="224" t="s">
        <v>6208</v>
      </c>
      <c r="N90" s="224" t="s">
        <v>6209</v>
      </c>
      <c r="O90" s="224" t="s">
        <v>6210</v>
      </c>
      <c r="P90" s="224" t="s">
        <v>6211</v>
      </c>
      <c r="Q90" s="224" t="s">
        <v>6212</v>
      </c>
      <c r="R90" s="224" t="s">
        <v>6213</v>
      </c>
      <c r="S90" s="297" t="s">
        <v>6214</v>
      </c>
      <c r="T90" s="241" t="s">
        <v>6215</v>
      </c>
      <c r="U90" s="241" t="s">
        <v>6216</v>
      </c>
      <c r="V90" s="241" t="s">
        <v>6217</v>
      </c>
      <c r="W90" s="241" t="s">
        <v>6218</v>
      </c>
      <c r="X90" s="241" t="s">
        <v>6219</v>
      </c>
      <c r="Y90" s="241" t="s">
        <v>6220</v>
      </c>
      <c r="Z90" s="226" t="s">
        <v>6221</v>
      </c>
      <c r="AA90" s="240" t="s">
        <v>6222</v>
      </c>
      <c r="AB90" s="240" t="s">
        <v>1562</v>
      </c>
      <c r="AC90" s="240" t="s">
        <v>1592</v>
      </c>
      <c r="AD90" s="240" t="s">
        <v>1623</v>
      </c>
      <c r="AE90" s="240" t="s">
        <v>1649</v>
      </c>
      <c r="AF90" s="240" t="s">
        <v>1675</v>
      </c>
      <c r="AG90" s="298" t="s">
        <v>5796</v>
      </c>
      <c r="AH90" s="233" t="s">
        <v>6223</v>
      </c>
      <c r="AI90" s="233" t="s">
        <v>6224</v>
      </c>
      <c r="AJ90" s="233" t="s">
        <v>6225</v>
      </c>
      <c r="AK90" s="233" t="s">
        <v>6226</v>
      </c>
      <c r="AL90" s="233" t="s">
        <v>6227</v>
      </c>
      <c r="AM90" s="233" t="s">
        <v>6228</v>
      </c>
      <c r="AN90" s="359" t="s">
        <v>6229</v>
      </c>
      <c r="AO90" s="299" t="s">
        <v>6230</v>
      </c>
      <c r="AP90" s="299" t="s">
        <v>6231</v>
      </c>
      <c r="AQ90" s="299" t="s">
        <v>6232</v>
      </c>
      <c r="AR90" s="299" t="s">
        <v>6233</v>
      </c>
      <c r="AS90" s="299" t="s">
        <v>6234</v>
      </c>
      <c r="AT90" s="299" t="s">
        <v>6235</v>
      </c>
      <c r="AU90" s="299"/>
      <c r="AV90" s="299"/>
      <c r="AW90" s="299"/>
      <c r="AX90" s="299"/>
      <c r="AY90" s="299"/>
      <c r="AZ90" s="299"/>
      <c r="BA90" s="299"/>
      <c r="BB90" s="299"/>
      <c r="BC90" s="299"/>
      <c r="BD90" s="299"/>
      <c r="BE90" s="299"/>
      <c r="BF90" s="299"/>
      <c r="BG90" s="299"/>
      <c r="BH90" s="299"/>
      <c r="BI90" s="360" t="s">
        <v>6236</v>
      </c>
      <c r="BJ90" s="300" t="s">
        <v>6237</v>
      </c>
      <c r="BK90" s="300" t="s">
        <v>6238</v>
      </c>
      <c r="BL90" s="300" t="s">
        <v>6239</v>
      </c>
      <c r="BM90" s="300" t="s">
        <v>6240</v>
      </c>
      <c r="BN90" s="300" t="s">
        <v>6241</v>
      </c>
      <c r="BO90" s="300" t="s">
        <v>6242</v>
      </c>
      <c r="BP90" s="300" t="s">
        <v>6243</v>
      </c>
      <c r="BQ90" s="300" t="s">
        <v>6244</v>
      </c>
      <c r="BR90" s="300" t="s">
        <v>6245</v>
      </c>
      <c r="BS90" s="300" t="s">
        <v>6246</v>
      </c>
      <c r="BT90" s="300"/>
      <c r="BU90" s="300"/>
      <c r="BV90" s="301" t="s">
        <v>6247</v>
      </c>
      <c r="BW90" s="301" t="s">
        <v>6248</v>
      </c>
      <c r="BX90" s="301" t="s">
        <v>6249</v>
      </c>
      <c r="BY90" s="301" t="s">
        <v>6250</v>
      </c>
      <c r="BZ90" s="301" t="s">
        <v>6251</v>
      </c>
      <c r="CA90" s="301" t="s">
        <v>6252</v>
      </c>
      <c r="CB90" s="301" t="s">
        <v>6253</v>
      </c>
      <c r="CC90" s="301" t="s">
        <v>6254</v>
      </c>
      <c r="CD90" s="301" t="s">
        <v>6255</v>
      </c>
      <c r="CE90" s="301" t="s">
        <v>6256</v>
      </c>
      <c r="CF90" s="361" t="s">
        <v>6257</v>
      </c>
    </row>
    <row r="91" customHeight="1" spans="6:84">
      <c r="F91" s="192"/>
      <c r="G91" s="193" t="str">
        <f>IFERROR(INDEX($AS$2:$AX$78,$H$1,2),"")</f>
        <v/>
      </c>
      <c r="H91" s="200"/>
      <c r="K91" s="358" t="s">
        <v>1720</v>
      </c>
      <c r="L91" s="193">
        <v>11</v>
      </c>
      <c r="M91" s="224" t="s">
        <v>6258</v>
      </c>
      <c r="N91" s="224" t="s">
        <v>6259</v>
      </c>
      <c r="O91" s="224" t="s">
        <v>6260</v>
      </c>
      <c r="P91" s="224" t="s">
        <v>6261</v>
      </c>
      <c r="Q91" s="224" t="s">
        <v>6262</v>
      </c>
      <c r="R91" s="224" t="s">
        <v>6263</v>
      </c>
      <c r="S91" s="297" t="s">
        <v>6264</v>
      </c>
      <c r="T91" s="241" t="s">
        <v>6265</v>
      </c>
      <c r="U91" s="241" t="s">
        <v>6266</v>
      </c>
      <c r="V91" s="241" t="s">
        <v>6267</v>
      </c>
      <c r="W91" s="241" t="s">
        <v>6268</v>
      </c>
      <c r="X91" s="241" t="s">
        <v>6269</v>
      </c>
      <c r="Y91" s="241" t="s">
        <v>6270</v>
      </c>
      <c r="Z91" s="226" t="s">
        <v>6271</v>
      </c>
      <c r="AA91" s="240" t="s">
        <v>6272</v>
      </c>
      <c r="AB91" s="240" t="s">
        <v>6273</v>
      </c>
      <c r="AC91" s="240" t="s">
        <v>6274</v>
      </c>
      <c r="AD91" s="240" t="s">
        <v>6275</v>
      </c>
      <c r="AE91" s="240" t="s">
        <v>6276</v>
      </c>
      <c r="AF91" s="240" t="s">
        <v>6277</v>
      </c>
      <c r="AG91" s="298" t="s">
        <v>6278</v>
      </c>
      <c r="AH91" s="233" t="s">
        <v>6279</v>
      </c>
      <c r="AI91" s="233" t="s">
        <v>6280</v>
      </c>
      <c r="AJ91" s="233" t="s">
        <v>6281</v>
      </c>
      <c r="AK91" s="233" t="s">
        <v>6282</v>
      </c>
      <c r="AL91" s="233" t="s">
        <v>6283</v>
      </c>
      <c r="AM91" s="233" t="s">
        <v>6284</v>
      </c>
      <c r="AN91" s="299" t="s">
        <v>6285</v>
      </c>
      <c r="AO91" s="299" t="s">
        <v>6286</v>
      </c>
      <c r="AP91" s="299" t="s">
        <v>6287</v>
      </c>
      <c r="AQ91" s="299" t="s">
        <v>6288</v>
      </c>
      <c r="AR91" s="299" t="s">
        <v>6289</v>
      </c>
      <c r="AS91" s="299" t="s">
        <v>6290</v>
      </c>
      <c r="AT91" s="299" t="s">
        <v>6291</v>
      </c>
      <c r="AU91" s="299" t="s">
        <v>6292</v>
      </c>
      <c r="AV91" s="299" t="s">
        <v>6293</v>
      </c>
      <c r="AW91" s="299" t="s">
        <v>6294</v>
      </c>
      <c r="AX91" s="299" t="s">
        <v>6295</v>
      </c>
      <c r="AY91" s="299"/>
      <c r="AZ91" s="299"/>
      <c r="BA91" s="299"/>
      <c r="BB91" s="299"/>
      <c r="BC91" s="299"/>
      <c r="BD91" s="299"/>
      <c r="BE91" s="299"/>
      <c r="BF91" s="299"/>
      <c r="BG91" s="299"/>
      <c r="BH91" s="299"/>
      <c r="BI91" s="300" t="s">
        <v>6296</v>
      </c>
      <c r="BJ91" s="300" t="s">
        <v>6297</v>
      </c>
      <c r="BK91" s="300" t="s">
        <v>6298</v>
      </c>
      <c r="BL91" s="300" t="s">
        <v>6299</v>
      </c>
      <c r="BM91" s="300" t="s">
        <v>6300</v>
      </c>
      <c r="BN91" s="300" t="s">
        <v>6301</v>
      </c>
      <c r="BO91" s="300" t="s">
        <v>6302</v>
      </c>
      <c r="BP91" s="300"/>
      <c r="BQ91" s="300"/>
      <c r="BR91" s="300"/>
      <c r="BS91" s="300"/>
      <c r="BT91" s="300"/>
      <c r="BU91" s="300"/>
      <c r="BV91" s="301"/>
      <c r="BW91" s="301"/>
      <c r="BX91" s="301"/>
      <c r="BY91" s="301"/>
      <c r="BZ91" s="301"/>
      <c r="CA91" s="301"/>
      <c r="CB91" s="301"/>
      <c r="CC91" s="301"/>
      <c r="CD91" s="301"/>
      <c r="CE91" s="301"/>
      <c r="CF91" s="361"/>
    </row>
    <row r="92" customHeight="1" spans="6:84">
      <c r="F92" s="192"/>
      <c r="G92" s="193" t="str">
        <f>IFERROR(INDEX($AS$2:$AX$78,$H$1,3),"")</f>
        <v/>
      </c>
      <c r="H92" s="196"/>
      <c r="K92" s="358" t="s">
        <v>1725</v>
      </c>
      <c r="L92" s="193">
        <v>12</v>
      </c>
      <c r="M92" s="224" t="s">
        <v>6303</v>
      </c>
      <c r="N92" s="224" t="s">
        <v>6304</v>
      </c>
      <c r="O92" s="224" t="s">
        <v>6305</v>
      </c>
      <c r="P92" s="224" t="s">
        <v>6306</v>
      </c>
      <c r="Q92" s="224" t="s">
        <v>6307</v>
      </c>
      <c r="R92" s="224" t="s">
        <v>6308</v>
      </c>
      <c r="S92" s="297" t="s">
        <v>283</v>
      </c>
      <c r="T92" s="241" t="s">
        <v>6309</v>
      </c>
      <c r="U92" s="241" t="s">
        <v>6310</v>
      </c>
      <c r="V92" s="241" t="s">
        <v>6311</v>
      </c>
      <c r="W92" s="241" t="s">
        <v>6312</v>
      </c>
      <c r="X92" s="241" t="s">
        <v>6313</v>
      </c>
      <c r="Y92" s="241" t="s">
        <v>6314</v>
      </c>
      <c r="Z92" s="226" t="s">
        <v>6315</v>
      </c>
      <c r="AA92" s="240" t="s">
        <v>6316</v>
      </c>
      <c r="AB92" s="240" t="s">
        <v>6317</v>
      </c>
      <c r="AC92" s="240" t="s">
        <v>6318</v>
      </c>
      <c r="AD92" s="240" t="s">
        <v>6319</v>
      </c>
      <c r="AE92" s="240" t="s">
        <v>6320</v>
      </c>
      <c r="AF92" s="240" t="s">
        <v>6321</v>
      </c>
      <c r="AG92" s="298" t="s">
        <v>6285</v>
      </c>
      <c r="AH92" s="233" t="s">
        <v>6322</v>
      </c>
      <c r="AI92" s="233" t="s">
        <v>6323</v>
      </c>
      <c r="AJ92" s="233" t="s">
        <v>6324</v>
      </c>
      <c r="AK92" s="233" t="s">
        <v>6325</v>
      </c>
      <c r="AL92" s="233" t="s">
        <v>6326</v>
      </c>
      <c r="AM92" s="233" t="s">
        <v>6327</v>
      </c>
      <c r="AN92" s="299" t="s">
        <v>6328</v>
      </c>
      <c r="AO92" s="299" t="s">
        <v>6329</v>
      </c>
      <c r="AP92" s="299" t="s">
        <v>6330</v>
      </c>
      <c r="AQ92" s="299" t="s">
        <v>6331</v>
      </c>
      <c r="AR92" s="299" t="s">
        <v>6332</v>
      </c>
      <c r="AS92" s="299" t="s">
        <v>6333</v>
      </c>
      <c r="AT92" s="299" t="s">
        <v>6334</v>
      </c>
      <c r="AU92" s="299"/>
      <c r="AV92" s="299"/>
      <c r="AW92" s="299"/>
      <c r="AX92" s="299"/>
      <c r="AY92" s="299"/>
      <c r="AZ92" s="299"/>
      <c r="BA92" s="299"/>
      <c r="BB92" s="299"/>
      <c r="BC92" s="299"/>
      <c r="BD92" s="299"/>
      <c r="BE92" s="299"/>
      <c r="BF92" s="299"/>
      <c r="BG92" s="299"/>
      <c r="BH92" s="299"/>
      <c r="BI92" s="300" t="s">
        <v>5951</v>
      </c>
      <c r="BJ92" s="300" t="s">
        <v>6335</v>
      </c>
      <c r="BK92" s="300" t="s">
        <v>6336</v>
      </c>
      <c r="BL92" s="300" t="s">
        <v>6337</v>
      </c>
      <c r="BM92" s="300" t="s">
        <v>6338</v>
      </c>
      <c r="BN92" s="300" t="s">
        <v>6339</v>
      </c>
      <c r="BO92" s="300" t="s">
        <v>6340</v>
      </c>
      <c r="BP92" s="300" t="s">
        <v>6341</v>
      </c>
      <c r="BQ92" s="300" t="s">
        <v>6342</v>
      </c>
      <c r="BR92" s="300"/>
      <c r="BS92" s="300"/>
      <c r="BT92" s="300"/>
      <c r="BU92" s="300"/>
      <c r="BV92" s="301"/>
      <c r="BW92" s="301"/>
      <c r="BX92" s="301"/>
      <c r="BY92" s="301"/>
      <c r="BZ92" s="301"/>
      <c r="CA92" s="301"/>
      <c r="CB92" s="301"/>
      <c r="CC92" s="301"/>
      <c r="CD92" s="301"/>
      <c r="CE92" s="301"/>
      <c r="CF92" s="361"/>
    </row>
    <row r="93" customHeight="1" spans="6:84">
      <c r="F93" s="192"/>
      <c r="G93" s="193" t="str">
        <f>IFERROR(INDEX($AS$2:$AX$78,$H$1,4),"")</f>
        <v/>
      </c>
      <c r="H93" s="196"/>
      <c r="K93" s="362" t="s">
        <v>39</v>
      </c>
      <c r="L93" s="235">
        <v>13</v>
      </c>
      <c r="M93" s="235"/>
      <c r="N93" s="235"/>
      <c r="O93" s="235"/>
      <c r="P93" s="235"/>
      <c r="Q93" s="235"/>
      <c r="R93" s="235"/>
      <c r="S93" s="355"/>
      <c r="T93" s="355"/>
      <c r="U93" s="355"/>
      <c r="V93" s="355"/>
      <c r="W93" s="355"/>
      <c r="X93" s="355"/>
      <c r="Y93" s="355"/>
      <c r="Z93" s="260"/>
      <c r="AA93" s="260"/>
      <c r="AB93" s="260"/>
      <c r="AC93" s="260"/>
      <c r="AD93" s="260"/>
      <c r="AE93" s="260"/>
      <c r="AF93" s="260"/>
      <c r="AG93" s="351"/>
      <c r="AH93" s="351"/>
      <c r="AI93" s="351"/>
      <c r="AJ93" s="351"/>
      <c r="AK93" s="351"/>
      <c r="AL93" s="351"/>
      <c r="AM93" s="351"/>
      <c r="AN93" s="352"/>
      <c r="AO93" s="352"/>
      <c r="AP93" s="352"/>
      <c r="AQ93" s="352"/>
      <c r="AR93" s="352"/>
      <c r="AS93" s="352"/>
      <c r="AT93" s="352"/>
      <c r="AU93" s="352"/>
      <c r="AV93" s="352"/>
      <c r="AW93" s="352"/>
      <c r="AX93" s="352"/>
      <c r="AY93" s="352"/>
      <c r="AZ93" s="352"/>
      <c r="BA93" s="352"/>
      <c r="BB93" s="352"/>
      <c r="BC93" s="352"/>
      <c r="BD93" s="352"/>
      <c r="BE93" s="352"/>
      <c r="BF93" s="352"/>
      <c r="BG93" s="352"/>
      <c r="BH93" s="352"/>
      <c r="BI93" s="353"/>
      <c r="BJ93" s="353"/>
      <c r="BK93" s="353"/>
      <c r="BL93" s="353"/>
      <c r="BM93" s="353"/>
      <c r="BN93" s="353"/>
      <c r="BO93" s="353"/>
      <c r="BP93" s="353"/>
      <c r="BQ93" s="353"/>
      <c r="BR93" s="353"/>
      <c r="BS93" s="353"/>
      <c r="BT93" s="353"/>
      <c r="BU93" s="353"/>
      <c r="BV93" s="354"/>
      <c r="BW93" s="354"/>
      <c r="BX93" s="354"/>
      <c r="BY93" s="354"/>
      <c r="BZ93" s="354"/>
      <c r="CA93" s="354"/>
      <c r="CB93" s="354"/>
      <c r="CC93" s="354"/>
      <c r="CD93" s="354"/>
      <c r="CE93" s="354"/>
      <c r="CF93" s="363"/>
    </row>
    <row r="94" customHeight="1" spans="6:84">
      <c r="F94" s="192"/>
      <c r="G94" s="193" t="str">
        <f>IFERROR(INDEX($AS$2:$AX$78,$H$1,5),"")</f>
        <v/>
      </c>
      <c r="H94" s="196"/>
    </row>
    <row r="95" customHeight="1" spans="6:84">
      <c r="F95" s="192"/>
      <c r="G95" s="193" t="str">
        <f>IFERROR(INDEX($AS$2:$AX$78,$H$1,6),"")</f>
        <v/>
      </c>
      <c r="H95" s="196"/>
      <c r="K95" s="183" t="s">
        <v>6343</v>
      </c>
      <c r="L95" s="184">
        <v>1</v>
      </c>
      <c r="M95" s="211" t="s">
        <v>6344</v>
      </c>
      <c r="N95" s="211" t="s">
        <v>6345</v>
      </c>
      <c r="O95" s="211" t="s">
        <v>6346</v>
      </c>
      <c r="P95" s="211" t="s">
        <v>6347</v>
      </c>
      <c r="Q95" s="211" t="s">
        <v>6348</v>
      </c>
      <c r="R95" s="211" t="s">
        <v>6349</v>
      </c>
      <c r="S95" s="211" t="s">
        <v>6350</v>
      </c>
      <c r="T95" s="211" t="s">
        <v>6351</v>
      </c>
      <c r="U95" s="211" t="s">
        <v>6352</v>
      </c>
      <c r="V95" s="211" t="s">
        <v>6353</v>
      </c>
      <c r="W95" s="211" t="s">
        <v>6354</v>
      </c>
      <c r="X95" s="211" t="s">
        <v>6355</v>
      </c>
      <c r="Y95" s="211" t="s">
        <v>6356</v>
      </c>
      <c r="Z95" s="211" t="s">
        <v>6357</v>
      </c>
      <c r="AA95" s="211" t="s">
        <v>6358</v>
      </c>
      <c r="AB95" s="211" t="s">
        <v>6359</v>
      </c>
      <c r="AC95" s="211" t="s">
        <v>6360</v>
      </c>
      <c r="AD95" s="211" t="s">
        <v>6361</v>
      </c>
      <c r="AE95" s="211" t="s">
        <v>6362</v>
      </c>
      <c r="AF95" s="211" t="s">
        <v>6363</v>
      </c>
      <c r="AG95" s="211" t="s">
        <v>6364</v>
      </c>
      <c r="AH95" s="364" t="s">
        <v>6365</v>
      </c>
    </row>
    <row r="96" customHeight="1" spans="6:84">
      <c r="F96" s="192">
        <f>IFERROR(INDEX(AY2:AY78,H1,1),0)</f>
        <v>0</v>
      </c>
      <c r="G96" s="193" t="str">
        <f>IFERROR(INDEX($AZ$2:$BS$78,$H$1,1),"")</f>
        <v/>
      </c>
      <c r="H96" s="196"/>
      <c r="K96" s="222" t="s">
        <v>6366</v>
      </c>
      <c r="L96" s="193">
        <v>2</v>
      </c>
      <c r="M96" s="198" t="s">
        <v>6367</v>
      </c>
      <c r="N96" s="198" t="s">
        <v>6368</v>
      </c>
      <c r="O96" s="198" t="s">
        <v>6369</v>
      </c>
      <c r="P96" s="198" t="s">
        <v>6370</v>
      </c>
      <c r="Q96" s="198" t="s">
        <v>6371</v>
      </c>
      <c r="R96" s="198" t="s">
        <v>6372</v>
      </c>
      <c r="S96" s="198" t="s">
        <v>6373</v>
      </c>
      <c r="T96" s="198" t="s">
        <v>6374</v>
      </c>
      <c r="U96" s="198" t="s">
        <v>6375</v>
      </c>
      <c r="V96" s="198" t="s">
        <v>6376</v>
      </c>
      <c r="W96" s="198" t="s">
        <v>6377</v>
      </c>
      <c r="X96" s="198" t="s">
        <v>6378</v>
      </c>
      <c r="Y96" s="198" t="s">
        <v>6379</v>
      </c>
      <c r="Z96" s="198" t="s">
        <v>6380</v>
      </c>
      <c r="AA96" s="198" t="s">
        <v>6381</v>
      </c>
      <c r="AB96" s="198" t="s">
        <v>6382</v>
      </c>
      <c r="AC96" s="198" t="s">
        <v>6383</v>
      </c>
      <c r="AD96" s="198" t="s">
        <v>6384</v>
      </c>
      <c r="AE96" s="198" t="s">
        <v>6385</v>
      </c>
      <c r="AF96" s="198" t="s">
        <v>6386</v>
      </c>
      <c r="AG96" s="198" t="s">
        <v>6387</v>
      </c>
      <c r="AH96" s="203" t="s">
        <v>6388</v>
      </c>
    </row>
    <row r="97" customHeight="1" spans="6:34">
      <c r="F97" s="192"/>
      <c r="G97" s="193" t="str">
        <f>IFERROR(INDEX($AZ$2:$BS$78,$H$1,2),"")</f>
        <v/>
      </c>
      <c r="H97" s="196"/>
      <c r="K97" s="222" t="s">
        <v>6389</v>
      </c>
      <c r="L97" s="193">
        <v>3</v>
      </c>
      <c r="M97" s="198" t="s">
        <v>6390</v>
      </c>
      <c r="N97" s="198" t="s">
        <v>6391</v>
      </c>
      <c r="O97" s="198" t="s">
        <v>6392</v>
      </c>
      <c r="P97" s="198" t="s">
        <v>6393</v>
      </c>
      <c r="Q97" s="198" t="s">
        <v>6394</v>
      </c>
      <c r="R97" s="198" t="s">
        <v>6395</v>
      </c>
      <c r="S97" s="198" t="s">
        <v>6396</v>
      </c>
      <c r="T97" s="198" t="s">
        <v>6397</v>
      </c>
      <c r="U97" s="198" t="s">
        <v>6398</v>
      </c>
      <c r="V97" s="198" t="s">
        <v>6399</v>
      </c>
      <c r="W97" s="198" t="s">
        <v>6400</v>
      </c>
      <c r="X97" s="198" t="s">
        <v>6401</v>
      </c>
      <c r="Y97" s="198" t="s">
        <v>6402</v>
      </c>
      <c r="Z97" s="198" t="s">
        <v>6403</v>
      </c>
      <c r="AA97" s="198" t="s">
        <v>6404</v>
      </c>
      <c r="AB97" s="198" t="s">
        <v>6405</v>
      </c>
      <c r="AC97" s="198" t="s">
        <v>6406</v>
      </c>
      <c r="AD97" s="198" t="s">
        <v>6407</v>
      </c>
      <c r="AE97" s="198" t="s">
        <v>6408</v>
      </c>
      <c r="AF97" s="198" t="s">
        <v>6409</v>
      </c>
      <c r="AG97" s="198" t="s">
        <v>6410</v>
      </c>
      <c r="AH97" s="203" t="s">
        <v>6411</v>
      </c>
    </row>
    <row r="98" customHeight="1" spans="6:34">
      <c r="F98" s="192"/>
      <c r="G98" s="193" t="str">
        <f>IFERROR(INDEX($AZ$2:$BS$78,$H$1,3),"")</f>
        <v/>
      </c>
      <c r="H98" s="196"/>
      <c r="K98" s="230" t="s">
        <v>6412</v>
      </c>
      <c r="L98" s="235">
        <v>4</v>
      </c>
      <c r="M98" s="208" t="s">
        <v>6413</v>
      </c>
      <c r="N98" s="208" t="s">
        <v>6414</v>
      </c>
      <c r="O98" s="208" t="s">
        <v>6415</v>
      </c>
      <c r="P98" s="208" t="s">
        <v>6416</v>
      </c>
      <c r="Q98" s="208" t="s">
        <v>6417</v>
      </c>
      <c r="R98" s="208" t="s">
        <v>6418</v>
      </c>
      <c r="S98" s="208" t="s">
        <v>6419</v>
      </c>
      <c r="T98" s="208" t="s">
        <v>6420</v>
      </c>
      <c r="U98" s="208" t="s">
        <v>6421</v>
      </c>
      <c r="V98" s="208" t="s">
        <v>6422</v>
      </c>
      <c r="W98" s="208" t="s">
        <v>6423</v>
      </c>
      <c r="X98" s="208" t="s">
        <v>6424</v>
      </c>
      <c r="Y98" s="208" t="s">
        <v>6425</v>
      </c>
      <c r="Z98" s="208" t="s">
        <v>6426</v>
      </c>
      <c r="AA98" s="208" t="s">
        <v>6427</v>
      </c>
      <c r="AB98" s="208" t="s">
        <v>6428</v>
      </c>
      <c r="AC98" s="208" t="s">
        <v>6429</v>
      </c>
      <c r="AD98" s="208" t="s">
        <v>6430</v>
      </c>
      <c r="AE98" s="208" t="s">
        <v>6431</v>
      </c>
      <c r="AF98" s="208" t="s">
        <v>6432</v>
      </c>
      <c r="AG98" s="208" t="s">
        <v>6433</v>
      </c>
      <c r="AH98" s="209" t="s">
        <v>6434</v>
      </c>
    </row>
    <row r="99" customHeight="1" spans="6:34">
      <c r="F99" s="192"/>
      <c r="G99" s="193" t="str">
        <f>IFERROR(INDEX($AZ$2:$BS$78,$H$1,4),"")</f>
        <v/>
      </c>
      <c r="H99" s="196"/>
    </row>
    <row r="100" customHeight="1" spans="6:34">
      <c r="F100" s="192"/>
      <c r="G100" s="193" t="str">
        <f>IFERROR(INDEX($AZ$2:$BS$78,$H$1,5),"")</f>
        <v/>
      </c>
      <c r="H100" s="196"/>
    </row>
    <row r="101" customHeight="1" spans="6:34">
      <c r="F101" s="192"/>
      <c r="G101" s="193" t="str">
        <f>IFERROR(INDEX($AZ$2:$BS$78,$H$1,6),"")</f>
        <v/>
      </c>
      <c r="H101" s="196"/>
    </row>
    <row r="102" customHeight="1" spans="6:34">
      <c r="F102" s="192"/>
      <c r="G102" s="193" t="str">
        <f>IFERROR(INDEX($AZ$2:$BS$78,$H$1,7),"")</f>
        <v/>
      </c>
      <c r="H102" s="196"/>
    </row>
    <row r="103" customHeight="1" spans="6:34">
      <c r="F103" s="192"/>
      <c r="G103" s="193" t="str">
        <f>IFERROR(INDEX($AZ$2:$BS$78,$H$1,8),"")</f>
        <v/>
      </c>
      <c r="H103" s="196"/>
    </row>
    <row r="104" customHeight="1" spans="6:34">
      <c r="F104" s="192"/>
      <c r="G104" s="193" t="str">
        <f>IFERROR(INDEX($AZ$2:$BS$78,$H$1,9),"")</f>
        <v/>
      </c>
      <c r="H104" s="196"/>
    </row>
    <row r="105" customHeight="1" spans="6:34">
      <c r="F105" s="192"/>
      <c r="G105" s="193" t="str">
        <f>IFERROR(INDEX($AZ$2:$BS$78,$H$1,10),"")</f>
        <v/>
      </c>
      <c r="H105" s="196"/>
    </row>
    <row r="106" customHeight="1" spans="6:34">
      <c r="F106" s="192"/>
      <c r="G106" s="193" t="str">
        <f>IFERROR(INDEX($AZ$2:$BS$78,$H$1,11),"")</f>
        <v/>
      </c>
      <c r="H106" s="196"/>
    </row>
    <row r="107" customHeight="1" spans="6:34">
      <c r="F107" s="192"/>
      <c r="G107" s="193" t="str">
        <f>IFERROR(INDEX($AZ$2:$BS$78,$H$1,12),"")</f>
        <v/>
      </c>
      <c r="H107" s="196"/>
    </row>
    <row r="108" customHeight="1" spans="6:34">
      <c r="F108" s="192"/>
      <c r="G108" s="193" t="str">
        <f>IFERROR(INDEX($AZ$2:$BS$78,$H$1,13),"")</f>
        <v/>
      </c>
      <c r="H108" s="196"/>
    </row>
    <row r="109" customHeight="1" spans="6:34">
      <c r="F109" s="192"/>
      <c r="G109" s="193" t="str">
        <f>IFERROR(INDEX($AZ$2:$BS$78,$H$1,14),"")</f>
        <v/>
      </c>
      <c r="H109" s="196"/>
    </row>
    <row r="110" customHeight="1" spans="6:34">
      <c r="F110" s="192"/>
      <c r="G110" s="193" t="str">
        <f>IFERROR(INDEX($AZ$2:$BS$78,$H$1,15),"")</f>
        <v/>
      </c>
      <c r="H110" s="196"/>
    </row>
    <row r="111" customHeight="1" spans="6:34">
      <c r="F111" s="192"/>
      <c r="G111" s="193" t="str">
        <f>IFERROR(INDEX($AZ$2:$BS$78,$H$1,16),"")</f>
        <v/>
      </c>
      <c r="H111" s="196"/>
    </row>
    <row r="112" customHeight="1" spans="6:34">
      <c r="F112" s="192"/>
      <c r="G112" s="193" t="str">
        <f>IFERROR(INDEX($AZ$2:$BS$78,$H$1,17),"")</f>
        <v/>
      </c>
      <c r="H112" s="196"/>
    </row>
    <row r="113" customHeight="1" spans="6:8">
      <c r="F113" s="192"/>
      <c r="G113" s="193" t="str">
        <f>IFERROR(INDEX($AZ$2:$BS$78,$H$1,18),"")</f>
        <v/>
      </c>
      <c r="H113" s="196"/>
    </row>
    <row r="114" customHeight="1" spans="6:8">
      <c r="F114" s="192"/>
      <c r="G114" s="193" t="str">
        <f>IFERROR(INDEX($AZ$2:$BS$78,$H$1,19),"")</f>
        <v/>
      </c>
      <c r="H114" s="196"/>
    </row>
    <row r="115" customHeight="1" spans="6:8">
      <c r="F115" s="204"/>
      <c r="G115" s="235" t="str">
        <f>IFERROR(INDEX($AZ$2:$BS$78,$H$1,20),"")</f>
        <v/>
      </c>
      <c r="H115" s="214"/>
    </row>
  </sheetData>
  <sheetProtection sheet="1" objects="1" scenarios="1"/>
  <mergeCells count="29">
    <mergeCell ref="F1:G1"/>
    <mergeCell ref="S1:Z1"/>
    <mergeCell ref="AA1:AF1"/>
    <mergeCell ref="AG1:AL1"/>
    <mergeCell ref="AM1:AR1"/>
    <mergeCell ref="AS1:AX1"/>
    <mergeCell ref="AZ1:BS1"/>
    <mergeCell ref="A13:B13"/>
    <mergeCell ref="A25:C25"/>
    <mergeCell ref="M80:R80"/>
    <mergeCell ref="S80:Y80"/>
    <mergeCell ref="Z80:AF80"/>
    <mergeCell ref="AG80:AM80"/>
    <mergeCell ref="AN80:BH80"/>
    <mergeCell ref="BI80:BU80"/>
    <mergeCell ref="BV80:CF80"/>
    <mergeCell ref="F12:F31"/>
    <mergeCell ref="F33:F50"/>
    <mergeCell ref="F52:F69"/>
    <mergeCell ref="F71:F88"/>
    <mergeCell ref="F90:F95"/>
    <mergeCell ref="F96:F115"/>
    <mergeCell ref="I2:I7"/>
    <mergeCell ref="I8:I13"/>
    <mergeCell ref="I14:I19"/>
    <mergeCell ref="I20:I25"/>
    <mergeCell ref="I26:I45"/>
    <mergeCell ref="I46:I57"/>
    <mergeCell ref="I58:I67"/>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Q145"/>
  <sheetViews>
    <sheetView workbookViewId="0">
      <selection activeCell="A1" sqref="A1"/>
    </sheetView>
  </sheetViews>
  <sheetFormatPr defaultColWidth="9" defaultRowHeight="14.4" customHeight="1"/>
  <cols>
    <col min="1" max="1" width="8.89090909090909" customWidth="1"/>
    <col min="2" max="3" width="8.89090909090909" style="181" customWidth="1"/>
    <col min="4" max="4" width="8.89090909090909" style="181"/>
  </cols>
  <sheetData>
    <row r="1" customHeight="1" spans="1:17">
      <c r="A1" s="262" t="s">
        <v>247</v>
      </c>
      <c r="B1" s="211" t="s">
        <v>3726</v>
      </c>
      <c r="C1" s="183" t="s">
        <v>6435</v>
      </c>
      <c r="D1" s="220"/>
      <c r="E1" s="263" t="s">
        <v>6436</v>
      </c>
      <c r="F1" s="264"/>
      <c r="G1" s="265"/>
      <c r="H1" s="245" t="s">
        <v>254</v>
      </c>
      <c r="I1" s="266" t="s">
        <v>255</v>
      </c>
      <c r="J1" s="267" t="s">
        <v>257</v>
      </c>
      <c r="K1" s="268" t="s">
        <v>261</v>
      </c>
      <c r="L1" s="269" t="s">
        <v>263</v>
      </c>
      <c r="M1" s="270" t="s">
        <v>264</v>
      </c>
      <c r="N1" s="271" t="s">
        <v>267</v>
      </c>
      <c r="O1" s="272" t="s">
        <v>268</v>
      </c>
      <c r="P1" s="273" t="s">
        <v>269</v>
      </c>
      <c r="Q1" s="257" t="s">
        <v>415</v>
      </c>
    </row>
    <row r="2" customHeight="1" spans="1:17">
      <c r="A2" s="274" t="s">
        <v>245</v>
      </c>
      <c r="B2" s="198" t="s">
        <v>6437</v>
      </c>
      <c r="C2" s="212" t="str">
        <f>IF($G$21&lt;=0,"",A2)</f>
        <v/>
      </c>
      <c r="D2" s="196" t="str">
        <f t="array" ref="D2">INDEX(C:C,SMALL(IF($C$2:$C$145&lt;&gt;"",ROW($2:$145),146),ROW(C1)))&amp;""</f>
        <v>魔法学徒-吟游诗人</v>
      </c>
      <c r="E2" s="275">
        <f>IF(主要!Z109="",0,主要!Z109)</f>
        <v>0</v>
      </c>
      <c r="F2" t="str">
        <f>IFERROR(VLOOKUP(E2,A:B,2,0),"")</f>
        <v/>
      </c>
      <c r="G2" s="276" t="str">
        <f>IF(E2=0,"",COUNTIF($E$2:$E$10,E2))</f>
        <v/>
      </c>
    </row>
    <row r="3" customHeight="1" spans="1:17">
      <c r="A3" s="274" t="s">
        <v>6438</v>
      </c>
      <c r="B3" s="198" t="s">
        <v>6439</v>
      </c>
      <c r="C3" s="212" t="str">
        <f>IFERROR(IF(OR($G$21&lt;=0,COUNTIF($E$2:$E$10,A3)),IF(AND(F18=1,G18=0),A3,""),A3),"")</f>
        <v/>
      </c>
      <c r="D3" s="196" t="str">
        <f t="array" ref="D3">INDEX(C:C,SMALL(IF($C$2:$C$145&lt;&gt;"",ROW($2:$145),146),ROW(C2)))&amp;""</f>
        <v>魔法学徒-牧师</v>
      </c>
      <c r="E3" s="275">
        <f>IF(主要!Z110="",0,主要!Z110)</f>
        <v>0</v>
      </c>
      <c r="F3" t="str">
        <f t="shared" ref="F3:F10" si="0">IFERROR(VLOOKUP(E3,A:B,2,0),"")</f>
        <v/>
      </c>
      <c r="G3" s="276" t="str">
        <f t="shared" ref="G3:G10" si="1">IF(E3=0,"",COUNTIF($E$2:$E$10,E3))</f>
        <v/>
      </c>
    </row>
    <row r="4" customHeight="1" spans="1:17">
      <c r="A4" s="274" t="s">
        <v>6440</v>
      </c>
      <c r="B4" s="198" t="s">
        <v>6441</v>
      </c>
      <c r="C4" s="212" t="str">
        <f t="shared" ref="C4:C15" si="2">IFERROR(IF(OR($G$21&lt;=0,COUNTIF($E$2:$E$10,A4)),"",A4),"")</f>
        <v/>
      </c>
      <c r="D4" s="196" t="str">
        <f t="array" ref="D4">INDEX(C:C,SMALL(IF($C$2:$C$145&lt;&gt;"",ROW($2:$145),146),ROW(C3)))&amp;""</f>
        <v>魔法学徒-德鲁伊</v>
      </c>
      <c r="E4" s="275">
        <f>IF(主要!Z111="",0,主要!Z111)</f>
        <v>0</v>
      </c>
      <c r="F4" t="str">
        <f t="shared" si="0"/>
        <v/>
      </c>
      <c r="G4" s="276" t="str">
        <f t="shared" si="1"/>
        <v/>
      </c>
    </row>
    <row r="5" customHeight="1" spans="1:17">
      <c r="A5" s="274" t="s">
        <v>4370</v>
      </c>
      <c r="B5" s="198" t="s">
        <v>6442</v>
      </c>
      <c r="C5" s="212" t="str">
        <f t="shared" si="2"/>
        <v/>
      </c>
      <c r="D5" s="196" t="str">
        <f t="array" ref="D5">INDEX(C:C,SMALL(IF($C$2:$C$145&lt;&gt;"",ROW($2:$145),146),ROW(C4)))&amp;""</f>
        <v>魔法学徒-术士</v>
      </c>
      <c r="E5" s="275">
        <f>IF(主要!Z112="",0,主要!Z112)</f>
        <v>0</v>
      </c>
      <c r="F5" t="str">
        <f t="shared" si="0"/>
        <v/>
      </c>
      <c r="G5" s="276" t="str">
        <f t="shared" si="1"/>
        <v/>
      </c>
    </row>
    <row r="6" customHeight="1" spans="1:17">
      <c r="A6" s="274" t="s">
        <v>6443</v>
      </c>
      <c r="B6" s="198" t="s">
        <v>6444</v>
      </c>
      <c r="C6" s="212" t="str">
        <f t="shared" si="2"/>
        <v/>
      </c>
      <c r="D6" s="196" t="str">
        <f t="array" ref="D6">INDEX(C:C,SMALL(IF($C$2:$C$145&lt;&gt;"",ROW($2:$145),146),ROW(C5)))&amp;""</f>
        <v>魔法学徒-邪术师</v>
      </c>
      <c r="E6" s="275">
        <f>IF(主要!Z113="",0,主要!Z113)</f>
        <v>0</v>
      </c>
      <c r="F6" t="str">
        <f t="shared" si="0"/>
        <v/>
      </c>
      <c r="G6" s="276" t="str">
        <f t="shared" si="1"/>
        <v/>
      </c>
    </row>
    <row r="7" customHeight="1" spans="1:17">
      <c r="A7" s="274" t="s">
        <v>6445</v>
      </c>
      <c r="B7" s="198" t="s">
        <v>6446</v>
      </c>
      <c r="C7" s="212" t="str">
        <f t="shared" si="2"/>
        <v/>
      </c>
      <c r="D7" s="196" t="str">
        <f t="array" ref="D7">INDEX(C:C,SMALL(IF($C$2:$C$145&lt;&gt;"",ROW($2:$145),146),ROW(C6)))&amp;""</f>
        <v>魔法学徒-法师</v>
      </c>
      <c r="E7" s="275">
        <f>IF(主要!Z114="",0,主要!Z114)</f>
        <v>0</v>
      </c>
      <c r="F7" t="str">
        <f t="shared" si="0"/>
        <v/>
      </c>
      <c r="G7" s="276" t="str">
        <f t="shared" si="1"/>
        <v/>
      </c>
    </row>
    <row r="8" customHeight="1" spans="1:17">
      <c r="A8" s="274" t="s">
        <v>6447</v>
      </c>
      <c r="B8" s="198" t="s">
        <v>6448</v>
      </c>
      <c r="C8" s="212" t="str">
        <f t="shared" si="2"/>
        <v/>
      </c>
      <c r="D8" s="196" t="str">
        <f t="array" ref="D8">INDEX(C:C,SMALL(IF($C$2:$C$145&lt;&gt;"",ROW($2:$145),146),ROW(C7)))&amp;""</f>
        <v>熟习</v>
      </c>
      <c r="E8" s="275">
        <f>IF(主要!Z115="",0,主要!Z115)</f>
        <v>0</v>
      </c>
      <c r="F8" t="str">
        <f t="shared" si="0"/>
        <v/>
      </c>
      <c r="G8" s="276" t="str">
        <f t="shared" si="1"/>
        <v/>
      </c>
    </row>
    <row r="9" customHeight="1" spans="1:17">
      <c r="A9" s="274" t="s">
        <v>6449</v>
      </c>
      <c r="B9" s="198" t="s">
        <v>6450</v>
      </c>
      <c r="C9" s="212" t="str">
        <f t="shared" si="2"/>
        <v/>
      </c>
      <c r="D9" s="196" t="str">
        <f t="array" ref="D9">INDEX(C:C,SMALL(IF($C$2:$C$145&lt;&gt;"",ROW($2:$145),146),ROW(C8)))&amp;""</f>
        <v>健壮</v>
      </c>
      <c r="E9" s="275">
        <f>IF(主要!Z116="",0,主要!Z116)</f>
        <v>0</v>
      </c>
      <c r="F9" t="str">
        <f t="shared" si="0"/>
        <v/>
      </c>
      <c r="G9" s="276" t="str">
        <f t="shared" si="1"/>
        <v/>
      </c>
    </row>
    <row r="10" customHeight="1" spans="1:17">
      <c r="A10" s="274" t="s">
        <v>6451</v>
      </c>
      <c r="B10" s="198" t="s">
        <v>6452</v>
      </c>
      <c r="C10" s="212" t="str">
        <f t="shared" si="2"/>
        <v/>
      </c>
      <c r="D10" s="196" t="str">
        <f t="array" ref="D10">INDEX(C:C,SMALL(IF($C$2:$C$145&lt;&gt;"",ROW($2:$145),146),ROW(C9)))&amp;""</f>
        <v/>
      </c>
      <c r="E10" s="275">
        <f>IF(主要!Z117="",0,主要!Z117)</f>
        <v>0</v>
      </c>
      <c r="F10" t="str">
        <f t="shared" si="0"/>
        <v/>
      </c>
      <c r="G10" s="276" t="str">
        <f t="shared" si="1"/>
        <v/>
      </c>
    </row>
    <row r="11" customHeight="1" spans="1:17">
      <c r="A11" s="274" t="s">
        <v>6453</v>
      </c>
      <c r="B11" s="198" t="s">
        <v>6454</v>
      </c>
      <c r="C11" s="212" t="str">
        <f t="shared" si="2"/>
        <v/>
      </c>
      <c r="D11" s="196" t="str">
        <f t="array" ref="D11">INDEX(C:C,SMALL(IF($C$2:$C$145&lt;&gt;"",ROW($2:$145),146),ROW(C10)))&amp;""</f>
        <v/>
      </c>
      <c r="E11" s="274" t="s">
        <v>6455</v>
      </c>
      <c r="F11">
        <f>COUNTIF(背景数据!K54:K58,背景数据!A1)</f>
        <v>0</v>
      </c>
      <c r="G11" s="276">
        <f>COUNTIF(E2:E10,"斯翠海文学徒-*")</f>
        <v>0</v>
      </c>
    </row>
    <row r="12" customHeight="1" spans="1:17">
      <c r="A12" s="274" t="s">
        <v>4770</v>
      </c>
      <c r="B12" s="198" t="s">
        <v>6456</v>
      </c>
      <c r="C12" s="212" t="str">
        <f t="shared" si="2"/>
        <v/>
      </c>
      <c r="D12" s="196" t="str">
        <f t="array" ref="D12">INDEX(C:C,SMALL(IF($C$2:$C$145&lt;&gt;"",ROW($2:$145),146),ROW(C11)))&amp;""</f>
        <v/>
      </c>
      <c r="E12" s="277" t="s">
        <v>6457</v>
      </c>
      <c r="F12">
        <f>IF(背景数据!A1=背景数据!K59,1,0)</f>
        <v>0</v>
      </c>
      <c r="G12" s="278">
        <f>COUNTIF(E2:E10,A18)</f>
        <v>0</v>
      </c>
    </row>
    <row r="13" customHeight="1" spans="1:17">
      <c r="A13" s="274" t="s">
        <v>6458</v>
      </c>
      <c r="B13" s="198" t="s">
        <v>6459</v>
      </c>
      <c r="C13" s="212" t="str">
        <f t="shared" si="2"/>
        <v/>
      </c>
      <c r="D13" s="196" t="str">
        <f t="array" ref="D13">INDEX(C:C,SMALL(IF($C$2:$C$145&lt;&gt;"",ROW($2:$145),146),ROW(C12)))&amp;""</f>
        <v/>
      </c>
      <c r="E13" s="274" t="s">
        <v>6460</v>
      </c>
      <c r="F13">
        <f>IF(背景数据!A1=背景数据!K60,1,0)</f>
        <v>0</v>
      </c>
      <c r="G13" s="276">
        <f>COUNTIF(E2:E10,A41)</f>
        <v>0</v>
      </c>
    </row>
    <row r="14" customHeight="1" spans="1:17">
      <c r="A14" s="274" t="s">
        <v>6461</v>
      </c>
      <c r="B14" s="198" t="s">
        <v>6462</v>
      </c>
      <c r="C14" s="212" t="str">
        <f t="shared" si="2"/>
        <v/>
      </c>
      <c r="D14" s="196" t="str">
        <f t="array" ref="D14">INDEX(C:C,SMALL(IF($C$2:$C$145&lt;&gt;"",ROW($2:$145),146),ROW(C13)))&amp;""</f>
        <v/>
      </c>
      <c r="E14" s="274" t="s">
        <v>6463</v>
      </c>
      <c r="F14">
        <f>IF(背景数据!A1=背景数据!K62,1,0)</f>
        <v>0</v>
      </c>
      <c r="G14" s="276">
        <f>COUNTIF(E2:E10,A100)</f>
        <v>0</v>
      </c>
    </row>
    <row r="15" customHeight="1" spans="1:17">
      <c r="A15" s="274" t="s">
        <v>6464</v>
      </c>
      <c r="B15" s="198" t="s">
        <v>6465</v>
      </c>
      <c r="C15" s="212" t="str">
        <f t="shared" si="2"/>
        <v/>
      </c>
      <c r="D15" s="196" t="str">
        <f t="array" ref="D15">INDEX(C:C,SMALL(IF($C$2:$C$145&lt;&gt;"",ROW($2:$145),146),ROW(C14)))&amp;""</f>
        <v/>
      </c>
      <c r="E15" s="274" t="s">
        <v>6466</v>
      </c>
      <c r="F15">
        <f>IF(背景数据!A1=背景数据!K61,1,0)</f>
        <v>0</v>
      </c>
      <c r="G15" s="276">
        <f>COUNTIF(E2:E10,"巨人打击-*")</f>
        <v>0</v>
      </c>
    </row>
    <row r="16" customHeight="1" spans="1:17">
      <c r="A16" s="274" t="s">
        <v>914</v>
      </c>
      <c r="B16" s="198" t="s">
        <v>6467</v>
      </c>
      <c r="C16" s="212" t="str">
        <f>IFERROR(IF(OR($G$21&lt;=0,COUNTIF($E$2:$E$10,A16)),IF(AND(F17=1,G17=0),A16,""),A16),"")</f>
        <v/>
      </c>
      <c r="D16" s="196" t="str">
        <f t="array" ref="D16">INDEX(C:C,SMALL(IF($C$2:$C$145&lt;&gt;"",ROW($2:$145),146),ROW(C15)))&amp;""</f>
        <v/>
      </c>
      <c r="E16" s="274" t="s">
        <v>6468</v>
      </c>
      <c r="F16">
        <f>COUNTIF(背景数据!K63:K75,背景数据!A1)</f>
        <v>0</v>
      </c>
      <c r="G16" s="276">
        <f>COUNTIF(E2:E10,"外层位面后裔-*")</f>
        <v>0</v>
      </c>
    </row>
    <row r="17" customHeight="1" spans="1:7">
      <c r="A17" s="274" t="s">
        <v>6469</v>
      </c>
      <c r="B17" s="198" t="s">
        <v>6470</v>
      </c>
      <c r="C17" s="212" t="str">
        <f>IFERROR(IF(OR($G$21&lt;=0,COUNTIF($E$2:$E$10,A17)),"",A17),"")</f>
        <v/>
      </c>
      <c r="D17" s="196" t="str">
        <f t="array" ref="D17">INDEX(C:C,SMALL(IF($C$2:$C$145&lt;&gt;"",ROW($2:$145),146),ROW(C16)))&amp;""</f>
        <v/>
      </c>
      <c r="E17" s="274" t="s">
        <v>6471</v>
      </c>
      <c r="F17">
        <f>IF(背景数据!A1=背景数据!K76,1,0)</f>
        <v>0</v>
      </c>
      <c r="G17" s="276">
        <f>IF(F17=1,COUNTIF(E2:E10,A16)+COUNTIF(E2:E10,A18)+COUNTIF(E2:E10,A39),0)</f>
        <v>0</v>
      </c>
    </row>
    <row r="18" customHeight="1" spans="1:7">
      <c r="A18" s="274" t="s">
        <v>6472</v>
      </c>
      <c r="B18" s="198" t="s">
        <v>6473</v>
      </c>
      <c r="C18" s="212" t="str">
        <f>IFERROR(IF(OR($G$21&lt;=0,COUNTIF($E$2:$E$10,A39)),IF(OR(AND(F17=1,G17=0),AND(F19&gt;=10,G19=0)),A18,""),A18),"")</f>
        <v>魔法学徒-吟游诗人</v>
      </c>
      <c r="D18" s="196" t="str">
        <f t="array" ref="D18">INDEX(C:C,SMALL(IF($C$2:$C$145&lt;&gt;"",ROW($2:$145),146),ROW(C17)))&amp;""</f>
        <v/>
      </c>
      <c r="E18" s="274" t="s">
        <v>6474</v>
      </c>
      <c r="F18">
        <f>IF(背景数据!A1=背景数据!K77,1,0)</f>
        <v>0</v>
      </c>
      <c r="G18" s="276">
        <f>IF(F18=1,COUNTIF(E2:E10,A3)+COUNTIF(E2:E10,A39)+COUNTIF(E2:E10,A41),0)</f>
        <v>0</v>
      </c>
    </row>
    <row r="19" customHeight="1" spans="1:7">
      <c r="A19" s="274" t="s">
        <v>6475</v>
      </c>
      <c r="B19" s="198" t="s">
        <v>6476</v>
      </c>
      <c r="C19" s="279" t="str">
        <f>IFERROR(IF(OR($G$21&lt;=0,COUNTIF($E$2:$E$10,A39)),IF(OR(AND(F12=1,G12=0),AND(F17=1,G17=0),AND(F19&gt;=10,G19=0)),A19,""),A19),"")</f>
        <v>魔法学徒-牧师</v>
      </c>
      <c r="D19" s="196" t="str">
        <f t="array" ref="D19">INDEX(C:C,SMALL(IF($C$2:$C$145&lt;&gt;"",ROW($2:$145),146),ROW(C18)))&amp;""</f>
        <v/>
      </c>
      <c r="E19" s="274" t="s">
        <v>6477</v>
      </c>
      <c r="F19">
        <f>IF(综合数据!B19=TRUE,10-10*SUM(F11:F18),0)+IF(OR(综合数据!B20=TRUE,综合数据!B21=TRUE),1-SUM(F11:F18),0)</f>
        <v>11</v>
      </c>
      <c r="G19" s="276">
        <f>MIN(1,IF(F19&gt;=10,COUNTIF(E2:E10,A18)+IF(F19&gt;=10,COUNTIF(E2:E10,A19)+IF(F19&gt;=10,COUNTIF(E2:E10,A20)+IF(F19&gt;=10,COUNTIF(E2:E10,A21)+IF(F19&gt;=10,COUNTIF(E2:E10,A22)+IF(F19&gt;=10,COUNTIF(E2:E10,A23)+COUNTIF(E2:E10,A39)+COUNTIF(E2:E10,A41),0)+IF(F19&gt;=1,COUNTIF(E2:E10,A39)+COUNTIF(E2:E10,A41),0)))))))</f>
        <v>0</v>
      </c>
    </row>
    <row r="20" customHeight="1" spans="1:7">
      <c r="A20" s="274" t="s">
        <v>6478</v>
      </c>
      <c r="B20" s="198" t="s">
        <v>6479</v>
      </c>
      <c r="C20" s="279" t="str">
        <f>IFERROR(IF(OR($G$21&lt;=0,COUNTIF($E$2:$E$10,A39)),IF(OR(AND(F17=1,G17=0),AND(F19&gt;=10,G19=0)),A20,""),A20),"")</f>
        <v>魔法学徒-德鲁伊</v>
      </c>
      <c r="D20" s="196" t="str">
        <f t="array" ref="D20">INDEX(C:C,SMALL(IF($C$2:$C$145&lt;&gt;"",ROW($2:$145),146),ROW(C19)))&amp;""</f>
        <v/>
      </c>
      <c r="E20" s="274" t="s">
        <v>6480</v>
      </c>
      <c r="F20">
        <f>COUNTIF(G2:G10,"&gt;1")-COUNTIF($E$2:$E$10,A2)</f>
        <v>0</v>
      </c>
      <c r="G20" s="276"/>
    </row>
    <row r="21" customHeight="1" spans="1:7">
      <c r="A21" s="274" t="s">
        <v>6481</v>
      </c>
      <c r="B21" s="198" t="s">
        <v>6482</v>
      </c>
      <c r="C21" s="279" t="str">
        <f>IFERROR(IF(OR($G$21&lt;=0,COUNTIF($E$2:$E$10,A39)),IF(OR(AND(F17=1,G17=0),AND(F19&gt;=10,G19=0)),A21,""),A21),"")</f>
        <v>魔法学徒-术士</v>
      </c>
      <c r="D21" s="196" t="str">
        <f t="array" ref="D21">INDEX(C:C,SMALL(IF($C$2:$C$145&lt;&gt;"",ROW($2:$145),146),ROW(C20)))&amp;""</f>
        <v/>
      </c>
      <c r="E21" s="280" t="s">
        <v>6483</v>
      </c>
      <c r="F21" s="281">
        <f>IF(AND(种族数据!V3=种族数据!A5,种族数据!V4=种族数据!B5),1,0)+COUNTIF(职业数据!AG2:AG14,"&gt;=4")+COUNTIF(职业数据!AG2:AG14,"&gt;=8")+COUNTIF(职业数据!AG2:AG14,"&gt;=12")+COUNTIF(职业数据!AG2:AG14,"&gt;=16")+COUNTIF(职业数据!AG2:AG14,"&gt;=19")+IF(职业数据!AG6&gt;=6,1,0)+IF(职业数据!AG6&gt;=14,1,0)+IF(职业数据!AG10&gt;=10,1,0)</f>
        <v>0</v>
      </c>
      <c r="G21" s="282">
        <f>F21-COUNTIF(专长数据!E2:E10,"&lt;&gt;0")+IF(AND(F11=1,G11=1),1,0)+IF(AND(F12=1,G12=1),1,0)+IF(AND(F13=1,G13=1),1,0)+IF(AND(F14=1,G14=1),1,0)+IF(AND(F15=1,G15=1),1,0)+IF(AND(F16=1,G16=1),1,0)+IF(AND(F17=1,G17=1),1,0)+IF(AND(F18=1,G18=1),1,0)+IF(AND(F19&gt;=1,G19=1),1,0)</f>
        <v>0</v>
      </c>
    </row>
    <row r="22" customHeight="1" spans="1:7">
      <c r="A22" s="274" t="s">
        <v>6484</v>
      </c>
      <c r="B22" s="198" t="s">
        <v>6485</v>
      </c>
      <c r="C22" s="279" t="str">
        <f>IFERROR(IF(OR($G$21&lt;=0,COUNTIF($E$2:$E$10,A39)),IF(OR(AND(F17=1,G17=0),AND(F19&gt;=10,G19=0)),A22,""),A22),"")</f>
        <v>魔法学徒-邪术师</v>
      </c>
      <c r="D22" s="196" t="str">
        <f t="array" ref="D22">INDEX(C:C,SMALL(IF($C$2:$C$145&lt;&gt;"",ROW($2:$145),146),ROW(C21)))&amp;""</f>
        <v/>
      </c>
    </row>
    <row r="23" customHeight="1" spans="1:7">
      <c r="A23" s="274" t="s">
        <v>6486</v>
      </c>
      <c r="B23" s="198" t="s">
        <v>6487</v>
      </c>
      <c r="C23" s="279" t="str">
        <f>IFERROR(IF(OR($G$21&lt;=0,COUNTIF($E$2:$E$10,A39)),IF(OR(AND(F17=1,G17=0),AND(F19&gt;=10,G19=0)),A23,""),A23),"")</f>
        <v>魔法学徒-法师</v>
      </c>
      <c r="D23" s="196" t="str">
        <f t="array" ref="D23">INDEX(C:C,SMALL(IF($C$2:$C$145&lt;&gt;"",ROW($2:$145),146),ROW(C22)))&amp;""</f>
        <v/>
      </c>
    </row>
    <row r="24" customHeight="1" spans="1:7">
      <c r="A24" s="274" t="s">
        <v>6488</v>
      </c>
      <c r="B24" s="198" t="s">
        <v>6489</v>
      </c>
      <c r="C24" s="212" t="str">
        <f t="shared" ref="C24:C38" si="3">IFERROR(IF(OR($G$21&lt;=0,COUNTIF($E$2:$E$10,A24)),"",A24),"")</f>
        <v/>
      </c>
      <c r="D24" s="196" t="str">
        <f t="array" ref="D24">INDEX(C:C,SMALL(IF($C$2:$C$145&lt;&gt;"",ROW($2:$145),146),ROW(C23)))&amp;""</f>
        <v/>
      </c>
    </row>
    <row r="25" customHeight="1" spans="1:7">
      <c r="A25" s="274" t="s">
        <v>6490</v>
      </c>
      <c r="B25" s="198" t="s">
        <v>6491</v>
      </c>
      <c r="C25" s="212" t="str">
        <f t="shared" si="3"/>
        <v/>
      </c>
      <c r="D25" s="196" t="str">
        <f t="array" ref="D25">INDEX(C:C,SMALL(IF($C$2:$C$145&lt;&gt;"",ROW($2:$145),146),ROW(C24)))&amp;""</f>
        <v/>
      </c>
    </row>
    <row r="26" customHeight="1" spans="1:7">
      <c r="A26" s="274" t="s">
        <v>6492</v>
      </c>
      <c r="B26" s="198" t="s">
        <v>6493</v>
      </c>
      <c r="C26" s="212" t="str">
        <f t="shared" si="3"/>
        <v/>
      </c>
      <c r="D26" s="196" t="str">
        <f t="array" ref="D26">INDEX(C:C,SMALL(IF($C$2:$C$145&lt;&gt;"",ROW($2:$145),146),ROW(C25)))&amp;""</f>
        <v/>
      </c>
    </row>
    <row r="27" customHeight="1" spans="1:7">
      <c r="A27" s="274" t="s">
        <v>6494</v>
      </c>
      <c r="B27" s="198" t="s">
        <v>6495</v>
      </c>
      <c r="C27" s="212" t="str">
        <f t="shared" si="3"/>
        <v/>
      </c>
      <c r="D27" s="196" t="str">
        <f t="array" ref="D27">INDEX(C:C,SMALL(IF($C$2:$C$145&lt;&gt;"",ROW($2:$145),146),ROW(C26)))&amp;""</f>
        <v/>
      </c>
    </row>
    <row r="28" customHeight="1" spans="1:7">
      <c r="A28" s="274" t="s">
        <v>6496</v>
      </c>
      <c r="B28" s="198" t="s">
        <v>6497</v>
      </c>
      <c r="C28" s="212" t="str">
        <f t="shared" si="3"/>
        <v/>
      </c>
      <c r="D28" s="196" t="str">
        <f t="array" ref="D28">INDEX(C:C,SMALL(IF($C$2:$C$145&lt;&gt;"",ROW($2:$145),146),ROW(C27)))&amp;""</f>
        <v/>
      </c>
    </row>
    <row r="29" customHeight="1" spans="1:7">
      <c r="A29" s="274" t="str">
        <f>IF(主要!A14=FALSE,"强健身心-力量","")</f>
        <v>强健身心-力量</v>
      </c>
      <c r="B29" s="198" t="s">
        <v>6498</v>
      </c>
      <c r="C29" s="212" t="str">
        <f t="shared" si="3"/>
        <v/>
      </c>
      <c r="D29" s="196" t="str">
        <f t="array" ref="D29">INDEX(C:C,SMALL(IF($C$2:$C$145&lt;&gt;"",ROW($2:$145),146),ROW(C28)))&amp;""</f>
        <v/>
      </c>
    </row>
    <row r="30" customHeight="1" spans="1:7">
      <c r="A30" s="274" t="str">
        <f>IF(主要!A15=FALSE,"强健身心-敏捷","")</f>
        <v>强健身心-敏捷</v>
      </c>
      <c r="B30" s="198" t="s">
        <v>6499</v>
      </c>
      <c r="C30" s="212" t="str">
        <f t="shared" si="3"/>
        <v/>
      </c>
      <c r="D30" s="196" t="str">
        <f t="array" ref="D30">INDEX(C:C,SMALL(IF($C$2:$C$145&lt;&gt;"",ROW($2:$145),146),ROW(C29)))&amp;""</f>
        <v/>
      </c>
    </row>
    <row r="31" customHeight="1" spans="1:7">
      <c r="A31" s="274" t="str">
        <f>IF(主要!A16=FALSE,"强健身心-体质","")</f>
        <v>强健身心-体质</v>
      </c>
      <c r="B31" s="198" t="s">
        <v>6500</v>
      </c>
      <c r="C31" s="212" t="str">
        <f t="shared" si="3"/>
        <v/>
      </c>
      <c r="D31" s="196" t="str">
        <f t="array" ref="D31">INDEX(C:C,SMALL(IF($C$2:$C$145&lt;&gt;"",ROW($2:$145),146),ROW(C30)))&amp;""</f>
        <v/>
      </c>
    </row>
    <row r="32" customHeight="1" spans="1:7">
      <c r="A32" s="274" t="str">
        <f>IF(主要!A17=FALSE,"强健身心-智力","")</f>
        <v>强健身心-智力</v>
      </c>
      <c r="B32" s="198" t="s">
        <v>6501</v>
      </c>
      <c r="C32" s="212" t="str">
        <f t="shared" si="3"/>
        <v/>
      </c>
      <c r="D32" s="196" t="str">
        <f t="array" ref="D32">INDEX(C:C,SMALL(IF($C$2:$C$145&lt;&gt;"",ROW($2:$145),146),ROW(C31)))&amp;""</f>
        <v/>
      </c>
    </row>
    <row r="33" customHeight="1" spans="1:5">
      <c r="A33" s="274" t="str">
        <f>IF(主要!A18=FALSE,"强健身心-感知","")</f>
        <v>强健身心-感知</v>
      </c>
      <c r="B33" s="198" t="s">
        <v>6502</v>
      </c>
      <c r="C33" s="212" t="str">
        <f t="shared" si="3"/>
        <v/>
      </c>
      <c r="D33" s="196" t="str">
        <f t="array" ref="D33">INDEX(C:C,SMALL(IF($C$2:$C$145&lt;&gt;"",ROW($2:$145),146),ROW(C32)))&amp;""</f>
        <v/>
      </c>
    </row>
    <row r="34" customHeight="1" spans="1:5">
      <c r="A34" s="274" t="str">
        <f>IF(主要!A19=FALSE,"强健身心-魅力","")</f>
        <v>强健身心-魅力</v>
      </c>
      <c r="B34" s="198" t="s">
        <v>6503</v>
      </c>
      <c r="C34" s="212" t="str">
        <f t="shared" si="3"/>
        <v/>
      </c>
      <c r="D34" s="196" t="str">
        <f t="array" ref="D34">INDEX(C:C,SMALL(IF($C$2:$C$145&lt;&gt;"",ROW($2:$145),146),ROW(C33)))&amp;""</f>
        <v/>
      </c>
    </row>
    <row r="35" customHeight="1" spans="1:5">
      <c r="A35" s="274" t="s">
        <v>6504</v>
      </c>
      <c r="B35" s="198" t="s">
        <v>6505</v>
      </c>
      <c r="C35" s="212" t="str">
        <f t="shared" si="3"/>
        <v/>
      </c>
      <c r="D35" s="196" t="str">
        <f t="array" ref="D35">INDEX(C:C,SMALL(IF($C$2:$C$145&lt;&gt;"",ROW($2:$145),146),ROW(C34)))&amp;""</f>
        <v/>
      </c>
    </row>
    <row r="36" customHeight="1" spans="1:5">
      <c r="A36" s="274" t="s">
        <v>6506</v>
      </c>
      <c r="B36" s="198" t="s">
        <v>6507</v>
      </c>
      <c r="C36" s="212" t="str">
        <f t="shared" si="3"/>
        <v/>
      </c>
      <c r="D36" s="196" t="str">
        <f t="array" ref="D36">INDEX(C:C,SMALL(IF($C$2:$C$145&lt;&gt;"",ROW($2:$145),146),ROW(C35)))&amp;""</f>
        <v/>
      </c>
    </row>
    <row r="37" customHeight="1" spans="1:5">
      <c r="A37" s="274" t="s">
        <v>6508</v>
      </c>
      <c r="B37" s="198" t="s">
        <v>6509</v>
      </c>
      <c r="C37" s="212" t="str">
        <f t="shared" si="3"/>
        <v/>
      </c>
      <c r="D37" s="196" t="str">
        <f t="array" ref="D37">INDEX(C:C,SMALL(IF($C$2:$C$145&lt;&gt;"",ROW($2:$145),146),ROW(C36)))&amp;""</f>
        <v/>
      </c>
    </row>
    <row r="38" customHeight="1" spans="1:5">
      <c r="A38" s="274" t="s">
        <v>6510</v>
      </c>
      <c r="B38" s="198" t="s">
        <v>6511</v>
      </c>
      <c r="C38" s="212" t="str">
        <f t="shared" si="3"/>
        <v/>
      </c>
      <c r="D38" s="196" t="str">
        <f t="array" ref="D38">INDEX(C:C,SMALL(IF($C$2:$C$145&lt;&gt;"",ROW($2:$145),146),ROW(C37)))&amp;""</f>
        <v/>
      </c>
      <c r="E38" s="277"/>
    </row>
    <row r="39" customHeight="1" spans="1:5">
      <c r="A39" s="274" t="s">
        <v>6512</v>
      </c>
      <c r="B39" s="198" t="s">
        <v>6513</v>
      </c>
      <c r="C39" s="212" t="str">
        <f>IFERROR(IF(OR($G$21&lt;=0,COUNTIF($E$2:$E$10,A39)),IF(OR(AND(F17=1,G17=0),AND(F18=1,G18=0),AND(F19&gt;=1,G19=0)),A39,""),A39),"")</f>
        <v>熟习</v>
      </c>
      <c r="D39" s="196" t="str">
        <f t="array" ref="D39">INDEX(C:C,SMALL(IF($C$2:$C$145&lt;&gt;"",ROW($2:$145),146),ROW(C38)))&amp;""</f>
        <v/>
      </c>
      <c r="E39" s="277"/>
    </row>
    <row r="40" customHeight="1" spans="1:5">
      <c r="A40" s="274" t="s">
        <v>6514</v>
      </c>
      <c r="B40" s="198" t="s">
        <v>6515</v>
      </c>
      <c r="C40" s="212" t="str">
        <f>IFERROR(IF(OR($G$21&lt;=0,COUNTIF($E$2:$E$10,A40)),"",A40),"")</f>
        <v/>
      </c>
      <c r="D40" s="196" t="str">
        <f t="array" ref="D40">INDEX(C:C,SMALL(IF($C$2:$C$145&lt;&gt;"",ROW($2:$145),146),ROW(C39)))&amp;""</f>
        <v/>
      </c>
      <c r="E40" s="277"/>
    </row>
    <row r="41" customHeight="1" spans="1:5">
      <c r="A41" s="274" t="s">
        <v>6516</v>
      </c>
      <c r="B41" s="198" t="s">
        <v>6517</v>
      </c>
      <c r="C41" s="212" t="str">
        <f>IFERROR(IF(OR($G$21&lt;=0,COUNTIF($E$2:$E$10,A41)),IF(OR(AND(F19&gt;=1,G19=0),AND(F18=1,G18=0),AND(F13=1,G13=0)),A41,""),A41),"")</f>
        <v>健壮</v>
      </c>
      <c r="D41" s="196" t="str">
        <f t="array" ref="D41">INDEX(C:C,SMALL(IF($C$2:$C$145&lt;&gt;"",ROW($2:$145),146),ROW(C40)))&amp;""</f>
        <v/>
      </c>
      <c r="E41" s="277"/>
    </row>
    <row r="42" customHeight="1" spans="1:5">
      <c r="A42" s="274" t="s">
        <v>6518</v>
      </c>
      <c r="B42" s="198" t="s">
        <v>6519</v>
      </c>
      <c r="C42" s="212" t="str">
        <f t="shared" ref="C42:C93" si="4">IFERROR(IF(OR($G$21&lt;=0,COUNTIF($E$2:$E$10,A42)),"",A42),"")</f>
        <v/>
      </c>
      <c r="D42" s="196" t="str">
        <f t="array" ref="D42">INDEX(C:C,SMALL(IF($C$2:$C$145&lt;&gt;"",ROW($2:$145),146),ROW(C41)))&amp;""</f>
        <v/>
      </c>
      <c r="E42" s="277"/>
    </row>
    <row r="43" customHeight="1" spans="1:5">
      <c r="A43" s="274" t="str">
        <f>IF(主要!F15&gt;=13,"防御式决斗","")</f>
        <v/>
      </c>
      <c r="B43" s="198" t="s">
        <v>6520</v>
      </c>
      <c r="C43" s="212" t="str">
        <f t="shared" si="4"/>
        <v/>
      </c>
      <c r="D43" s="196" t="str">
        <f t="array" ref="D43">INDEX(C:C,SMALL(IF($C$2:$C$145&lt;&gt;"",ROW($2:$145),146),ROW(C42)))&amp;""</f>
        <v/>
      </c>
    </row>
    <row r="44" customHeight="1" spans="1:5">
      <c r="A44" s="274" t="str">
        <f>IF(主要!F14&gt;=13,"擒抱者","")</f>
        <v/>
      </c>
      <c r="B44" s="198" t="s">
        <v>6521</v>
      </c>
      <c r="C44" s="212" t="str">
        <f t="shared" si="4"/>
        <v/>
      </c>
      <c r="D44" s="196" t="str">
        <f t="array" ref="D44">INDEX(C:C,SMALL(IF($C$2:$C$145&lt;&gt;"",ROW($2:$145),146),ROW(C43)))&amp;""</f>
        <v/>
      </c>
    </row>
    <row r="45" customHeight="1" spans="1:5">
      <c r="A45" s="274" t="str">
        <f>IF(主要!F19&gt;=13,"领袖之证","")</f>
        <v/>
      </c>
      <c r="B45" s="198" t="s">
        <v>6522</v>
      </c>
      <c r="C45" s="212" t="str">
        <f t="shared" si="4"/>
        <v/>
      </c>
      <c r="D45" s="196" t="str">
        <f t="array" ref="D45">INDEX(C:C,SMALL(IF($C$2:$C$145&lt;&gt;"",ROW($2:$145),146),ROW(C44)))&amp;""</f>
        <v/>
      </c>
    </row>
    <row r="46" customHeight="1" spans="1:5">
      <c r="A46" s="274" t="str">
        <f>IF(OR(主要!F17&gt;=13,主要!F18&gt;=13),"仪式施法者","")</f>
        <v/>
      </c>
      <c r="B46" s="198" t="s">
        <v>6523</v>
      </c>
      <c r="C46" s="212" t="str">
        <f t="shared" si="4"/>
        <v/>
      </c>
      <c r="D46" s="196" t="str">
        <f t="array" ref="D46">INDEX(C:C,SMALL(IF($C$2:$C$145&lt;&gt;"",ROW($2:$145),146),ROW(C45)))&amp;""</f>
        <v/>
      </c>
    </row>
    <row r="47" customHeight="1" spans="1:5">
      <c r="A47" s="274" t="str">
        <f>IF(主要!F15&gt;=13,"隐伏者","")</f>
        <v/>
      </c>
      <c r="B47" s="198" t="s">
        <v>6524</v>
      </c>
      <c r="C47" s="212" t="str">
        <f t="shared" si="4"/>
        <v/>
      </c>
      <c r="D47" s="196" t="str">
        <f t="array" ref="D47">INDEX(C:C,SMALL(IF($C$2:$C$145&lt;&gt;"",ROW($2:$145),146),ROW(C46)))&amp;""</f>
        <v/>
      </c>
    </row>
    <row r="48" customHeight="1" spans="1:5">
      <c r="A48" s="274" t="str">
        <f>IF(COUNTIF(法术数据!AK2:AK301,"")=300,"","元素导师-强酸")</f>
        <v/>
      </c>
      <c r="B48" s="198" t="s">
        <v>6525</v>
      </c>
      <c r="C48" s="212" t="str">
        <f t="shared" si="4"/>
        <v/>
      </c>
      <c r="D48" s="196" t="str">
        <f t="array" ref="D48">INDEX(C:C,SMALL(IF($C$2:$C$145&lt;&gt;"",ROW($2:$145),146),ROW(C47)))&amp;""</f>
        <v/>
      </c>
    </row>
    <row r="49" customHeight="1" spans="1:5">
      <c r="A49" s="274" t="str">
        <f>IF(COUNTIF(法术数据!AK2:AK301,"")=300,"","元素导师-冷冻")</f>
        <v/>
      </c>
      <c r="B49" s="198" t="s">
        <v>6526</v>
      </c>
      <c r="C49" s="212" t="str">
        <f t="shared" si="4"/>
        <v/>
      </c>
      <c r="D49" s="196" t="str">
        <f t="array" ref="D49">INDEX(C:C,SMALL(IF($C$2:$C$145&lt;&gt;"",ROW($2:$145),146),ROW(C48)))&amp;""</f>
        <v/>
      </c>
    </row>
    <row r="50" customHeight="1" spans="1:5">
      <c r="A50" s="274" t="str">
        <f>IF(COUNTIF(法术数据!AK2:AK301,"")=300,"","元素导师-火焰")</f>
        <v/>
      </c>
      <c r="B50" s="198" t="s">
        <v>6527</v>
      </c>
      <c r="C50" s="212" t="str">
        <f t="shared" si="4"/>
        <v/>
      </c>
      <c r="D50" s="196" t="str">
        <f t="array" ref="D50">INDEX(C:C,SMALL(IF($C$2:$C$145&lt;&gt;"",ROW($2:$145),146),ROW(C49)))&amp;""</f>
        <v/>
      </c>
    </row>
    <row r="51" customHeight="1" spans="1:5">
      <c r="A51" s="274" t="str">
        <f>IF(COUNTIF(法术数据!AK2:AK301,"")=300,"","元素导师-闪电")</f>
        <v/>
      </c>
      <c r="B51" s="198" t="s">
        <v>6528</v>
      </c>
      <c r="C51" s="212" t="str">
        <f t="shared" si="4"/>
        <v/>
      </c>
      <c r="D51" s="196" t="str">
        <f t="array" ref="D51">INDEX(C:C,SMALL(IF($C$2:$C$145&lt;&gt;"",ROW($2:$145),146),ROW(C50)))&amp;""</f>
        <v/>
      </c>
    </row>
    <row r="52" customHeight="1" spans="1:5">
      <c r="A52" s="274" t="str">
        <f>IF(COUNTIF(法术数据!AK2:AK301,"")=300,"","元素导师-雷鸣")</f>
        <v/>
      </c>
      <c r="B52" s="198" t="s">
        <v>6529</v>
      </c>
      <c r="C52" s="212" t="str">
        <f t="shared" si="4"/>
        <v/>
      </c>
      <c r="D52" s="196" t="str">
        <f t="array" ref="D52">INDEX(C:C,SMALL(IF($C$2:$C$145&lt;&gt;"",ROW($2:$145),146),ROW(C51)))&amp;""</f>
        <v/>
      </c>
      <c r="E52" s="277"/>
    </row>
    <row r="53" customHeight="1" spans="1:5">
      <c r="A53" s="274" t="str">
        <f>IF(COUNTIF(法术数据!AK2:AK301,"")=300,"","法术射手")</f>
        <v/>
      </c>
      <c r="B53" s="198" t="s">
        <v>6530</v>
      </c>
      <c r="C53" s="212" t="str">
        <f t="shared" si="4"/>
        <v/>
      </c>
      <c r="D53" s="196" t="str">
        <f t="array" ref="D53">INDEX(C:C,SMALL(IF($C$2:$C$145&lt;&gt;"",ROW($2:$145),146),ROW(C52)))&amp;""</f>
        <v/>
      </c>
      <c r="E53" s="277"/>
    </row>
    <row r="54" customHeight="1" spans="1:5">
      <c r="A54" s="274" t="str">
        <f>IF(COUNTIF(法术数据!AK2:AK301,"")=300,"","战地施法者")</f>
        <v/>
      </c>
      <c r="B54" s="198" t="s">
        <v>6531</v>
      </c>
      <c r="C54" s="212" t="str">
        <f t="shared" si="4"/>
        <v/>
      </c>
      <c r="D54" s="196" t="str">
        <f t="array" ref="D54">INDEX(C:C,SMALL(IF($C$2:$C$145&lt;&gt;"",ROW($2:$145),146),ROW(C53)))&amp;""</f>
        <v/>
      </c>
      <c r="E54" s="277"/>
    </row>
    <row r="55" customHeight="1" spans="1:5">
      <c r="A55" s="274" t="str">
        <f>IF(装备数据!AU2=1,"中甲运用","")</f>
        <v>中甲运用</v>
      </c>
      <c r="B55" s="198" t="s">
        <v>6532</v>
      </c>
      <c r="C55" s="212" t="str">
        <f t="shared" si="4"/>
        <v/>
      </c>
      <c r="D55" s="196" t="str">
        <f t="array" ref="D55">INDEX(C:C,SMALL(IF($C$2:$C$145&lt;&gt;"",ROW($2:$145),146),ROW(C54)))&amp;""</f>
        <v/>
      </c>
      <c r="E55" s="277"/>
    </row>
    <row r="56" customHeight="1" spans="1:5">
      <c r="A56" s="274" t="str">
        <f>IF(装备数据!AU3=1,"中甲大师","")</f>
        <v>中甲大师</v>
      </c>
      <c r="B56" s="198" t="s">
        <v>6533</v>
      </c>
      <c r="C56" s="212" t="str">
        <f t="shared" si="4"/>
        <v/>
      </c>
      <c r="D56" s="196" t="str">
        <f t="array" ref="D56">INDEX(C:C,SMALL(IF($C$2:$C$145&lt;&gt;"",ROW($2:$145),146),ROW(C55)))&amp;""</f>
        <v/>
      </c>
      <c r="E56" s="277"/>
    </row>
    <row r="57" customHeight="1" spans="1:5">
      <c r="A57" s="274" t="str">
        <f>IF(装备数据!AU3=1,"重甲运用","")</f>
        <v>重甲运用</v>
      </c>
      <c r="B57" s="198" t="s">
        <v>6534</v>
      </c>
      <c r="C57" s="212" t="str">
        <f t="shared" si="4"/>
        <v/>
      </c>
      <c r="D57" s="196" t="str">
        <f t="array" ref="D57">INDEX(C:C,SMALL(IF($C$2:$C$145&lt;&gt;"",ROW($2:$145),146),ROW(C56)))&amp;""</f>
        <v/>
      </c>
      <c r="E57" s="277"/>
    </row>
    <row r="58" customHeight="1" spans="1:5">
      <c r="A58" s="274" t="str">
        <f>IF(装备数据!AU4=1,"重甲大师","")</f>
        <v/>
      </c>
      <c r="B58" s="198" t="s">
        <v>6535</v>
      </c>
      <c r="C58" s="212" t="str">
        <f t="shared" si="4"/>
        <v/>
      </c>
      <c r="D58" s="196" t="str">
        <f t="array" ref="D58">INDEX(C:C,SMALL(IF($C$2:$C$145&lt;&gt;"",ROW($2:$145),146),ROW(C57)))&amp;""</f>
        <v/>
      </c>
      <c r="E58" s="277"/>
    </row>
    <row r="59" customHeight="1" spans="1:5">
      <c r="A59" s="283" t="str">
        <f>IF(AND(综合数据!B7=TRUE,种族数据!V3=种族数据!A4),"慷慨吉运","")</f>
        <v/>
      </c>
      <c r="B59" s="198" t="s">
        <v>6536</v>
      </c>
      <c r="C59" s="212" t="str">
        <f t="shared" si="4"/>
        <v/>
      </c>
      <c r="D59" s="196" t="str">
        <f t="array" ref="D59">INDEX(C:C,SMALL(IF($C$2:$C$145&lt;&gt;"",ROW($2:$145),146),ROW(C58)))&amp;""</f>
        <v/>
      </c>
      <c r="E59" s="277"/>
    </row>
    <row r="60" customHeight="1" spans="1:5">
      <c r="A60" s="283" t="str">
        <f>IF(AND(综合数据!B7=TRUE,种族数据!V3=种族数据!A6),"龙族之恐怖","")</f>
        <v/>
      </c>
      <c r="B60" s="198" t="s">
        <v>6537</v>
      </c>
      <c r="C60" s="212" t="str">
        <f t="shared" si="4"/>
        <v/>
      </c>
      <c r="D60" s="196" t="str">
        <f t="array" ref="D60">INDEX(C:C,SMALL(IF($C$2:$C$145&lt;&gt;"",ROW($2:$145),146),ROW(C59)))&amp;""</f>
        <v/>
      </c>
      <c r="E60" s="277"/>
    </row>
    <row r="61" customHeight="1" spans="1:5">
      <c r="A61" s="283" t="str">
        <f>IF(AND(综合数据!B7=TRUE,种族数据!V3=种族数据!A6),"龙族皮肤","")</f>
        <v/>
      </c>
      <c r="B61" s="284" t="s">
        <v>6538</v>
      </c>
      <c r="C61" s="212" t="str">
        <f t="shared" si="4"/>
        <v/>
      </c>
      <c r="D61" s="196" t="str">
        <f t="array" ref="D61">INDEX(C:C,SMALL(IF($C$2:$C$145&lt;&gt;"",ROW($2:$145),146),ROW(C60)))&amp;""</f>
        <v/>
      </c>
      <c r="E61" s="277"/>
    </row>
    <row r="62" customHeight="1" spans="1:5">
      <c r="A62" s="283" t="str">
        <f>IF(AND(综合数据!B7=TRUE,种族数据!V4=种族数据!D3),"高等卓尔魔法","")</f>
        <v/>
      </c>
      <c r="B62" s="198" t="s">
        <v>6539</v>
      </c>
      <c r="C62" s="212" t="str">
        <f t="shared" si="4"/>
        <v/>
      </c>
      <c r="D62" s="196" t="str">
        <f t="array" ref="D62">INDEX(C:C,SMALL(IF($C$2:$C$145&lt;&gt;"",ROW($2:$145),146),ROW(C61)))&amp;""</f>
        <v/>
      </c>
      <c r="E62" s="277"/>
    </row>
    <row r="63" customHeight="1" spans="1:5">
      <c r="A63" s="283" t="str">
        <f>IF(AND(综合数据!B7=TRUE,种族数据!V3=种族数据!A2),"矮人之坚毅","")</f>
        <v/>
      </c>
      <c r="B63" s="198" t="s">
        <v>6540</v>
      </c>
      <c r="C63" s="212" t="str">
        <f t="shared" si="4"/>
        <v/>
      </c>
      <c r="D63" s="196" t="str">
        <f t="array" ref="D63">INDEX(C:C,SMALL(IF($C$2:$C$145&lt;&gt;"",ROW($2:$145),146),ROW(C62)))&amp;""</f>
        <v/>
      </c>
      <c r="E63" s="277"/>
    </row>
    <row r="64" customHeight="1" spans="1:5">
      <c r="A64" s="283" t="str">
        <f>IF(AND(综合数据!B7=TRUE,OR(种族数据!V3=种族数据!A3,种族数据!V3=种族数据!A8,种族数据!V3=种族数据!A41)),"精灵之准","")</f>
        <v/>
      </c>
      <c r="B64" s="198" t="s">
        <v>6541</v>
      </c>
      <c r="C64" s="212" t="str">
        <f t="shared" si="4"/>
        <v/>
      </c>
      <c r="D64" s="196" t="str">
        <f t="array" ref="D64">INDEX(C:C,SMALL(IF($C$2:$C$145&lt;&gt;"",ROW($2:$145),146),ROW(C63)))&amp;""</f>
        <v/>
      </c>
      <c r="E64" s="277"/>
    </row>
    <row r="65" customHeight="1" spans="1:6">
      <c r="A65" s="283" t="str">
        <f>IF(AND(综合数据!B7=TRUE,种族数据!V3=种族数据!A7),"逐渐消失","")</f>
        <v/>
      </c>
      <c r="B65" s="198" t="s">
        <v>6542</v>
      </c>
      <c r="C65" s="212" t="str">
        <f t="shared" si="4"/>
        <v/>
      </c>
      <c r="D65" s="196" t="str">
        <f t="array" ref="D65">INDEX(C:C,SMALL(IF($C$2:$C$145&lt;&gt;"",ROW($2:$145),146),ROW(C64)))&amp;""</f>
        <v/>
      </c>
      <c r="E65" s="277"/>
    </row>
    <row r="66" customHeight="1" spans="1:6">
      <c r="A66" s="283" t="str">
        <f>IF(AND(综合数据!B7=TRUE,种族数据!V4=种族数据!B3),"精类位移","")</f>
        <v/>
      </c>
      <c r="B66" s="198" t="s">
        <v>6543</v>
      </c>
      <c r="C66" s="212" t="str">
        <f t="shared" si="4"/>
        <v/>
      </c>
      <c r="D66" s="196" t="str">
        <f t="array" ref="D66">INDEX(C:C,SMALL(IF($C$2:$C$145&lt;&gt;"",ROW($2:$145),146),ROW(C65)))&amp;""</f>
        <v/>
      </c>
      <c r="E66" s="277"/>
    </row>
    <row r="67" customHeight="1" spans="1:6">
      <c r="A67" s="283" t="str">
        <f>IF(AND(综合数据!B7=TRUE,种族数据!V3=种族数据!A10),"弗莱格索斯之焰","")</f>
        <v/>
      </c>
      <c r="B67" s="198" t="s">
        <v>6544</v>
      </c>
      <c r="C67" s="212" t="str">
        <f t="shared" si="4"/>
        <v/>
      </c>
      <c r="D67" s="196" t="str">
        <f t="array" ref="D67">INDEX(C:C,SMALL(IF($C$2:$C$145&lt;&gt;"",ROW($2:$145),146),ROW(C66)))&amp;""</f>
        <v/>
      </c>
      <c r="E67" s="277"/>
    </row>
    <row r="68" customHeight="1" spans="1:6">
      <c r="A68" s="283" t="str">
        <f>IF(AND(综合数据!B7=TRUE,种族数据!V3=种族数据!A10),"恶魔体质","")</f>
        <v/>
      </c>
      <c r="B68" s="198" t="s">
        <v>6545</v>
      </c>
      <c r="C68" s="212" t="str">
        <f t="shared" si="4"/>
        <v/>
      </c>
      <c r="D68" s="196" t="str">
        <f t="array" ref="D68">INDEX(C:C,SMALL(IF($C$2:$C$145&lt;&gt;"",ROW($2:$145),146),ROW(C67)))&amp;""</f>
        <v/>
      </c>
      <c r="E68" s="277"/>
    </row>
    <row r="69" customHeight="1" spans="1:6">
      <c r="A69" s="283" t="str">
        <f>IF(AND(综合数据!B7=TRUE,种族数据!V3=种族数据!A9),"兽人式狂怒","")</f>
        <v/>
      </c>
      <c r="B69" s="198" t="s">
        <v>6546</v>
      </c>
      <c r="C69" s="212" t="str">
        <f t="shared" si="4"/>
        <v/>
      </c>
      <c r="D69" s="196" t="str">
        <f t="array" ref="D69">INDEX(C:C,SMALL(IF($C$2:$C$145&lt;&gt;"",ROW($2:$145),146),ROW(C68)))&amp;""</f>
        <v/>
      </c>
      <c r="E69" s="277"/>
    </row>
    <row r="70" customHeight="1" spans="1:6">
      <c r="A70" s="283" t="str">
        <f>IF(AND(综合数据!B7=TRUE,OR(种族数据!V3=种族数据!A5,种族数据!V3=种族数据!A8,种族数据!V3=种族数据!A9)),"奇才","")</f>
        <v/>
      </c>
      <c r="B70" s="198" t="s">
        <v>6547</v>
      </c>
      <c r="C70" s="212" t="str">
        <f t="shared" si="4"/>
        <v/>
      </c>
      <c r="D70" s="196" t="str">
        <f t="array" ref="D70">INDEX(C:C,SMALL(IF($C$2:$C$145&lt;&gt;"",ROW($2:$145),146),ROW(C69)))&amp;""</f>
        <v/>
      </c>
      <c r="E70" s="277"/>
    </row>
    <row r="71" customHeight="1" spans="1:6">
      <c r="A71" s="283" t="str">
        <f>IF(AND(综合数据!B7=TRUE,种族数据!V3=种族数据!A4),"花开二度","")</f>
        <v/>
      </c>
      <c r="B71" s="198" t="s">
        <v>6548</v>
      </c>
      <c r="C71" s="212" t="str">
        <f t="shared" si="4"/>
        <v/>
      </c>
      <c r="D71" s="196" t="str">
        <f t="array" ref="D71">INDEX(C:C,SMALL(IF($C$2:$C$145&lt;&gt;"",ROW($2:$145),146),ROW(C70)))&amp;""</f>
        <v/>
      </c>
      <c r="E71" s="277"/>
    </row>
    <row r="72" customHeight="1" spans="1:6">
      <c r="A72" s="283" t="str">
        <f>IF(AND(综合数据!B7=TRUE,OR(种族数据!V3=种族数据!A2,种族数据!V3=种族数据!A4,种族数据!V3=种族数据!A7,AND(种族数据!V3=种族数据!A18,OR(种族数据!V4=0,种族数据!V4=种族数据!D18,种族数据!V4=种族数据!E18)),AND(种族数据!V3=种族数据!A35,种族数据!V2&lt;=4))),"低身之机敏","")</f>
        <v/>
      </c>
      <c r="B72" s="198" t="s">
        <v>6549</v>
      </c>
      <c r="C72" s="212" t="str">
        <f t="shared" si="4"/>
        <v/>
      </c>
      <c r="D72" s="196" t="str">
        <f t="array" ref="D72">INDEX(C:C,SMALL(IF($C$2:$C$145&lt;&gt;"",ROW($2:$145),146),ROW(C71)))&amp;""</f>
        <v/>
      </c>
      <c r="E72" s="277"/>
    </row>
    <row r="73" customHeight="1" spans="1:6">
      <c r="A73" s="283" t="str">
        <f>IF(AND(综合数据!B7=TRUE,种族数据!V4=种族数据!C3),"木精灵魔法","")</f>
        <v/>
      </c>
      <c r="B73" s="198" t="s">
        <v>6550</v>
      </c>
      <c r="C73" s="212" t="str">
        <f t="shared" si="4"/>
        <v/>
      </c>
      <c r="D73" s="196" t="str">
        <f t="array" ref="D73">INDEX(C:C,SMALL(IF($C$2:$C$145&lt;&gt;"",ROW($2:$145),146),ROW(C72)))&amp;""</f>
        <v/>
      </c>
      <c r="E73" s="277"/>
    </row>
    <row r="74" customHeight="1" spans="1:6">
      <c r="A74" s="285" t="str">
        <f>IF(AND(综合数据!B8=TRUE,种族数据!V4=种族数据!D7),"斯涅布力魔法","")</f>
        <v/>
      </c>
      <c r="B74" s="198" t="s">
        <v>6551</v>
      </c>
      <c r="C74" s="212" t="str">
        <f t="shared" si="4"/>
        <v/>
      </c>
      <c r="D74" s="196" t="str">
        <f t="array" ref="D74">INDEX(C:C,SMALL(IF($C$2:$C$145&lt;&gt;"",ROW($2:$145),146),ROW(C73)))&amp;""</f>
        <v/>
      </c>
      <c r="E74" s="198"/>
    </row>
    <row r="75" customHeight="1" spans="1:6">
      <c r="A75" s="286" t="str">
        <f>IF(OR(综合数据!B10=FALSE,COUNTIF(种族数据!V4,"*龙纹")),"","异种龙纹")</f>
        <v>异种龙纹</v>
      </c>
      <c r="B75" s="198" t="s">
        <v>6552</v>
      </c>
      <c r="C75" s="212" t="str">
        <f t="shared" si="4"/>
        <v/>
      </c>
      <c r="D75" s="196" t="str">
        <f t="array" ref="D75">INDEX(C:C,SMALL(IF($C$2:$C$145&lt;&gt;"",ROW($2:$145),146),ROW(C74)))&amp;""</f>
        <v/>
      </c>
      <c r="E75" s="277"/>
    </row>
    <row r="76" customHeight="1" spans="1:6">
      <c r="A76" s="287" t="str">
        <f>IF(综合数据!B14=TRUE,"奇械学徒","")</f>
        <v>奇械学徒</v>
      </c>
      <c r="B76" s="198" t="s">
        <v>6553</v>
      </c>
      <c r="C76" s="212" t="str">
        <f t="shared" si="4"/>
        <v/>
      </c>
      <c r="D76" s="196" t="str">
        <f t="array" ref="D76">INDEX(C:C,SMALL(IF($C$2:$C$145&lt;&gt;"",ROW($2:$145),146),ROW(C75)))&amp;""</f>
        <v/>
      </c>
      <c r="E76" s="277"/>
    </row>
    <row r="77" customHeight="1" spans="1:6">
      <c r="A77" s="287" t="str">
        <f>IF(综合数据!B14=TRUE,"大厨","")</f>
        <v>大厨</v>
      </c>
      <c r="B77" s="198" t="s">
        <v>6554</v>
      </c>
      <c r="C77" s="212" t="str">
        <f t="shared" si="4"/>
        <v/>
      </c>
      <c r="D77" s="196" t="str">
        <f t="array" ref="D77">INDEX(C:C,SMALL(IF($C$2:$C$145&lt;&gt;"",ROW($2:$145),146),ROW(C76)))&amp;""</f>
        <v/>
      </c>
      <c r="E77" s="277"/>
    </row>
    <row r="78" customHeight="1" spans="1:6">
      <c r="A78" s="287" t="str">
        <f>IF(综合数据!B14=TRUE,"粉碎者","")</f>
        <v>粉碎者</v>
      </c>
      <c r="B78" s="198" t="s">
        <v>6555</v>
      </c>
      <c r="C78" s="212" t="str">
        <f t="shared" si="4"/>
        <v/>
      </c>
      <c r="D78" s="196" t="str">
        <f t="array" ref="D78">INDEX(C:C,SMALL(IF($C$2:$C$145&lt;&gt;"",ROW($2:$145),146),ROW(C77)))&amp;""</f>
        <v/>
      </c>
      <c r="E78" s="198"/>
      <c r="F78" s="198"/>
    </row>
    <row r="79" customHeight="1" spans="1:6">
      <c r="A79" s="287" t="str">
        <f>IF(AND(综合数据!B14=TRUE,职业数据!AE22+职业数据!AG12&gt;=1),"魔能导师","")</f>
        <v>魔能导师</v>
      </c>
      <c r="B79" s="198" t="s">
        <v>6556</v>
      </c>
      <c r="C79" s="212" t="str">
        <f t="shared" si="4"/>
        <v/>
      </c>
      <c r="D79" s="196" t="str">
        <f t="array" ref="D79">INDEX(C:C,SMALL(IF($C$2:$C$145&lt;&gt;"",ROW($2:$145),146),ROW(C78)))&amp;""</f>
        <v/>
      </c>
      <c r="E79" s="277"/>
    </row>
    <row r="80" customHeight="1" spans="1:6">
      <c r="A80" s="287" t="str">
        <f>IF(综合数据!B14=TRUE,"精类触碰","")</f>
        <v>精类触碰</v>
      </c>
      <c r="B80" s="198" t="s">
        <v>6557</v>
      </c>
      <c r="C80" s="212" t="str">
        <f t="shared" si="4"/>
        <v/>
      </c>
      <c r="D80" s="196" t="str">
        <f t="array" ref="D80">INDEX(C:C,SMALL(IF($C$2:$C$145&lt;&gt;"",ROW($2:$145),146),ROW(C79)))&amp;""</f>
        <v/>
      </c>
      <c r="E80" s="277"/>
    </row>
    <row r="81" customHeight="1" spans="1:5">
      <c r="A81" s="287" t="str">
        <f>IF(AND(综合数据!B14=TRUE,装备数据!AU5=1),"战斗学徒","")</f>
        <v/>
      </c>
      <c r="B81" s="198" t="s">
        <v>6558</v>
      </c>
      <c r="C81" s="212" t="str">
        <f t="shared" si="4"/>
        <v/>
      </c>
      <c r="D81" s="196" t="str">
        <f t="array" ref="D81">INDEX(C:C,SMALL(IF($C$2:$C$145&lt;&gt;"",ROW($2:$145),146),ROW(C80)))&amp;""</f>
        <v/>
      </c>
      <c r="E81" s="277"/>
    </row>
    <row r="82" customHeight="1" spans="1:5">
      <c r="A82" s="287" t="str">
        <f>IF(综合数据!B14=TRUE,"枪手","")</f>
        <v>枪手</v>
      </c>
      <c r="B82" s="198" t="s">
        <v>6559</v>
      </c>
      <c r="C82" s="212" t="str">
        <f t="shared" si="4"/>
        <v/>
      </c>
      <c r="D82" s="196" t="str">
        <f t="array" ref="D82">INDEX(C:C,SMALL(IF($C$2:$C$145&lt;&gt;"",ROW($2:$145),146),ROW(C81)))&amp;""</f>
        <v/>
      </c>
      <c r="E82" s="277"/>
    </row>
    <row r="83" customHeight="1" spans="1:5">
      <c r="A83" s="287" t="str">
        <f>IF(AND(综合数据!B14=TRUE,职业数据!AE22+职业数据!AG12&gt;=1),"超魔法导师","")</f>
        <v>超魔法导师</v>
      </c>
      <c r="B83" s="198" t="s">
        <v>6560</v>
      </c>
      <c r="C83" s="212" t="str">
        <f t="shared" si="4"/>
        <v/>
      </c>
      <c r="D83" s="196" t="str">
        <f t="array" ref="D83">INDEX(C:C,SMALL(IF($C$2:$C$145&lt;&gt;"",ROW($2:$145),146),ROW(C82)))&amp;""</f>
        <v/>
      </c>
      <c r="E83" s="277"/>
    </row>
    <row r="84" customHeight="1" spans="1:5">
      <c r="A84" s="287" t="str">
        <f>IF(综合数据!B14=TRUE,"穿刺者","")</f>
        <v>穿刺者</v>
      </c>
      <c r="B84" s="198" t="s">
        <v>6561</v>
      </c>
      <c r="C84" s="212" t="str">
        <f t="shared" si="4"/>
        <v/>
      </c>
      <c r="D84" s="196" t="str">
        <f t="array" ref="D84">INDEX(C:C,SMALL(IF($C$2:$C$145&lt;&gt;"",ROW($2:$145),146),ROW(C83)))&amp;""</f>
        <v/>
      </c>
      <c r="E84" s="277"/>
    </row>
    <row r="85" customHeight="1" spans="1:5">
      <c r="A85" s="287" t="str">
        <f>IF(综合数据!B14=TRUE,"毒师","")</f>
        <v>毒师</v>
      </c>
      <c r="B85" s="198" t="s">
        <v>6562</v>
      </c>
      <c r="C85" s="212" t="str">
        <f t="shared" si="4"/>
        <v/>
      </c>
      <c r="D85" s="196" t="str">
        <f t="array" ref="D85">INDEX(C:C,SMALL(IF($C$2:$C$145&lt;&gt;"",ROW($2:$145),146),ROW(C84)))&amp;""</f>
        <v/>
      </c>
      <c r="E85" s="277"/>
    </row>
    <row r="86" customHeight="1" spans="1:5">
      <c r="A86" s="287" t="str">
        <f>IF(综合数据!B14=TRUE,"影界触碰","")</f>
        <v>影界触碰</v>
      </c>
      <c r="B86" s="198" t="s">
        <v>6563</v>
      </c>
      <c r="C86" s="212" t="str">
        <f t="shared" si="4"/>
        <v/>
      </c>
      <c r="D86" s="196" t="str">
        <f t="array" ref="D86">INDEX(C:C,SMALL(IF($C$2:$C$145&lt;&gt;"",ROW($2:$145),146),ROW(C85)))&amp;""</f>
        <v/>
      </c>
      <c r="E86" s="277"/>
    </row>
    <row r="87" customHeight="1" spans="1:5">
      <c r="A87" s="287" t="str">
        <f>IF(综合数据!B14=TRUE,"技艺专家","")</f>
        <v>技艺专家</v>
      </c>
      <c r="B87" s="198" t="s">
        <v>6564</v>
      </c>
      <c r="C87" s="212" t="str">
        <f t="shared" si="4"/>
        <v/>
      </c>
      <c r="D87" s="196" t="str">
        <f t="array" ref="D87">INDEX(C:C,SMALL(IF($C$2:$C$145&lt;&gt;"",ROW($2:$145),146),ROW(C86)))&amp;""</f>
        <v/>
      </c>
      <c r="E87" s="277"/>
    </row>
    <row r="88" customHeight="1" spans="1:5">
      <c r="A88" s="287" t="str">
        <f>IF(综合数据!B14=TRUE,"劈砍者","")</f>
        <v>劈砍者</v>
      </c>
      <c r="B88" s="198" t="s">
        <v>6565</v>
      </c>
      <c r="C88" s="212" t="str">
        <f t="shared" si="4"/>
        <v/>
      </c>
      <c r="D88" s="196" t="str">
        <f t="array" ref="D88">INDEX(C:C,SMALL(IF($C$2:$C$145&lt;&gt;"",ROW($2:$145),146),ROW(C87)))&amp;""</f>
        <v/>
      </c>
    </row>
    <row r="89" customHeight="1" spans="1:5">
      <c r="A89" s="287" t="str">
        <f>IF(综合数据!B14=TRUE,"念动力","")</f>
        <v>念动力</v>
      </c>
      <c r="B89" s="198" t="s">
        <v>6566</v>
      </c>
      <c r="C89" s="212" t="str">
        <f t="shared" si="4"/>
        <v/>
      </c>
      <c r="D89" s="196" t="str">
        <f t="array" ref="D89">INDEX(C:C,SMALL(IF($C$2:$C$145&lt;&gt;"",ROW($2:$145),146),ROW(C88)))&amp;""</f>
        <v/>
      </c>
    </row>
    <row r="90" customHeight="1" spans="1:5">
      <c r="A90" s="287" t="str">
        <f>IF(综合数据!B14=TRUE,"心电感应","")</f>
        <v>心电感应</v>
      </c>
      <c r="B90" s="198" t="s">
        <v>6567</v>
      </c>
      <c r="C90" s="212" t="str">
        <f t="shared" si="4"/>
        <v/>
      </c>
      <c r="D90" s="196" t="str">
        <f t="array" ref="D90">INDEX(C:C,SMALL(IF($C$2:$C$145&lt;&gt;"",ROW($2:$145),146),ROW(C89)))&amp;""</f>
        <v/>
      </c>
    </row>
    <row r="91" customHeight="1" spans="1:5">
      <c r="A91" s="288" t="str">
        <f>IF(综合数据!B16=TRUE,"色彩龙赋礼","")</f>
        <v>色彩龙赋礼</v>
      </c>
      <c r="B91" s="198" t="s">
        <v>6568</v>
      </c>
      <c r="C91" s="212" t="str">
        <f t="shared" si="4"/>
        <v/>
      </c>
      <c r="D91" s="196" t="str">
        <f t="array" ref="D91">INDEX(C:C,SMALL(IF($C$2:$C$145&lt;&gt;"",ROW($2:$145),146),ROW(C90)))&amp;""</f>
        <v/>
      </c>
    </row>
    <row r="92" customHeight="1" spans="1:5">
      <c r="A92" s="288" t="str">
        <f>IF(综合数据!B16=TRUE,"宝石龙赋礼","")</f>
        <v>宝石龙赋礼</v>
      </c>
      <c r="B92" s="198" t="s">
        <v>6569</v>
      </c>
      <c r="C92" s="212" t="str">
        <f t="shared" si="4"/>
        <v/>
      </c>
      <c r="D92" s="196" t="str">
        <f t="array" ref="D92">INDEX(C:C,SMALL(IF($C$2:$C$145&lt;&gt;"",ROW($2:$145),146),ROW(C91)))&amp;""</f>
        <v/>
      </c>
    </row>
    <row r="93" customHeight="1" spans="1:5">
      <c r="A93" s="288" t="str">
        <f>IF(综合数据!B16=TRUE,"金属龙赋礼","")</f>
        <v>金属龙赋礼</v>
      </c>
      <c r="B93" s="198" t="s">
        <v>6570</v>
      </c>
      <c r="C93" s="212" t="str">
        <f t="shared" si="4"/>
        <v/>
      </c>
      <c r="D93" s="196" t="str">
        <f t="array" ref="D93">INDEX(C:C,SMALL(IF($C$2:$C$145&lt;&gt;"",ROW($2:$145),146),ROW(C92)))&amp;""</f>
        <v/>
      </c>
    </row>
    <row r="94" customHeight="1" spans="1:5">
      <c r="A94" s="289" t="str">
        <f>IF(综合数据!B17=TRUE,"斯翠海文学徒-衡鉴","")</f>
        <v>斯翠海文学徒-衡鉴</v>
      </c>
      <c r="B94" s="198" t="s">
        <v>6571</v>
      </c>
      <c r="C94" s="212" t="str">
        <f>IFERROR(IF(AND(背景数据!$A$1=背景数据!$K54,$G$11=0),$A94,IF(OR($G$21&lt;=0,$G$11=1),"",$A94)),"")</f>
        <v/>
      </c>
      <c r="D94" s="196" t="str">
        <f t="array" ref="D94">INDEX(C:C,SMALL(IF($C$2:$C$145&lt;&gt;"",ROW($2:$145),146),ROW(C93)))&amp;""</f>
        <v/>
      </c>
    </row>
    <row r="95" customHeight="1" spans="1:5">
      <c r="A95" s="289" t="str">
        <f>IF(综合数据!B17=TRUE,"斯翠海文学徒-粹丽","")</f>
        <v>斯翠海文学徒-粹丽</v>
      </c>
      <c r="B95" s="198" t="s">
        <v>6572</v>
      </c>
      <c r="C95" s="212" t="str">
        <f>IFERROR(IF(AND(背景数据!$A$1=背景数据!$K55,$G$11=0),$A95,IF(OR($G$21&lt;=0,$G$11=1),"",$A95)),"")</f>
        <v/>
      </c>
      <c r="D95" s="196" t="str">
        <f t="array" ref="D95">INDEX(C:C,SMALL(IF($C$2:$C$145&lt;&gt;"",ROW($2:$145),146),ROW(C94)))&amp;""</f>
        <v/>
      </c>
    </row>
    <row r="96" customHeight="1" spans="1:5">
      <c r="A96" s="289" t="str">
        <f>IF(综合数据!B17=TRUE,"斯翠海文学徒-量析","")</f>
        <v>斯翠海文学徒-量析</v>
      </c>
      <c r="B96" s="198" t="s">
        <v>6573</v>
      </c>
      <c r="C96" s="212" t="str">
        <f>IFERROR(IF(AND(背景数据!$A$1=背景数据!$K56,$G$11=0),$A96,IF(OR($G$21&lt;=0,$G$11=1),"",$A96)),"")</f>
        <v/>
      </c>
      <c r="D96" s="196" t="str">
        <f t="array" ref="D96">INDEX(C:C,SMALL(IF($C$2:$C$145&lt;&gt;"",ROW($2:$145),146),ROW(C95)))&amp;""</f>
        <v/>
      </c>
    </row>
    <row r="97" customHeight="1" spans="1:4">
      <c r="A97" s="289" t="str">
        <f>IF(综合数据!B17=TRUE,"斯翠海文学徒-银毫","")</f>
        <v>斯翠海文学徒-银毫</v>
      </c>
      <c r="B97" s="198" t="s">
        <v>6574</v>
      </c>
      <c r="C97" s="212" t="str">
        <f>IFERROR(IF(AND(背景数据!$A$1=背景数据!$K57,$G$11=0),$A97,IF(OR($G$21&lt;=0,$G$11=1),"",$A97)),"")</f>
        <v/>
      </c>
      <c r="D97" s="196" t="str">
        <f t="array" ref="D97">INDEX(C:C,SMALL(IF($C$2:$C$145&lt;&gt;"",ROW($2:$145),146),ROW(C96)))&amp;""</f>
        <v/>
      </c>
    </row>
    <row r="98" customHeight="1" spans="1:4">
      <c r="A98" s="289" t="str">
        <f>IF(综合数据!B17=TRUE,"斯翠海文学徒-靡华","")</f>
        <v>斯翠海文学徒-靡华</v>
      </c>
      <c r="B98" s="198" t="s">
        <v>6575</v>
      </c>
      <c r="C98" s="212" t="str">
        <f>IFERROR(IF(AND(背景数据!$A$1=背景数据!$K58,$G$11=0),$A98,IF(OR($G$21&lt;=0,$G$11=1),"",$A98)),"")</f>
        <v/>
      </c>
      <c r="D98" s="196" t="str">
        <f t="array" ref="D98">INDEX(C:C,SMALL(IF($C$2:$C$145&lt;&gt;"",ROW($2:$145),146),ROW(C97)))&amp;""</f>
        <v/>
      </c>
    </row>
    <row r="99" customHeight="1" spans="1:4">
      <c r="A99" s="289" t="str">
        <f>IF(AND(综合数据!B17=TRUE,G11=1,主要!Y3&gt;=4),"斯翠海文苑像","")</f>
        <v/>
      </c>
      <c r="B99" s="198" t="s">
        <v>6576</v>
      </c>
      <c r="C99" s="212" t="str">
        <f>IFERROR(IF(OR($G$21&lt;=0,COUNTIF($E$2:$E$10,A99)),"",A99),"")</f>
        <v/>
      </c>
      <c r="D99" s="196" t="str">
        <f t="array" ref="D99">INDEX(C:C,SMALL(IF($C$2:$C$145&lt;&gt;"",ROW($2:$145),146),ROW(C98)))&amp;""</f>
        <v/>
      </c>
    </row>
    <row r="100" customHeight="1" spans="1:4">
      <c r="A100" s="290" t="str">
        <f>IF(综合数据!B20=TRUE,"符文塑形者","")</f>
        <v>符文塑形者</v>
      </c>
      <c r="B100" s="198" t="s">
        <v>6577</v>
      </c>
      <c r="C100" s="212" t="str">
        <f>IFERROR(IF(AND($F$14=1,$G$14=0),$A100,IF(OR($G$21&lt;=0,$G$14=1),"",IF(职业数据!AE22&gt;0,$A100,""))),"")</f>
        <v/>
      </c>
      <c r="D100" s="196" t="str">
        <f t="array" ref="D100">INDEX(C:C,SMALL(IF($C$2:$C$145&lt;&gt;"",ROW($2:$145),146),ROW(C99)))&amp;""</f>
        <v/>
      </c>
    </row>
    <row r="101" customHeight="1" spans="1:4">
      <c r="A101" s="290" t="str">
        <f>IF(综合数据!B20=TRUE,"巨人打击-云雾","")</f>
        <v>巨人打击-云雾</v>
      </c>
      <c r="B101" s="198" t="s">
        <v>6578</v>
      </c>
      <c r="C101" s="212" t="str">
        <f>IFERROR(IF(AND($F$15=1,$G$15=0),$A101,IF(OR($G$21&lt;=0,$G$15=1),"",IF(装备数据!$AU$5=1,$A101,""))),"")</f>
        <v/>
      </c>
      <c r="D101" s="196" t="str">
        <f t="array" ref="D101">INDEX(C:C,SMALL(IF($C$2:$C$145&lt;&gt;"",ROW($2:$145),146),ROW(C100)))&amp;""</f>
        <v/>
      </c>
    </row>
    <row r="102" customHeight="1" spans="1:4">
      <c r="A102" s="290" t="str">
        <f>IF(综合数据!B20=TRUE,"巨人打击-火焰","")</f>
        <v>巨人打击-火焰</v>
      </c>
      <c r="B102" s="198" t="s">
        <v>6579</v>
      </c>
      <c r="C102" s="212" t="str">
        <f>IFERROR(IF(AND($F$15=1,$G$15=0),$A102,IF(OR($G$21&lt;=0,$G$15=1),"",IF(装备数据!$AU$5=1,$A102,""))),"")</f>
        <v/>
      </c>
      <c r="D102" s="196" t="str">
        <f t="array" ref="D102">INDEX(C:C,SMALL(IF($C$2:$C$145&lt;&gt;"",ROW($2:$145),146),ROW(C101)))&amp;""</f>
        <v/>
      </c>
    </row>
    <row r="103" customHeight="1" spans="1:4">
      <c r="A103" s="290" t="str">
        <f>IF(综合数据!B20=TRUE,"巨人打击-寒霜","")</f>
        <v>巨人打击-寒霜</v>
      </c>
      <c r="B103" s="198" t="s">
        <v>6580</v>
      </c>
      <c r="C103" s="212" t="str">
        <f>IFERROR(IF(AND($F$15=1,$G$15=0),$A103,IF(OR($G$21&lt;=0,$G$15=1),"",IF(装备数据!$AU$5=1,$A103,""))),"")</f>
        <v/>
      </c>
      <c r="D103" s="196" t="str">
        <f t="array" ref="D103">INDEX(C:C,SMALL(IF($C$2:$C$145&lt;&gt;"",ROW($2:$145),146),ROW(C102)))&amp;""</f>
        <v/>
      </c>
    </row>
    <row r="104" customHeight="1" spans="1:4">
      <c r="A104" s="290" t="str">
        <f>IF(综合数据!B20=TRUE,"巨人打击-山丘","")</f>
        <v>巨人打击-山丘</v>
      </c>
      <c r="B104" s="198" t="s">
        <v>6581</v>
      </c>
      <c r="C104" s="212" t="str">
        <f>IFERROR(IF(AND($F$15=1,$G$15=0),$A104,IF(OR($G$21&lt;=0,$G$15=1),"",IF(装备数据!$AU$5=1,$A104,""))),"")</f>
        <v/>
      </c>
      <c r="D104" s="196" t="str">
        <f t="array" ref="D104">INDEX(C:C,SMALL(IF($C$2:$C$145&lt;&gt;"",ROW($2:$145),146),ROW(C103)))&amp;""</f>
        <v/>
      </c>
    </row>
    <row r="105" customHeight="1" spans="1:4">
      <c r="A105" s="290" t="str">
        <f>IF(综合数据!B20=TRUE,"巨人打击-岩石","")</f>
        <v>巨人打击-岩石</v>
      </c>
      <c r="B105" s="198" t="s">
        <v>6582</v>
      </c>
      <c r="C105" s="212" t="str">
        <f>IFERROR(IF(AND($F$15=1,$G$15=0),$A105,IF(OR($G$21&lt;=0,$G$15=1),"",IF(装备数据!$AU$5=1,$A105,""))),"")</f>
        <v/>
      </c>
      <c r="D105" s="196" t="str">
        <f t="array" ref="D105">INDEX(C:C,SMALL(IF($C$2:$C$145&lt;&gt;"",ROW($2:$145),146),ROW(C104)))&amp;""</f>
        <v/>
      </c>
    </row>
    <row r="106" customHeight="1" spans="1:4">
      <c r="A106" s="290" t="str">
        <f>IF(综合数据!B20=TRUE,"巨人打击-风暴","")</f>
        <v>巨人打击-风暴</v>
      </c>
      <c r="B106" s="198" t="s">
        <v>6583</v>
      </c>
      <c r="C106" s="212" t="str">
        <f>IFERROR(IF(AND($F$15=1,$G$15=0),$A106,IF(OR($G$21&lt;=0,$G$15=1),"",IF(装备数据!$AU$5=1,$A106,""))),"")</f>
        <v/>
      </c>
      <c r="D106" s="196" t="str">
        <f t="array" ref="D106">INDEX(C:C,SMALL(IF($C$2:$C$145&lt;&gt;"",ROW($2:$145),146),ROW(C105)))&amp;""</f>
        <v/>
      </c>
    </row>
    <row r="107" customHeight="1" spans="1:4">
      <c r="A107" s="290" t="str">
        <f>IF(AND(综合数据!B20=TRUE,COUNTIF(E2:E10,A102)=1,主要!Y3&gt;=4),"火巨人之余烬","")</f>
        <v/>
      </c>
      <c r="B107" s="198" t="s">
        <v>6584</v>
      </c>
      <c r="C107" s="212" t="str">
        <f t="shared" ref="C107:C112" si="5">IFERROR(IF(OR($G$21&lt;=0,COUNTIF($E$2:$E$10,A107)),"",A107),"")</f>
        <v/>
      </c>
      <c r="D107" s="196" t="str">
        <f t="array" ref="D107">INDEX(C:C,SMALL(IF($C$2:$C$145&lt;&gt;"",ROW($2:$145),146),ROW(C106)))&amp;""</f>
        <v/>
      </c>
    </row>
    <row r="108" customHeight="1" spans="1:4">
      <c r="A108" s="290" t="str">
        <f>IF(AND(综合数据!B20=TRUE,COUNTIF(E2:E10,A103)=1,主要!Y3&gt;=4),"霜巨人之狂怒","")</f>
        <v/>
      </c>
      <c r="B108" s="198" t="s">
        <v>6585</v>
      </c>
      <c r="C108" s="212" t="str">
        <f t="shared" si="5"/>
        <v/>
      </c>
      <c r="D108" s="196" t="str">
        <f t="array" ref="D108">INDEX(C:C,SMALL(IF($C$2:$C$145&lt;&gt;"",ROW($2:$145),146),ROW(C107)))&amp;""</f>
        <v/>
      </c>
    </row>
    <row r="109" customHeight="1" spans="1:4">
      <c r="A109" s="290" t="str">
        <f>IF(AND(综合数据!B20=TRUE,COUNTIF(E2:E10,A101)=1,主要!Y3&gt;=4),"云巨人之诡诈","")</f>
        <v/>
      </c>
      <c r="B109" s="198" t="s">
        <v>6586</v>
      </c>
      <c r="C109" s="212" t="str">
        <f t="shared" si="5"/>
        <v/>
      </c>
      <c r="D109" s="196" t="str">
        <f t="array" ref="D109">INDEX(C:C,SMALL(IF($C$2:$C$145&lt;&gt;"",ROW($2:$145),146),ROW(C108)))&amp;""</f>
        <v/>
      </c>
    </row>
    <row r="110" customHeight="1" spans="1:4">
      <c r="A110" s="290" t="str">
        <f>IF(AND(综合数据!B20=TRUE,COUNTIF(E2:E10,A105)=1,主要!Y3&gt;=4),"石巨人之敏锐","")</f>
        <v/>
      </c>
      <c r="B110" s="198" t="s">
        <v>6587</v>
      </c>
      <c r="C110" s="212" t="str">
        <f t="shared" si="5"/>
        <v/>
      </c>
      <c r="D110" s="196" t="str">
        <f t="array" ref="D110">INDEX(C:C,SMALL(IF($C$2:$C$145&lt;&gt;"",ROW($2:$145),146),ROW(C109)))&amp;""</f>
        <v/>
      </c>
    </row>
    <row r="111" customHeight="1" spans="1:4">
      <c r="A111" s="290" t="str">
        <f>IF(AND(综合数据!B20=TRUE,COUNTIF(E2:E10,A106)=1,主要!Y3&gt;=4),"风暴巨人之灵魂","")</f>
        <v/>
      </c>
      <c r="B111" s="198" t="s">
        <v>6588</v>
      </c>
      <c r="C111" s="212" t="str">
        <f t="shared" si="5"/>
        <v/>
      </c>
      <c r="D111" s="196" t="str">
        <f t="array" ref="D111">INDEX(C:C,SMALL(IF($C$2:$C$145&lt;&gt;"",ROW($2:$145),146),ROW(C110)))&amp;""</f>
        <v/>
      </c>
    </row>
    <row r="112" customHeight="1" spans="1:4">
      <c r="A112" s="290" t="str">
        <f>IF(AND(综合数据!B20=TRUE,COUNTIF(E2:E10,A104)=1,主要!Y3&gt;=4),"山丘巨人之健强","")</f>
        <v/>
      </c>
      <c r="B112" s="198" t="s">
        <v>6589</v>
      </c>
      <c r="C112" s="212" t="str">
        <f t="shared" si="5"/>
        <v/>
      </c>
      <c r="D112" s="196" t="str">
        <f t="array" ref="D112">INDEX(C:C,SMALL(IF($C$2:$C$145&lt;&gt;"",ROW($2:$145),146),ROW(C111)))&amp;""</f>
        <v/>
      </c>
    </row>
    <row r="113" customHeight="1" spans="1:4">
      <c r="A113" s="272" t="str">
        <f>IF(综合数据!B21=TRUE,"外层位面后裔-混乱","")</f>
        <v>外层位面后裔-混乱</v>
      </c>
      <c r="B113" s="198" t="s">
        <v>6590</v>
      </c>
      <c r="C113" s="279" t="str">
        <f>IFERROR(IF(AND($F$16=1,$G$16=0),$A113,IF(OR($G$21&lt;=0,$G$16=1),"",IF(职业数据!AE22&gt;0,$A113,""))),"")</f>
        <v/>
      </c>
      <c r="D113" s="196" t="str">
        <f t="array" ref="D113">INDEX(C:C,SMALL(IF($C$2:$C$145&lt;&gt;"",ROW($2:$145),146),ROW(C112)))&amp;""</f>
        <v/>
      </c>
    </row>
    <row r="114" customHeight="1" spans="1:4">
      <c r="A114" s="272" t="str">
        <f>IF(综合数据!B21=TRUE,"外层位面后裔-邪恶","")</f>
        <v>外层位面后裔-邪恶</v>
      </c>
      <c r="B114" s="198" t="s">
        <v>6591</v>
      </c>
      <c r="C114" s="279" t="str">
        <f>IFERROR(IF(AND($F$16=1,$G$16=0),$A114,IF(OR($G$21&lt;=0,$G$16=1),"",IF(职业数据!AE22&gt;0,$A114,""))),"")</f>
        <v/>
      </c>
      <c r="D114" s="196" t="str">
        <f t="array" ref="D114">INDEX(C:C,SMALL(IF($C$2:$C$145&lt;&gt;"",ROW($2:$145),146),ROW(C113)))&amp;""</f>
        <v/>
      </c>
    </row>
    <row r="115" customHeight="1" spans="1:4">
      <c r="A115" s="272" t="str">
        <f>IF(综合数据!B21=TRUE,"外层位面后裔-善良","")</f>
        <v>外层位面后裔-善良</v>
      </c>
      <c r="B115" s="198" t="s">
        <v>6592</v>
      </c>
      <c r="C115" s="279" t="str">
        <f>IFERROR(IF(AND($F$16=1,$G$16=0),$A115,IF(OR($G$21&lt;=0,$G$16=1),"",IF(职业数据!AE22&gt;0,$A115,""))),"")</f>
        <v/>
      </c>
      <c r="D115" s="196" t="str">
        <f t="array" ref="D115">INDEX(C:C,SMALL(IF($C$2:$C$145&lt;&gt;"",ROW($2:$145),146),ROW(C114)))&amp;""</f>
        <v/>
      </c>
    </row>
    <row r="116" customHeight="1" spans="1:4">
      <c r="A116" s="272" t="str">
        <f>IF(综合数据!B21=TRUE,"外层位面后裔-守序","")</f>
        <v>外层位面后裔-守序</v>
      </c>
      <c r="B116" s="198" t="s">
        <v>6593</v>
      </c>
      <c r="C116" s="279" t="str">
        <f>IFERROR(IF(AND($F$16=1,$G$16=0),$A116,IF(OR($G$21&lt;=0,$G$16=1),"",IF(职业数据!AE22&gt;0,$A116,""))),"")</f>
        <v/>
      </c>
      <c r="D116" s="196" t="str">
        <f t="array" ref="D116">INDEX(C:C,SMALL(IF($C$2:$C$145&lt;&gt;"",ROW($2:$145),146),ROW(C115)))&amp;""</f>
        <v/>
      </c>
    </row>
    <row r="117" customHeight="1" spans="1:4">
      <c r="A117" s="272" t="str">
        <f>IF(综合数据!B21=TRUE,"外层位面后裔-外域","")</f>
        <v>外层位面后裔-外域</v>
      </c>
      <c r="B117" s="198" t="s">
        <v>6594</v>
      </c>
      <c r="C117" s="279" t="str">
        <f>IFERROR(IF(AND($F$16=1,$G$16=0),$A117,IF(OR($G$21&lt;=0,$G$16=1),"",IF(职业数据!AE22&gt;0,$A117,""))),"")</f>
        <v/>
      </c>
      <c r="D117" s="196" t="str">
        <f t="array" ref="D117">INDEX(C:C,SMALL(IF($C$2:$C$145&lt;&gt;"",ROW($2:$145),146),ROW(C116)))&amp;""</f>
        <v/>
      </c>
    </row>
    <row r="118" customHeight="1" spans="1:4">
      <c r="A118" s="272" t="str">
        <f>IF(AND(综合数据!B21=TRUE,COUNTIF(E2:E10,A116)=1,主要!Y3&gt;=4),"秩序代行者","")</f>
        <v/>
      </c>
      <c r="B118" s="198" t="s">
        <v>6595</v>
      </c>
      <c r="C118" s="279" t="str">
        <f t="shared" ref="C118:C145" si="6">IFERROR(IF(OR($G$21&lt;=0,COUNTIF($E$2:$E$10,A118)),"",A118),"")</f>
        <v/>
      </c>
      <c r="D118" s="196" t="str">
        <f t="array" ref="D118">INDEX(C:C,SMALL(IF($C$2:$C$145&lt;&gt;"",ROW($2:$145),146),ROW(C117)))&amp;""</f>
        <v/>
      </c>
    </row>
    <row r="119" customHeight="1" spans="1:4">
      <c r="A119" s="272" t="str">
        <f>IF(AND(综合数据!B21=TRUE,COUNTIF(E2:E10,A114)=1,主要!Y3&gt;=4),"恶意后继者","")</f>
        <v/>
      </c>
      <c r="B119" s="198" t="s">
        <v>6596</v>
      </c>
      <c r="C119" s="279" t="str">
        <f t="shared" si="6"/>
        <v/>
      </c>
      <c r="D119" s="196" t="str">
        <f t="array" ref="D119">INDEX(C:C,SMALL(IF($C$2:$C$145&lt;&gt;"",ROW($2:$145),146),ROW(C118)))&amp;""</f>
        <v/>
      </c>
    </row>
    <row r="120" customHeight="1" spans="1:4">
      <c r="A120" s="272" t="str">
        <f>IF(AND(综合数据!B21=TRUE,COUNTIF(E2:E10,A113)=1,主要!Y3&gt;=4),"混乱与共者","")</f>
        <v/>
      </c>
      <c r="B120" s="198" t="s">
        <v>6597</v>
      </c>
      <c r="C120" s="279" t="str">
        <f t="shared" si="6"/>
        <v/>
      </c>
      <c r="D120" s="196" t="str">
        <f t="array" ref="D120">INDEX(C:C,SMALL(IF($C$2:$C$145&lt;&gt;"",ROW($2:$145),146),ROW(C119)))&amp;""</f>
        <v/>
      </c>
    </row>
    <row r="121" customHeight="1" spans="1:4">
      <c r="A121" s="272" t="str">
        <f>IF(AND(综合数据!B21=TRUE,COUNTIF(E2:E10,A117)=1,主要!Y3&gt;=4),"外域使节","")</f>
        <v/>
      </c>
      <c r="B121" s="198" t="s">
        <v>6598</v>
      </c>
      <c r="C121" s="279" t="str">
        <f t="shared" si="6"/>
        <v/>
      </c>
      <c r="D121" s="196" t="str">
        <f t="array" ref="D121">INDEX(C:C,SMALL(IF($C$2:$C$145&lt;&gt;"",ROW($2:$145),146),ROW(C120)))&amp;""</f>
        <v/>
      </c>
    </row>
    <row r="122" customHeight="1" spans="1:4">
      <c r="A122" s="272" t="str">
        <f>IF(AND(综合数据!B21=TRUE,G16=1,主要!Y3&gt;=4),"位面漫游者","")</f>
        <v/>
      </c>
      <c r="B122" s="198" t="s">
        <v>6599</v>
      </c>
      <c r="C122" s="279" t="str">
        <f t="shared" si="6"/>
        <v/>
      </c>
      <c r="D122" s="196" t="str">
        <f t="array" ref="D122">INDEX(C:C,SMALL(IF($C$2:$C$145&lt;&gt;"",ROW($2:$145),146),ROW(C121)))&amp;""</f>
        <v/>
      </c>
    </row>
    <row r="123" customHeight="1" spans="1:4">
      <c r="A123" s="272" t="str">
        <f>IF(AND(综合数据!B21=TRUE,COUNTIF(E2:E10,A115)=1,主要!Y3&gt;=4),"公义传承者","")</f>
        <v/>
      </c>
      <c r="B123" s="198" t="s">
        <v>6600</v>
      </c>
      <c r="C123" s="279" t="str">
        <f t="shared" si="6"/>
        <v/>
      </c>
      <c r="D123" s="196" t="str">
        <f t="array" ref="D123">INDEX(C:C,SMALL(IF($C$2:$C$145&lt;&gt;"",ROW($2:$145),146),ROW(C122)))&amp;""</f>
        <v/>
      </c>
    </row>
    <row r="124" customHeight="1" spans="1:4">
      <c r="A124" s="291" t="str">
        <f>IF(AND(综合数据!B22=TRUE,职业数据!AE22&gt;=1,主要!Y3&gt;=4),"卡牌占卜师","")</f>
        <v/>
      </c>
      <c r="B124" s="198" t="s">
        <v>6601</v>
      </c>
      <c r="C124" s="279" t="str">
        <f t="shared" si="6"/>
        <v/>
      </c>
      <c r="D124" s="196" t="str">
        <f t="array" ref="D124">INDEX(C:C,SMALL(IF($C$2:$C$145&lt;&gt;"",ROW($2:$145),146),ROW(C123)))&amp;""</f>
        <v/>
      </c>
    </row>
    <row r="125" customHeight="1" spans="1:4">
      <c r="A125" s="292" t="str">
        <f>IF(AND(种族数据!V3=种族数据!A50,种族数据!V4=种族数据!B50),"吸血欢悦","")</f>
        <v/>
      </c>
      <c r="B125" s="198" t="s">
        <v>6602</v>
      </c>
      <c r="C125" s="212" t="str">
        <f t="shared" si="6"/>
        <v/>
      </c>
      <c r="D125" s="196" t="str">
        <f t="array" ref="D125">INDEX(C:C,SMALL(IF($C$2:$C$145&lt;&gt;"",ROW($2:$145),146),ROW(C124)))&amp;""</f>
        <v/>
      </c>
    </row>
    <row r="126" customHeight="1" spans="1:4">
      <c r="A126" s="292" t="str">
        <f>IF(OR(种族数据!V3=种族数据!A3,种族数据!V3=种族数据!A41),"英魂之刃","")</f>
        <v/>
      </c>
      <c r="B126" s="198" t="s">
        <v>6603</v>
      </c>
      <c r="C126" s="212" t="str">
        <f t="shared" si="6"/>
        <v/>
      </c>
      <c r="D126" s="196" t="str">
        <f t="array" ref="D126">INDEX(C:C,SMALL(IF($C$2:$C$145&lt;&gt;"",ROW($2:$145),146),ROW(C125)))&amp;""</f>
        <v/>
      </c>
    </row>
    <row r="127" customHeight="1" spans="1:4">
      <c r="A127" s="292" t="str">
        <f>IF(种族数据!V3=种族数据!A11,"天使庇护","")</f>
        <v/>
      </c>
      <c r="B127" s="198" t="s">
        <v>6604</v>
      </c>
      <c r="C127" s="212" t="str">
        <f t="shared" si="6"/>
        <v/>
      </c>
      <c r="D127" s="196" t="str">
        <f t="array" ref="D127">INDEX(C:C,SMALL(IF($C$2:$C$145&lt;&gt;"",ROW($2:$145),146),ROW(C126)))&amp;""</f>
        <v/>
      </c>
    </row>
    <row r="128" customHeight="1" spans="1:4">
      <c r="A128" s="292" t="str">
        <f>IF(种族数据!V4=种族数据!C33,"土巨灵之遗","")</f>
        <v/>
      </c>
      <c r="B128" s="198" t="s">
        <v>6605</v>
      </c>
      <c r="C128" s="212" t="str">
        <f t="shared" si="6"/>
        <v/>
      </c>
      <c r="D128" s="196" t="str">
        <f t="array" ref="D128">INDEX(C:C,SMALL(IF($C$2:$C$145&lt;&gt;"",ROW($2:$145),146),ROW(C127)))&amp;""</f>
        <v/>
      </c>
    </row>
    <row r="129" customHeight="1" spans="1:4">
      <c r="A129" s="292" t="str">
        <f>IF(种族数据!V4=种族数据!B33,"风巨灵之遗","")</f>
        <v/>
      </c>
      <c r="B129" s="198" t="s">
        <v>6606</v>
      </c>
      <c r="C129" s="212" t="str">
        <f t="shared" si="6"/>
        <v/>
      </c>
      <c r="D129" s="196" t="str">
        <f t="array" ref="D129">INDEX(C:C,SMALL(IF($C$2:$C$145&lt;&gt;"",ROW($2:$145),146),ROW(C128)))&amp;""</f>
        <v/>
      </c>
    </row>
    <row r="130" customHeight="1" spans="1:4">
      <c r="A130" s="292" t="str">
        <f>IF(种族数据!V4=种族数据!D33,"火巨灵之遗","")</f>
        <v/>
      </c>
      <c r="B130" s="198" t="s">
        <v>6607</v>
      </c>
      <c r="C130" s="212" t="str">
        <f t="shared" si="6"/>
        <v/>
      </c>
      <c r="D130" s="196" t="str">
        <f t="array" ref="D130">INDEX(C:C,SMALL(IF($C$2:$C$145&lt;&gt;"",ROW($2:$145),146),ROW(C129)))&amp;""</f>
        <v/>
      </c>
    </row>
    <row r="131" customHeight="1" spans="1:4">
      <c r="A131" s="292" t="str">
        <f>IF(种族数据!V4=种族数据!E33,"水巨灵之遗","")</f>
        <v/>
      </c>
      <c r="B131" s="198" t="s">
        <v>6608</v>
      </c>
      <c r="C131" s="212" t="str">
        <f t="shared" si="6"/>
        <v/>
      </c>
      <c r="D131" s="196" t="str">
        <f t="array" ref="D131">INDEX(C:C,SMALL(IF($C$2:$C$145&lt;&gt;"",ROW($2:$145),146),ROW(C130)))&amp;""</f>
        <v/>
      </c>
    </row>
    <row r="132" customHeight="1" spans="1:4">
      <c r="A132" s="292" t="str">
        <f>IF(种族数据!V3=种族数据!A16,"猫之优雅","")</f>
        <v/>
      </c>
      <c r="B132" s="198" t="s">
        <v>6609</v>
      </c>
      <c r="C132" s="212" t="str">
        <f t="shared" si="6"/>
        <v/>
      </c>
      <c r="D132" s="196" t="str">
        <f t="array" ref="D132">INDEX(C:C,SMALL(IF($C$2:$C$145&lt;&gt;"",ROW($2:$145),146),ROW(C131)))&amp;""</f>
        <v/>
      </c>
    </row>
    <row r="133" customHeight="1" spans="1:4">
      <c r="A133" s="292" t="str">
        <f>IF(种族数据!V3=种族数据!A12,"费尔伯格野兽魔法","")</f>
        <v/>
      </c>
      <c r="B133" s="198" t="s">
        <v>6610</v>
      </c>
      <c r="C133" s="212" t="str">
        <f t="shared" si="6"/>
        <v/>
      </c>
      <c r="D133" s="196" t="str">
        <f t="array" ref="D133">INDEX(C:C,SMALL(IF($C$2:$C$145&lt;&gt;"",ROW($2:$145),146),ROW(C132)))&amp;""</f>
        <v/>
      </c>
    </row>
    <row r="134" customHeight="1" spans="1:4">
      <c r="A134" s="292" t="str">
        <f>IF(AND(种族数据!V3=种族数据!A18,种族数据!V4=0),"像个老大！","")</f>
        <v/>
      </c>
      <c r="B134" s="198" t="s">
        <v>6611</v>
      </c>
      <c r="C134" s="212" t="str">
        <f t="shared" si="6"/>
        <v/>
      </c>
      <c r="D134" s="196" t="str">
        <f t="array" ref="D134">INDEX(C:C,SMALL(IF($C$2:$C$145&lt;&gt;"",ROW($2:$145),146),ROW(C133)))&amp;""</f>
        <v/>
      </c>
    </row>
    <row r="135" customHeight="1" spans="1:4">
      <c r="A135" s="292" t="str">
        <f>IF(种族数据!V3=种族数据!A14,"模仿大师","")</f>
        <v/>
      </c>
      <c r="B135" s="198" t="s">
        <v>6612</v>
      </c>
      <c r="C135" s="212" t="str">
        <f t="shared" si="6"/>
        <v/>
      </c>
      <c r="D135" s="196" t="str">
        <f t="array" ref="D135">INDEX(C:C,SMALL(IF($C$2:$C$145&lt;&gt;"",ROW($2:$145),146),ROW(C134)))&amp;""</f>
        <v/>
      </c>
    </row>
    <row r="136" customHeight="1" spans="1:4">
      <c r="A136" s="292" t="str">
        <f>IF(种族数据!V3=种族数据!A13,"山川坚韧","")</f>
        <v/>
      </c>
      <c r="B136" s="198" t="s">
        <v>6613</v>
      </c>
      <c r="C136" s="212" t="str">
        <f t="shared" si="6"/>
        <v/>
      </c>
      <c r="D136" s="196" t="str">
        <f t="array" ref="D136">INDEX(C:C,SMALL(IF($C$2:$C$145&lt;&gt;"",ROW($2:$145),146),ROW(C135)))&amp;""</f>
        <v/>
      </c>
    </row>
    <row r="137" customHeight="1" spans="1:4">
      <c r="A137" s="292" t="str">
        <f>IF(种族数据!V3=种族数据!A21,"蛇形","")</f>
        <v/>
      </c>
      <c r="B137" s="198" t="s">
        <v>6614</v>
      </c>
      <c r="C137" s="212" t="str">
        <f t="shared" si="6"/>
        <v/>
      </c>
      <c r="D137" s="196" t="str">
        <f t="array" ref="D137">INDEX(C:C,SMALL(IF($C$2:$C$145&lt;&gt;"",ROW($2:$145),146),ROW(C136)))&amp;""</f>
        <v/>
      </c>
    </row>
    <row r="138" customHeight="1" spans="1:4">
      <c r="A138" s="292" t="str">
        <f>IF(种族数据!V3=种族数据!A32,"天空守望者","")</f>
        <v/>
      </c>
      <c r="B138" s="198" t="s">
        <v>6615</v>
      </c>
      <c r="C138" s="212" t="str">
        <f t="shared" si="6"/>
        <v/>
      </c>
      <c r="D138" s="196" t="str">
        <f t="array" ref="D138">INDEX(C:C,SMALL(IF($C$2:$C$145&lt;&gt;"",ROW($2:$145),146),ROW(C137)))&amp;""</f>
        <v/>
      </c>
    </row>
    <row r="139" customHeight="1" spans="1:4">
      <c r="A139" s="292" t="str">
        <f>IF(种族数据!V3=种族数据!A20,"塔那罗克之血","")</f>
        <v/>
      </c>
      <c r="B139" s="284" t="s">
        <v>6616</v>
      </c>
      <c r="C139" s="212" t="str">
        <f t="shared" si="6"/>
        <v/>
      </c>
      <c r="D139" s="196" t="str">
        <f t="array" ref="D139">INDEX(C:C,SMALL(IF($C$2:$C$145&lt;&gt;"",ROW($2:$145),146),ROW(C138)))&amp;""</f>
        <v/>
      </c>
    </row>
    <row r="140" customHeight="1" spans="1:4">
      <c r="A140" s="292" t="str">
        <f>IF(种族数据!V3=种族数据!A34,"龟人防卫者","")</f>
        <v/>
      </c>
      <c r="B140" s="198" t="s">
        <v>6617</v>
      </c>
      <c r="C140" s="212" t="str">
        <f t="shared" si="6"/>
        <v/>
      </c>
      <c r="D140" s="196" t="str">
        <f t="array" ref="D140">INDEX(C:C,SMALL(IF($C$2:$C$145&lt;&gt;"",ROW($2:$145),146),ROW(C139)))&amp;""</f>
        <v/>
      </c>
    </row>
    <row r="141" customHeight="1" spans="1:4">
      <c r="A141" s="292" t="str">
        <f>IF(种族数据!V3=种族数据!A15,"塞斯伊奈克之触","")</f>
        <v/>
      </c>
      <c r="B141" s="198" t="s">
        <v>6618</v>
      </c>
      <c r="C141" s="212" t="str">
        <f t="shared" si="6"/>
        <v/>
      </c>
      <c r="D141" s="196" t="str">
        <f t="array" ref="D141">INDEX(C:C,SMALL(IF($C$2:$C$145&lt;&gt;"",ROW($2:$145),146),ROW(C140)))&amp;""</f>
        <v/>
      </c>
    </row>
    <row r="142" customHeight="1" spans="1:4">
      <c r="A142" s="292" t="str">
        <f>IF(种族数据!V3=种族数据!A17,"梭螺鱼人深海魔法","")</f>
        <v/>
      </c>
      <c r="B142" s="198" t="s">
        <v>6619</v>
      </c>
      <c r="C142" s="212" t="str">
        <f t="shared" si="6"/>
        <v/>
      </c>
      <c r="D142" s="196" t="str">
        <f t="array" ref="D142">INDEX(C:C,SMALL(IF($C$2:$C$145&lt;&gt;"",ROW($2:$145),146),ROW(C141)))&amp;""</f>
        <v/>
      </c>
    </row>
    <row r="143" customHeight="1" spans="1:4">
      <c r="A143" s="292" t="str">
        <f>IF(种族数据!V4=种族数据!C18,"军团拥护","")</f>
        <v/>
      </c>
      <c r="B143" s="198" t="s">
        <v>6620</v>
      </c>
      <c r="C143" s="212" t="str">
        <f t="shared" si="6"/>
        <v/>
      </c>
      <c r="D143" s="196" t="str">
        <f t="array" ref="D143">INDEX(C:C,SMALL(IF($C$2:$C$145&lt;&gt;"",ROW($2:$145),146),ROW(C142)))&amp;""</f>
        <v/>
      </c>
    </row>
    <row r="144" customHeight="1" spans="1:4">
      <c r="A144" s="292" t="str">
        <f>IF(种族数据!V3=种族数据!A19,"鹗德之翼","")</f>
        <v/>
      </c>
      <c r="B144" s="198" t="s">
        <v>6621</v>
      </c>
      <c r="C144" s="212" t="str">
        <f t="shared" si="6"/>
        <v/>
      </c>
      <c r="D144" s="196" t="str">
        <f t="array" ref="D144">INDEX(C:C,SMALL(IF($C$2:$C$145&lt;&gt;"",ROW($2:$145),146),ROW(C143)))&amp;""</f>
        <v/>
      </c>
    </row>
    <row r="145" customHeight="1" spans="1:4">
      <c r="A145" s="293" t="str">
        <f>IF(种族数据!V4=种族数据!B18,"良好休息","")</f>
        <v/>
      </c>
      <c r="B145" s="208" t="s">
        <v>6622</v>
      </c>
      <c r="C145" s="213" t="str">
        <f t="shared" si="6"/>
        <v/>
      </c>
      <c r="D145" s="214" t="str">
        <f t="array" ref="D145">INDEX(C:C,SMALL(IF($C$2:$C$145&lt;&gt;"",ROW($2:$145),146),ROW(C144)))&amp;""</f>
        <v/>
      </c>
    </row>
  </sheetData>
  <sheetProtection sheet="1" objects="1" scenarios="1"/>
  <mergeCells count="2">
    <mergeCell ref="C1:D1"/>
    <mergeCell ref="E1:G1"/>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V524"/>
  <sheetViews>
    <sheetView zoomScale="70" zoomScaleNormal="70" workbookViewId="0">
      <pane ySplit="1" topLeftCell="A2" activePane="bottomLeft" state="frozen"/>
      <selection/>
      <selection pane="bottomLeft" activeCell="Q21" sqref="Q21"/>
    </sheetView>
  </sheetViews>
  <sheetFormatPr defaultColWidth="9" defaultRowHeight="14.4" customHeight="1"/>
  <cols>
    <col min="1" max="1" width="9" style="193" customWidth="1"/>
    <col min="2" max="2" width="8.89090909090909" style="193"/>
    <col min="3" max="27" width="8.89090909090909" style="193" customWidth="1"/>
    <col min="28" max="28" width="14.8909090909091" style="193" customWidth="1"/>
    <col min="29" max="31" width="8.89090909090909" style="193" customWidth="1"/>
    <col min="32" max="34" width="9" style="193" customWidth="1"/>
    <col min="35" max="35" width="8.89090909090909" style="193" customWidth="1"/>
    <col min="36" max="36" width="9" style="193" customWidth="1"/>
    <col min="37" max="40" width="8.89090909090909" style="193" customWidth="1"/>
    <col min="41" max="41" width="9" style="193" customWidth="1"/>
    <col min="42" max="42" width="8.89090909090909" style="193" customWidth="1"/>
    <col min="43" max="44" width="11.7818181818182" style="193" customWidth="1"/>
    <col min="45" max="46" width="8.89090909090909" style="193" customWidth="1"/>
    <col min="47" max="47" width="9" style="193" customWidth="1"/>
    <col min="48" max="48" width="10.7818181818182" style="193" customWidth="1"/>
    <col min="49" max="16384" width="8.89090909090909" style="193"/>
  </cols>
  <sheetData>
    <row r="1" customHeight="1" spans="1:48">
      <c r="A1" s="183" t="s">
        <v>608</v>
      </c>
      <c r="B1" s="218" t="s">
        <v>6623</v>
      </c>
      <c r="C1" s="218" t="s">
        <v>6624</v>
      </c>
      <c r="D1" s="218" t="s">
        <v>5911</v>
      </c>
      <c r="E1" s="218" t="s">
        <v>6625</v>
      </c>
      <c r="F1" s="218" t="s">
        <v>229</v>
      </c>
      <c r="G1" s="218" t="s">
        <v>228</v>
      </c>
      <c r="H1" s="218" t="s">
        <v>231</v>
      </c>
      <c r="I1" s="218"/>
      <c r="J1" s="218"/>
      <c r="K1" s="218" t="s">
        <v>6626</v>
      </c>
      <c r="L1" s="218" t="s">
        <v>6627</v>
      </c>
      <c r="M1" s="218" t="s">
        <v>221</v>
      </c>
      <c r="N1" s="218" t="s">
        <v>230</v>
      </c>
      <c r="O1" s="218" t="s">
        <v>6628</v>
      </c>
      <c r="P1" s="218" t="s">
        <v>6629</v>
      </c>
      <c r="Q1" s="218" t="s">
        <v>6630</v>
      </c>
      <c r="R1" s="218" t="s">
        <v>172</v>
      </c>
      <c r="S1" s="184"/>
      <c r="T1" s="184"/>
      <c r="U1" s="184"/>
      <c r="V1" s="184"/>
      <c r="W1" s="184"/>
      <c r="X1" s="184"/>
      <c r="Y1" s="184"/>
      <c r="Z1" s="184"/>
      <c r="AA1" s="219"/>
      <c r="AB1" s="220" t="s">
        <v>289</v>
      </c>
      <c r="AC1" s="221" t="s">
        <v>6631</v>
      </c>
      <c r="AD1" s="183" t="s">
        <v>6632</v>
      </c>
      <c r="AE1" s="220"/>
      <c r="AF1" s="218" t="s">
        <v>6633</v>
      </c>
      <c r="AG1" s="218"/>
      <c r="AH1" s="222" t="s">
        <v>6629</v>
      </c>
      <c r="AI1" s="223"/>
      <c r="AJ1" s="183" t="s">
        <v>283</v>
      </c>
      <c r="AK1" s="218" t="s">
        <v>114</v>
      </c>
      <c r="AL1" s="218" t="s">
        <v>3721</v>
      </c>
      <c r="AM1" s="220" t="s">
        <v>1483</v>
      </c>
      <c r="AN1" s="183" t="s">
        <v>6634</v>
      </c>
      <c r="AO1" s="184"/>
      <c r="AP1" s="218" t="s">
        <v>226</v>
      </c>
      <c r="AQ1" s="218" t="s">
        <v>221</v>
      </c>
      <c r="AR1" s="218" t="s">
        <v>5911</v>
      </c>
      <c r="AS1" s="218" t="s">
        <v>3721</v>
      </c>
      <c r="AT1" s="220" t="s">
        <v>1483</v>
      </c>
      <c r="AU1" s="183" t="s">
        <v>171</v>
      </c>
      <c r="AV1" s="220"/>
    </row>
    <row r="2" customHeight="1" spans="1:48">
      <c r="A2" s="192"/>
      <c r="B2" s="224"/>
      <c r="C2" s="224"/>
      <c r="D2" s="224"/>
      <c r="E2" s="224"/>
      <c r="F2" s="224"/>
      <c r="G2" s="224"/>
      <c r="H2" s="224" t="s">
        <v>6635</v>
      </c>
      <c r="I2" s="224" t="s">
        <v>6636</v>
      </c>
      <c r="J2" s="224" t="s">
        <v>6637</v>
      </c>
      <c r="K2" s="224"/>
      <c r="L2" s="224"/>
      <c r="M2" s="224"/>
      <c r="N2" s="224"/>
      <c r="O2" s="224"/>
      <c r="P2" s="224"/>
      <c r="Q2" s="224"/>
      <c r="R2" s="224" t="s">
        <v>1540</v>
      </c>
      <c r="S2" s="224" t="s">
        <v>1570</v>
      </c>
      <c r="T2" s="224" t="s">
        <v>1600</v>
      </c>
      <c r="U2" s="224" t="s">
        <v>1683</v>
      </c>
      <c r="V2" s="224" t="s">
        <v>1692</v>
      </c>
      <c r="W2" s="224" t="s">
        <v>1711</v>
      </c>
      <c r="X2" s="224" t="s">
        <v>1725</v>
      </c>
      <c r="Y2" s="224" t="s">
        <v>1720</v>
      </c>
      <c r="Z2" s="224" t="s">
        <v>39</v>
      </c>
      <c r="AA2" s="223" t="s">
        <v>6638</v>
      </c>
      <c r="AB2" s="200" t="str">
        <f t="array" ref="AB2">INDEX(B:B,SMALL(IF($Q$3:$Q$524&lt;&gt;"",ROW($3:$524),525),ROW(B1)))&amp;""</f>
        <v>酸液飞溅</v>
      </c>
      <c r="AC2" s="225" t="str">
        <f>IFERROR(IF(AND($Q3&lt;&gt;"",IF(法术查询!$J$4="",1,INDEX($R3:$Z3,1,VLOOKUP(法术查询!$J$4,$AF$2:$AG$10,2,0)))&lt;&gt;"",IF(法术查询!$J$5="",1,$P3=VLOOKUP(法术查询!$J$5,$AH$2:$AI$11,2,0)),IF(法术查询!$J$6="",1,IF(法术查询!$J$6=$E3,1,0)),IF(法术查询!$J$7="",1,SEARCH(法术查询!$J$7,$F3)),IF(法术查询!$J$8="",1,SEARCH(法术查询!$J$8,G3)),IF(法术查询!$J$9="",1,SEARCH(法术查询!$J$9,N3)),IF(法术查询!$J$10="",1,IF(法术查询!$J$10=$AF$11,IF($M3=1,1,0),IF($M3="",1,0))),IF(法术查询!$J$11="",1,IF(法术查询!$J$11=$AF$11,IF($D3=1,1,0),IF($D3="",1,0))),IF(法术查询!$J$12="",1,SEARCH(法术查询!$J$12,$B3&amp;$C3&amp;$O3)),IF(法术查询!$J$13="",1,SEARCH(法术查询!$J$13,$B3&amp;$C3&amp;$O3)),IF(法术查询!$J$14="",1,SEARCH(法术查询!$J$14,$B3&amp;$C3&amp;$O3)),IF(法术查询!$J$16="",1,IF(法术查询!$J$16=$AF$11,IF($H3=1,1,0),IF($H3="",1,0))),IF(法术查询!$J$17="",1,IF(法术查询!$J$17=$AF$11,IF($I3=1,1,0),IF($I3="",1,0))),IF(法术查询!$J$18="",1,IF(法术查询!$J$18=$AF$11,IF($J3&lt;&gt;"",1,0),IF($J3="",1,0))),IF(法术查询!$J$19="",1,IF(法术查询!$J$19=$AF$11,IF($L3&lt;&gt;"",1,0),IF($L3="",1,0)))),$B3,""),"")</f>
        <v/>
      </c>
      <c r="AD2" s="192" t="str">
        <f t="array" ref="AD2">INDEX(AC:AC,SMALL(IF($AC$2:$AC$523&lt;&gt;"",ROW($2:$523),524),ROW(AC1)))&amp;""</f>
        <v>援助术</v>
      </c>
      <c r="AE2" s="200" t="str">
        <f>IF(AD2="","",VLOOKUP(AD2,B:C,2,0))</f>
        <v>Aid</v>
      </c>
      <c r="AF2" s="224" t="s">
        <v>1540</v>
      </c>
      <c r="AG2" s="193">
        <v>1</v>
      </c>
      <c r="AH2" s="222" t="s">
        <v>873</v>
      </c>
      <c r="AI2" s="200">
        <v>0</v>
      </c>
      <c r="AJ2" s="192">
        <v>1</v>
      </c>
      <c r="AK2" s="193" t="str">
        <f>IF(法术书!V8="","",法术书!V8)</f>
        <v/>
      </c>
      <c r="AL2" s="224" t="str">
        <f t="array" ref="AL2">IFERROR(INDEX(AK$1:AK$301,SMALL(IF(MATCH(AK2,AK$1:AK$301,0)=ROW(AK2),ROW(AK$1:AK$301),999),ROW(AK2))),"")</f>
        <v/>
      </c>
      <c r="AM2" s="223" t="str">
        <f t="array" ref="AM2">INDEX(AL:AL,SMALL(IF($AL$2:$AL$301&lt;&gt;"",ROW($2:$301),302),ROW(AL1)))&amp;""</f>
        <v/>
      </c>
      <c r="AN2" s="192" t="str">
        <f>IF(主要!C66="","",主要!C66)</f>
        <v/>
      </c>
      <c r="AO2" s="193" t="str">
        <f>IF($AN2="","",COUNTIF($AN$2:$AN$46,$AN2))</f>
        <v/>
      </c>
      <c r="AP2" s="193" t="str">
        <f t="shared" ref="AP2:AP46" si="0">IFERROR(VLOOKUP(AN2,B:P,15,0),"")</f>
        <v/>
      </c>
      <c r="AQ2" s="193" t="e">
        <f t="shared" ref="AQ2:AQ46" si="1">VLOOKUP(AN2,B:M,12,0)</f>
        <v>#N/A</v>
      </c>
      <c r="AR2" s="193" t="e">
        <f t="shared" ref="AR2:AR46" si="2">VLOOKUP(AN2,B:D,3,0)</f>
        <v>#N/A</v>
      </c>
      <c r="AS2" s="193" t="str">
        <f t="array" ref="AS2">IFERROR(INDEX(AN$1:AN$46,SMALL(IF(MATCH(AN2,AN$1:AN$46,0)=ROW(AN2),ROW(AN$1:AN$46),999),ROW(AN2))),"")</f>
        <v/>
      </c>
      <c r="AT2" s="200" t="str">
        <f t="array" ref="AT2">INDEX(AS:AS,SMALL(IF($AS$2:$AS$46&lt;&gt;"",ROW($2:$46),47),ROW(AS1)))&amp;""</f>
        <v/>
      </c>
      <c r="AU2" s="222" t="s">
        <v>1570</v>
      </c>
      <c r="AV2" s="200">
        <f>MAX(主要!R18+职业数据!AG4,1)</f>
        <v>1</v>
      </c>
    </row>
    <row r="3" customHeight="1" spans="1:48">
      <c r="A3" s="192">
        <v>1</v>
      </c>
      <c r="B3" s="224" t="s">
        <v>6639</v>
      </c>
      <c r="C3" s="224" t="s">
        <v>6640</v>
      </c>
      <c r="D3" s="224"/>
      <c r="E3" s="226" t="s">
        <v>6641</v>
      </c>
      <c r="F3" s="224" t="s">
        <v>6642</v>
      </c>
      <c r="G3" s="224" t="s">
        <v>6643</v>
      </c>
      <c r="H3" s="193">
        <v>1</v>
      </c>
      <c r="I3" s="193">
        <v>1</v>
      </c>
      <c r="L3" s="224"/>
      <c r="N3" s="224" t="s">
        <v>6644</v>
      </c>
      <c r="O3" s="224" t="s">
        <v>6645</v>
      </c>
      <c r="P3" s="224">
        <v>0</v>
      </c>
      <c r="Q3" s="224" t="s">
        <v>249</v>
      </c>
      <c r="W3" s="193">
        <v>1</v>
      </c>
      <c r="X3" s="193">
        <v>1</v>
      </c>
      <c r="Z3" s="193">
        <v>9</v>
      </c>
      <c r="AA3" s="223" t="s">
        <v>6646</v>
      </c>
      <c r="AB3" s="200" t="str">
        <f t="array" ref="AB3">INDEX(B:B,SMALL(IF($Q$3:$Q$524&lt;&gt;"",ROW($3:$524),525),ROW(B2)))&amp;""</f>
        <v>剑刃防护</v>
      </c>
      <c r="AC3" s="225" t="str">
        <f>IFERROR(IF(AND($Q4&lt;&gt;"",IF(法术查询!$J$4="",1,INDEX($R4:$Z4,1,VLOOKUP(法术查询!$J$4,$AF$2:$AG$10,2,0)))&lt;&gt;"",IF(法术查询!$J$5="",1,$P4=VLOOKUP(法术查询!$J$5,$AH$2:$AI$11,2,0)),IF(法术查询!$J$6="",1,IF(法术查询!$J$6=$E4,1,0)),IF(法术查询!$J$7="",1,SEARCH(法术查询!$J$7,$F4)),IF(法术查询!$J$8="",1,SEARCH(法术查询!$J$8,G4)),IF(法术查询!$J$9="",1,SEARCH(法术查询!$J$9,N4)),IF(法术查询!$J$10="",1,IF(法术查询!$J$10=$AF$11,IF($M4=1,1,0),IF($M4="",1,0))),IF(法术查询!$J$11="",1,IF(法术查询!$J$11=$AF$11,IF($D4=1,1,0),IF($D4="",1,0))),IF(法术查询!$J$12="",1,SEARCH(法术查询!$J$12,$B4&amp;$C4&amp;$O4)),IF(法术查询!$J$13="",1,SEARCH(法术查询!$J$13,$B4&amp;$C4&amp;$O4)),IF(法术查询!$J$14="",1,SEARCH(法术查询!$J$14,$B4&amp;$C4&amp;$O4)),IF(法术查询!$J$16="",1,IF(法术查询!$J$16=$AF$11,IF($H4=1,1,0),IF($H4="",1,0))),IF(法术查询!$J$17="",1,IF(法术查询!$J$17=$AF$11,IF($I4=1,1,0),IF($I4="",1,0))),IF(法术查询!$J$18="",1,IF(法术查询!$J$18=$AF$11,IF($J4&lt;&gt;"",1,0),IF($J4="",1,0))),IF(法术查询!$J$19="",1,IF(法术查询!$J$19=$AF$11,IF($L4&lt;&gt;"",1,0),IF($L4="",1,0)))),$B4,""),"")</f>
        <v/>
      </c>
      <c r="AD3" s="192" t="str">
        <f t="array" ref="AD3">INDEX(AC:AC,SMALL(IF($AC$2:$AC$523&lt;&gt;"",ROW($2:$523),524),ROW(AC2)))&amp;""</f>
        <v>变身术</v>
      </c>
      <c r="AE3" s="200" t="str">
        <f t="shared" ref="AE3:AE66" si="3">IF(AD3="","",VLOOKUP(AD3,B:C,2,0))</f>
        <v>Alter Self</v>
      </c>
      <c r="AF3" s="224" t="s">
        <v>1570</v>
      </c>
      <c r="AG3" s="193">
        <v>2</v>
      </c>
      <c r="AH3" s="222" t="s">
        <v>6647</v>
      </c>
      <c r="AI3" s="200">
        <v>1</v>
      </c>
      <c r="AJ3" s="192">
        <v>2</v>
      </c>
      <c r="AK3" s="193" t="str">
        <f>IF(法术书!V9="","",法术书!V9)</f>
        <v/>
      </c>
      <c r="AL3" s="224" t="str">
        <f t="array" ref="AL3">IFERROR(INDEX(AK$1:AK$301,SMALL(IF(MATCH(AK3,AK$1:AK$301,0)=ROW(AK3),ROW(AK$1:AK$301),999),ROW(AK3))),"")</f>
        <v/>
      </c>
      <c r="AM3" s="223" t="str">
        <f t="array" ref="AM3">INDEX(AL:AL,SMALL(IF($AL$2:$AL$301&lt;&gt;"",ROW($2:$301),302),ROW(AL2)))&amp;""</f>
        <v/>
      </c>
      <c r="AN3" s="192" t="str">
        <f>IF(主要!C67="","",主要!C67)</f>
        <v/>
      </c>
      <c r="AO3" s="193" t="str">
        <f t="shared" ref="AO3:AO46" si="4">IF($AN3="","",COUNTIF($AN$2:$AN$46,$AN3))</f>
        <v/>
      </c>
      <c r="AP3" s="193" t="str">
        <f t="shared" si="0"/>
        <v/>
      </c>
      <c r="AQ3" s="193" t="e">
        <f t="shared" si="1"/>
        <v>#N/A</v>
      </c>
      <c r="AR3" s="193" t="e">
        <f t="shared" si="2"/>
        <v>#N/A</v>
      </c>
      <c r="AS3" s="193" t="str">
        <f t="array" ref="AS3">IFERROR(INDEX(AN$1:AN$46,SMALL(IF(MATCH(AN3,AN$1:AN$46,0)=ROW(AN3),ROW(AN$1:AN$46),999),ROW(AN3))),"")</f>
        <v/>
      </c>
      <c r="AT3" s="200" t="str">
        <f t="array" ref="AT3">INDEX(AS:AS,SMALL(IF($AS$2:$AS$46&lt;&gt;"",ROW($2:$46),47),ROW(AS2)))&amp;""</f>
        <v/>
      </c>
      <c r="AU3" s="222" t="s">
        <v>1600</v>
      </c>
      <c r="AV3" s="200">
        <f>MAX(主要!R18+职业数据!AG5,1)</f>
        <v>1</v>
      </c>
    </row>
    <row r="4" customHeight="1" spans="1:48">
      <c r="A4" s="192">
        <v>2</v>
      </c>
      <c r="B4" s="224" t="s">
        <v>6648</v>
      </c>
      <c r="C4" s="224" t="s">
        <v>6649</v>
      </c>
      <c r="D4" s="224"/>
      <c r="E4" s="227" t="s">
        <v>6650</v>
      </c>
      <c r="F4" s="224" t="s">
        <v>6642</v>
      </c>
      <c r="G4" s="224" t="s">
        <v>6651</v>
      </c>
      <c r="H4" s="193">
        <v>1</v>
      </c>
      <c r="I4" s="193">
        <v>1</v>
      </c>
      <c r="N4" s="224" t="s">
        <v>6652</v>
      </c>
      <c r="O4" s="224" t="s">
        <v>6653</v>
      </c>
      <c r="P4" s="224">
        <v>0</v>
      </c>
      <c r="Q4" s="224" t="s">
        <v>249</v>
      </c>
      <c r="R4" s="193">
        <v>1</v>
      </c>
      <c r="W4" s="193">
        <v>1</v>
      </c>
      <c r="X4" s="193">
        <v>1</v>
      </c>
      <c r="Y4" s="193">
        <v>1</v>
      </c>
      <c r="AA4" s="223" t="s">
        <v>811</v>
      </c>
      <c r="AB4" s="200" t="str">
        <f t="array" ref="AB4">INDEX(B:B,SMALL(IF($Q$3:$Q$524&lt;&gt;"",ROW($3:$524),525),ROW(B3)))&amp;""</f>
        <v>冻寒之触</v>
      </c>
      <c r="AC4" s="225" t="str">
        <f>IFERROR(IF(AND($Q5&lt;&gt;"",IF(法术查询!$J$4="",1,INDEX($R5:$Z5,1,VLOOKUP(法术查询!$J$4,$AF$2:$AG$10,2,0)))&lt;&gt;"",IF(法术查询!$J$5="",1,$P5=VLOOKUP(法术查询!$J$5,$AH$2:$AI$11,2,0)),IF(法术查询!$J$6="",1,IF(法术查询!$J$6=$E5,1,0)),IF(法术查询!$J$7="",1,SEARCH(法术查询!$J$7,$F5)),IF(法术查询!$J$8="",1,SEARCH(法术查询!$J$8,G5)),IF(法术查询!$J$9="",1,SEARCH(法术查询!$J$9,N5)),IF(法术查询!$J$10="",1,IF(法术查询!$J$10=$AF$11,IF($M5=1,1,0),IF($M5="",1,0))),IF(法术查询!$J$11="",1,IF(法术查询!$J$11=$AF$11,IF($D5=1,1,0),IF($D5="",1,0))),IF(法术查询!$J$12="",1,SEARCH(法术查询!$J$12,$B5&amp;$C5&amp;$O5)),IF(法术查询!$J$13="",1,SEARCH(法术查询!$J$13,$B5&amp;$C5&amp;$O5)),IF(法术查询!$J$14="",1,SEARCH(法术查询!$J$14,$B5&amp;$C5&amp;$O5)),IF(法术查询!$J$16="",1,IF(法术查询!$J$16=$AF$11,IF($H5=1,1,0),IF($H5="",1,0))),IF(法术查询!$J$17="",1,IF(法术查询!$J$17=$AF$11,IF($I5=1,1,0),IF($I5="",1,0))),IF(法术查询!$J$18="",1,IF(法术查询!$J$18=$AF$11,IF($J5&lt;&gt;"",1,0),IF($J5="",1,0))),IF(法术查询!$J$19="",1,IF(法术查询!$J$19=$AF$11,IF($L5&lt;&gt;"",1,0),IF($L5="",1,0)))),$B5,""),"")</f>
        <v/>
      </c>
      <c r="AD4" s="192" t="str">
        <f t="array" ref="AD4">INDEX(AC:AC,SMALL(IF($AC$2:$AC$523&lt;&gt;"",ROW($2:$523),524),ROW(AC3)))&amp;""</f>
        <v>秘法锁</v>
      </c>
      <c r="AE4" s="200" t="str">
        <f t="shared" si="3"/>
        <v>Arcane Lock</v>
      </c>
      <c r="AF4" s="224" t="s">
        <v>1600</v>
      </c>
      <c r="AG4" s="193">
        <v>3</v>
      </c>
      <c r="AH4" s="222" t="s">
        <v>6654</v>
      </c>
      <c r="AI4" s="200">
        <v>2</v>
      </c>
      <c r="AJ4" s="192">
        <v>3</v>
      </c>
      <c r="AK4" s="193" t="str">
        <f>IF(法术书!V10="","",法术书!V10)</f>
        <v/>
      </c>
      <c r="AL4" s="224" t="str">
        <f t="array" ref="AL4">IFERROR(INDEX(AK$1:AK$301,SMALL(IF(MATCH(AK4,AK$1:AK$301,0)=ROW(AK4),ROW(AK$1:AK$301),999),ROW(AK4))),"")</f>
        <v/>
      </c>
      <c r="AM4" s="223" t="str">
        <f t="array" ref="AM4">INDEX(AL:AL,SMALL(IF($AL$2:$AL$301&lt;&gt;"",ROW($2:$301),302),ROW(AL3)))&amp;""</f>
        <v/>
      </c>
      <c r="AN4" s="192" t="str">
        <f>IF(主要!C68="","",主要!C68)</f>
        <v/>
      </c>
      <c r="AO4" s="193" t="str">
        <f t="shared" si="4"/>
        <v/>
      </c>
      <c r="AP4" s="193" t="str">
        <f t="shared" si="0"/>
        <v/>
      </c>
      <c r="AQ4" s="193" t="e">
        <f t="shared" si="1"/>
        <v>#N/A</v>
      </c>
      <c r="AR4" s="193" t="e">
        <f t="shared" si="2"/>
        <v>#N/A</v>
      </c>
      <c r="AS4" s="193" t="str">
        <f t="array" ref="AS4">IFERROR(INDEX(AN$1:AN$46,SMALL(IF(MATCH(AN4,AN$1:AN$46,0)=ROW(AN4),ROW(AN$1:AN$46),999),ROW(AN4))),"")</f>
        <v/>
      </c>
      <c r="AT4" s="200" t="str">
        <f t="array" ref="AT4">INDEX(AS:AS,SMALL(IF($AS$2:$AS$46&lt;&gt;"",ROW($2:$46),47),ROW(AS3)))&amp;""</f>
        <v/>
      </c>
      <c r="AU4" s="222" t="s">
        <v>1683</v>
      </c>
      <c r="AV4" s="200">
        <f>MAX(主要!R19+ROUNDDOWN(职业数据!AG8/2,),1)</f>
        <v>1</v>
      </c>
    </row>
    <row r="5" customHeight="1" spans="1:48">
      <c r="A5" s="192">
        <v>3</v>
      </c>
      <c r="B5" s="224" t="s">
        <v>6655</v>
      </c>
      <c r="C5" s="224" t="s">
        <v>6656</v>
      </c>
      <c r="D5" s="224"/>
      <c r="E5" s="228" t="s">
        <v>6657</v>
      </c>
      <c r="F5" s="224" t="s">
        <v>6642</v>
      </c>
      <c r="G5" s="193" t="s">
        <v>6658</v>
      </c>
      <c r="H5" s="193">
        <v>1</v>
      </c>
      <c r="I5" s="193">
        <v>1</v>
      </c>
      <c r="N5" s="193" t="s">
        <v>6652</v>
      </c>
      <c r="O5" s="224" t="s">
        <v>6659</v>
      </c>
      <c r="P5" s="224">
        <v>0</v>
      </c>
      <c r="Q5" s="224" t="s">
        <v>249</v>
      </c>
      <c r="W5" s="193">
        <v>1</v>
      </c>
      <c r="X5" s="193">
        <v>1</v>
      </c>
      <c r="Y5" s="193">
        <v>1</v>
      </c>
      <c r="AA5" s="223" t="s">
        <v>6660</v>
      </c>
      <c r="AB5" s="200" t="str">
        <f t="array" ref="AB5">INDEX(B:B,SMALL(IF($Q$3:$Q$524&lt;&gt;"",ROW($3:$524),525),ROW(B4)))&amp;""</f>
        <v>舞光术</v>
      </c>
      <c r="AC5" s="225" t="str">
        <f>IFERROR(IF(AND($Q6&lt;&gt;"",IF(法术查询!$J$4="",1,INDEX($R6:$Z6,1,VLOOKUP(法术查询!$J$4,$AF$2:$AG$10,2,0)))&lt;&gt;"",IF(法术查询!$J$5="",1,$P6=VLOOKUP(法术查询!$J$5,$AH$2:$AI$11,2,0)),IF(法术查询!$J$6="",1,IF(法术查询!$J$6=$E6,1,0)),IF(法术查询!$J$7="",1,SEARCH(法术查询!$J$7,$F6)),IF(法术查询!$J$8="",1,SEARCH(法术查询!$J$8,G6)),IF(法术查询!$J$9="",1,SEARCH(法术查询!$J$9,N6)),IF(法术查询!$J$10="",1,IF(法术查询!$J$10=$AF$11,IF($M6=1,1,0),IF($M6="",1,0))),IF(法术查询!$J$11="",1,IF(法术查询!$J$11=$AF$11,IF($D6=1,1,0),IF($D6="",1,0))),IF(法术查询!$J$12="",1,SEARCH(法术查询!$J$12,$B6&amp;$C6&amp;$O6)),IF(法术查询!$J$13="",1,SEARCH(法术查询!$J$13,$B6&amp;$C6&amp;$O6)),IF(法术查询!$J$14="",1,SEARCH(法术查询!$J$14,$B6&amp;$C6&amp;$O6)),IF(法术查询!$J$16="",1,IF(法术查询!$J$16=$AF$11,IF($H6=1,1,0),IF($H6="",1,0))),IF(法术查询!$J$17="",1,IF(法术查询!$J$17=$AF$11,IF($I6=1,1,0),IF($I6="",1,0))),IF(法术查询!$J$18="",1,IF(法术查询!$J$18=$AF$11,IF($J6&lt;&gt;"",1,0),IF($J6="",1,0))),IF(法术查询!$J$19="",1,IF(法术查询!$J$19=$AF$11,IF($L6&lt;&gt;"",1,0),IF($L6="",1,0)))),$B6,""),"")</f>
        <v/>
      </c>
      <c r="AD5" s="192" t="str">
        <f t="array" ref="AD5">INDEX(AC:AC,SMALL(IF($AC$2:$AC$523&lt;&gt;"",ROW($2:$523),524),ROW(AC4)))&amp;""</f>
        <v>朦胧术</v>
      </c>
      <c r="AE5" s="200" t="str">
        <f t="shared" si="3"/>
        <v>Blur</v>
      </c>
      <c r="AF5" s="224" t="s">
        <v>1683</v>
      </c>
      <c r="AG5" s="193">
        <v>4</v>
      </c>
      <c r="AH5" s="222" t="s">
        <v>6661</v>
      </c>
      <c r="AI5" s="200">
        <v>3</v>
      </c>
      <c r="AJ5" s="192">
        <v>4</v>
      </c>
      <c r="AK5" s="193" t="str">
        <f>IF(法术书!V11="","",法术书!V11)</f>
        <v/>
      </c>
      <c r="AL5" s="224" t="str">
        <f t="array" ref="AL5">IFERROR(INDEX(AK$1:AK$301,SMALL(IF(MATCH(AK5,AK$1:AK$301,0)=ROW(AK5),ROW(AK$1:AK$301),999),ROW(AK5))),"")</f>
        <v/>
      </c>
      <c r="AM5" s="223" t="str">
        <f t="array" ref="AM5">INDEX(AL:AL,SMALL(IF($AL$2:$AL$301&lt;&gt;"",ROW($2:$301),302),ROW(AL4)))&amp;""</f>
        <v/>
      </c>
      <c r="AN5" s="192" t="str">
        <f>IF(主要!C69="","",主要!C69)</f>
        <v/>
      </c>
      <c r="AO5" s="193" t="str">
        <f t="shared" si="4"/>
        <v/>
      </c>
      <c r="AP5" s="193" t="str">
        <f t="shared" si="0"/>
        <v/>
      </c>
      <c r="AQ5" s="193" t="e">
        <f t="shared" si="1"/>
        <v>#N/A</v>
      </c>
      <c r="AR5" s="193" t="e">
        <f t="shared" si="2"/>
        <v>#N/A</v>
      </c>
      <c r="AS5" s="193" t="str">
        <f t="array" ref="AS5">IFERROR(INDEX(AN$1:AN$46,SMALL(IF(MATCH(AN5,AN$1:AN$46,0)=ROW(AN5),ROW(AN$1:AN$46),999),ROW(AN5))),"")</f>
        <v/>
      </c>
      <c r="AT5" s="200" t="str">
        <f t="array" ref="AT5">INDEX(AS:AS,SMALL(IF($AS$2:$AS$46&lt;&gt;"",ROW($2:$46),47),ROW(AS4)))&amp;""</f>
        <v/>
      </c>
      <c r="AU5" s="222" t="s">
        <v>1725</v>
      </c>
      <c r="AV5" s="200">
        <f>MAX(主要!R17+职业数据!AG13,1)</f>
        <v>1</v>
      </c>
    </row>
    <row r="6" customHeight="1" spans="1:48">
      <c r="A6" s="192">
        <v>4</v>
      </c>
      <c r="B6" s="224" t="s">
        <v>6662</v>
      </c>
      <c r="C6" s="224" t="s">
        <v>6663</v>
      </c>
      <c r="D6" s="224"/>
      <c r="E6" s="229" t="s">
        <v>6664</v>
      </c>
      <c r="F6" s="193" t="s">
        <v>6642</v>
      </c>
      <c r="G6" s="193" t="s">
        <v>6658</v>
      </c>
      <c r="H6" s="193">
        <v>1</v>
      </c>
      <c r="I6" s="193">
        <v>1</v>
      </c>
      <c r="J6" s="193">
        <v>1</v>
      </c>
      <c r="K6" s="224" t="s">
        <v>6665</v>
      </c>
      <c r="L6" s="224"/>
      <c r="M6" s="193">
        <v>1</v>
      </c>
      <c r="N6" s="193" t="s">
        <v>6666</v>
      </c>
      <c r="O6" s="224" t="s">
        <v>6667</v>
      </c>
      <c r="P6" s="224">
        <v>0</v>
      </c>
      <c r="Q6" s="224" t="s">
        <v>249</v>
      </c>
      <c r="R6" s="193">
        <v>1</v>
      </c>
      <c r="W6" s="193">
        <v>1</v>
      </c>
      <c r="X6" s="193">
        <v>1</v>
      </c>
      <c r="Z6" s="193">
        <v>9</v>
      </c>
      <c r="AA6" s="223" t="s">
        <v>6668</v>
      </c>
      <c r="AB6" s="200" t="str">
        <f t="array" ref="AB6">INDEX(B:B,SMALL(IF($Q$3:$Q$524&lt;&gt;"",ROW($3:$524),525),ROW(B5)))&amp;""</f>
        <v>德鲁伊伎俩</v>
      </c>
      <c r="AC6" s="225" t="str">
        <f>IFERROR(IF(AND($Q7&lt;&gt;"",IF(法术查询!$J$4="",1,INDEX($R7:$Z7,1,VLOOKUP(法术查询!$J$4,$AF$2:$AG$10,2,0)))&lt;&gt;"",IF(法术查询!$J$5="",1,$P7=VLOOKUP(法术查询!$J$5,$AH$2:$AI$11,2,0)),IF(法术查询!$J$6="",1,IF(法术查询!$J$6=$E7,1,0)),IF(法术查询!$J$7="",1,SEARCH(法术查询!$J$7,$F7)),IF(法术查询!$J$8="",1,SEARCH(法术查询!$J$8,G7)),IF(法术查询!$J$9="",1,SEARCH(法术查询!$J$9,N7)),IF(法术查询!$J$10="",1,IF(法术查询!$J$10=$AF$11,IF($M7=1,1,0),IF($M7="",1,0))),IF(法术查询!$J$11="",1,IF(法术查询!$J$11=$AF$11,IF($D7=1,1,0),IF($D7="",1,0))),IF(法术查询!$J$12="",1,SEARCH(法术查询!$J$12,$B7&amp;$C7&amp;$O7)),IF(法术查询!$J$13="",1,SEARCH(法术查询!$J$13,$B7&amp;$C7&amp;$O7)),IF(法术查询!$J$14="",1,SEARCH(法术查询!$J$14,$B7&amp;$C7&amp;$O7)),IF(法术查询!$J$16="",1,IF(法术查询!$J$16=$AF$11,IF($H7=1,1,0),IF($H7="",1,0))),IF(法术查询!$J$17="",1,IF(法术查询!$J$17=$AF$11,IF($I7=1,1,0),IF($I7="",1,0))),IF(法术查询!$J$18="",1,IF(法术查询!$J$18=$AF$11,IF($J7&lt;&gt;"",1,0),IF($J7="",1,0))),IF(法术查询!$J$19="",1,IF(法术查询!$J$19=$AF$11,IF($L7&lt;&gt;"",1,0),IF($L7="",1,0)))),$B7,""),"")</f>
        <v/>
      </c>
      <c r="AD6" s="192" t="str">
        <f t="array" ref="AD6">INDEX(AC:AC,SMALL(IF($AC$2:$AC$523&lt;&gt;"",ROW($2:$523),524),ROW(AC5)))&amp;""</f>
        <v>不灭明焰</v>
      </c>
      <c r="AE6" s="200" t="str">
        <f t="shared" si="3"/>
        <v>Continual Flame</v>
      </c>
      <c r="AF6" s="224" t="s">
        <v>1692</v>
      </c>
      <c r="AG6" s="193">
        <v>5</v>
      </c>
      <c r="AH6" s="222" t="s">
        <v>6669</v>
      </c>
      <c r="AI6" s="200">
        <v>4</v>
      </c>
      <c r="AJ6" s="192">
        <v>5</v>
      </c>
      <c r="AK6" s="193" t="str">
        <f>IF(法术书!V12="","",法术书!V12)</f>
        <v/>
      </c>
      <c r="AL6" s="224" t="str">
        <f t="array" ref="AL6">IFERROR(INDEX(AK$1:AK$301,SMALL(IF(MATCH(AK6,AK$1:AK$301,0)=ROW(AK6),ROW(AK$1:AK$301),999),ROW(AK6))),"")</f>
        <v/>
      </c>
      <c r="AM6" s="223" t="str">
        <f t="array" ref="AM6">INDEX(AL:AL,SMALL(IF($AL$2:$AL$301&lt;&gt;"",ROW($2:$301),302),ROW(AL5)))&amp;""</f>
        <v/>
      </c>
      <c r="AN6" s="192" t="str">
        <f>IF(主要!C70="","",主要!C70)</f>
        <v/>
      </c>
      <c r="AO6" s="193" t="str">
        <f t="shared" si="4"/>
        <v/>
      </c>
      <c r="AP6" s="193" t="str">
        <f t="shared" si="0"/>
        <v/>
      </c>
      <c r="AQ6" s="193" t="e">
        <f t="shared" si="1"/>
        <v>#N/A</v>
      </c>
      <c r="AR6" s="193" t="e">
        <f t="shared" si="2"/>
        <v>#N/A</v>
      </c>
      <c r="AS6" s="193" t="str">
        <f t="array" ref="AS6">IFERROR(INDEX(AN$1:AN$46,SMALL(IF(MATCH(AN6,AN$1:AN$46,0)=ROW(AN6),ROW(AN$1:AN$46),999),ROW(AN6))),"")</f>
        <v/>
      </c>
      <c r="AT6" s="200" t="str">
        <f t="array" ref="AT6">INDEX(AS:AS,SMALL(IF($AS$2:$AS$46&lt;&gt;"",ROW($2:$46),47),ROW(AS5)))&amp;""</f>
        <v/>
      </c>
      <c r="AU6" s="230" t="s">
        <v>39</v>
      </c>
      <c r="AV6" s="205">
        <f>MAX(主要!R17+ROUNDDOWN(职业数据!AG14/2,),1)</f>
        <v>1</v>
      </c>
    </row>
    <row r="7" customHeight="1" spans="1:48">
      <c r="A7" s="192">
        <v>5</v>
      </c>
      <c r="B7" s="224" t="s">
        <v>6670</v>
      </c>
      <c r="C7" s="224" t="s">
        <v>6671</v>
      </c>
      <c r="D7" s="224"/>
      <c r="E7" s="231" t="s">
        <v>6672</v>
      </c>
      <c r="F7" s="193" t="s">
        <v>6642</v>
      </c>
      <c r="G7" s="193" t="s">
        <v>6673</v>
      </c>
      <c r="H7" s="193">
        <v>1</v>
      </c>
      <c r="I7" s="193">
        <v>1</v>
      </c>
      <c r="N7" s="193" t="s">
        <v>6644</v>
      </c>
      <c r="O7" s="224" t="s">
        <v>6674</v>
      </c>
      <c r="P7" s="224">
        <v>0</v>
      </c>
      <c r="Q7" s="224" t="s">
        <v>249</v>
      </c>
      <c r="T7" s="193">
        <v>1</v>
      </c>
      <c r="AA7" s="223" t="s">
        <v>6675</v>
      </c>
      <c r="AB7" s="200" t="str">
        <f t="array" ref="AB7">INDEX(B:B,SMALL(IF($Q$3:$Q$524&lt;&gt;"",ROW($3:$524),525),ROW(B6)))&amp;""</f>
        <v>魔能爆</v>
      </c>
      <c r="AC7" s="225" t="str">
        <f>IFERROR(IF(AND($Q8&lt;&gt;"",IF(法术查询!$J$4="",1,INDEX($R8:$Z8,1,VLOOKUP(法术查询!$J$4,$AF$2:$AG$10,2,0)))&lt;&gt;"",IF(法术查询!$J$5="",1,$P8=VLOOKUP(法术查询!$J$5,$AH$2:$AI$11,2,0)),IF(法术查询!$J$6="",1,IF(法术查询!$J$6=$E8,1,0)),IF(法术查询!$J$7="",1,SEARCH(法术查询!$J$7,$F8)),IF(法术查询!$J$8="",1,SEARCH(法术查询!$J$8,G8)),IF(法术查询!$J$9="",1,SEARCH(法术查询!$J$9,N8)),IF(法术查询!$J$10="",1,IF(法术查询!$J$10=$AF$11,IF($M8=1,1,0),IF($M8="",1,0))),IF(法术查询!$J$11="",1,IF(法术查询!$J$11=$AF$11,IF($D8=1,1,0),IF($D8="",1,0))),IF(法术查询!$J$12="",1,SEARCH(法术查询!$J$12,$B8&amp;$C8&amp;$O8)),IF(法术查询!$J$13="",1,SEARCH(法术查询!$J$13,$B8&amp;$C8&amp;$O8)),IF(法术查询!$J$14="",1,SEARCH(法术查询!$J$14,$B8&amp;$C8&amp;$O8)),IF(法术查询!$J$16="",1,IF(法术查询!$J$16=$AF$11,IF($H8=1,1,0),IF($H8="",1,0))),IF(法术查询!$J$17="",1,IF(法术查询!$J$17=$AF$11,IF($I8=1,1,0),IF($I8="",1,0))),IF(法术查询!$J$18="",1,IF(法术查询!$J$18=$AF$11,IF($J8&lt;&gt;"",1,0),IF($J8="",1,0))),IF(法术查询!$J$19="",1,IF(法术查询!$J$19=$AF$11,IF($L8&lt;&gt;"",1,0),IF($L8="",1,0)))),$B8,""),"")</f>
        <v/>
      </c>
      <c r="AD7" s="192" t="str">
        <f t="array" ref="AD7">INDEX(AC:AC,SMALL(IF($AC$2:$AC$523&lt;&gt;"",ROW($2:$523),524),ROW(AC6)))&amp;""</f>
        <v>黑暗视觉</v>
      </c>
      <c r="AE7" s="200" t="str">
        <f t="shared" si="3"/>
        <v>Darkvision</v>
      </c>
      <c r="AF7" s="224" t="s">
        <v>1711</v>
      </c>
      <c r="AG7" s="193">
        <v>6</v>
      </c>
      <c r="AH7" s="222" t="s">
        <v>6676</v>
      </c>
      <c r="AI7" s="200">
        <v>5</v>
      </c>
      <c r="AJ7" s="192">
        <v>6</v>
      </c>
      <c r="AK7" s="193" t="str">
        <f>IF(法术书!V13="","",法术书!V13)</f>
        <v/>
      </c>
      <c r="AL7" s="224" t="str">
        <f t="array" ref="AL7">IFERROR(INDEX(AK$1:AK$301,SMALL(IF(MATCH(AK7,AK$1:AK$301,0)=ROW(AK7),ROW(AK$1:AK$301),999),ROW(AK7))),"")</f>
        <v/>
      </c>
      <c r="AM7" s="223" t="str">
        <f t="array" ref="AM7">INDEX(AL:AL,SMALL(IF($AL$2:$AL$301&lt;&gt;"",ROW($2:$301),302),ROW(AL6)))&amp;""</f>
        <v/>
      </c>
      <c r="AN7" s="192" t="str">
        <f>IF(主要!C71="","",主要!C71)</f>
        <v/>
      </c>
      <c r="AO7" s="193" t="str">
        <f t="shared" si="4"/>
        <v/>
      </c>
      <c r="AP7" s="193" t="str">
        <f t="shared" si="0"/>
        <v/>
      </c>
      <c r="AQ7" s="193" t="e">
        <f t="shared" si="1"/>
        <v>#N/A</v>
      </c>
      <c r="AR7" s="193" t="e">
        <f t="shared" si="2"/>
        <v>#N/A</v>
      </c>
      <c r="AS7" s="193" t="str">
        <f t="array" ref="AS7">IFERROR(INDEX(AN$1:AN$46,SMALL(IF(MATCH(AN7,AN$1:AN$46,0)=ROW(AN7),ROW(AN$1:AN$46),999),ROW(AN7))),"")</f>
        <v/>
      </c>
      <c r="AT7" s="200" t="str">
        <f t="array" ref="AT7">INDEX(AS:AS,SMALL(IF($AS$2:$AS$46&lt;&gt;"",ROW($2:$46),47),ROW(AS6)))&amp;""</f>
        <v/>
      </c>
      <c r="AU7" s="221" t="s">
        <v>61</v>
      </c>
      <c r="AV7" s="221" t="s">
        <v>284</v>
      </c>
    </row>
    <row r="8" customHeight="1" spans="1:48">
      <c r="A8" s="192">
        <v>6</v>
      </c>
      <c r="B8" s="224" t="s">
        <v>6677</v>
      </c>
      <c r="C8" s="224" t="s">
        <v>6678</v>
      </c>
      <c r="D8" s="224"/>
      <c r="E8" s="229" t="s">
        <v>6664</v>
      </c>
      <c r="F8" s="193" t="s">
        <v>6642</v>
      </c>
      <c r="G8" s="193" t="s">
        <v>6658</v>
      </c>
      <c r="H8" s="193">
        <v>1</v>
      </c>
      <c r="I8" s="193">
        <v>1</v>
      </c>
      <c r="N8" s="193" t="s">
        <v>6644</v>
      </c>
      <c r="O8" s="224" t="s">
        <v>6679</v>
      </c>
      <c r="P8" s="224">
        <v>0</v>
      </c>
      <c r="Q8" s="224" t="s">
        <v>249</v>
      </c>
      <c r="Y8" s="193">
        <v>1</v>
      </c>
      <c r="AA8" s="200"/>
      <c r="AB8" s="200" t="str">
        <f t="array" ref="AB8">INDEX(B:B,SMALL(IF($Q$3:$Q$524&lt;&gt;"",ROW($3:$524),525),ROW(B7)))&amp;""</f>
        <v>火焰箭</v>
      </c>
      <c r="AC8" s="225" t="str">
        <f>IFERROR(IF(AND($Q9&lt;&gt;"",IF(法术查询!$J$4="",1,INDEX($R9:$Z9,1,VLOOKUP(法术查询!$J$4,$AF$2:$AG$10,2,0)))&lt;&gt;"",IF(法术查询!$J$5="",1,$P9=VLOOKUP(法术查询!$J$5,$AH$2:$AI$11,2,0)),IF(法术查询!$J$6="",1,IF(法术查询!$J$6=$E9,1,0)),IF(法术查询!$J$7="",1,SEARCH(法术查询!$J$7,$F9)),IF(法术查询!$J$8="",1,SEARCH(法术查询!$J$8,G9)),IF(法术查询!$J$9="",1,SEARCH(法术查询!$J$9,N9)),IF(法术查询!$J$10="",1,IF(法术查询!$J$10=$AF$11,IF($M9=1,1,0),IF($M9="",1,0))),IF(法术查询!$J$11="",1,IF(法术查询!$J$11=$AF$11,IF($D9=1,1,0),IF($D9="",1,0))),IF(法术查询!$J$12="",1,SEARCH(法术查询!$J$12,$B9&amp;$C9&amp;$O9)),IF(法术查询!$J$13="",1,SEARCH(法术查询!$J$13,$B9&amp;$C9&amp;$O9)),IF(法术查询!$J$14="",1,SEARCH(法术查询!$J$14,$B9&amp;$C9&amp;$O9)),IF(法术查询!$J$16="",1,IF(法术查询!$J$16=$AF$11,IF($H9=1,1,0),IF($H9="",1,0))),IF(法术查询!$J$17="",1,IF(法术查询!$J$17=$AF$11,IF($I9=1,1,0),IF($I9="",1,0))),IF(法术查询!$J$18="",1,IF(法术查询!$J$18=$AF$11,IF($J9&lt;&gt;"",1,0),IF($J9="",1,0))),IF(法术查询!$J$19="",1,IF(法术查询!$J$19=$AF$11,IF($L9&lt;&gt;"",1,0),IF($L9="",1,0)))),$B9,""),"")</f>
        <v/>
      </c>
      <c r="AD8" s="192" t="str">
        <f t="array" ref="AD8">INDEX(AC:AC,SMALL(IF($AC$2:$AC$523&lt;&gt;"",ROW($2:$523),524),ROW(AC7)))&amp;""</f>
        <v>强化属性</v>
      </c>
      <c r="AE8" s="200" t="str">
        <f t="shared" si="3"/>
        <v>Enhance Ability</v>
      </c>
      <c r="AF8" s="224" t="s">
        <v>1725</v>
      </c>
      <c r="AG8" s="193">
        <v>7</v>
      </c>
      <c r="AH8" s="222" t="s">
        <v>6680</v>
      </c>
      <c r="AI8" s="200">
        <v>6</v>
      </c>
      <c r="AJ8" s="192">
        <v>7</v>
      </c>
      <c r="AK8" s="193" t="str">
        <f>IF(法术书!V14="","",法术书!V14)</f>
        <v/>
      </c>
      <c r="AL8" s="224" t="str">
        <f t="array" ref="AL8">IFERROR(INDEX(AK$1:AK$301,SMALL(IF(MATCH(AK8,AK$1:AK$301,0)=ROW(AK8),ROW(AK$1:AK$301),999),ROW(AK8))),"")</f>
        <v/>
      </c>
      <c r="AM8" s="223" t="str">
        <f t="array" ref="AM8">INDEX(AL:AL,SMALL(IF($AL$2:$AL$301&lt;&gt;"",ROW($2:$301),302),ROW(AL7)))&amp;""</f>
        <v/>
      </c>
      <c r="AN8" s="192" t="str">
        <f>IF(主要!C72="","",主要!C72)</f>
        <v/>
      </c>
      <c r="AO8" s="193" t="str">
        <f t="shared" si="4"/>
        <v/>
      </c>
      <c r="AP8" s="193" t="str">
        <f t="shared" si="0"/>
        <v/>
      </c>
      <c r="AQ8" s="193" t="e">
        <f t="shared" si="1"/>
        <v>#N/A</v>
      </c>
      <c r="AR8" s="193" t="e">
        <f t="shared" si="2"/>
        <v>#N/A</v>
      </c>
      <c r="AS8" s="193" t="str">
        <f t="array" ref="AS8">IFERROR(INDEX(AN$1:AN$46,SMALL(IF(MATCH(AN8,AN$1:AN$46,0)=ROW(AN8),ROW(AN$1:AN$46),999),ROW(AN8))),"")</f>
        <v/>
      </c>
      <c r="AT8" s="200" t="str">
        <f t="array" ref="AT8">INDEX(AS:AS,SMALL(IF($AS$2:$AS$46&lt;&gt;"",ROW($2:$46),47),ROW(AS7)))&amp;""</f>
        <v/>
      </c>
      <c r="AU8" s="225" t="e">
        <f>VLOOKUP(主要!AD49,主要!$C$14:$S$19,16,0)+主要!$U$9</f>
        <v>#N/A</v>
      </c>
      <c r="AV8" s="232" t="str">
        <f>IF(COUNTIF(法术数据!$AK$102:$AK$201,"")=100,"","法术书2")</f>
        <v/>
      </c>
    </row>
    <row r="9" customHeight="1" spans="1:48">
      <c r="A9" s="192">
        <v>7</v>
      </c>
      <c r="B9" s="224" t="s">
        <v>6681</v>
      </c>
      <c r="C9" s="224" t="s">
        <v>6682</v>
      </c>
      <c r="D9" s="224"/>
      <c r="E9" s="229" t="s">
        <v>6664</v>
      </c>
      <c r="F9" s="193" t="s">
        <v>6642</v>
      </c>
      <c r="G9" s="193" t="s">
        <v>6658</v>
      </c>
      <c r="H9" s="193">
        <v>1</v>
      </c>
      <c r="I9" s="193">
        <v>1</v>
      </c>
      <c r="N9" s="193" t="s">
        <v>6644</v>
      </c>
      <c r="O9" s="224" t="s">
        <v>6683</v>
      </c>
      <c r="P9" s="224">
        <v>0</v>
      </c>
      <c r="Q9" s="224" t="s">
        <v>249</v>
      </c>
      <c r="W9" s="193">
        <v>1</v>
      </c>
      <c r="X9" s="193">
        <v>1</v>
      </c>
      <c r="Z9" s="193">
        <v>9</v>
      </c>
      <c r="AA9" s="223" t="s">
        <v>6684</v>
      </c>
      <c r="AB9" s="200" t="str">
        <f t="array" ref="AB9">INDEX(B:B,SMALL(IF($Q$3:$Q$524&lt;&gt;"",ROW($3:$524),525),ROW(B8)))&amp;""</f>
        <v>交友术</v>
      </c>
      <c r="AC9" s="225" t="str">
        <f>IFERROR(IF(AND($Q10&lt;&gt;"",IF(法术查询!$J$4="",1,INDEX($R10:$Z10,1,VLOOKUP(法术查询!$J$4,$AF$2:$AG$10,2,0)))&lt;&gt;"",IF(法术查询!$J$5="",1,$P10=VLOOKUP(法术查询!$J$5,$AH$2:$AI$11,2,0)),IF(法术查询!$J$6="",1,IF(法术查询!$J$6=$E10,1,0)),IF(法术查询!$J$7="",1,SEARCH(法术查询!$J$7,$F10)),IF(法术查询!$J$8="",1,SEARCH(法术查询!$J$8,G10)),IF(法术查询!$J$9="",1,SEARCH(法术查询!$J$9,N10)),IF(法术查询!$J$10="",1,IF(法术查询!$J$10=$AF$11,IF($M10=1,1,0),IF($M10="",1,0))),IF(法术查询!$J$11="",1,IF(法术查询!$J$11=$AF$11,IF($D10=1,1,0),IF($D10="",1,0))),IF(法术查询!$J$12="",1,SEARCH(法术查询!$J$12,$B10&amp;$C10&amp;$O10)),IF(法术查询!$J$13="",1,SEARCH(法术查询!$J$13,$B10&amp;$C10&amp;$O10)),IF(法术查询!$J$14="",1,SEARCH(法术查询!$J$14,$B10&amp;$C10&amp;$O10)),IF(法术查询!$J$16="",1,IF(法术查询!$J$16=$AF$11,IF($H10=1,1,0),IF($H10="",1,0))),IF(法术查询!$J$17="",1,IF(法术查询!$J$17=$AF$11,IF($I10=1,1,0),IF($I10="",1,0))),IF(法术查询!$J$18="",1,IF(法术查询!$J$18=$AF$11,IF($J10&lt;&gt;"",1,0),IF($J10="",1,0))),IF(法术查询!$J$19="",1,IF(法术查询!$J$19=$AF$11,IF($L10&lt;&gt;"",1,0),IF($L10="",1,0)))),$B10,""),"")</f>
        <v/>
      </c>
      <c r="AD9" s="192" t="str">
        <f t="array" ref="AD9">INDEX(AC:AC,SMALL(IF($AC$2:$AC$523&lt;&gt;"",ROW($2:$523),524),ROW(AC8)))&amp;""</f>
        <v>变巨/缩小术</v>
      </c>
      <c r="AE9" s="200" t="str">
        <f t="shared" si="3"/>
        <v>Enlarge/Reduce</v>
      </c>
      <c r="AF9" s="224" t="s">
        <v>1720</v>
      </c>
      <c r="AG9" s="193">
        <v>8</v>
      </c>
      <c r="AH9" s="222" t="s">
        <v>6685</v>
      </c>
      <c r="AI9" s="200">
        <v>7</v>
      </c>
      <c r="AJ9" s="192">
        <v>8</v>
      </c>
      <c r="AK9" s="193" t="str">
        <f>IF(法术书!V15="","",法术书!V15)</f>
        <v/>
      </c>
      <c r="AL9" s="224" t="str">
        <f t="array" ref="AL9">IFERROR(INDEX(AK$1:AK$301,SMALL(IF(MATCH(AK9,AK$1:AK$301,0)=ROW(AK9),ROW(AK$1:AK$301),999),ROW(AK9))),"")</f>
        <v/>
      </c>
      <c r="AM9" s="223" t="str">
        <f t="array" ref="AM9">INDEX(AL:AL,SMALL(IF($AL$2:$AL$301&lt;&gt;"",ROW($2:$301),302),ROW(AL8)))&amp;""</f>
        <v/>
      </c>
      <c r="AN9" s="192" t="str">
        <f>IF(主要!C73="","",主要!C73)</f>
        <v/>
      </c>
      <c r="AO9" s="193" t="str">
        <f t="shared" si="4"/>
        <v/>
      </c>
      <c r="AP9" s="193" t="str">
        <f t="shared" si="0"/>
        <v/>
      </c>
      <c r="AQ9" s="193" t="e">
        <f t="shared" si="1"/>
        <v>#N/A</v>
      </c>
      <c r="AR9" s="193" t="e">
        <f t="shared" si="2"/>
        <v>#N/A</v>
      </c>
      <c r="AS9" s="193" t="str">
        <f t="array" ref="AS9">IFERROR(INDEX(AN$1:AN$46,SMALL(IF(MATCH(AN9,AN$1:AN$46,0)=ROW(AN9),ROW(AN$1:AN$46),999),ROW(AN9))),"")</f>
        <v/>
      </c>
      <c r="AT9" s="200" t="str">
        <f t="array" ref="AT9">INDEX(AS:AS,SMALL(IF($AS$2:$AS$46&lt;&gt;"",ROW($2:$46),47),ROW(AS8)))&amp;""</f>
        <v/>
      </c>
      <c r="AU9" s="225" t="e">
        <f>VLOOKUP(主要!AD50,主要!$C$14:$S$19,16,0)+主要!$U$9</f>
        <v>#N/A</v>
      </c>
      <c r="AV9" s="232" t="str">
        <f>IF(COUNTIF(法术数据!$AK$202:$AK$301,"")=100,"","法术书3")</f>
        <v/>
      </c>
    </row>
    <row r="10" customHeight="1" spans="1:48">
      <c r="A10" s="192">
        <v>8</v>
      </c>
      <c r="B10" s="224" t="s">
        <v>6686</v>
      </c>
      <c r="C10" s="224" t="s">
        <v>6687</v>
      </c>
      <c r="D10" s="224"/>
      <c r="E10" s="233" t="s">
        <v>6688</v>
      </c>
      <c r="F10" s="193" t="s">
        <v>6642</v>
      </c>
      <c r="G10" s="193" t="s">
        <v>6651</v>
      </c>
      <c r="I10" s="193">
        <v>1</v>
      </c>
      <c r="J10" s="193">
        <v>1</v>
      </c>
      <c r="K10" s="224" t="s">
        <v>6689</v>
      </c>
      <c r="L10" s="224"/>
      <c r="M10" s="193">
        <v>1</v>
      </c>
      <c r="N10" s="193" t="s">
        <v>6666</v>
      </c>
      <c r="O10" s="224" t="s">
        <v>6690</v>
      </c>
      <c r="P10" s="224">
        <v>0</v>
      </c>
      <c r="Q10" s="224" t="s">
        <v>249</v>
      </c>
      <c r="R10" s="193">
        <v>1</v>
      </c>
      <c r="W10" s="193">
        <v>1</v>
      </c>
      <c r="X10" s="193">
        <v>1</v>
      </c>
      <c r="Y10" s="193">
        <v>1</v>
      </c>
      <c r="AA10" s="223" t="s">
        <v>6691</v>
      </c>
      <c r="AB10" s="200" t="str">
        <f t="array" ref="AB10">INDEX(B:B,SMALL(IF($Q$3:$Q$524&lt;&gt;"",ROW($3:$524),525),ROW(B9)))&amp;""</f>
        <v>神导术</v>
      </c>
      <c r="AC10" s="225" t="str">
        <f>IFERROR(IF(AND($Q11&lt;&gt;"",IF(法术查询!$J$4="",1,INDEX($R11:$Z11,1,VLOOKUP(法术查询!$J$4,$AF$2:$AG$10,2,0)))&lt;&gt;"",IF(法术查询!$J$5="",1,$P11=VLOOKUP(法术查询!$J$5,$AH$2:$AI$11,2,0)),IF(法术查询!$J$6="",1,IF(法术查询!$J$6=$E11,1,0)),IF(法术查询!$J$7="",1,SEARCH(法术查询!$J$7,$F11)),IF(法术查询!$J$8="",1,SEARCH(法术查询!$J$8,G11)),IF(法术查询!$J$9="",1,SEARCH(法术查询!$J$9,N11)),IF(法术查询!$J$10="",1,IF(法术查询!$J$10=$AF$11,IF($M11=1,1,0),IF($M11="",1,0))),IF(法术查询!$J$11="",1,IF(法术查询!$J$11=$AF$11,IF($D11=1,1,0),IF($D11="",1,0))),IF(法术查询!$J$12="",1,SEARCH(法术查询!$J$12,$B11&amp;$C11&amp;$O11)),IF(法术查询!$J$13="",1,SEARCH(法术查询!$J$13,$B11&amp;$C11&amp;$O11)),IF(法术查询!$J$14="",1,SEARCH(法术查询!$J$14,$B11&amp;$C11&amp;$O11)),IF(法术查询!$J$16="",1,IF(法术查询!$J$16=$AF$11,IF($H11=1,1,0),IF($H11="",1,0))),IF(法术查询!$J$17="",1,IF(法术查询!$J$17=$AF$11,IF($I11=1,1,0),IF($I11="",1,0))),IF(法术查询!$J$18="",1,IF(法术查询!$J$18=$AF$11,IF($J11&lt;&gt;"",1,0),IF($J11="",1,0))),IF(法术查询!$J$19="",1,IF(法术查询!$J$19=$AF$11,IF($L11&lt;&gt;"",1,0),IF($L11="",1,0)))),$B11,""),"")</f>
        <v/>
      </c>
      <c r="AD10" s="192" t="str">
        <f t="array" ref="AD10">INDEX(AC:AC,SMALL(IF($AC$2:$AC$523&lt;&gt;"",ROW($2:$523),524),ROW(AC9)))&amp;""</f>
        <v>灼热金属</v>
      </c>
      <c r="AE10" s="200" t="str">
        <f t="shared" si="3"/>
        <v>Heat Metal</v>
      </c>
      <c r="AF10" s="234" t="s">
        <v>39</v>
      </c>
      <c r="AG10" s="235">
        <v>9</v>
      </c>
      <c r="AH10" s="222" t="s">
        <v>6692</v>
      </c>
      <c r="AI10" s="200">
        <v>8</v>
      </c>
      <c r="AJ10" s="192">
        <v>9</v>
      </c>
      <c r="AK10" s="193" t="str">
        <f>IF(法术书!V16="","",法术书!V16)</f>
        <v/>
      </c>
      <c r="AL10" s="224" t="str">
        <f t="array" ref="AL10">IFERROR(INDEX(AK$1:AK$301,SMALL(IF(MATCH(AK10,AK$1:AK$301,0)=ROW(AK10),ROW(AK$1:AK$301),999),ROW(AK10))),"")</f>
        <v/>
      </c>
      <c r="AM10" s="223" t="str">
        <f t="array" ref="AM10">INDEX(AL:AL,SMALL(IF($AL$2:$AL$301&lt;&gt;"",ROW($2:$301),302),ROW(AL9)))&amp;""</f>
        <v/>
      </c>
      <c r="AN10" s="192" t="str">
        <f>IF(主要!C74="","",主要!C74)</f>
        <v/>
      </c>
      <c r="AO10" s="193" t="str">
        <f t="shared" si="4"/>
        <v/>
      </c>
      <c r="AP10" s="193" t="str">
        <f t="shared" si="0"/>
        <v/>
      </c>
      <c r="AQ10" s="193" t="e">
        <f t="shared" si="1"/>
        <v>#N/A</v>
      </c>
      <c r="AR10" s="193" t="e">
        <f t="shared" si="2"/>
        <v>#N/A</v>
      </c>
      <c r="AS10" s="193" t="str">
        <f t="array" ref="AS10">IFERROR(INDEX(AN$1:AN$46,SMALL(IF(MATCH(AN10,AN$1:AN$46,0)=ROW(AN10),ROW(AN$1:AN$46),999),ROW(AN10))),"")</f>
        <v/>
      </c>
      <c r="AT10" s="193" t="str">
        <f t="array" ref="AT10">INDEX(AS:AS,SMALL(IF($AS$2:$AS$46&lt;&gt;"",ROW($2:$46),47),ROW(AS9)))&amp;""</f>
        <v/>
      </c>
      <c r="AU10" s="236" t="s">
        <v>285</v>
      </c>
      <c r="AV10" s="237">
        <v>100</v>
      </c>
    </row>
    <row r="11" customHeight="1" spans="1:48">
      <c r="A11" s="192">
        <v>9</v>
      </c>
      <c r="B11" s="224" t="s">
        <v>6693</v>
      </c>
      <c r="C11" s="224" t="s">
        <v>6694</v>
      </c>
      <c r="D11" s="224"/>
      <c r="E11" s="238" t="s">
        <v>6695</v>
      </c>
      <c r="F11" s="193" t="s">
        <v>6642</v>
      </c>
      <c r="G11" s="193" t="s">
        <v>3760</v>
      </c>
      <c r="H11" s="193">
        <v>1</v>
      </c>
      <c r="I11" s="193">
        <v>1</v>
      </c>
      <c r="M11" s="193">
        <v>1</v>
      </c>
      <c r="N11" s="193" t="s">
        <v>6666</v>
      </c>
      <c r="O11" s="224" t="s">
        <v>6696</v>
      </c>
      <c r="P11" s="224">
        <v>0</v>
      </c>
      <c r="Q11" s="224" t="s">
        <v>249</v>
      </c>
      <c r="S11" s="193">
        <v>1</v>
      </c>
      <c r="T11" s="193">
        <v>1</v>
      </c>
      <c r="Z11" s="193">
        <v>9</v>
      </c>
      <c r="AA11" s="223" t="s">
        <v>6697</v>
      </c>
      <c r="AB11" s="200" t="str">
        <f t="array" ref="AB11">INDEX(B:B,SMALL(IF($Q$3:$Q$524&lt;&gt;"",ROW($3:$524),525),ROW(B10)))&amp;""</f>
        <v>光亮术</v>
      </c>
      <c r="AC11" s="225" t="str">
        <f>IFERROR(IF(AND($Q12&lt;&gt;"",IF(法术查询!$J$4="",1,INDEX($R12:$Z12,1,VLOOKUP(法术查询!$J$4,$AF$2:$AG$10,2,0)))&lt;&gt;"",IF(法术查询!$J$5="",1,$P12=VLOOKUP(法术查询!$J$5,$AH$2:$AI$11,2,0)),IF(法术查询!$J$6="",1,IF(法术查询!$J$6=$E12,1,0)),IF(法术查询!$J$7="",1,SEARCH(法术查询!$J$7,$F12)),IF(法术查询!$J$8="",1,SEARCH(法术查询!$J$8,G12)),IF(法术查询!$J$9="",1,SEARCH(法术查询!$J$9,N12)),IF(法术查询!$J$10="",1,IF(法术查询!$J$10=$AF$11,IF($M12=1,1,0),IF($M12="",1,0))),IF(法术查询!$J$11="",1,IF(法术查询!$J$11=$AF$11,IF($D12=1,1,0),IF($D12="",1,0))),IF(法术查询!$J$12="",1,SEARCH(法术查询!$J$12,$B12&amp;$C12&amp;$O12)),IF(法术查询!$J$13="",1,SEARCH(法术查询!$J$13,$B12&amp;$C12&amp;$O12)),IF(法术查询!$J$14="",1,SEARCH(法术查询!$J$14,$B12&amp;$C12&amp;$O12)),IF(法术查询!$J$16="",1,IF(法术查询!$J$16=$AF$11,IF($H12=1,1,0),IF($H12="",1,0))),IF(法术查询!$J$17="",1,IF(法术查询!$J$17=$AF$11,IF($I12=1,1,0),IF($I12="",1,0))),IF(法术查询!$J$18="",1,IF(法术查询!$J$18=$AF$11,IF($J12&lt;&gt;"",1,0),IF($J12="",1,0))),IF(法术查询!$J$19="",1,IF(法术查询!$J$19=$AF$11,IF($L12&lt;&gt;"",1,0),IF($L12="",1,0)))),$B12,""),"")</f>
        <v/>
      </c>
      <c r="AD11" s="192" t="str">
        <f t="array" ref="AD11">INDEX(AC:AC,SMALL(IF($AC$2:$AC$523&lt;&gt;"",ROW($2:$523),524),ROW(AC10)))&amp;""</f>
        <v>隐形术</v>
      </c>
      <c r="AE11" s="200" t="str">
        <f t="shared" si="3"/>
        <v>Invisibility</v>
      </c>
      <c r="AF11" s="236" t="s">
        <v>6698</v>
      </c>
      <c r="AG11" s="239" t="s">
        <v>6699</v>
      </c>
      <c r="AH11" s="230" t="s">
        <v>6700</v>
      </c>
      <c r="AI11" s="205">
        <v>9</v>
      </c>
      <c r="AJ11" s="192">
        <v>10</v>
      </c>
      <c r="AK11" s="193" t="str">
        <f>IF(法术书!V17="","",法术书!V17)</f>
        <v/>
      </c>
      <c r="AL11" s="224" t="str">
        <f t="array" ref="AL11">IFERROR(INDEX(AK$1:AK$301,SMALL(IF(MATCH(AK11,AK$1:AK$301,0)=ROW(AK11),ROW(AK$1:AK$301),999),ROW(AK11))),"")</f>
        <v/>
      </c>
      <c r="AM11" s="223" t="str">
        <f t="array" ref="AM11">INDEX(AL:AL,SMALL(IF($AL$2:$AL$301&lt;&gt;"",ROW($2:$301),302),ROW(AL10)))&amp;""</f>
        <v/>
      </c>
      <c r="AN11" s="192" t="str">
        <f>IF(主要!C75="","",主要!C75)</f>
        <v/>
      </c>
      <c r="AO11" s="193" t="str">
        <f t="shared" si="4"/>
        <v/>
      </c>
      <c r="AP11" s="193" t="str">
        <f t="shared" si="0"/>
        <v/>
      </c>
      <c r="AQ11" s="193" t="e">
        <f t="shared" si="1"/>
        <v>#N/A</v>
      </c>
      <c r="AR11" s="193" t="e">
        <f t="shared" si="2"/>
        <v>#N/A</v>
      </c>
      <c r="AS11" s="193" t="str">
        <f t="array" ref="AS11">IFERROR(INDEX(AN$1:AN$46,SMALL(IF(MATCH(AN11,AN$1:AN$46,0)=ROW(AN11),ROW(AN$1:AN$46),999),ROW(AN11))),"")</f>
        <v/>
      </c>
      <c r="AT11" s="200" t="str">
        <f t="array" ref="AT11">INDEX(AS:AS,SMALL(IF($AS$2:$AS$46&lt;&gt;"",ROW($2:$46),47),ROW(AS10)))&amp;""</f>
        <v/>
      </c>
    </row>
    <row r="12" customHeight="1" spans="1:48">
      <c r="A12" s="192">
        <v>10</v>
      </c>
      <c r="B12" s="224" t="s">
        <v>6701</v>
      </c>
      <c r="C12" s="224" t="s">
        <v>6702</v>
      </c>
      <c r="D12" s="224"/>
      <c r="E12" s="229" t="s">
        <v>6664</v>
      </c>
      <c r="F12" s="193" t="s">
        <v>6642</v>
      </c>
      <c r="G12" s="193" t="s">
        <v>3760</v>
      </c>
      <c r="H12" s="193">
        <v>1</v>
      </c>
      <c r="J12" s="193">
        <v>1</v>
      </c>
      <c r="K12" s="224" t="s">
        <v>6703</v>
      </c>
      <c r="L12" s="224"/>
      <c r="N12" s="193" t="s">
        <v>6704</v>
      </c>
      <c r="O12" s="224" t="s">
        <v>6705</v>
      </c>
      <c r="P12" s="224">
        <v>0</v>
      </c>
      <c r="Q12" s="224" t="s">
        <v>249</v>
      </c>
      <c r="R12" s="193">
        <v>1</v>
      </c>
      <c r="S12" s="193">
        <v>1</v>
      </c>
      <c r="W12" s="193">
        <v>1</v>
      </c>
      <c r="X12" s="193">
        <v>1</v>
      </c>
      <c r="Z12" s="193">
        <v>9</v>
      </c>
      <c r="AA12" s="223" t="s">
        <v>6706</v>
      </c>
      <c r="AB12" s="200" t="str">
        <f t="array" ref="AB12">INDEX(B:B,SMALL(IF($Q$3:$Q$524&lt;&gt;"",ROW($3:$524),525),ROW(B11)))&amp;""</f>
        <v>法师之手</v>
      </c>
      <c r="AC12" s="225" t="str">
        <f>IFERROR(IF(AND($Q13&lt;&gt;"",IF(法术查询!$J$4="",1,INDEX($R13:$Z13,1,VLOOKUP(法术查询!$J$4,$AF$2:$AG$10,2,0)))&lt;&gt;"",IF(法术查询!$J$5="",1,$P13=VLOOKUP(法术查询!$J$5,$AH$2:$AI$11,2,0)),IF(法术查询!$J$6="",1,IF(法术查询!$J$6=$E13,1,0)),IF(法术查询!$J$7="",1,SEARCH(法术查询!$J$7,$F13)),IF(法术查询!$J$8="",1,SEARCH(法术查询!$J$8,G13)),IF(法术查询!$J$9="",1,SEARCH(法术查询!$J$9,N13)),IF(法术查询!$J$10="",1,IF(法术查询!$J$10=$AF$11,IF($M13=1,1,0),IF($M13="",1,0))),IF(法术查询!$J$11="",1,IF(法术查询!$J$11=$AF$11,IF($D13=1,1,0),IF($D13="",1,0))),IF(法术查询!$J$12="",1,SEARCH(法术查询!$J$12,$B13&amp;$C13&amp;$O13)),IF(法术查询!$J$13="",1,SEARCH(法术查询!$J$13,$B13&amp;$C13&amp;$O13)),IF(法术查询!$J$14="",1,SEARCH(法术查询!$J$14,$B13&amp;$C13&amp;$O13)),IF(法术查询!$J$16="",1,IF(法术查询!$J$16=$AF$11,IF($H13=1,1,0),IF($H13="",1,0))),IF(法术查询!$J$17="",1,IF(法术查询!$J$17=$AF$11,IF($I13=1,1,0),IF($I13="",1,0))),IF(法术查询!$J$18="",1,IF(法术查询!$J$18=$AF$11,IF($J13&lt;&gt;"",1,0),IF($J13="",1,0))),IF(法术查询!$J$19="",1,IF(法术查询!$J$19=$AF$11,IF($L13&lt;&gt;"",1,0),IF($L13="",1,0)))),$B13,""),"")</f>
        <v/>
      </c>
      <c r="AD12" s="192" t="str">
        <f t="array" ref="AD12">INDEX(AC:AC,SMALL(IF($AC$2:$AC$523&lt;&gt;"",ROW($2:$523),524),ROW(AC11)))&amp;""</f>
        <v>次级复原术</v>
      </c>
      <c r="AE12" s="200" t="str">
        <f t="shared" si="3"/>
        <v>Lesser Restoration</v>
      </c>
      <c r="AF12" s="183" t="s">
        <v>6707</v>
      </c>
      <c r="AG12" s="184"/>
      <c r="AH12" s="184"/>
      <c r="AI12" s="219"/>
      <c r="AJ12" s="192">
        <v>11</v>
      </c>
      <c r="AK12" s="193" t="str">
        <f>IF(法术书!V18="","",法术书!V18)</f>
        <v/>
      </c>
      <c r="AL12" s="224" t="str">
        <f t="array" ref="AL12">IFERROR(INDEX(AK$1:AK$301,SMALL(IF(MATCH(AK12,AK$1:AK$301,0)=ROW(AK12),ROW(AK$1:AK$301),999),ROW(AK12))),"")</f>
        <v/>
      </c>
      <c r="AM12" s="223" t="str">
        <f t="array" ref="AM12">INDEX(AL:AL,SMALL(IF($AL$2:$AL$301&lt;&gt;"",ROW($2:$301),302),ROW(AL11)))&amp;""</f>
        <v/>
      </c>
      <c r="AN12" s="192" t="str">
        <f>IF(主要!C76="","",主要!C76)</f>
        <v/>
      </c>
      <c r="AO12" s="193" t="str">
        <f t="shared" si="4"/>
        <v/>
      </c>
      <c r="AP12" s="193" t="str">
        <f t="shared" si="0"/>
        <v/>
      </c>
      <c r="AQ12" s="193" t="e">
        <f t="shared" si="1"/>
        <v>#N/A</v>
      </c>
      <c r="AR12" s="193" t="e">
        <f t="shared" si="2"/>
        <v>#N/A</v>
      </c>
      <c r="AS12" s="193" t="str">
        <f t="array" ref="AS12">IFERROR(INDEX(AN$1:AN$46,SMALL(IF(MATCH(AN12,AN$1:AN$46,0)=ROW(AN12),ROW(AN$1:AN$46),999),ROW(AN12))),"")</f>
        <v/>
      </c>
      <c r="AT12" s="200" t="str">
        <f t="array" ref="AT12">INDEX(AS:AS,SMALL(IF($AS$2:$AS$46&lt;&gt;"",ROW($2:$46),47),ROW(AS11)))&amp;""</f>
        <v/>
      </c>
    </row>
    <row r="13" customHeight="1" spans="1:48">
      <c r="A13" s="192">
        <v>11</v>
      </c>
      <c r="B13" s="224" t="s">
        <v>2370</v>
      </c>
      <c r="C13" s="224" t="s">
        <v>6708</v>
      </c>
      <c r="D13" s="224"/>
      <c r="E13" s="240" t="s">
        <v>6641</v>
      </c>
      <c r="F13" s="193" t="s">
        <v>6642</v>
      </c>
      <c r="G13" s="193" t="s">
        <v>6673</v>
      </c>
      <c r="H13" s="193">
        <v>1</v>
      </c>
      <c r="I13" s="193">
        <v>1</v>
      </c>
      <c r="N13" s="193" t="s">
        <v>6709</v>
      </c>
      <c r="O13" s="224" t="s">
        <v>6710</v>
      </c>
      <c r="P13" s="224">
        <v>0</v>
      </c>
      <c r="Q13" s="224" t="s">
        <v>249</v>
      </c>
      <c r="R13" s="193">
        <v>1</v>
      </c>
      <c r="W13" s="193">
        <v>1</v>
      </c>
      <c r="X13" s="193">
        <v>1</v>
      </c>
      <c r="Y13" s="193">
        <v>1</v>
      </c>
      <c r="Z13" s="193">
        <v>9</v>
      </c>
      <c r="AA13" s="223" t="s">
        <v>6711</v>
      </c>
      <c r="AB13" s="200" t="str">
        <f t="array" ref="AB13">INDEX(B:B,SMALL(IF($Q$3:$Q$524&lt;&gt;"",ROW($3:$524),525),ROW(B12)))&amp;""</f>
        <v>修复术</v>
      </c>
      <c r="AC13" s="225" t="str">
        <f>IFERROR(IF(AND($Q14&lt;&gt;"",IF(法术查询!$J$4="",1,INDEX($R14:$Z14,1,VLOOKUP(法术查询!$J$4,$AF$2:$AG$10,2,0)))&lt;&gt;"",IF(法术查询!$J$5="",1,$P14=VLOOKUP(法术查询!$J$5,$AH$2:$AI$11,2,0)),IF(法术查询!$J$6="",1,IF(法术查询!$J$6=$E14,1,0)),IF(法术查询!$J$7="",1,SEARCH(法术查询!$J$7,$F14)),IF(法术查询!$J$8="",1,SEARCH(法术查询!$J$8,G14)),IF(法术查询!$J$9="",1,SEARCH(法术查询!$J$9,N14)),IF(法术查询!$J$10="",1,IF(法术查询!$J$10=$AF$11,IF($M14=1,1,0),IF($M14="",1,0))),IF(法术查询!$J$11="",1,IF(法术查询!$J$11=$AF$11,IF($D14=1,1,0),IF($D14="",1,0))),IF(法术查询!$J$12="",1,SEARCH(法术查询!$J$12,$B14&amp;$C14&amp;$O14)),IF(法术查询!$J$13="",1,SEARCH(法术查询!$J$13,$B14&amp;$C14&amp;$O14)),IF(法术查询!$J$14="",1,SEARCH(法术查询!$J$14,$B14&amp;$C14&amp;$O14)),IF(法术查询!$J$16="",1,IF(法术查询!$J$16=$AF$11,IF($H14=1,1,0),IF($H14="",1,0))),IF(法术查询!$J$17="",1,IF(法术查询!$J$17=$AF$11,IF($I14=1,1,0),IF($I14="",1,0))),IF(法术查询!$J$18="",1,IF(法术查询!$J$18=$AF$11,IF($J14&lt;&gt;"",1,0),IF($J14="",1,0))),IF(法术查询!$J$19="",1,IF(法术查询!$J$19=$AF$11,IF($L14&lt;&gt;"",1,0),IF($L14="",1,0)))),$B14,""),"")</f>
        <v/>
      </c>
      <c r="AD13" s="192" t="str">
        <f t="array" ref="AD13">INDEX(AC:AC,SMALL(IF($AC$2:$AC$523&lt;&gt;"",ROW($2:$523),524),ROW(AC12)))&amp;""</f>
        <v>浮空术</v>
      </c>
      <c r="AE13" s="200" t="str">
        <f t="shared" si="3"/>
        <v>Levitate</v>
      </c>
      <c r="AF13" s="222" t="s">
        <v>6650</v>
      </c>
      <c r="AG13" s="224" t="s">
        <v>6712</v>
      </c>
      <c r="AH13" s="224" t="s">
        <v>6651</v>
      </c>
      <c r="AI13" s="223" t="s">
        <v>6644</v>
      </c>
      <c r="AJ13" s="192">
        <v>12</v>
      </c>
      <c r="AK13" s="193" t="str">
        <f>IF(法术书!V19="","",法术书!V19)</f>
        <v/>
      </c>
      <c r="AL13" s="224" t="str">
        <f t="array" ref="AL13">IFERROR(INDEX(AK$1:AK$301,SMALL(IF(MATCH(AK13,AK$1:AK$301,0)=ROW(AK13),ROW(AK$1:AK$301),999),ROW(AK13))),"")</f>
        <v/>
      </c>
      <c r="AM13" s="223" t="str">
        <f t="array" ref="AM13">INDEX(AL:AL,SMALL(IF($AL$2:$AL$301&lt;&gt;"",ROW($2:$301),302),ROW(AL12)))&amp;""</f>
        <v/>
      </c>
      <c r="AN13" s="192" t="str">
        <f>IF(主要!C77="","",主要!C77)</f>
        <v/>
      </c>
      <c r="AO13" s="193" t="str">
        <f t="shared" si="4"/>
        <v/>
      </c>
      <c r="AP13" s="193" t="str">
        <f t="shared" si="0"/>
        <v/>
      </c>
      <c r="AQ13" s="193" t="e">
        <f t="shared" si="1"/>
        <v>#N/A</v>
      </c>
      <c r="AR13" s="193" t="e">
        <f t="shared" si="2"/>
        <v>#N/A</v>
      </c>
      <c r="AS13" s="193" t="str">
        <f t="array" ref="AS13">IFERROR(INDEX(AN$1:AN$46,SMALL(IF(MATCH(AN13,AN$1:AN$46,0)=ROW(AN13),ROW(AN$1:AN$46),999),ROW(AN13))),"")</f>
        <v/>
      </c>
      <c r="AT13" s="200" t="str">
        <f t="array" ref="AT13">INDEX(AS:AS,SMALL(IF($AS$2:$AS$46&lt;&gt;"",ROW($2:$46),47),ROW(AS12)))&amp;""</f>
        <v/>
      </c>
    </row>
    <row r="14" customHeight="1" spans="1:48">
      <c r="A14" s="192">
        <v>12</v>
      </c>
      <c r="B14" s="224" t="s">
        <v>6713</v>
      </c>
      <c r="C14" s="224" t="s">
        <v>6714</v>
      </c>
      <c r="D14" s="224"/>
      <c r="E14" s="231" t="s">
        <v>6672</v>
      </c>
      <c r="F14" s="193" t="s">
        <v>6709</v>
      </c>
      <c r="G14" s="193" t="s">
        <v>3760</v>
      </c>
      <c r="H14" s="193">
        <v>1</v>
      </c>
      <c r="I14" s="193">
        <v>1</v>
      </c>
      <c r="J14" s="193">
        <v>1</v>
      </c>
      <c r="K14" s="224" t="s">
        <v>6715</v>
      </c>
      <c r="L14" s="224"/>
      <c r="N14" s="193" t="s">
        <v>6644</v>
      </c>
      <c r="O14" s="224" t="s">
        <v>6716</v>
      </c>
      <c r="P14" s="224">
        <v>0</v>
      </c>
      <c r="Q14" s="224" t="s">
        <v>249</v>
      </c>
      <c r="R14" s="193">
        <v>1</v>
      </c>
      <c r="S14" s="193">
        <v>1</v>
      </c>
      <c r="T14" s="193">
        <v>1</v>
      </c>
      <c r="W14" s="193">
        <v>1</v>
      </c>
      <c r="X14" s="193">
        <v>1</v>
      </c>
      <c r="Z14" s="193">
        <v>9</v>
      </c>
      <c r="AA14" s="200" t="s">
        <v>793</v>
      </c>
      <c r="AB14" s="200" t="str">
        <f t="array" ref="AB14">INDEX(B:B,SMALL(IF($Q$3:$Q$524&lt;&gt;"",ROW($3:$524),525),ROW(B13)))&amp;""</f>
        <v>传讯术</v>
      </c>
      <c r="AC14" s="225" t="str">
        <f>IFERROR(IF(AND($Q15&lt;&gt;"",IF(法术查询!$J$4="",1,INDEX($R15:$Z15,1,VLOOKUP(法术查询!$J$4,$AF$2:$AG$10,2,0)))&lt;&gt;"",IF(法术查询!$J$5="",1,$P15=VLOOKUP(法术查询!$J$5,$AH$2:$AI$11,2,0)),IF(法术查询!$J$6="",1,IF(法术查询!$J$6=$E15,1,0)),IF(法术查询!$J$7="",1,SEARCH(法术查询!$J$7,$F15)),IF(法术查询!$J$8="",1,SEARCH(法术查询!$J$8,G15)),IF(法术查询!$J$9="",1,SEARCH(法术查询!$J$9,N15)),IF(法术查询!$J$10="",1,IF(法术查询!$J$10=$AF$11,IF($M15=1,1,0),IF($M15="",1,0))),IF(法术查询!$J$11="",1,IF(法术查询!$J$11=$AF$11,IF($D15=1,1,0),IF($D15="",1,0))),IF(法术查询!$J$12="",1,SEARCH(法术查询!$J$12,$B15&amp;$C15&amp;$O15)),IF(法术查询!$J$13="",1,SEARCH(法术查询!$J$13,$B15&amp;$C15&amp;$O15)),IF(法术查询!$J$14="",1,SEARCH(法术查询!$J$14,$B15&amp;$C15&amp;$O15)),IF(法术查询!$J$16="",1,IF(法术查询!$J$16=$AF$11,IF($H15=1,1,0),IF($H15="",1,0))),IF(法术查询!$J$17="",1,IF(法术查询!$J$17=$AF$11,IF($I15=1,1,0),IF($I15="",1,0))),IF(法术查询!$J$18="",1,IF(法术查询!$J$18=$AF$11,IF($J15&lt;&gt;"",1,0),IF($J15="",1,0))),IF(法术查询!$J$19="",1,IF(法术查询!$J$19=$AF$11,IF($L15&lt;&gt;"",1,0),IF($L15="",1,0)))),$B15,""),"")</f>
        <v/>
      </c>
      <c r="AD14" s="192" t="str">
        <f t="array" ref="AD14">INDEX(AC:AC,SMALL(IF($AC$2:$AC$523&lt;&gt;"",ROW($2:$523),524),ROW(AC13)))&amp;""</f>
        <v>魔嘴术</v>
      </c>
      <c r="AE14" s="200" t="str">
        <f t="shared" si="3"/>
        <v>Magic Mouth</v>
      </c>
      <c r="AF14" s="222" t="s">
        <v>6641</v>
      </c>
      <c r="AG14" s="224" t="s">
        <v>6717</v>
      </c>
      <c r="AH14" s="224" t="s">
        <v>3760</v>
      </c>
      <c r="AI14" s="223" t="s">
        <v>6652</v>
      </c>
      <c r="AJ14" s="192">
        <v>13</v>
      </c>
      <c r="AK14" s="193" t="str">
        <f>IF(法术书!V20="","",法术书!V20)</f>
        <v/>
      </c>
      <c r="AL14" s="224" t="str">
        <f t="array" ref="AL14">IFERROR(INDEX(AK$1:AK$301,SMALL(IF(MATCH(AK14,AK$1:AK$301,0)=ROW(AK14),ROW(AK$1:AK$301),999),ROW(AK14))),"")</f>
        <v/>
      </c>
      <c r="AM14" s="223" t="str">
        <f t="array" ref="AM14">INDEX(AL:AL,SMALL(IF($AL$2:$AL$301&lt;&gt;"",ROW($2:$301),302),ROW(AL13)))&amp;""</f>
        <v/>
      </c>
      <c r="AN14" s="192" t="str">
        <f>IF(主要!C78="","",主要!C78)</f>
        <v/>
      </c>
      <c r="AO14" s="193" t="str">
        <f t="shared" si="4"/>
        <v/>
      </c>
      <c r="AP14" s="193" t="str">
        <f t="shared" si="0"/>
        <v/>
      </c>
      <c r="AQ14" s="193" t="e">
        <f t="shared" si="1"/>
        <v>#N/A</v>
      </c>
      <c r="AR14" s="193" t="e">
        <f t="shared" si="2"/>
        <v>#N/A</v>
      </c>
      <c r="AS14" s="193" t="str">
        <f t="array" ref="AS14">IFERROR(INDEX(AN$1:AN$46,SMALL(IF(MATCH(AN14,AN$1:AN$46,0)=ROW(AN14),ROW(AN$1:AN$46),999),ROW(AN14))),"")</f>
        <v/>
      </c>
      <c r="AT14" s="200" t="str">
        <f t="array" ref="AT14">INDEX(AS:AS,SMALL(IF($AS$2:$AS$46&lt;&gt;"",ROW($2:$46),47),ROW(AS13)))&amp;""</f>
        <v/>
      </c>
    </row>
    <row r="15" customHeight="1" spans="1:48">
      <c r="A15" s="192">
        <v>13</v>
      </c>
      <c r="B15" s="224" t="s">
        <v>6718</v>
      </c>
      <c r="C15" s="224" t="s">
        <v>6719</v>
      </c>
      <c r="D15" s="224"/>
      <c r="E15" s="231" t="s">
        <v>6672</v>
      </c>
      <c r="F15" s="193" t="s">
        <v>6642</v>
      </c>
      <c r="G15" s="193" t="s">
        <v>6658</v>
      </c>
      <c r="H15" s="193">
        <v>1</v>
      </c>
      <c r="I15" s="193">
        <v>1</v>
      </c>
      <c r="J15" s="193">
        <v>1</v>
      </c>
      <c r="K15" s="224" t="s">
        <v>6720</v>
      </c>
      <c r="L15" s="224"/>
      <c r="N15" s="193" t="s">
        <v>6652</v>
      </c>
      <c r="O15" s="224" t="s">
        <v>6721</v>
      </c>
      <c r="P15" s="224">
        <v>0</v>
      </c>
      <c r="Q15" s="224" t="s">
        <v>249</v>
      </c>
      <c r="R15" s="193">
        <v>1</v>
      </c>
      <c r="W15" s="193">
        <v>1</v>
      </c>
      <c r="X15" s="193">
        <v>1</v>
      </c>
      <c r="Z15" s="193">
        <v>9</v>
      </c>
      <c r="AA15" s="223" t="s">
        <v>6722</v>
      </c>
      <c r="AB15" s="200" t="str">
        <f t="array" ref="AB15">INDEX(B:B,SMALL(IF($Q$3:$Q$524&lt;&gt;"",ROW($3:$524),525),ROW(B14)))&amp;""</f>
        <v>次级幻影</v>
      </c>
      <c r="AC15" s="225" t="str">
        <f>IFERROR(IF(AND($Q16&lt;&gt;"",IF(法术查询!$J$4="",1,INDEX($R16:$Z16,1,VLOOKUP(法术查询!$J$4,$AF$2:$AG$10,2,0)))&lt;&gt;"",IF(法术查询!$J$5="",1,$P16=VLOOKUP(法术查询!$J$5,$AH$2:$AI$11,2,0)),IF(法术查询!$J$6="",1,IF(法术查询!$J$6=$E16,1,0)),IF(法术查询!$J$7="",1,SEARCH(法术查询!$J$7,$F16)),IF(法术查询!$J$8="",1,SEARCH(法术查询!$J$8,G16)),IF(法术查询!$J$9="",1,SEARCH(法术查询!$J$9,N16)),IF(法术查询!$J$10="",1,IF(法术查询!$J$10=$AF$11,IF($M16=1,1,0),IF($M16="",1,0))),IF(法术查询!$J$11="",1,IF(法术查询!$J$11=$AF$11,IF($D16=1,1,0),IF($D16="",1,0))),IF(法术查询!$J$12="",1,SEARCH(法术查询!$J$12,$B16&amp;$C16&amp;$O16)),IF(法术查询!$J$13="",1,SEARCH(法术查询!$J$13,$B16&amp;$C16&amp;$O16)),IF(法术查询!$J$14="",1,SEARCH(法术查询!$J$14,$B16&amp;$C16&amp;$O16)),IF(法术查询!$J$16="",1,IF(法术查询!$J$16=$AF$11,IF($H16=1,1,0),IF($H16="",1,0))),IF(法术查询!$J$17="",1,IF(法术查询!$J$17=$AF$11,IF($I16=1,1,0),IF($I16="",1,0))),IF(法术查询!$J$18="",1,IF(法术查询!$J$18=$AF$11,IF($J16&lt;&gt;"",1,0),IF($J16="",1,0))),IF(法术查询!$J$19="",1,IF(法术查询!$J$19=$AF$11,IF($L16&lt;&gt;"",1,0),IF($L16="",1,0)))),$B16,""),"")</f>
        <v/>
      </c>
      <c r="AD15" s="192" t="str">
        <f t="array" ref="AD15">INDEX(AC:AC,SMALL(IF($AC$2:$AC$523&lt;&gt;"",ROW($2:$523),524),ROW(AC14)))&amp;""</f>
        <v>魔化武器</v>
      </c>
      <c r="AE15" s="200" t="str">
        <f t="shared" si="3"/>
        <v>Magic Weapon</v>
      </c>
      <c r="AF15" s="222" t="s">
        <v>6695</v>
      </c>
      <c r="AG15" s="224" t="s">
        <v>6642</v>
      </c>
      <c r="AH15" s="224" t="s">
        <v>6723</v>
      </c>
      <c r="AI15" s="223" t="s">
        <v>6709</v>
      </c>
      <c r="AJ15" s="192">
        <v>14</v>
      </c>
      <c r="AK15" s="193" t="str">
        <f>IF(法术书!V21="","",法术书!V21)</f>
        <v/>
      </c>
      <c r="AL15" s="224" t="str">
        <f t="array" ref="AL15">IFERROR(INDEX(AK$1:AK$301,SMALL(IF(MATCH(AK15,AK$1:AK$301,0)=ROW(AK15),ROW(AK$1:AK$301),999),ROW(AK15))),"")</f>
        <v/>
      </c>
      <c r="AM15" s="223" t="str">
        <f t="array" ref="AM15">INDEX(AL:AL,SMALL(IF($AL$2:$AL$301&lt;&gt;"",ROW($2:$301),302),ROW(AL14)))&amp;""</f>
        <v/>
      </c>
      <c r="AN15" s="192" t="str">
        <f>IF(主要!C79="","",主要!C79)</f>
        <v/>
      </c>
      <c r="AO15" s="193" t="str">
        <f t="shared" si="4"/>
        <v/>
      </c>
      <c r="AP15" s="193" t="str">
        <f t="shared" si="0"/>
        <v/>
      </c>
      <c r="AQ15" s="193" t="e">
        <f t="shared" si="1"/>
        <v>#N/A</v>
      </c>
      <c r="AR15" s="193" t="e">
        <f t="shared" si="2"/>
        <v>#N/A</v>
      </c>
      <c r="AS15" s="193" t="str">
        <f t="array" ref="AS15">IFERROR(INDEX(AN$1:AN$46,SMALL(IF(MATCH(AN15,AN$1:AN$46,0)=ROW(AN15),ROW(AN$1:AN$46),999),ROW(AN15))),"")</f>
        <v/>
      </c>
      <c r="AT15" s="200" t="str">
        <f t="array" ref="AT15">INDEX(AS:AS,SMALL(IF($AS$2:$AS$46&lt;&gt;"",ROW($2:$46),47),ROW(AS14)))&amp;""</f>
        <v/>
      </c>
    </row>
    <row r="16" customHeight="1" spans="1:48">
      <c r="A16" s="192">
        <v>14</v>
      </c>
      <c r="B16" s="224" t="s">
        <v>6724</v>
      </c>
      <c r="C16" s="224" t="s">
        <v>6725</v>
      </c>
      <c r="D16" s="224"/>
      <c r="E16" s="241" t="s">
        <v>6726</v>
      </c>
      <c r="F16" s="193" t="s">
        <v>6642</v>
      </c>
      <c r="G16" s="193" t="s">
        <v>6673</v>
      </c>
      <c r="I16" s="193">
        <v>1</v>
      </c>
      <c r="J16" s="193">
        <v>1</v>
      </c>
      <c r="K16" s="224" t="s">
        <v>6727</v>
      </c>
      <c r="L16" s="224"/>
      <c r="N16" s="193" t="s">
        <v>6709</v>
      </c>
      <c r="O16" s="224" t="s">
        <v>6728</v>
      </c>
      <c r="P16" s="224">
        <v>0</v>
      </c>
      <c r="Q16" s="224" t="s">
        <v>249</v>
      </c>
      <c r="R16" s="193">
        <v>1</v>
      </c>
      <c r="W16" s="193">
        <v>1</v>
      </c>
      <c r="X16" s="193">
        <v>1</v>
      </c>
      <c r="Y16" s="193">
        <v>1</v>
      </c>
      <c r="AA16" s="223" t="s">
        <v>6729</v>
      </c>
      <c r="AB16" s="200" t="str">
        <f t="array" ref="AB16">INDEX(B:B,SMALL(IF($Q$3:$Q$524&lt;&gt;"",ROW($3:$524),525),ROW(B15)))&amp;""</f>
        <v>毒气喷溅</v>
      </c>
      <c r="AC16" s="225" t="str">
        <f>IFERROR(IF(AND($Q17&lt;&gt;"",IF(法术查询!$J$4="",1,INDEX($R17:$Z17,1,VLOOKUP(法术查询!$J$4,$AF$2:$AG$10,2,0)))&lt;&gt;"",IF(法术查询!$J$5="",1,$P17=VLOOKUP(法术查询!$J$5,$AH$2:$AI$11,2,0)),IF(法术查询!$J$6="",1,IF(法术查询!$J$6=$E17,1,0)),IF(法术查询!$J$7="",1,SEARCH(法术查询!$J$7,$F17)),IF(法术查询!$J$8="",1,SEARCH(法术查询!$J$8,G17)),IF(法术查询!$J$9="",1,SEARCH(法术查询!$J$9,N17)),IF(法术查询!$J$10="",1,IF(法术查询!$J$10=$AF$11,IF($M17=1,1,0),IF($M17="",1,0))),IF(法术查询!$J$11="",1,IF(法术查询!$J$11=$AF$11,IF($D17=1,1,0),IF($D17="",1,0))),IF(法术查询!$J$12="",1,SEARCH(法术查询!$J$12,$B17&amp;$C17&amp;$O17)),IF(法术查询!$J$13="",1,SEARCH(法术查询!$J$13,$B17&amp;$C17&amp;$O17)),IF(法术查询!$J$14="",1,SEARCH(法术查询!$J$14,$B17&amp;$C17&amp;$O17)),IF(法术查询!$J$16="",1,IF(法术查询!$J$16=$AF$11,IF($H17=1,1,0),IF($H17="",1,0))),IF(法术查询!$J$17="",1,IF(法术查询!$J$17=$AF$11,IF($I17=1,1,0),IF($I17="",1,0))),IF(法术查询!$J$18="",1,IF(法术查询!$J$18=$AF$11,IF($J17&lt;&gt;"",1,0),IF($J17="",1,0))),IF(法术查询!$J$19="",1,IF(法术查询!$J$19=$AF$11,IF($L17&lt;&gt;"",1,0),IF($L17="",1,0)))),$B17,""),"")</f>
        <v/>
      </c>
      <c r="AD16" s="192" t="str">
        <f t="array" ref="AD16">INDEX(AC:AC,SMALL(IF($AC$2:$AC$523&lt;&gt;"",ROW($2:$523),524),ROW(AC15)))&amp;""</f>
        <v>防护毒素</v>
      </c>
      <c r="AE16" s="200" t="str">
        <f t="shared" si="3"/>
        <v>Protection From Poison</v>
      </c>
      <c r="AF16" s="222" t="s">
        <v>6688</v>
      </c>
      <c r="AG16" s="224" t="s">
        <v>6709</v>
      </c>
      <c r="AH16" s="224" t="s">
        <v>6730</v>
      </c>
      <c r="AI16" s="223" t="s">
        <v>6731</v>
      </c>
      <c r="AJ16" s="192">
        <v>15</v>
      </c>
      <c r="AK16" s="193" t="str">
        <f>IF(法术书!V22="","",法术书!V22)</f>
        <v/>
      </c>
      <c r="AL16" s="224" t="str">
        <f t="array" ref="AL16">IFERROR(INDEX(AK$1:AK$301,SMALL(IF(MATCH(AK16,AK$1:AK$301,0)=ROW(AK16),ROW(AK$1:AK$301),999),ROW(AK16))),"")</f>
        <v/>
      </c>
      <c r="AM16" s="223" t="str">
        <f t="array" ref="AM16">INDEX(AL:AL,SMALL(IF($AL$2:$AL$301&lt;&gt;"",ROW($2:$301),302),ROW(AL15)))&amp;""</f>
        <v/>
      </c>
      <c r="AN16" s="192" t="str">
        <f>IF(主要!C80="","",主要!C80)</f>
        <v/>
      </c>
      <c r="AO16" s="193" t="str">
        <f t="shared" si="4"/>
        <v/>
      </c>
      <c r="AP16" s="193" t="str">
        <f t="shared" si="0"/>
        <v/>
      </c>
      <c r="AQ16" s="193" t="e">
        <f t="shared" si="1"/>
        <v>#N/A</v>
      </c>
      <c r="AR16" s="193" t="e">
        <f t="shared" si="2"/>
        <v>#N/A</v>
      </c>
      <c r="AS16" s="193" t="str">
        <f t="array" ref="AS16">IFERROR(INDEX(AN$1:AN$46,SMALL(IF(MATCH(AN16,AN$1:AN$46,0)=ROW(AN16),ROW(AN$1:AN$46),999),ROW(AN16))),"")</f>
        <v/>
      </c>
      <c r="AT16" s="200" t="str">
        <f t="array" ref="AT16">INDEX(AS:AS,SMALL(IF($AS$2:$AS$46&lt;&gt;"",ROW($2:$46),47),ROW(AS15)))&amp;""</f>
        <v/>
      </c>
    </row>
    <row r="17" customHeight="1" spans="1:46">
      <c r="A17" s="192">
        <v>15</v>
      </c>
      <c r="B17" s="224" t="s">
        <v>6732</v>
      </c>
      <c r="C17" s="224" t="s">
        <v>6733</v>
      </c>
      <c r="D17" s="224"/>
      <c r="E17" s="240" t="s">
        <v>6641</v>
      </c>
      <c r="F17" s="193" t="s">
        <v>6642</v>
      </c>
      <c r="G17" s="193" t="s">
        <v>6730</v>
      </c>
      <c r="H17" s="193">
        <v>1</v>
      </c>
      <c r="I17" s="193">
        <v>1</v>
      </c>
      <c r="N17" s="193" t="s">
        <v>6644</v>
      </c>
      <c r="O17" s="224" t="s">
        <v>6734</v>
      </c>
      <c r="P17" s="224">
        <v>0</v>
      </c>
      <c r="Q17" s="224" t="s">
        <v>249</v>
      </c>
      <c r="T17" s="193">
        <v>1</v>
      </c>
      <c r="W17" s="193">
        <v>1</v>
      </c>
      <c r="X17" s="193">
        <v>1</v>
      </c>
      <c r="Y17" s="193">
        <v>1</v>
      </c>
      <c r="Z17" s="193">
        <v>9</v>
      </c>
      <c r="AA17" s="200" t="s">
        <v>6735</v>
      </c>
      <c r="AB17" s="200" t="str">
        <f t="array" ref="AB17">INDEX(B:B,SMALL(IF($Q$3:$Q$524&lt;&gt;"",ROW($3:$524),525),ROW(B16)))&amp;""</f>
        <v>魔法伎俩</v>
      </c>
      <c r="AC17" s="225" t="str">
        <f>IFERROR(IF(AND($Q18&lt;&gt;"",IF(法术查询!$J$4="",1,INDEX($R18:$Z18,1,VLOOKUP(法术查询!$J$4,$AF$2:$AG$10,2,0)))&lt;&gt;"",IF(法术查询!$J$5="",1,$P18=VLOOKUP(法术查询!$J$5,$AH$2:$AI$11,2,0)),IF(法术查询!$J$6="",1,IF(法术查询!$J$6=$E18,1,0)),IF(法术查询!$J$7="",1,SEARCH(法术查询!$J$7,$F18)),IF(法术查询!$J$8="",1,SEARCH(法术查询!$J$8,G18)),IF(法术查询!$J$9="",1,SEARCH(法术查询!$J$9,N18)),IF(法术查询!$J$10="",1,IF(法术查询!$J$10=$AF$11,IF($M18=1,1,0),IF($M18="",1,0))),IF(法术查询!$J$11="",1,IF(法术查询!$J$11=$AF$11,IF($D18=1,1,0),IF($D18="",1,0))),IF(法术查询!$J$12="",1,SEARCH(法术查询!$J$12,$B18&amp;$C18&amp;$O18)),IF(法术查询!$J$13="",1,SEARCH(法术查询!$J$13,$B18&amp;$C18&amp;$O18)),IF(法术查询!$J$14="",1,SEARCH(法术查询!$J$14,$B18&amp;$C18&amp;$O18)),IF(法术查询!$J$16="",1,IF(法术查询!$J$16=$AF$11,IF($H18=1,1,0),IF($H18="",1,0))),IF(法术查询!$J$17="",1,IF(法术查询!$J$17=$AF$11,IF($I18=1,1,0),IF($I18="",1,0))),IF(法术查询!$J$18="",1,IF(法术查询!$J$18=$AF$11,IF($J18&lt;&gt;"",1,0),IF($J18="",1,0))),IF(法术查询!$J$19="",1,IF(法术查询!$J$19=$AF$11,IF($L18&lt;&gt;"",1,0),IF($L18="",1,0)))),$B18,""),"")</f>
        <v/>
      </c>
      <c r="AD17" s="192" t="str">
        <f t="array" ref="AD17">INDEX(AC:AC,SMALL(IF($AC$2:$AC$523&lt;&gt;"",ROW($2:$523),524),ROW(AC16)))&amp;""</f>
        <v>魔绳术</v>
      </c>
      <c r="AE17" s="200" t="str">
        <f t="shared" si="3"/>
        <v>Rope Trick</v>
      </c>
      <c r="AF17" s="222" t="s">
        <v>6664</v>
      </c>
      <c r="AG17" s="224" t="s">
        <v>6731</v>
      </c>
      <c r="AH17" s="224" t="s">
        <v>6736</v>
      </c>
      <c r="AI17" s="223" t="s">
        <v>6704</v>
      </c>
      <c r="AJ17" s="192">
        <v>16</v>
      </c>
      <c r="AK17" s="193" t="str">
        <f>IF(法术书!V23="","",法术书!V23)</f>
        <v/>
      </c>
      <c r="AL17" s="224" t="str">
        <f t="array" ref="AL17">IFERROR(INDEX(AK$1:AK$301,SMALL(IF(MATCH(AK17,AK$1:AK$301,0)=ROW(AK17),ROW(AK$1:AK$301),999),ROW(AK17))),"")</f>
        <v/>
      </c>
      <c r="AM17" s="223" t="str">
        <f t="array" ref="AM17">INDEX(AL:AL,SMALL(IF($AL$2:$AL$301&lt;&gt;"",ROW($2:$301),302),ROW(AL16)))&amp;""</f>
        <v/>
      </c>
      <c r="AN17" s="192" t="str">
        <f>IF(主要!J66="","",主要!J66)</f>
        <v/>
      </c>
      <c r="AO17" s="193" t="str">
        <f t="shared" si="4"/>
        <v/>
      </c>
      <c r="AP17" s="193" t="str">
        <f t="shared" si="0"/>
        <v/>
      </c>
      <c r="AQ17" s="193" t="e">
        <f t="shared" si="1"/>
        <v>#N/A</v>
      </c>
      <c r="AR17" s="193" t="e">
        <f t="shared" si="2"/>
        <v>#N/A</v>
      </c>
      <c r="AS17" s="193" t="str">
        <f t="array" ref="AS17">IFERROR(INDEX(AN$1:AN$46,SMALL(IF(MATCH(AN17,AN$1:AN$46,0)=ROW(AN17),ROW(AN$1:AN$46),999),ROW(AN17))),"")</f>
        <v/>
      </c>
      <c r="AT17" s="200" t="str">
        <f t="array" ref="AT17">INDEX(AS:AS,SMALL(IF($AS$2:$AS$46&lt;&gt;"",ROW($2:$46),47),ROW(AS16)))&amp;""</f>
        <v/>
      </c>
    </row>
    <row r="18" customHeight="1" spans="1:46">
      <c r="A18" s="192">
        <v>16</v>
      </c>
      <c r="B18" s="224" t="s">
        <v>6737</v>
      </c>
      <c r="C18" s="224" t="s">
        <v>6738</v>
      </c>
      <c r="D18" s="224"/>
      <c r="E18" s="231" t="s">
        <v>6672</v>
      </c>
      <c r="F18" s="193" t="s">
        <v>6642</v>
      </c>
      <c r="G18" s="193" t="s">
        <v>6730</v>
      </c>
      <c r="H18" s="193">
        <v>1</v>
      </c>
      <c r="I18" s="193">
        <v>1</v>
      </c>
      <c r="N18" s="193" t="s">
        <v>6739</v>
      </c>
      <c r="O18" s="224" t="s">
        <v>6740</v>
      </c>
      <c r="P18" s="224">
        <v>0</v>
      </c>
      <c r="Q18" s="224" t="s">
        <v>249</v>
      </c>
      <c r="R18" s="193">
        <v>1</v>
      </c>
      <c r="W18" s="193">
        <v>1</v>
      </c>
      <c r="X18" s="193">
        <v>1</v>
      </c>
      <c r="Y18" s="193">
        <v>1</v>
      </c>
      <c r="Z18" s="193">
        <v>9</v>
      </c>
      <c r="AA18" s="223" t="s">
        <v>6741</v>
      </c>
      <c r="AB18" s="200" t="str">
        <f t="array" ref="AB18">INDEX(B:B,SMALL(IF($Q$3:$Q$524&lt;&gt;"",ROW($3:$524),525),ROW(B17)))&amp;""</f>
        <v>燃火术</v>
      </c>
      <c r="AC18" s="225" t="str">
        <f>IFERROR(IF(AND($Q19&lt;&gt;"",IF(法术查询!$J$4="",1,INDEX($R19:$Z19,1,VLOOKUP(法术查询!$J$4,$AF$2:$AG$10,2,0)))&lt;&gt;"",IF(法术查询!$J$5="",1,$P19=VLOOKUP(法术查询!$J$5,$AH$2:$AI$11,2,0)),IF(法术查询!$J$6="",1,IF(法术查询!$J$6=$E19,1,0)),IF(法术查询!$J$7="",1,SEARCH(法术查询!$J$7,$F19)),IF(法术查询!$J$8="",1,SEARCH(法术查询!$J$8,G19)),IF(法术查询!$J$9="",1,SEARCH(法术查询!$J$9,N19)),IF(法术查询!$J$10="",1,IF(法术查询!$J$10=$AF$11,IF($M19=1,1,0),IF($M19="",1,0))),IF(法术查询!$J$11="",1,IF(法术查询!$J$11=$AF$11,IF($D19=1,1,0),IF($D19="",1,0))),IF(法术查询!$J$12="",1,SEARCH(法术查询!$J$12,$B19&amp;$C19&amp;$O19)),IF(法术查询!$J$13="",1,SEARCH(法术查询!$J$13,$B19&amp;$C19&amp;$O19)),IF(法术查询!$J$14="",1,SEARCH(法术查询!$J$14,$B19&amp;$C19&amp;$O19)),IF(法术查询!$J$16="",1,IF(法术查询!$J$16=$AF$11,IF($H19=1,1,0),IF($H19="",1,0))),IF(法术查询!$J$17="",1,IF(法术查询!$J$17=$AF$11,IF($I19=1,1,0),IF($I19="",1,0))),IF(法术查询!$J$18="",1,IF(法术查询!$J$18=$AF$11,IF($J19&lt;&gt;"",1,0),IF($J19="",1,0))),IF(法术查询!$J$19="",1,IF(法术查询!$J$19=$AF$11,IF($L19&lt;&gt;"",1,0),IF($L19="",1,0)))),$B19,""),"")</f>
        <v/>
      </c>
      <c r="AD18" s="192" t="str">
        <f t="array" ref="AD18">INDEX(AC:AC,SMALL(IF($AC$2:$AC$523&lt;&gt;"",ROW($2:$523),524),ROW(AC17)))&amp;""</f>
        <v>识破隐形</v>
      </c>
      <c r="AE18" s="200" t="str">
        <f t="shared" si="3"/>
        <v>See Invisibility</v>
      </c>
      <c r="AF18" s="222" t="s">
        <v>6726</v>
      </c>
      <c r="AG18" s="224" t="s">
        <v>6704</v>
      </c>
      <c r="AH18" s="224" t="s">
        <v>6742</v>
      </c>
      <c r="AI18" s="223" t="s">
        <v>6743</v>
      </c>
      <c r="AJ18" s="192">
        <v>17</v>
      </c>
      <c r="AK18" s="193" t="str">
        <f>IF(法术书!V24="","",法术书!V24)</f>
        <v/>
      </c>
      <c r="AL18" s="224" t="str">
        <f t="array" ref="AL18">IFERROR(INDEX(AK$1:AK$301,SMALL(IF(MATCH(AK18,AK$1:AK$301,0)=ROW(AK18),ROW(AK$1:AK$301),999),ROW(AK18))),"")</f>
        <v/>
      </c>
      <c r="AM18" s="223" t="str">
        <f t="array" ref="AM18">INDEX(AL:AL,SMALL(IF($AL$2:$AL$301&lt;&gt;"",ROW($2:$301),302),ROW(AL17)))&amp;""</f>
        <v/>
      </c>
      <c r="AN18" s="192" t="str">
        <f>IF(主要!J67="","",主要!J67)</f>
        <v/>
      </c>
      <c r="AO18" s="193" t="str">
        <f t="shared" si="4"/>
        <v/>
      </c>
      <c r="AP18" s="193" t="str">
        <f t="shared" si="0"/>
        <v/>
      </c>
      <c r="AQ18" s="193" t="e">
        <f t="shared" si="1"/>
        <v>#N/A</v>
      </c>
      <c r="AR18" s="193" t="e">
        <f t="shared" si="2"/>
        <v>#N/A</v>
      </c>
      <c r="AS18" s="193" t="str">
        <f t="array" ref="AS18">IFERROR(INDEX(AN$1:AN$46,SMALL(IF(MATCH(AN18,AN$1:AN$46,0)=ROW(AN18),ROW(AN$1:AN$46),999),ROW(AN18))),"")</f>
        <v/>
      </c>
      <c r="AT18" s="200" t="str">
        <f t="array" ref="AT18">INDEX(AS:AS,SMALL(IF($AS$2:$AS$46&lt;&gt;"",ROW($2:$46),47),ROW(AS17)))&amp;""</f>
        <v/>
      </c>
    </row>
    <row r="19" customHeight="1" spans="1:46">
      <c r="A19" s="192">
        <v>17</v>
      </c>
      <c r="B19" s="224" t="s">
        <v>6744</v>
      </c>
      <c r="C19" s="224" t="s">
        <v>6745</v>
      </c>
      <c r="D19" s="224"/>
      <c r="E19" s="240" t="s">
        <v>6641</v>
      </c>
      <c r="F19" s="193" t="s">
        <v>6642</v>
      </c>
      <c r="G19" s="193" t="s">
        <v>6651</v>
      </c>
      <c r="H19" s="193">
        <v>1</v>
      </c>
      <c r="I19" s="193">
        <v>1</v>
      </c>
      <c r="N19" s="193" t="s">
        <v>6731</v>
      </c>
      <c r="O19" s="224" t="s">
        <v>6746</v>
      </c>
      <c r="P19" s="224">
        <v>0</v>
      </c>
      <c r="Q19" s="224" t="s">
        <v>249</v>
      </c>
      <c r="T19" s="193">
        <v>1</v>
      </c>
      <c r="AA19" s="223" t="s">
        <v>6747</v>
      </c>
      <c r="AB19" s="200" t="str">
        <f t="array" ref="AB19">INDEX(B:B,SMALL(IF($Q$3:$Q$524&lt;&gt;"",ROW($3:$524),525),ROW(B18)))&amp;""</f>
        <v>冷冻射线</v>
      </c>
      <c r="AC19" s="225" t="str">
        <f>IFERROR(IF(AND($Q20&lt;&gt;"",IF(法术查询!$J$4="",1,INDEX($R20:$Z20,1,VLOOKUP(法术查询!$J$4,$AF$2:$AG$10,2,0)))&lt;&gt;"",IF(法术查询!$J$5="",1,$P20=VLOOKUP(法术查询!$J$5,$AH$2:$AI$11,2,0)),IF(法术查询!$J$6="",1,IF(法术查询!$J$6=$E20,1,0)),IF(法术查询!$J$7="",1,SEARCH(法术查询!$J$7,$F20)),IF(法术查询!$J$8="",1,SEARCH(法术查询!$J$8,G20)),IF(法术查询!$J$9="",1,SEARCH(法术查询!$J$9,N20)),IF(法术查询!$J$10="",1,IF(法术查询!$J$10=$AF$11,IF($M20=1,1,0),IF($M20="",1,0))),IF(法术查询!$J$11="",1,IF(法术查询!$J$11=$AF$11,IF($D20=1,1,0),IF($D20="",1,0))),IF(法术查询!$J$12="",1,SEARCH(法术查询!$J$12,$B20&amp;$C20&amp;$O20)),IF(法术查询!$J$13="",1,SEARCH(法术查询!$J$13,$B20&amp;$C20&amp;$O20)),IF(法术查询!$J$14="",1,SEARCH(法术查询!$J$14,$B20&amp;$C20&amp;$O20)),IF(法术查询!$J$16="",1,IF(法术查询!$J$16=$AF$11,IF($H20=1,1,0),IF($H20="",1,0))),IF(法术查询!$J$17="",1,IF(法术查询!$J$17=$AF$11,IF($I20=1,1,0),IF($I20="",1,0))),IF(法术查询!$J$18="",1,IF(法术查询!$J$18=$AF$11,IF($J20&lt;&gt;"",1,0),IF($J20="",1,0))),IF(法术查询!$J$19="",1,IF(法术查询!$J$19=$AF$11,IF($L20&lt;&gt;"",1,0),IF($L20="",1,0)))),$B20,""),"")</f>
        <v/>
      </c>
      <c r="AD19" s="192" t="str">
        <f t="array" ref="AD19">INDEX(AC:AC,SMALL(IF($AC$2:$AC$523&lt;&gt;"",ROW($2:$523),524),ROW(AC18)))&amp;""</f>
        <v>蛛行术</v>
      </c>
      <c r="AE19" s="200" t="str">
        <f t="shared" si="3"/>
        <v>Spider Climb</v>
      </c>
      <c r="AF19" s="222" t="s">
        <v>6657</v>
      </c>
      <c r="AG19" s="224" t="s">
        <v>6748</v>
      </c>
      <c r="AH19" s="224" t="s">
        <v>6673</v>
      </c>
      <c r="AI19" s="223" t="s">
        <v>6749</v>
      </c>
      <c r="AJ19" s="192">
        <v>18</v>
      </c>
      <c r="AK19" s="193" t="str">
        <f>IF(法术书!V25="","",法术书!V25)</f>
        <v/>
      </c>
      <c r="AL19" s="224" t="str">
        <f t="array" ref="AL19">IFERROR(INDEX(AK$1:AK$301,SMALL(IF(MATCH(AK19,AK$1:AK$301,0)=ROW(AK19),ROW(AK$1:AK$301),999),ROW(AK19))),"")</f>
        <v/>
      </c>
      <c r="AM19" s="223" t="str">
        <f t="array" ref="AM19">INDEX(AL:AL,SMALL(IF($AL$2:$AL$301&lt;&gt;"",ROW($2:$301),302),ROW(AL18)))&amp;""</f>
        <v/>
      </c>
      <c r="AN19" s="192" t="str">
        <f>IF(主要!J68="","",主要!J68)</f>
        <v/>
      </c>
      <c r="AO19" s="193" t="str">
        <f t="shared" si="4"/>
        <v/>
      </c>
      <c r="AP19" s="193" t="str">
        <f t="shared" si="0"/>
        <v/>
      </c>
      <c r="AQ19" s="193" t="e">
        <f t="shared" si="1"/>
        <v>#N/A</v>
      </c>
      <c r="AR19" s="193" t="e">
        <f t="shared" si="2"/>
        <v>#N/A</v>
      </c>
      <c r="AS19" s="193" t="str">
        <f t="array" ref="AS19">IFERROR(INDEX(AN$1:AN$46,SMALL(IF(MATCH(AN19,AN$1:AN$46,0)=ROW(AN19),ROW(AN$1:AN$46),999),ROW(AN19))),"")</f>
        <v/>
      </c>
      <c r="AT19" s="200" t="str">
        <f t="array" ref="AT19">INDEX(AS:AS,SMALL(IF($AS$2:$AS$46&lt;&gt;"",ROW($2:$46),47),ROW(AS18)))&amp;""</f>
        <v/>
      </c>
    </row>
    <row r="20" customHeight="1" spans="1:46">
      <c r="A20" s="192">
        <v>18</v>
      </c>
      <c r="B20" s="224" t="s">
        <v>6750</v>
      </c>
      <c r="C20" s="224" t="s">
        <v>6751</v>
      </c>
      <c r="D20" s="224"/>
      <c r="E20" s="229" t="s">
        <v>6664</v>
      </c>
      <c r="F20" s="193" t="s">
        <v>6642</v>
      </c>
      <c r="G20" s="193" t="s">
        <v>6643</v>
      </c>
      <c r="H20" s="193">
        <v>1</v>
      </c>
      <c r="I20" s="193">
        <v>1</v>
      </c>
      <c r="N20" s="193" t="s">
        <v>6644</v>
      </c>
      <c r="O20" s="224" t="s">
        <v>6752</v>
      </c>
      <c r="P20" s="224">
        <v>0</v>
      </c>
      <c r="Q20" s="224" t="s">
        <v>249</v>
      </c>
      <c r="W20" s="193">
        <v>1</v>
      </c>
      <c r="X20" s="193">
        <v>1</v>
      </c>
      <c r="Z20" s="193">
        <v>9</v>
      </c>
      <c r="AA20" s="223" t="s">
        <v>6753</v>
      </c>
      <c r="AB20" s="200" t="str">
        <f t="array" ref="AB20">INDEX(B:B,SMALL(IF($Q$3:$Q$524&lt;&gt;"",ROW($3:$524),525),ROW(B19)))&amp;""</f>
        <v>提升抗性</v>
      </c>
      <c r="AC20" s="225" t="str">
        <f>IFERROR(IF(AND($Q21&lt;&gt;"",IF(法术查询!$J$4="",1,INDEX($R21:$Z21,1,VLOOKUP(法术查询!$J$4,$AF$2:$AG$10,2,0)))&lt;&gt;"",IF(法术查询!$J$5="",1,$P21=VLOOKUP(法术查询!$J$5,$AH$2:$AI$11,2,0)),IF(法术查询!$J$6="",1,IF(法术查询!$J$6=$E21,1,0)),IF(法术查询!$J$7="",1,SEARCH(法术查询!$J$7,$F21)),IF(法术查询!$J$8="",1,SEARCH(法术查询!$J$8,G21)),IF(法术查询!$J$9="",1,SEARCH(法术查询!$J$9,N21)),IF(法术查询!$J$10="",1,IF(法术查询!$J$10=$AF$11,IF($M21=1,1,0),IF($M21="",1,0))),IF(法术查询!$J$11="",1,IF(法术查询!$J$11=$AF$11,IF($D21=1,1,0),IF($D21="",1,0))),IF(法术查询!$J$12="",1,SEARCH(法术查询!$J$12,$B21&amp;$C21&amp;$O21)),IF(法术查询!$J$13="",1,SEARCH(法术查询!$J$13,$B21&amp;$C21&amp;$O21)),IF(法术查询!$J$14="",1,SEARCH(法术查询!$J$14,$B21&amp;$C21&amp;$O21)),IF(法术查询!$J$16="",1,IF(法术查询!$J$16=$AF$11,IF($H21=1,1,0),IF($H21="",1,0))),IF(法术查询!$J$17="",1,IF(法术查询!$J$17=$AF$11,IF($I21=1,1,0),IF($I21="",1,0))),IF(法术查询!$J$18="",1,IF(法术查询!$J$18=$AF$11,IF($J21&lt;&gt;"",1,0),IF($J21="",1,0))),IF(法术查询!$J$19="",1,IF(法术查询!$J$19=$AF$11,IF($L21&lt;&gt;"",1,0),IF($L21="",1,0)))),$B21,""),"")</f>
        <v/>
      </c>
      <c r="AD20" s="192" t="str">
        <f t="array" ref="AD20">INDEX(AC:AC,SMALL(IF($AC$2:$AC$523&lt;&gt;"",ROW($2:$523),524),ROW(AC19)))&amp;""</f>
        <v>蛛网术</v>
      </c>
      <c r="AE20" s="200" t="str">
        <f t="shared" si="3"/>
        <v>Web</v>
      </c>
      <c r="AF20" s="222" t="s">
        <v>6672</v>
      </c>
      <c r="AG20" s="224" t="s">
        <v>6754</v>
      </c>
      <c r="AH20" s="224" t="s">
        <v>6643</v>
      </c>
      <c r="AI20" s="223" t="s">
        <v>6748</v>
      </c>
      <c r="AJ20" s="192">
        <v>19</v>
      </c>
      <c r="AK20" s="193" t="str">
        <f>IF(法术书!V26="","",法术书!V26)</f>
        <v/>
      </c>
      <c r="AL20" s="224" t="str">
        <f t="array" ref="AL20">IFERROR(INDEX(AK$1:AK$301,SMALL(IF(MATCH(AK20,AK$1:AK$301,0)=ROW(AK20),ROW(AK$1:AK$301),999),ROW(AK20))),"")</f>
        <v/>
      </c>
      <c r="AM20" s="223" t="str">
        <f t="array" ref="AM20">INDEX(AL:AL,SMALL(IF($AL$2:$AL$301&lt;&gt;"",ROW($2:$301),302),ROW(AL19)))&amp;""</f>
        <v/>
      </c>
      <c r="AN20" s="192" t="str">
        <f>IF(主要!J69="","",主要!J69)</f>
        <v/>
      </c>
      <c r="AO20" s="193" t="str">
        <f t="shared" si="4"/>
        <v/>
      </c>
      <c r="AP20" s="193" t="str">
        <f t="shared" si="0"/>
        <v/>
      </c>
      <c r="AQ20" s="193" t="e">
        <f t="shared" si="1"/>
        <v>#N/A</v>
      </c>
      <c r="AR20" s="193" t="e">
        <f t="shared" si="2"/>
        <v>#N/A</v>
      </c>
      <c r="AS20" s="193" t="str">
        <f t="array" ref="AS20">IFERROR(INDEX(AN$1:AN$46,SMALL(IF(MATCH(AN20,AN$1:AN$46,0)=ROW(AN20),ROW(AN$1:AN$46),999),ROW(AN20))),"")</f>
        <v/>
      </c>
      <c r="AT20" s="200" t="str">
        <f t="array" ref="AT20">INDEX(AS:AS,SMALL(IF($AS$2:$AS$46&lt;&gt;"",ROW($2:$46),47),ROW(AS19)))&amp;""</f>
        <v/>
      </c>
    </row>
    <row r="21" customHeight="1" spans="1:46">
      <c r="A21" s="192">
        <v>19</v>
      </c>
      <c r="B21" s="224" t="s">
        <v>6755</v>
      </c>
      <c r="C21" s="224" t="s">
        <v>6756</v>
      </c>
      <c r="D21" s="224"/>
      <c r="E21" s="242" t="s">
        <v>6650</v>
      </c>
      <c r="F21" s="193" t="s">
        <v>6642</v>
      </c>
      <c r="G21" s="193" t="s">
        <v>3760</v>
      </c>
      <c r="H21" s="193">
        <v>1</v>
      </c>
      <c r="I21" s="193">
        <v>1</v>
      </c>
      <c r="J21" s="193">
        <v>1</v>
      </c>
      <c r="K21" s="224" t="s">
        <v>6757</v>
      </c>
      <c r="L21" s="224"/>
      <c r="M21" s="193">
        <v>1</v>
      </c>
      <c r="N21" s="193" t="s">
        <v>6666</v>
      </c>
      <c r="O21" s="224" t="s">
        <v>6758</v>
      </c>
      <c r="P21" s="224">
        <v>0</v>
      </c>
      <c r="Q21" s="224" t="s">
        <v>249</v>
      </c>
      <c r="S21" s="193">
        <v>1</v>
      </c>
      <c r="T21" s="193">
        <v>1</v>
      </c>
      <c r="Z21" s="193">
        <v>9</v>
      </c>
      <c r="AA21" s="200"/>
      <c r="AB21" s="200" t="str">
        <f t="array" ref="AB21">INDEX(B:B,SMALL(IF($Q$3:$Q$524&lt;&gt;"",ROW($3:$524),525),ROW(B20)))&amp;""</f>
        <v>圣火术</v>
      </c>
      <c r="AC21" s="225" t="str">
        <f>IFERROR(IF(AND($Q22&lt;&gt;"",IF(法术查询!$J$4="",1,INDEX($R22:$Z22,1,VLOOKUP(法术查询!$J$4,$AF$2:$AG$10,2,0)))&lt;&gt;"",IF(法术查询!$J$5="",1,$P22=VLOOKUP(法术查询!$J$5,$AH$2:$AI$11,2,0)),IF(法术查询!$J$6="",1,IF(法术查询!$J$6=$E22,1,0)),IF(法术查询!$J$7="",1,SEARCH(法术查询!$J$7,$F22)),IF(法术查询!$J$8="",1,SEARCH(法术查询!$J$8,G22)),IF(法术查询!$J$9="",1,SEARCH(法术查询!$J$9,N22)),IF(法术查询!$J$10="",1,IF(法术查询!$J$10=$AF$11,IF($M22=1,1,0),IF($M22="",1,0))),IF(法术查询!$J$11="",1,IF(法术查询!$J$11=$AF$11,IF($D22=1,1,0),IF($D22="",1,0))),IF(法术查询!$J$12="",1,SEARCH(法术查询!$J$12,$B22&amp;$C22&amp;$O22)),IF(法术查询!$J$13="",1,SEARCH(法术查询!$J$13,$B22&amp;$C22&amp;$O22)),IF(法术查询!$J$14="",1,SEARCH(法术查询!$J$14,$B22&amp;$C22&amp;$O22)),IF(法术查询!$J$16="",1,IF(法术查询!$J$16=$AF$11,IF($H22=1,1,0),IF($H22="",1,0))),IF(法术查询!$J$17="",1,IF(法术查询!$J$17=$AF$11,IF($I22=1,1,0),IF($I22="",1,0))),IF(法术查询!$J$18="",1,IF(法术查询!$J$18=$AF$11,IF($J22&lt;&gt;"",1,0),IF($J22="",1,0))),IF(法术查询!$J$19="",1,IF(法术查询!$J$19=$AF$11,IF($L22&lt;&gt;"",1,0),IF($L22="",1,0)))),$B22,""),"")</f>
        <v/>
      </c>
      <c r="AD21" s="192" t="str">
        <f t="array" ref="AD21">INDEX(AC:AC,SMALL(IF($AC$2:$AC$523&lt;&gt;"",ROW($2:$523),524),ROW(AC20)))&amp;""</f>
        <v>烟火</v>
      </c>
      <c r="AE21" s="200" t="str">
        <f t="shared" si="3"/>
        <v>Pyrotechnics</v>
      </c>
      <c r="AF21" s="192"/>
      <c r="AG21" s="224" t="s">
        <v>6759</v>
      </c>
      <c r="AH21" s="224" t="s">
        <v>6760</v>
      </c>
      <c r="AI21" s="223" t="s">
        <v>6759</v>
      </c>
      <c r="AJ21" s="192">
        <v>20</v>
      </c>
      <c r="AK21" s="193" t="str">
        <f>IF(法术书!V27="","",法术书!V27)</f>
        <v/>
      </c>
      <c r="AL21" s="224" t="str">
        <f t="array" ref="AL21">IFERROR(INDEX(AK$1:AK$301,SMALL(IF(MATCH(AK21,AK$1:AK$301,0)=ROW(AK21),ROW(AK$1:AK$301),999),ROW(AK21))),"")</f>
        <v/>
      </c>
      <c r="AM21" s="223" t="str">
        <f t="array" ref="AM21">INDEX(AL:AL,SMALL(IF($AL$2:$AL$301&lt;&gt;"",ROW($2:$301),302),ROW(AL20)))&amp;""</f>
        <v/>
      </c>
      <c r="AN21" s="192" t="str">
        <f>IF(主要!J70="","",主要!J70)</f>
        <v/>
      </c>
      <c r="AO21" s="193" t="str">
        <f t="shared" si="4"/>
        <v/>
      </c>
      <c r="AP21" s="193" t="str">
        <f t="shared" si="0"/>
        <v/>
      </c>
      <c r="AQ21" s="193" t="e">
        <f t="shared" si="1"/>
        <v>#N/A</v>
      </c>
      <c r="AR21" s="193" t="e">
        <f t="shared" si="2"/>
        <v>#N/A</v>
      </c>
      <c r="AS21" s="193" t="str">
        <f t="array" ref="AS21">IFERROR(INDEX(AN$1:AN$46,SMALL(IF(MATCH(AN21,AN$1:AN$46,0)=ROW(AN21),ROW(AN$1:AN$46),999),ROW(AN21))),"")</f>
        <v/>
      </c>
      <c r="AT21" s="200" t="str">
        <f t="array" ref="AT21">INDEX(AS:AS,SMALL(IF($AS$2:$AS$46&lt;&gt;"",ROW($2:$46),47),ROW(AS20)))&amp;""</f>
        <v/>
      </c>
    </row>
    <row r="22" customHeight="1" spans="1:46">
      <c r="A22" s="192">
        <v>20</v>
      </c>
      <c r="B22" s="224" t="s">
        <v>6761</v>
      </c>
      <c r="C22" s="224" t="s">
        <v>6762</v>
      </c>
      <c r="D22" s="224"/>
      <c r="E22" s="229" t="s">
        <v>6664</v>
      </c>
      <c r="F22" s="193" t="s">
        <v>6642</v>
      </c>
      <c r="G22" s="193" t="s">
        <v>6643</v>
      </c>
      <c r="H22" s="193">
        <v>1</v>
      </c>
      <c r="I22" s="193">
        <v>1</v>
      </c>
      <c r="N22" s="193" t="s">
        <v>6644</v>
      </c>
      <c r="O22" s="224" t="s">
        <v>6763</v>
      </c>
      <c r="P22" s="224">
        <v>0</v>
      </c>
      <c r="Q22" s="224" t="s">
        <v>249</v>
      </c>
      <c r="S22" s="193">
        <v>1</v>
      </c>
      <c r="AA22" s="223" t="s">
        <v>6764</v>
      </c>
      <c r="AB22" s="200" t="str">
        <f t="array" ref="AB22">INDEX(B:B,SMALL(IF($Q$3:$Q$524&lt;&gt;"",ROW($3:$524),525),ROW(B21)))&amp;""</f>
        <v>橡棍术</v>
      </c>
      <c r="AC22" s="225" t="str">
        <f>IFERROR(IF(AND($Q23&lt;&gt;"",IF(法术查询!$J$4="",1,INDEX($R23:$Z23,1,VLOOKUP(法术查询!$J$4,$AF$2:$AG$10,2,0)))&lt;&gt;"",IF(法术查询!$J$5="",1,$P23=VLOOKUP(法术查询!$J$5,$AH$2:$AI$11,2,0)),IF(法术查询!$J$6="",1,IF(法术查询!$J$6=$E23,1,0)),IF(法术查询!$J$7="",1,SEARCH(法术查询!$J$7,$F23)),IF(法术查询!$J$8="",1,SEARCH(法术查询!$J$8,G23)),IF(法术查询!$J$9="",1,SEARCH(法术查询!$J$9,N23)),IF(法术查询!$J$10="",1,IF(法术查询!$J$10=$AF$11,IF($M23=1,1,0),IF($M23="",1,0))),IF(法术查询!$J$11="",1,IF(法术查询!$J$11=$AF$11,IF($D23=1,1,0),IF($D23="",1,0))),IF(法术查询!$J$12="",1,SEARCH(法术查询!$J$12,$B23&amp;$C23&amp;$O23)),IF(法术查询!$J$13="",1,SEARCH(法术查询!$J$13,$B23&amp;$C23&amp;$O23)),IF(法术查询!$J$14="",1,SEARCH(法术查询!$J$14,$B23&amp;$C23&amp;$O23)),IF(法术查询!$J$16="",1,IF(法术查询!$J$16=$AF$11,IF($H23=1,1,0),IF($H23="",1,0))),IF(法术查询!$J$17="",1,IF(法术查询!$J$17=$AF$11,IF($I23=1,1,0),IF($I23="",1,0))),IF(法术查询!$J$18="",1,IF(法术查询!$J$18=$AF$11,IF($J23&lt;&gt;"",1,0),IF($J23="",1,0))),IF(法术查询!$J$19="",1,IF(法术查询!$J$19=$AF$11,IF($L23&lt;&gt;"",1,0),IF($L23="",1,0)))),$B23,""),"")</f>
        <v/>
      </c>
      <c r="AD22" s="192" t="str">
        <f t="array" ref="AD22">INDEX(AC:AC,SMALL(IF($AC$2:$AC$523&lt;&gt;"",ROW($2:$523),524),ROW(AC21)))&amp;""</f>
        <v>写入空中</v>
      </c>
      <c r="AE22" s="200" t="str">
        <f t="shared" si="3"/>
        <v>Skywrite</v>
      </c>
      <c r="AF22" s="192"/>
      <c r="AG22" s="224" t="s">
        <v>6765</v>
      </c>
      <c r="AH22" s="224" t="s">
        <v>6766</v>
      </c>
      <c r="AI22" s="223" t="s">
        <v>6767</v>
      </c>
      <c r="AJ22" s="192">
        <v>21</v>
      </c>
      <c r="AK22" s="193" t="str">
        <f>IF(法术书!V28="","",法术书!V28)</f>
        <v/>
      </c>
      <c r="AL22" s="224" t="str">
        <f t="array" ref="AL22">IFERROR(INDEX(AK$1:AK$301,SMALL(IF(MATCH(AK22,AK$1:AK$301,0)=ROW(AK22),ROW(AK$1:AK$301),999),ROW(AK22))),"")</f>
        <v/>
      </c>
      <c r="AM22" s="223" t="str">
        <f t="array" ref="AM22">INDEX(AL:AL,SMALL(IF($AL$2:$AL$301&lt;&gt;"",ROW($2:$301),302),ROW(AL21)))&amp;""</f>
        <v/>
      </c>
      <c r="AN22" s="192" t="str">
        <f>IF(主要!J71="","",主要!J71)</f>
        <v/>
      </c>
      <c r="AO22" s="193" t="str">
        <f t="shared" si="4"/>
        <v/>
      </c>
      <c r="AP22" s="193" t="str">
        <f t="shared" si="0"/>
        <v/>
      </c>
      <c r="AQ22" s="193" t="e">
        <f t="shared" si="1"/>
        <v>#N/A</v>
      </c>
      <c r="AR22" s="193" t="e">
        <f t="shared" si="2"/>
        <v>#N/A</v>
      </c>
      <c r="AS22" s="193" t="str">
        <f t="array" ref="AS22">IFERROR(INDEX(AN$1:AN$46,SMALL(IF(MATCH(AN22,AN$1:AN$46,0)=ROW(AN22),ROW(AN$1:AN$46),999),ROW(AN22))),"")</f>
        <v/>
      </c>
      <c r="AT22" s="200" t="str">
        <f t="array" ref="AT22">INDEX(AS:AS,SMALL(IF($AS$2:$AS$46&lt;&gt;"",ROW($2:$46),47),ROW(AS21)))&amp;""</f>
        <v/>
      </c>
    </row>
    <row r="23" customHeight="1" spans="1:46">
      <c r="A23" s="192">
        <v>21</v>
      </c>
      <c r="B23" s="224" t="s">
        <v>6768</v>
      </c>
      <c r="C23" s="224" t="s">
        <v>6769</v>
      </c>
      <c r="D23" s="224"/>
      <c r="E23" s="231" t="s">
        <v>6672</v>
      </c>
      <c r="F23" s="193" t="s">
        <v>6712</v>
      </c>
      <c r="G23" s="193" t="s">
        <v>3760</v>
      </c>
      <c r="H23" s="193">
        <v>1</v>
      </c>
      <c r="I23" s="193">
        <v>1</v>
      </c>
      <c r="J23" s="193">
        <v>1</v>
      </c>
      <c r="K23" s="224" t="s">
        <v>6770</v>
      </c>
      <c r="L23" s="224"/>
      <c r="N23" s="193" t="s">
        <v>6709</v>
      </c>
      <c r="O23" s="224" t="s">
        <v>6771</v>
      </c>
      <c r="P23" s="224">
        <v>0</v>
      </c>
      <c r="Q23" s="224" t="s">
        <v>249</v>
      </c>
      <c r="T23" s="193">
        <v>1</v>
      </c>
      <c r="AA23" s="200"/>
      <c r="AB23" s="200" t="str">
        <f t="array" ref="AB23">INDEX(B:B,SMALL(IF($Q$3:$Q$524&lt;&gt;"",ROW($3:$524),525),ROW(B22)))&amp;""</f>
        <v>电爪</v>
      </c>
      <c r="AC23" s="225" t="str">
        <f>IFERROR(IF(AND($Q24&lt;&gt;"",IF(法术查询!$J$4="",1,INDEX($R24:$Z24,1,VLOOKUP(法术查询!$J$4,$AF$2:$AG$10,2,0)))&lt;&gt;"",IF(法术查询!$J$5="",1,$P24=VLOOKUP(法术查询!$J$5,$AH$2:$AI$11,2,0)),IF(法术查询!$J$6="",1,IF(法术查询!$J$6=$E24,1,0)),IF(法术查询!$J$7="",1,SEARCH(法术查询!$J$7,$F24)),IF(法术查询!$J$8="",1,SEARCH(法术查询!$J$8,G24)),IF(法术查询!$J$9="",1,SEARCH(法术查询!$J$9,N24)),IF(法术查询!$J$10="",1,IF(法术查询!$J$10=$AF$11,IF($M24=1,1,0),IF($M24="",1,0))),IF(法术查询!$J$11="",1,IF(法术查询!$J$11=$AF$11,IF($D24=1,1,0),IF($D24="",1,0))),IF(法术查询!$J$12="",1,SEARCH(法术查询!$J$12,$B24&amp;$C24&amp;$O24)),IF(法术查询!$J$13="",1,SEARCH(法术查询!$J$13,$B24&amp;$C24&amp;$O24)),IF(法术查询!$J$14="",1,SEARCH(法术查询!$J$14,$B24&amp;$C24&amp;$O24)),IF(法术查询!$J$16="",1,IF(法术查询!$J$16=$AF$11,IF($H24=1,1,0),IF($H24="",1,0))),IF(法术查询!$J$17="",1,IF(法术查询!$J$17=$AF$11,IF($I24=1,1,0),IF($I24="",1,0))),IF(法术查询!$J$18="",1,IF(法术查询!$J$18=$AF$11,IF($J24&lt;&gt;"",1,0),IF($J24="",1,0))),IF(法术查询!$J$19="",1,IF(法术查询!$J$19=$AF$11,IF($L24&lt;&gt;"",1,0),IF($L24="",1,0)))),$B24,""),"")</f>
        <v/>
      </c>
      <c r="AD23" s="192" t="str">
        <f t="array" ref="AD23">INDEX(AC:AC,SMALL(IF($AC$2:$AC$523&lt;&gt;"",ROW($2:$523),524),ROW(AC22)))&amp;""</f>
        <v>动力短行</v>
      </c>
      <c r="AE23" s="200" t="str">
        <f t="shared" si="3"/>
        <v>Kinetic Jaunt</v>
      </c>
      <c r="AF23" s="192"/>
      <c r="AG23" s="224" t="s">
        <v>6772</v>
      </c>
      <c r="AH23" s="224" t="s">
        <v>6658</v>
      </c>
      <c r="AI23" s="223" t="s">
        <v>6773</v>
      </c>
      <c r="AJ23" s="192">
        <v>22</v>
      </c>
      <c r="AK23" s="193" t="str">
        <f>IF(法术书!V29="","",法术书!V29)</f>
        <v/>
      </c>
      <c r="AL23" s="224" t="str">
        <f t="array" ref="AL23">IFERROR(INDEX(AK$1:AK$301,SMALL(IF(MATCH(AK23,AK$1:AK$301,0)=ROW(AK23),ROW(AK$1:AK$301),999),ROW(AK23))),"")</f>
        <v/>
      </c>
      <c r="AM23" s="223" t="str">
        <f t="array" ref="AM23">INDEX(AL:AL,SMALL(IF($AL$2:$AL$301&lt;&gt;"",ROW($2:$301),302),ROW(AL22)))&amp;""</f>
        <v/>
      </c>
      <c r="AN23" s="192" t="str">
        <f>IF(主要!J72="","",主要!J72)</f>
        <v/>
      </c>
      <c r="AO23" s="193" t="str">
        <f t="shared" si="4"/>
        <v/>
      </c>
      <c r="AP23" s="193" t="str">
        <f t="shared" si="0"/>
        <v/>
      </c>
      <c r="AQ23" s="193" t="e">
        <f t="shared" si="1"/>
        <v>#N/A</v>
      </c>
      <c r="AR23" s="193" t="e">
        <f t="shared" si="2"/>
        <v>#N/A</v>
      </c>
      <c r="AS23" s="193" t="str">
        <f t="array" ref="AS23">IFERROR(INDEX(AN$1:AN$46,SMALL(IF(MATCH(AN23,AN$1:AN$46,0)=ROW(AN23),ROW(AN$1:AN$46),999),ROW(AN23))),"")</f>
        <v/>
      </c>
      <c r="AT23" s="200" t="str">
        <f t="array" ref="AT23">INDEX(AS:AS,SMALL(IF($AS$2:$AS$46&lt;&gt;"",ROW($2:$46),47),ROW(AS22)))&amp;""</f>
        <v/>
      </c>
    </row>
    <row r="24" customHeight="1" spans="1:46">
      <c r="A24" s="192">
        <v>22</v>
      </c>
      <c r="B24" s="224" t="s">
        <v>6774</v>
      </c>
      <c r="C24" s="224" t="s">
        <v>6775</v>
      </c>
      <c r="D24" s="224"/>
      <c r="E24" s="233" t="s">
        <v>6664</v>
      </c>
      <c r="F24" s="193" t="s">
        <v>6642</v>
      </c>
      <c r="G24" s="193" t="s">
        <v>3760</v>
      </c>
      <c r="H24" s="193">
        <v>1</v>
      </c>
      <c r="I24" s="193">
        <v>1</v>
      </c>
      <c r="N24" s="193" t="s">
        <v>6644</v>
      </c>
      <c r="O24" s="224" t="s">
        <v>6776</v>
      </c>
      <c r="P24" s="224">
        <v>0</v>
      </c>
      <c r="Q24" s="224" t="s">
        <v>249</v>
      </c>
      <c r="W24" s="193">
        <v>1</v>
      </c>
      <c r="X24" s="193">
        <v>1</v>
      </c>
      <c r="Z24" s="193">
        <v>9</v>
      </c>
      <c r="AA24" s="223" t="s">
        <v>6777</v>
      </c>
      <c r="AB24" s="200" t="str">
        <f t="array" ref="AB24">INDEX(B:B,SMALL(IF($Q$3:$Q$524&lt;&gt;"",ROW($3:$524),525),ROW(B23)))&amp;""</f>
        <v>维生术</v>
      </c>
      <c r="AC24" s="225" t="str">
        <f>IFERROR(IF(AND($Q25&lt;&gt;"",IF(法术查询!$J$4="",1,INDEX($R25:$Z25,1,VLOOKUP(法术查询!$J$4,$AF$2:$AG$10,2,0)))&lt;&gt;"",IF(法术查询!$J$5="",1,$P25=VLOOKUP(法术查询!$J$5,$AH$2:$AI$11,2,0)),IF(法术查询!$J$6="",1,IF(法术查询!$J$6=$E25,1,0)),IF(法术查询!$J$7="",1,SEARCH(法术查询!$J$7,$F25)),IF(法术查询!$J$8="",1,SEARCH(法术查询!$J$8,G25)),IF(法术查询!$J$9="",1,SEARCH(法术查询!$J$9,N25)),IF(法术查询!$J$10="",1,IF(法术查询!$J$10=$AF$11,IF($M25=1,1,0),IF($M25="",1,0))),IF(法术查询!$J$11="",1,IF(法术查询!$J$11=$AF$11,IF($D25=1,1,0),IF($D25="",1,0))),IF(法术查询!$J$12="",1,SEARCH(法术查询!$J$12,$B25&amp;$C25&amp;$O25)),IF(法术查询!$J$13="",1,SEARCH(法术查询!$J$13,$B25&amp;$C25&amp;$O25)),IF(法术查询!$J$14="",1,SEARCH(法术查询!$J$14,$B25&amp;$C25&amp;$O25)),IF(法术查询!$J$16="",1,IF(法术查询!$J$16=$AF$11,IF($H25=1,1,0),IF($H25="",1,0))),IF(法术查询!$J$17="",1,IF(法术查询!$J$17=$AF$11,IF($I25=1,1,0),IF($I25="",1,0))),IF(法术查询!$J$18="",1,IF(法术查询!$J$18=$AF$11,IF($J25&lt;&gt;"",1,0),IF($J25="",1,0))),IF(法术查询!$J$19="",1,IF(法术查询!$J$19=$AF$11,IF($L25&lt;&gt;"",1,0),IF($L25="",1,0)))),$B25,""),"")</f>
        <v/>
      </c>
      <c r="AD24" s="192" t="str">
        <f t="array" ref="AD24">INDEX(AC:AC,SMALL(IF($AC$2:$AC$523&lt;&gt;"",ROW($2:$523),524),ROW(AC23)))&amp;""</f>
        <v>涡旋翘曲</v>
      </c>
      <c r="AE24" s="200" t="str">
        <f t="shared" si="3"/>
        <v>Vortex Warp</v>
      </c>
      <c r="AF24" s="192"/>
      <c r="AG24" s="224" t="s">
        <v>6778</v>
      </c>
      <c r="AH24" s="224" t="s">
        <v>6779</v>
      </c>
      <c r="AI24" s="223" t="s">
        <v>6780</v>
      </c>
      <c r="AJ24" s="192">
        <v>23</v>
      </c>
      <c r="AK24" s="193" t="str">
        <f>IF(法术书!V30="","",法术书!V30)</f>
        <v/>
      </c>
      <c r="AL24" s="224" t="str">
        <f t="array" ref="AL24">IFERROR(INDEX(AK$1:AK$301,SMALL(IF(MATCH(AK24,AK$1:AK$301,0)=ROW(AK24),ROW(AK$1:AK$301),999),ROW(AK24))),"")</f>
        <v/>
      </c>
      <c r="AM24" s="223" t="str">
        <f t="array" ref="AM24">INDEX(AL:AL,SMALL(IF($AL$2:$AL$301&lt;&gt;"",ROW($2:$301),302),ROW(AL23)))&amp;""</f>
        <v/>
      </c>
      <c r="AN24" s="192" t="str">
        <f>IF(主要!J73="","",主要!J73)</f>
        <v/>
      </c>
      <c r="AO24" s="193" t="str">
        <f t="shared" si="4"/>
        <v/>
      </c>
      <c r="AP24" s="193" t="str">
        <f t="shared" si="0"/>
        <v/>
      </c>
      <c r="AQ24" s="193" t="e">
        <f t="shared" si="1"/>
        <v>#N/A</v>
      </c>
      <c r="AR24" s="193" t="e">
        <f t="shared" si="2"/>
        <v>#N/A</v>
      </c>
      <c r="AS24" s="193" t="str">
        <f t="array" ref="AS24">IFERROR(INDEX(AN$1:AN$46,SMALL(IF(MATCH(AN24,AN$1:AN$46,0)=ROW(AN24),ROW(AN$1:AN$46),999),ROW(AN24))),"")</f>
        <v/>
      </c>
      <c r="AT24" s="200" t="str">
        <f t="array" ref="AT24">INDEX(AS:AS,SMALL(IF($AS$2:$AS$46&lt;&gt;"",ROW($2:$46),47),ROW(AS23)))&amp;""</f>
        <v/>
      </c>
    </row>
    <row r="25" customHeight="1" spans="1:46">
      <c r="A25" s="192">
        <v>23</v>
      </c>
      <c r="B25" s="224" t="s">
        <v>6781</v>
      </c>
      <c r="C25" s="224" t="s">
        <v>6782</v>
      </c>
      <c r="D25" s="224"/>
      <c r="E25" s="243" t="s">
        <v>6657</v>
      </c>
      <c r="F25" s="193" t="s">
        <v>6642</v>
      </c>
      <c r="G25" s="193" t="s">
        <v>3760</v>
      </c>
      <c r="H25" s="193">
        <v>1</v>
      </c>
      <c r="I25" s="193">
        <v>1</v>
      </c>
      <c r="N25" s="193" t="s">
        <v>6644</v>
      </c>
      <c r="O25" s="224" t="s">
        <v>6783</v>
      </c>
      <c r="P25" s="224">
        <v>0</v>
      </c>
      <c r="Q25" s="224" t="s">
        <v>249</v>
      </c>
      <c r="S25" s="193">
        <v>1</v>
      </c>
      <c r="Z25" s="193">
        <v>9</v>
      </c>
      <c r="AA25" s="223" t="s">
        <v>6784</v>
      </c>
      <c r="AB25" s="200" t="str">
        <f t="array" ref="AB25">INDEX(B:B,SMALL(IF($Q$3:$Q$524&lt;&gt;"",ROW($3:$524),525),ROW(B24)))&amp;""</f>
        <v>奇术</v>
      </c>
      <c r="AC25" s="225" t="str">
        <f>IFERROR(IF(AND($Q26&lt;&gt;"",IF(法术查询!$J$4="",1,INDEX($R26:$Z26,1,VLOOKUP(法术查询!$J$4,$AF$2:$AG$10,2,0)))&lt;&gt;"",IF(法术查询!$J$5="",1,$P26=VLOOKUP(法术查询!$J$5,$AH$2:$AI$11,2,0)),IF(法术查询!$J$6="",1,IF(法术查询!$J$6=$E26,1,0)),IF(法术查询!$J$7="",1,SEARCH(法术查询!$J$7,$F26)),IF(法术查询!$J$8="",1,SEARCH(法术查询!$J$8,G26)),IF(法术查询!$J$9="",1,SEARCH(法术查询!$J$9,N26)),IF(法术查询!$J$10="",1,IF(法术查询!$J$10=$AF$11,IF($M26=1,1,0),IF($M26="",1,0))),IF(法术查询!$J$11="",1,IF(法术查询!$J$11=$AF$11,IF($D26=1,1,0),IF($D26="",1,0))),IF(法术查询!$J$12="",1,SEARCH(法术查询!$J$12,$B26&amp;$C26&amp;$O26)),IF(法术查询!$J$13="",1,SEARCH(法术查询!$J$13,$B26&amp;$C26&amp;$O26)),IF(法术查询!$J$14="",1,SEARCH(法术查询!$J$14,$B26&amp;$C26&amp;$O26)),IF(法术查询!$J$16="",1,IF(法术查询!$J$16=$AF$11,IF($H26=1,1,0),IF($H26="",1,0))),IF(法术查询!$J$17="",1,IF(法术查询!$J$17=$AF$11,IF($I26=1,1,0),IF($I26="",1,0))),IF(法术查询!$J$18="",1,IF(法术查询!$J$18=$AF$11,IF($J26&lt;&gt;"",1,0),IF($J26="",1,0))),IF(法术查询!$J$19="",1,IF(法术查询!$J$19=$AF$11,IF($L26&lt;&gt;"",1,0),IF($L26="",1,0)))),$B26,""),"")</f>
        <v/>
      </c>
      <c r="AD25" s="192" t="str">
        <f t="array" ref="AD25">INDEX(AC:AC,SMALL(IF($AC$2:$AC$523&lt;&gt;"",ROW($2:$523),524),ROW(AC24)))&amp;""</f>
        <v>空气泡泡</v>
      </c>
      <c r="AE25" s="200" t="str">
        <f t="shared" si="3"/>
        <v>Air Bubble</v>
      </c>
      <c r="AF25" s="192"/>
      <c r="AG25" s="224" t="s">
        <v>6785</v>
      </c>
      <c r="AH25" s="224" t="s">
        <v>6786</v>
      </c>
      <c r="AI25" s="223" t="s">
        <v>6787</v>
      </c>
      <c r="AJ25" s="192">
        <v>24</v>
      </c>
      <c r="AK25" s="193" t="str">
        <f>IF(法术书!V31="","",法术书!V31)</f>
        <v/>
      </c>
      <c r="AL25" s="224" t="str">
        <f t="array" ref="AL25">IFERROR(INDEX(AK$1:AK$301,SMALL(IF(MATCH(AK25,AK$1:AK$301,0)=ROW(AK25),ROW(AK$1:AK$301),999),ROW(AK25))),"")</f>
        <v/>
      </c>
      <c r="AM25" s="223" t="str">
        <f t="array" ref="AM25">INDEX(AL:AL,SMALL(IF($AL$2:$AL$301&lt;&gt;"",ROW($2:$301),302),ROW(AL24)))&amp;""</f>
        <v/>
      </c>
      <c r="AN25" s="192" t="str">
        <f>IF(主要!J74="","",主要!J74)</f>
        <v/>
      </c>
      <c r="AO25" s="193" t="str">
        <f t="shared" si="4"/>
        <v/>
      </c>
      <c r="AP25" s="193" t="str">
        <f t="shared" si="0"/>
        <v/>
      </c>
      <c r="AQ25" s="193" t="e">
        <f t="shared" si="1"/>
        <v>#N/A</v>
      </c>
      <c r="AR25" s="193" t="e">
        <f t="shared" si="2"/>
        <v>#N/A</v>
      </c>
      <c r="AS25" s="193" t="str">
        <f t="array" ref="AS25">IFERROR(INDEX(AN$1:AN$46,SMALL(IF(MATCH(AN25,AN$1:AN$46,0)=ROW(AN25),ROW(AN$1:AN$46),999),ROW(AN25))),"")</f>
        <v/>
      </c>
      <c r="AT25" s="200" t="str">
        <f t="array" ref="AT25">INDEX(AS:AS,SMALL(IF($AS$2:$AS$46&lt;&gt;"",ROW($2:$46),47),ROW(AS24)))&amp;""</f>
        <v/>
      </c>
    </row>
    <row r="26" customHeight="1" spans="1:46">
      <c r="A26" s="192">
        <v>24</v>
      </c>
      <c r="B26" s="224" t="s">
        <v>6788</v>
      </c>
      <c r="C26" s="224" t="s">
        <v>6789</v>
      </c>
      <c r="D26" s="224"/>
      <c r="E26" s="231" t="s">
        <v>6672</v>
      </c>
      <c r="F26" s="193" t="s">
        <v>6642</v>
      </c>
      <c r="G26" s="193" t="s">
        <v>6673</v>
      </c>
      <c r="H26" s="193">
        <v>1</v>
      </c>
      <c r="N26" s="193" t="s">
        <v>6666</v>
      </c>
      <c r="O26" s="224" t="s">
        <v>6790</v>
      </c>
      <c r="P26" s="224">
        <v>0</v>
      </c>
      <c r="Q26" s="224" t="s">
        <v>249</v>
      </c>
      <c r="S26" s="193">
        <v>1</v>
      </c>
      <c r="AA26" s="223" t="s">
        <v>6791</v>
      </c>
      <c r="AB26" s="200" t="str">
        <f t="array" ref="AB26">INDEX(B:B,SMALL(IF($Q$3:$Q$524&lt;&gt;"",ROW($3:$524),525),ROW(B25)))&amp;""</f>
        <v>荆棘之鞭</v>
      </c>
      <c r="AC26" s="225" t="str">
        <f>IFERROR(IF(AND($Q27&lt;&gt;"",IF(法术查询!$J$4="",1,INDEX($R27:$Z27,1,VLOOKUP(法术查询!$J$4,$AF$2:$AG$10,2,0)))&lt;&gt;"",IF(法术查询!$J$5="",1,$P27=VLOOKUP(法术查询!$J$5,$AH$2:$AI$11,2,0)),IF(法术查询!$J$6="",1,IF(法术查询!$J$6=$E27,1,0)),IF(法术查询!$J$7="",1,SEARCH(法术查询!$J$7,$F27)),IF(法术查询!$J$8="",1,SEARCH(法术查询!$J$8,G27)),IF(法术查询!$J$9="",1,SEARCH(法术查询!$J$9,N27)),IF(法术查询!$J$10="",1,IF(法术查询!$J$10=$AF$11,IF($M27=1,1,0),IF($M27="",1,0))),IF(法术查询!$J$11="",1,IF(法术查询!$J$11=$AF$11,IF($D27=1,1,0),IF($D27="",1,0))),IF(法术查询!$J$12="",1,SEARCH(法术查询!$J$12,$B27&amp;$C27&amp;$O27)),IF(法术查询!$J$13="",1,SEARCH(法术查询!$J$13,$B27&amp;$C27&amp;$O27)),IF(法术查询!$J$14="",1,SEARCH(法术查询!$J$14,$B27&amp;$C27&amp;$O27)),IF(法术查询!$J$16="",1,IF(法术查询!$J$16=$AF$11,IF($H27=1,1,0),IF($H27="",1,0))),IF(法术查询!$J$17="",1,IF(法术查询!$J$17=$AF$11,IF($I27=1,1,0),IF($I27="",1,0))),IF(法术查询!$J$18="",1,IF(法术查询!$J$18=$AF$11,IF($J27&lt;&gt;"",1,0),IF($J27="",1,0))),IF(法术查询!$J$19="",1,IF(法术查询!$J$19=$AF$11,IF($L27&lt;&gt;"",1,0),IF($L27="",1,0)))),$B27,""),"")</f>
        <v/>
      </c>
      <c r="AD26" s="192" t="str">
        <f t="array" ref="AD26">INDEX(AC:AC,SMALL(IF($AC$2:$AC$523&lt;&gt;"",ROW($2:$523),524),ROW(AC25)))&amp;""</f>
        <v/>
      </c>
      <c r="AE26" s="200" t="str">
        <f t="shared" si="3"/>
        <v/>
      </c>
      <c r="AF26" s="192"/>
      <c r="AG26" s="224" t="s">
        <v>6792</v>
      </c>
      <c r="AH26" s="224" t="s">
        <v>6793</v>
      </c>
      <c r="AI26" s="223" t="s">
        <v>6794</v>
      </c>
      <c r="AJ26" s="192">
        <v>25</v>
      </c>
      <c r="AK26" s="193" t="str">
        <f>IF(法术书!V32="","",法术书!V32)</f>
        <v/>
      </c>
      <c r="AL26" s="224" t="str">
        <f t="array" ref="AL26">IFERROR(INDEX(AK$1:AK$301,SMALL(IF(MATCH(AK26,AK$1:AK$301,0)=ROW(AK26),ROW(AK$1:AK$301),999),ROW(AK26))),"")</f>
        <v/>
      </c>
      <c r="AM26" s="223" t="str">
        <f t="array" ref="AM26">INDEX(AL:AL,SMALL(IF($AL$2:$AL$301&lt;&gt;"",ROW($2:$301),302),ROW(AL25)))&amp;""</f>
        <v/>
      </c>
      <c r="AN26" s="192" t="str">
        <f>IF(主要!J75="","",主要!J75)</f>
        <v/>
      </c>
      <c r="AO26" s="193" t="str">
        <f t="shared" si="4"/>
        <v/>
      </c>
      <c r="AP26" s="193" t="str">
        <f t="shared" si="0"/>
        <v/>
      </c>
      <c r="AQ26" s="193" t="e">
        <f t="shared" si="1"/>
        <v>#N/A</v>
      </c>
      <c r="AR26" s="193" t="e">
        <f t="shared" si="2"/>
        <v>#N/A</v>
      </c>
      <c r="AS26" s="193" t="str">
        <f t="array" ref="AS26">IFERROR(INDEX(AN$1:AN$46,SMALL(IF(MATCH(AN26,AN$1:AN$46,0)=ROW(AN26),ROW(AN$1:AN$46),999),ROW(AN26))),"")</f>
        <v/>
      </c>
      <c r="AT26" s="200" t="str">
        <f t="array" ref="AT26">INDEX(AS:AS,SMALL(IF($AS$2:$AS$46&lt;&gt;"",ROW($2:$46),47),ROW(AS25)))&amp;""</f>
        <v/>
      </c>
    </row>
    <row r="27" customHeight="1" spans="1:46">
      <c r="A27" s="192">
        <v>25</v>
      </c>
      <c r="B27" s="224" t="s">
        <v>6795</v>
      </c>
      <c r="C27" s="224" t="s">
        <v>6796</v>
      </c>
      <c r="D27" s="224"/>
      <c r="E27" s="231" t="s">
        <v>6672</v>
      </c>
      <c r="F27" s="193" t="s">
        <v>6642</v>
      </c>
      <c r="G27" s="193" t="s">
        <v>6673</v>
      </c>
      <c r="H27" s="193">
        <v>1</v>
      </c>
      <c r="I27" s="193">
        <v>1</v>
      </c>
      <c r="J27" s="193">
        <v>1</v>
      </c>
      <c r="K27" s="224" t="s">
        <v>6797</v>
      </c>
      <c r="L27" s="224"/>
      <c r="N27" s="193" t="s">
        <v>6644</v>
      </c>
      <c r="O27" s="224" t="s">
        <v>6798</v>
      </c>
      <c r="P27" s="224">
        <v>0</v>
      </c>
      <c r="Q27" s="224" t="s">
        <v>249</v>
      </c>
      <c r="T27" s="193">
        <v>1</v>
      </c>
      <c r="Z27" s="193">
        <v>9</v>
      </c>
      <c r="AA27" s="200"/>
      <c r="AB27" s="200" t="str">
        <f t="array" ref="AB27">INDEX(B:B,SMALL(IF($Q$3:$Q$524&lt;&gt;"",ROW($3:$524),525),ROW(B26)))&amp;""</f>
        <v>克敌机先</v>
      </c>
      <c r="AC27" s="225" t="str">
        <f>IFERROR(IF(AND($Q28&lt;&gt;"",IF(法术查询!$J$4="",1,INDEX($R28:$Z28,1,VLOOKUP(法术查询!$J$4,$AF$2:$AG$10,2,0)))&lt;&gt;"",IF(法术查询!$J$5="",1,$P28=VLOOKUP(法术查询!$J$5,$AH$2:$AI$11,2,0)),IF(法术查询!$J$6="",1,IF(法术查询!$J$6=$E28,1,0)),IF(法术查询!$J$7="",1,SEARCH(法术查询!$J$7,$F28)),IF(法术查询!$J$8="",1,SEARCH(法术查询!$J$8,G28)),IF(法术查询!$J$9="",1,SEARCH(法术查询!$J$9,N28)),IF(法术查询!$J$10="",1,IF(法术查询!$J$10=$AF$11,IF($M28=1,1,0),IF($M28="",1,0))),IF(法术查询!$J$11="",1,IF(法术查询!$J$11=$AF$11,IF($D28=1,1,0),IF($D28="",1,0))),IF(法术查询!$J$12="",1,SEARCH(法术查询!$J$12,$B28&amp;$C28&amp;$O28)),IF(法术查询!$J$13="",1,SEARCH(法术查询!$J$13,$B28&amp;$C28&amp;$O28)),IF(法术查询!$J$14="",1,SEARCH(法术查询!$J$14,$B28&amp;$C28&amp;$O28)),IF(法术查询!$J$16="",1,IF(法术查询!$J$16=$AF$11,IF($H28=1,1,0),IF($H28="",1,0))),IF(法术查询!$J$17="",1,IF(法术查询!$J$17=$AF$11,IF($I28=1,1,0),IF($I28="",1,0))),IF(法术查询!$J$18="",1,IF(法术查询!$J$18=$AF$11,IF($J28&lt;&gt;"",1,0),IF($J28="",1,0))),IF(法术查询!$J$19="",1,IF(法术查询!$J$19=$AF$11,IF($L28&lt;&gt;"",1,0),IF($L28="",1,0)))),$B28,""),"")</f>
        <v/>
      </c>
      <c r="AD27" s="192" t="str">
        <f t="array" ref="AD27">INDEX(AC:AC,SMALL(IF($AC$2:$AC$523&lt;&gt;"",ROW($2:$523),524),ROW(AC26)))&amp;""</f>
        <v/>
      </c>
      <c r="AE27" s="200" t="str">
        <f t="shared" si="3"/>
        <v/>
      </c>
      <c r="AF27" s="192"/>
      <c r="AG27" s="224" t="s">
        <v>6799</v>
      </c>
      <c r="AH27" s="224" t="s">
        <v>6800</v>
      </c>
      <c r="AI27" s="223" t="s">
        <v>6801</v>
      </c>
      <c r="AJ27" s="192">
        <v>26</v>
      </c>
      <c r="AK27" s="193" t="str">
        <f>IF(法术书!V33="","",法术书!V33)</f>
        <v/>
      </c>
      <c r="AL27" s="224" t="str">
        <f t="array" ref="AL27">IFERROR(INDEX(AK$1:AK$301,SMALL(IF(MATCH(AK27,AK$1:AK$301,0)=ROW(AK27),ROW(AK$1:AK$301),999),ROW(AK27))),"")</f>
        <v/>
      </c>
      <c r="AM27" s="223" t="str">
        <f t="array" ref="AM27">INDEX(AL:AL,SMALL(IF($AL$2:$AL$301&lt;&gt;"",ROW($2:$301),302),ROW(AL26)))&amp;""</f>
        <v/>
      </c>
      <c r="AN27" s="192" t="str">
        <f>IF(主要!J76="","",主要!J76)</f>
        <v/>
      </c>
      <c r="AO27" s="193" t="str">
        <f t="shared" si="4"/>
        <v/>
      </c>
      <c r="AP27" s="193" t="str">
        <f t="shared" si="0"/>
        <v/>
      </c>
      <c r="AQ27" s="193" t="e">
        <f t="shared" si="1"/>
        <v>#N/A</v>
      </c>
      <c r="AR27" s="193" t="e">
        <f t="shared" si="2"/>
        <v>#N/A</v>
      </c>
      <c r="AS27" s="193" t="str">
        <f t="array" ref="AS27">IFERROR(INDEX(AN$1:AN$46,SMALL(IF(MATCH(AN27,AN$1:AN$46,0)=ROW(AN27),ROW(AN$1:AN$46),999),ROW(AN27))),"")</f>
        <v/>
      </c>
      <c r="AT27" s="200" t="str">
        <f t="array" ref="AT27">INDEX(AS:AS,SMALL(IF($AS$2:$AS$46&lt;&gt;"",ROW($2:$46),47),ROW(AS26)))&amp;""</f>
        <v/>
      </c>
    </row>
    <row r="28" customHeight="1" spans="1:46">
      <c r="A28" s="192">
        <v>26</v>
      </c>
      <c r="B28" s="224" t="s">
        <v>6802</v>
      </c>
      <c r="C28" s="224" t="s">
        <v>6803</v>
      </c>
      <c r="D28" s="224"/>
      <c r="E28" s="238" t="s">
        <v>6695</v>
      </c>
      <c r="F28" s="193" t="s">
        <v>6642</v>
      </c>
      <c r="G28" s="193" t="s">
        <v>6673</v>
      </c>
      <c r="I28" s="193">
        <v>1</v>
      </c>
      <c r="M28" s="193">
        <v>1</v>
      </c>
      <c r="N28" s="193" t="s">
        <v>6804</v>
      </c>
      <c r="O28" s="224" t="s">
        <v>6805</v>
      </c>
      <c r="P28" s="224">
        <v>0</v>
      </c>
      <c r="Q28" s="224" t="s">
        <v>249</v>
      </c>
      <c r="R28" s="193">
        <v>1</v>
      </c>
      <c r="W28" s="193">
        <v>1</v>
      </c>
      <c r="X28" s="193">
        <v>1</v>
      </c>
      <c r="Y28" s="193">
        <v>1</v>
      </c>
      <c r="AA28" s="200"/>
      <c r="AB28" s="200" t="str">
        <f t="array" ref="AB28">INDEX(B:B,SMALL(IF($Q$3:$Q$524&lt;&gt;"",ROW($3:$524),525),ROW(B27)))&amp;""</f>
        <v>恶言相加</v>
      </c>
      <c r="AC28" s="225" t="str">
        <f>IFERROR(IF(AND($Q29&lt;&gt;"",IF(法术查询!$J$4="",1,INDEX($R29:$Z29,1,VLOOKUP(法术查询!$J$4,$AF$2:$AG$10,2,0)))&lt;&gt;"",IF(法术查询!$J$5="",1,$P29=VLOOKUP(法术查询!$J$5,$AH$2:$AI$11,2,0)),IF(法术查询!$J$6="",1,IF(法术查询!$J$6=$E29,1,0)),IF(法术查询!$J$7="",1,SEARCH(法术查询!$J$7,$F29)),IF(法术查询!$J$8="",1,SEARCH(法术查询!$J$8,G29)),IF(法术查询!$J$9="",1,SEARCH(法术查询!$J$9,N29)),IF(法术查询!$J$10="",1,IF(法术查询!$J$10=$AF$11,IF($M29=1,1,0),IF($M29="",1,0))),IF(法术查询!$J$11="",1,IF(法术查询!$J$11=$AF$11,IF($D29=1,1,0),IF($D29="",1,0))),IF(法术查询!$J$12="",1,SEARCH(法术查询!$J$12,$B29&amp;$C29&amp;$O29)),IF(法术查询!$J$13="",1,SEARCH(法术查询!$J$13,$B29&amp;$C29&amp;$O29)),IF(法术查询!$J$14="",1,SEARCH(法术查询!$J$14,$B29&amp;$C29&amp;$O29)),IF(法术查询!$J$16="",1,IF(法术查询!$J$16=$AF$11,IF($H29=1,1,0),IF($H29="",1,0))),IF(法术查询!$J$17="",1,IF(法术查询!$J$17=$AF$11,IF($I29=1,1,0),IF($I29="",1,0))),IF(法术查询!$J$18="",1,IF(法术查询!$J$18=$AF$11,IF($J29&lt;&gt;"",1,0),IF($J29="",1,0))),IF(法术查询!$J$19="",1,IF(法术查询!$J$19=$AF$11,IF($L29&lt;&gt;"",1,0),IF($L29="",1,0)))),$B29,""),"")</f>
        <v/>
      </c>
      <c r="AD28" s="192" t="str">
        <f t="array" ref="AD28">INDEX(AC:AC,SMALL(IF($AC$2:$AC$523&lt;&gt;"",ROW($2:$523),524),ROW(AC27)))&amp;""</f>
        <v/>
      </c>
      <c r="AE28" s="200" t="str">
        <f t="shared" si="3"/>
        <v/>
      </c>
      <c r="AF28" s="192"/>
      <c r="AG28" s="224" t="s">
        <v>6806</v>
      </c>
      <c r="AH28" s="224" t="s">
        <v>6807</v>
      </c>
      <c r="AI28" s="223" t="s">
        <v>6638</v>
      </c>
      <c r="AJ28" s="192">
        <v>27</v>
      </c>
      <c r="AK28" s="193" t="str">
        <f>IF(法术书!V34="","",法术书!V34)</f>
        <v/>
      </c>
      <c r="AL28" s="224" t="str">
        <f t="array" ref="AL28">IFERROR(INDEX(AK$1:AK$301,SMALL(IF(MATCH(AK28,AK$1:AK$301,0)=ROW(AK28),ROW(AK$1:AK$301),999),ROW(AK28))),"")</f>
        <v/>
      </c>
      <c r="AM28" s="223" t="str">
        <f t="array" ref="AM28">INDEX(AL:AL,SMALL(IF($AL$2:$AL$301&lt;&gt;"",ROW($2:$301),302),ROW(AL27)))&amp;""</f>
        <v/>
      </c>
      <c r="AN28" s="192" t="str">
        <f>IF(主要!J77="","",主要!J77)</f>
        <v/>
      </c>
      <c r="AO28" s="193" t="str">
        <f t="shared" si="4"/>
        <v/>
      </c>
      <c r="AP28" s="193" t="str">
        <f t="shared" si="0"/>
        <v/>
      </c>
      <c r="AQ28" s="193" t="e">
        <f t="shared" si="1"/>
        <v>#N/A</v>
      </c>
      <c r="AR28" s="193" t="e">
        <f t="shared" si="2"/>
        <v>#N/A</v>
      </c>
      <c r="AS28" s="193" t="str">
        <f t="array" ref="AS28">IFERROR(INDEX(AN$1:AN$46,SMALL(IF(MATCH(AN28,AN$1:AN$46,0)=ROW(AN28),ROW(AN$1:AN$46),999),ROW(AN28))),"")</f>
        <v/>
      </c>
      <c r="AT28" s="200" t="str">
        <f t="array" ref="AT28">INDEX(AS:AS,SMALL(IF($AS$2:$AS$46&lt;&gt;"",ROW($2:$46),47),ROW(AS27)))&amp;""</f>
        <v/>
      </c>
    </row>
    <row r="29" customHeight="1" spans="1:46">
      <c r="A29" s="192">
        <v>27</v>
      </c>
      <c r="B29" s="224" t="s">
        <v>6808</v>
      </c>
      <c r="C29" s="224" t="s">
        <v>6809</v>
      </c>
      <c r="D29" s="224"/>
      <c r="E29" s="233" t="s">
        <v>6688</v>
      </c>
      <c r="F29" s="193" t="s">
        <v>6642</v>
      </c>
      <c r="G29" s="193" t="s">
        <v>6643</v>
      </c>
      <c r="H29" s="193">
        <v>1</v>
      </c>
      <c r="N29" s="193" t="s">
        <v>6644</v>
      </c>
      <c r="O29" s="224" t="s">
        <v>6810</v>
      </c>
      <c r="P29" s="224">
        <v>0</v>
      </c>
      <c r="Q29" s="224" t="s">
        <v>249</v>
      </c>
      <c r="R29" s="193">
        <v>1</v>
      </c>
      <c r="AA29" s="223" t="s">
        <v>6811</v>
      </c>
      <c r="AB29" s="200" t="str">
        <f t="array" ref="AB29">INDEX(B:B,SMALL(IF($Q$3:$Q$524&lt;&gt;"",ROW($3:$524),525),ROW(B28)))&amp;""</f>
        <v>轰雷剑</v>
      </c>
      <c r="AC29" s="225" t="str">
        <f>IFERROR(IF(AND($Q30&lt;&gt;"",IF(法术查询!$J$4="",1,INDEX($R30:$Z30,1,VLOOKUP(法术查询!$J$4,$AF$2:$AG$10,2,0)))&lt;&gt;"",IF(法术查询!$J$5="",1,$P30=VLOOKUP(法术查询!$J$5,$AH$2:$AI$11,2,0)),IF(法术查询!$J$6="",1,IF(法术查询!$J$6=$E30,1,0)),IF(法术查询!$J$7="",1,SEARCH(法术查询!$J$7,$F30)),IF(法术查询!$J$8="",1,SEARCH(法术查询!$J$8,G30)),IF(法术查询!$J$9="",1,SEARCH(法术查询!$J$9,N30)),IF(法术查询!$J$10="",1,IF(法术查询!$J$10=$AF$11,IF($M30=1,1,0),IF($M30="",1,0))),IF(法术查询!$J$11="",1,IF(法术查询!$J$11=$AF$11,IF($D30=1,1,0),IF($D30="",1,0))),IF(法术查询!$J$12="",1,SEARCH(法术查询!$J$12,$B30&amp;$C30&amp;$O30)),IF(法术查询!$J$13="",1,SEARCH(法术查询!$J$13,$B30&amp;$C30&amp;$O30)),IF(法术查询!$J$14="",1,SEARCH(法术查询!$J$14,$B30&amp;$C30&amp;$O30)),IF(法术查询!$J$16="",1,IF(法术查询!$J$16=$AF$11,IF($H30=1,1,0),IF($H30="",1,0))),IF(法术查询!$J$17="",1,IF(法术查询!$J$17=$AF$11,IF($I30=1,1,0),IF($I30="",1,0))),IF(法术查询!$J$18="",1,IF(法术查询!$J$18=$AF$11,IF($J30&lt;&gt;"",1,0),IF($J30="",1,0))),IF(法术查询!$J$19="",1,IF(法术查询!$J$19=$AF$11,IF($L30&lt;&gt;"",1,0),IF($L30="",1,0)))),$B30,""),"")</f>
        <v/>
      </c>
      <c r="AD29" s="192" t="str">
        <f t="array" ref="AD29">INDEX(AC:AC,SMALL(IF($AC$2:$AC$523&lt;&gt;"",ROW($2:$523),524),ROW(AC28)))&amp;""</f>
        <v/>
      </c>
      <c r="AE29" s="200" t="str">
        <f t="shared" si="3"/>
        <v/>
      </c>
      <c r="AF29" s="192"/>
      <c r="AG29" s="224" t="s">
        <v>6812</v>
      </c>
      <c r="AH29" s="224" t="s">
        <v>6813</v>
      </c>
      <c r="AI29" s="223" t="s">
        <v>6804</v>
      </c>
      <c r="AJ29" s="192">
        <v>28</v>
      </c>
      <c r="AK29" s="193" t="str">
        <f>IF(法术书!V35="","",法术书!V35)</f>
        <v/>
      </c>
      <c r="AL29" s="224" t="str">
        <f t="array" ref="AL29">IFERROR(INDEX(AK$1:AK$301,SMALL(IF(MATCH(AK29,AK$1:AK$301,0)=ROW(AK29),ROW(AK$1:AK$301),999),ROW(AK29))),"")</f>
        <v/>
      </c>
      <c r="AM29" s="223" t="str">
        <f t="array" ref="AM29">INDEX(AL:AL,SMALL(IF($AL$2:$AL$301&lt;&gt;"",ROW($2:$301),302),ROW(AL28)))&amp;""</f>
        <v/>
      </c>
      <c r="AN29" s="192" t="str">
        <f>IF(主要!J78="","",主要!J78)</f>
        <v/>
      </c>
      <c r="AO29" s="193" t="str">
        <f t="shared" si="4"/>
        <v/>
      </c>
      <c r="AP29" s="193" t="str">
        <f t="shared" si="0"/>
        <v/>
      </c>
      <c r="AQ29" s="193" t="e">
        <f t="shared" si="1"/>
        <v>#N/A</v>
      </c>
      <c r="AR29" s="193" t="e">
        <f t="shared" si="2"/>
        <v>#N/A</v>
      </c>
      <c r="AS29" s="193" t="str">
        <f t="array" ref="AS29">IFERROR(INDEX(AN$1:AN$46,SMALL(IF(MATCH(AN29,AN$1:AN$46,0)=ROW(AN29),ROW(AN$1:AN$46),999),ROW(AN29))),"")</f>
        <v/>
      </c>
      <c r="AT29" s="200" t="str">
        <f t="array" ref="AT29">INDEX(AS:AS,SMALL(IF($AS$2:$AS$46&lt;&gt;"",ROW($2:$46),47),ROW(AS28)))&amp;""</f>
        <v/>
      </c>
    </row>
    <row r="30" customHeight="1" spans="1:46">
      <c r="A30" s="192">
        <v>28</v>
      </c>
      <c r="B30" s="224" t="s">
        <v>6814</v>
      </c>
      <c r="C30" s="224" t="s">
        <v>6815</v>
      </c>
      <c r="D30" s="224"/>
      <c r="E30" s="229" t="s">
        <v>6664</v>
      </c>
      <c r="F30" s="193" t="s">
        <v>6642</v>
      </c>
      <c r="G30" s="193" t="s">
        <v>6816</v>
      </c>
      <c r="I30" s="193">
        <v>1</v>
      </c>
      <c r="J30" s="193">
        <v>1</v>
      </c>
      <c r="K30" s="224" t="s">
        <v>6817</v>
      </c>
      <c r="N30" s="193" t="s">
        <v>6652</v>
      </c>
      <c r="O30" s="224" t="s">
        <v>6818</v>
      </c>
      <c r="P30" s="224">
        <v>0</v>
      </c>
      <c r="Q30" s="244" t="str">
        <f>IF(OR(综合数据!$B$5=TRUE,综合数据!$B$14=TRUE),"SCAG","")</f>
        <v>SCAG</v>
      </c>
      <c r="W30" s="193">
        <v>4</v>
      </c>
      <c r="X30" s="193">
        <v>4</v>
      </c>
      <c r="Y30" s="193">
        <v>4</v>
      </c>
      <c r="Z30" s="193" t="str">
        <f>IF(综合数据!$B$14=TRUE,"13","")</f>
        <v>13</v>
      </c>
      <c r="AA30" s="200"/>
      <c r="AB30" s="200" t="str">
        <f t="array" ref="AB30">INDEX(B:B,SMALL(IF($Q$3:$Q$524&lt;&gt;"",ROW($3:$524),525),ROW(B29)))&amp;""</f>
        <v>翠炎剑</v>
      </c>
      <c r="AC30" s="225" t="str">
        <f>IFERROR(IF(AND($Q31&lt;&gt;"",IF(法术查询!$J$4="",1,INDEX($R31:$Z31,1,VLOOKUP(法术查询!$J$4,$AF$2:$AG$10,2,0)))&lt;&gt;"",IF(法术查询!$J$5="",1,$P31=VLOOKUP(法术查询!$J$5,$AH$2:$AI$11,2,0)),IF(法术查询!$J$6="",1,IF(法术查询!$J$6=$E31,1,0)),IF(法术查询!$J$7="",1,SEARCH(法术查询!$J$7,$F31)),IF(法术查询!$J$8="",1,SEARCH(法术查询!$J$8,G31)),IF(法术查询!$J$9="",1,SEARCH(法术查询!$J$9,N31)),IF(法术查询!$J$10="",1,IF(法术查询!$J$10=$AF$11,IF($M31=1,1,0),IF($M31="",1,0))),IF(法术查询!$J$11="",1,IF(法术查询!$J$11=$AF$11,IF($D31=1,1,0),IF($D31="",1,0))),IF(法术查询!$J$12="",1,SEARCH(法术查询!$J$12,$B31&amp;$C31&amp;$O31)),IF(法术查询!$J$13="",1,SEARCH(法术查询!$J$13,$B31&amp;$C31&amp;$O31)),IF(法术查询!$J$14="",1,SEARCH(法术查询!$J$14,$B31&amp;$C31&amp;$O31)),IF(法术查询!$J$16="",1,IF(法术查询!$J$16=$AF$11,IF($H31=1,1,0),IF($H31="",1,0))),IF(法术查询!$J$17="",1,IF(法术查询!$J$17=$AF$11,IF($I31=1,1,0),IF($I31="",1,0))),IF(法术查询!$J$18="",1,IF(法术查询!$J$18=$AF$11,IF($J31&lt;&gt;"",1,0),IF($J31="",1,0))),IF(法术查询!$J$19="",1,IF(法术查询!$J$19=$AF$11,IF($L31&lt;&gt;"",1,0),IF($L31="",1,0)))),$B31,""),"")</f>
        <v/>
      </c>
      <c r="AD30" s="192" t="str">
        <f t="array" ref="AD30">INDEX(AC:AC,SMALL(IF($AC$2:$AC$523&lt;&gt;"",ROW($2:$523),524),ROW(AC29)))&amp;""</f>
        <v/>
      </c>
      <c r="AE30" s="200" t="str">
        <f t="shared" si="3"/>
        <v/>
      </c>
      <c r="AF30" s="192"/>
      <c r="AG30" s="224" t="s">
        <v>6819</v>
      </c>
      <c r="AH30" s="224" t="s">
        <v>6820</v>
      </c>
      <c r="AI30" s="223" t="s">
        <v>6821</v>
      </c>
      <c r="AJ30" s="192">
        <v>29</v>
      </c>
      <c r="AK30" s="193" t="str">
        <f>IF(法术书!V36="","",法术书!V36)</f>
        <v/>
      </c>
      <c r="AL30" s="224" t="str">
        <f t="array" ref="AL30">IFERROR(INDEX(AK$1:AK$301,SMALL(IF(MATCH(AK30,AK$1:AK$301,0)=ROW(AK30),ROW(AK$1:AK$301),999),ROW(AK30))),"")</f>
        <v/>
      </c>
      <c r="AM30" s="223" t="str">
        <f t="array" ref="AM30">INDEX(AL:AL,SMALL(IF($AL$2:$AL$301&lt;&gt;"",ROW($2:$301),302),ROW(AL29)))&amp;""</f>
        <v/>
      </c>
      <c r="AN30" s="192" t="str">
        <f>IF(主要!J79="","",主要!J79)</f>
        <v/>
      </c>
      <c r="AO30" s="193" t="str">
        <f t="shared" si="4"/>
        <v/>
      </c>
      <c r="AP30" s="193" t="str">
        <f t="shared" si="0"/>
        <v/>
      </c>
      <c r="AQ30" s="193" t="e">
        <f t="shared" si="1"/>
        <v>#N/A</v>
      </c>
      <c r="AR30" s="193" t="e">
        <f t="shared" si="2"/>
        <v>#N/A</v>
      </c>
      <c r="AS30" s="193" t="str">
        <f t="array" ref="AS30">IFERROR(INDEX(AN$1:AN$46,SMALL(IF(MATCH(AN30,AN$1:AN$46,0)=ROW(AN30),ROW(AN$1:AN$46),999),ROW(AN30))),"")</f>
        <v/>
      </c>
      <c r="AT30" s="200" t="str">
        <f t="array" ref="AT30">INDEX(AS:AS,SMALL(IF($AS$2:$AS$46&lt;&gt;"",ROW($2:$46),47),ROW(AS29)))&amp;""</f>
        <v/>
      </c>
    </row>
    <row r="31" customHeight="1" spans="1:46">
      <c r="A31" s="192">
        <v>29</v>
      </c>
      <c r="B31" s="224" t="s">
        <v>6822</v>
      </c>
      <c r="C31" s="224" t="s">
        <v>6823</v>
      </c>
      <c r="D31" s="224"/>
      <c r="E31" s="229" t="s">
        <v>6664</v>
      </c>
      <c r="F31" s="193" t="s">
        <v>6642</v>
      </c>
      <c r="G31" s="193" t="s">
        <v>6816</v>
      </c>
      <c r="I31" s="193">
        <v>1</v>
      </c>
      <c r="J31" s="193">
        <v>1</v>
      </c>
      <c r="K31" s="224" t="s">
        <v>6817</v>
      </c>
      <c r="N31" s="193" t="s">
        <v>6644</v>
      </c>
      <c r="O31" s="224" t="s">
        <v>6824</v>
      </c>
      <c r="P31" s="224">
        <v>0</v>
      </c>
      <c r="Q31" s="244" t="str">
        <f>IF(OR(综合数据!$B$5=TRUE,综合数据!$B$14=TRUE),"SCAG","")</f>
        <v>SCAG</v>
      </c>
      <c r="W31" s="193">
        <v>4</v>
      </c>
      <c r="X31" s="193">
        <v>4</v>
      </c>
      <c r="Y31" s="193">
        <v>4</v>
      </c>
      <c r="Z31" s="193" t="str">
        <f>IF(综合数据!$B$14=TRUE,"13","")</f>
        <v>13</v>
      </c>
      <c r="AA31" s="200"/>
      <c r="AB31" s="200" t="str">
        <f t="array" ref="AB31">INDEX(B:B,SMALL(IF($Q$3:$Q$524&lt;&gt;"",ROW($3:$524),525),ROW(B30)))&amp;""</f>
        <v>闪电牵引</v>
      </c>
      <c r="AC31" s="225" t="str">
        <f>IFERROR(IF(AND($Q32&lt;&gt;"",IF(法术查询!$J$4="",1,INDEX($R32:$Z32,1,VLOOKUP(法术查询!$J$4,$AF$2:$AG$10,2,0)))&lt;&gt;"",IF(法术查询!$J$5="",1,$P32=VLOOKUP(法术查询!$J$5,$AH$2:$AI$11,2,0)),IF(法术查询!$J$6="",1,IF(法术查询!$J$6=$E32,1,0)),IF(法术查询!$J$7="",1,SEARCH(法术查询!$J$7,$F32)),IF(法术查询!$J$8="",1,SEARCH(法术查询!$J$8,G32)),IF(法术查询!$J$9="",1,SEARCH(法术查询!$J$9,N32)),IF(法术查询!$J$10="",1,IF(法术查询!$J$10=$AF$11,IF($M32=1,1,0),IF($M32="",1,0))),IF(法术查询!$J$11="",1,IF(法术查询!$J$11=$AF$11,IF($D32=1,1,0),IF($D32="",1,0))),IF(法术查询!$J$12="",1,SEARCH(法术查询!$J$12,$B32&amp;$C32&amp;$O32)),IF(法术查询!$J$13="",1,SEARCH(法术查询!$J$13,$B32&amp;$C32&amp;$O32)),IF(法术查询!$J$14="",1,SEARCH(法术查询!$J$14,$B32&amp;$C32&amp;$O32)),IF(法术查询!$J$16="",1,IF(法术查询!$J$16=$AF$11,IF($H32=1,1,0),IF($H32="",1,0))),IF(法术查询!$J$17="",1,IF(法术查询!$J$17=$AF$11,IF($I32=1,1,0),IF($I32="",1,0))),IF(法术查询!$J$18="",1,IF(法术查询!$J$18=$AF$11,IF($J32&lt;&gt;"",1,0),IF($J32="",1,0))),IF(法术查询!$J$19="",1,IF(法术查询!$J$19=$AF$11,IF($L32&lt;&gt;"",1,0),IF($L32="",1,0)))),$B32,""),"")</f>
        <v/>
      </c>
      <c r="AD31" s="192" t="str">
        <f t="array" ref="AD31">INDEX(AC:AC,SMALL(IF($AC$2:$AC$523&lt;&gt;"",ROW($2:$523),524),ROW(AC30)))&amp;""</f>
        <v/>
      </c>
      <c r="AE31" s="200" t="str">
        <f t="shared" si="3"/>
        <v/>
      </c>
      <c r="AF31" s="192"/>
      <c r="AG31" s="224" t="s">
        <v>6825</v>
      </c>
      <c r="AH31" s="224" t="s">
        <v>6826</v>
      </c>
      <c r="AI31" s="223" t="s">
        <v>6666</v>
      </c>
      <c r="AJ31" s="192">
        <v>30</v>
      </c>
      <c r="AK31" s="193" t="str">
        <f>IF(法术书!V37="","",法术书!V37)</f>
        <v/>
      </c>
      <c r="AL31" s="224" t="str">
        <f t="array" ref="AL31">IFERROR(INDEX(AK$1:AK$301,SMALL(IF(MATCH(AK31,AK$1:AK$301,0)=ROW(AK31),ROW(AK$1:AK$301),999),ROW(AK31))),"")</f>
        <v/>
      </c>
      <c r="AM31" s="223" t="str">
        <f t="array" ref="AM31">INDEX(AL:AL,SMALL(IF($AL$2:$AL$301&lt;&gt;"",ROW($2:$301),302),ROW(AL30)))&amp;""</f>
        <v/>
      </c>
      <c r="AN31" s="192" t="str">
        <f>IF(主要!J80="","",主要!J80)</f>
        <v/>
      </c>
      <c r="AO31" s="193" t="str">
        <f t="shared" si="4"/>
        <v/>
      </c>
      <c r="AP31" s="193" t="str">
        <f t="shared" si="0"/>
        <v/>
      </c>
      <c r="AQ31" s="193" t="e">
        <f t="shared" si="1"/>
        <v>#N/A</v>
      </c>
      <c r="AR31" s="193" t="e">
        <f t="shared" si="2"/>
        <v>#N/A</v>
      </c>
      <c r="AS31" s="193" t="str">
        <f t="array" ref="AS31">IFERROR(INDEX(AN$1:AN$46,SMALL(IF(MATCH(AN31,AN$1:AN$46,0)=ROW(AN31),ROW(AN$1:AN$46),999),ROW(AN31))),"")</f>
        <v/>
      </c>
      <c r="AT31" s="200" t="str">
        <f t="array" ref="AT31">INDEX(AS:AS,SMALL(IF($AS$2:$AS$46&lt;&gt;"",ROW($2:$46),47),ROW(AS30)))&amp;""</f>
        <v/>
      </c>
    </row>
    <row r="32" customHeight="1" spans="1:46">
      <c r="A32" s="192">
        <v>30</v>
      </c>
      <c r="B32" s="224" t="s">
        <v>6827</v>
      </c>
      <c r="C32" s="224" t="s">
        <v>6828</v>
      </c>
      <c r="D32" s="224"/>
      <c r="E32" s="229" t="s">
        <v>6664</v>
      </c>
      <c r="F32" s="193" t="s">
        <v>6642</v>
      </c>
      <c r="G32" s="193" t="s">
        <v>6829</v>
      </c>
      <c r="H32" s="193">
        <v>1</v>
      </c>
      <c r="N32" s="193" t="s">
        <v>6644</v>
      </c>
      <c r="O32" s="224" t="s">
        <v>6830</v>
      </c>
      <c r="P32" s="224">
        <v>0</v>
      </c>
      <c r="Q32" s="244" t="str">
        <f>IF(OR(综合数据!$B$5=TRUE,综合数据!$B$14=TRUE),"SCAG","")</f>
        <v>SCAG</v>
      </c>
      <c r="W32" s="193">
        <v>4</v>
      </c>
      <c r="X32" s="193">
        <v>4</v>
      </c>
      <c r="Y32" s="193">
        <v>4</v>
      </c>
      <c r="Z32" s="193" t="str">
        <f>IF(综合数据!$B$14=TRUE,"13","")</f>
        <v>13</v>
      </c>
      <c r="AA32" s="200"/>
      <c r="AB32" s="200" t="str">
        <f t="array" ref="AB32">INDEX(B:B,SMALL(IF($Q$3:$Q$524&lt;&gt;"",ROW($3:$524),525),ROW(B31)))&amp;""</f>
        <v>剑刃爆发</v>
      </c>
      <c r="AC32" s="225" t="str">
        <f>IFERROR(IF(AND($Q33&lt;&gt;"",IF(法术查询!$J$4="",1,INDEX($R33:$Z33,1,VLOOKUP(法术查询!$J$4,$AF$2:$AG$10,2,0)))&lt;&gt;"",IF(法术查询!$J$5="",1,$P33=VLOOKUP(法术查询!$J$5,$AH$2:$AI$11,2,0)),IF(法术查询!$J$6="",1,IF(法术查询!$J$6=$E33,1,0)),IF(法术查询!$J$7="",1,SEARCH(法术查询!$J$7,$F33)),IF(法术查询!$J$8="",1,SEARCH(法术查询!$J$8,G33)),IF(法术查询!$J$9="",1,SEARCH(法术查询!$J$9,N33)),IF(法术查询!$J$10="",1,IF(法术查询!$J$10=$AF$11,IF($M33=1,1,0),IF($M33="",1,0))),IF(法术查询!$J$11="",1,IF(法术查询!$J$11=$AF$11,IF($D33=1,1,0),IF($D33="",1,0))),IF(法术查询!$J$12="",1,SEARCH(法术查询!$J$12,$B33&amp;$C33&amp;$O33)),IF(法术查询!$J$13="",1,SEARCH(法术查询!$J$13,$B33&amp;$C33&amp;$O33)),IF(法术查询!$J$14="",1,SEARCH(法术查询!$J$14,$B33&amp;$C33&amp;$O33)),IF(法术查询!$J$16="",1,IF(法术查询!$J$16=$AF$11,IF($H33=1,1,0),IF($H33="",1,0))),IF(法术查询!$J$17="",1,IF(法术查询!$J$17=$AF$11,IF($I33=1,1,0),IF($I33="",1,0))),IF(法术查询!$J$18="",1,IF(法术查询!$J$18=$AF$11,IF($J33&lt;&gt;"",1,0),IF($J33="",1,0))),IF(法术查询!$J$19="",1,IF(法术查询!$J$19=$AF$11,IF($L33&lt;&gt;"",1,0),IF($L33="",1,0)))),$B33,""),"")</f>
        <v/>
      </c>
      <c r="AD32" s="192" t="str">
        <f t="array" ref="AD32">INDEX(AC:AC,SMALL(IF($AC$2:$AC$523&lt;&gt;"",ROW($2:$523),524),ROW(AC31)))&amp;""</f>
        <v/>
      </c>
      <c r="AE32" s="200" t="str">
        <f t="shared" si="3"/>
        <v/>
      </c>
      <c r="AF32" s="192"/>
      <c r="AH32" s="224" t="s">
        <v>6638</v>
      </c>
      <c r="AI32" s="223" t="s">
        <v>6831</v>
      </c>
      <c r="AJ32" s="192">
        <v>31</v>
      </c>
      <c r="AK32" s="193" t="str">
        <f>IF(法术书!V38="","",法术书!V38)</f>
        <v/>
      </c>
      <c r="AL32" s="224" t="str">
        <f t="array" ref="AL32">IFERROR(INDEX(AK$1:AK$301,SMALL(IF(MATCH(AK32,AK$1:AK$301,0)=ROW(AK32),ROW(AK$1:AK$301),999),ROW(AK32))),"")</f>
        <v/>
      </c>
      <c r="AM32" s="223" t="str">
        <f t="array" ref="AM32">INDEX(AL:AL,SMALL(IF($AL$2:$AL$301&lt;&gt;"",ROW($2:$301),302),ROW(AL31)))&amp;""</f>
        <v/>
      </c>
      <c r="AN32" s="192" t="str">
        <f>IF(主要!Q66="","",主要!Q66)</f>
        <v/>
      </c>
      <c r="AO32" s="193" t="str">
        <f t="shared" si="4"/>
        <v/>
      </c>
      <c r="AP32" s="193" t="str">
        <f t="shared" si="0"/>
        <v/>
      </c>
      <c r="AQ32" s="193" t="e">
        <f t="shared" si="1"/>
        <v>#N/A</v>
      </c>
      <c r="AR32" s="193" t="e">
        <f t="shared" si="2"/>
        <v>#N/A</v>
      </c>
      <c r="AS32" s="193" t="str">
        <f t="array" ref="AS32">IFERROR(INDEX(AN$1:AN$46,SMALL(IF(MATCH(AN32,AN$1:AN$46,0)=ROW(AN32),ROW(AN$1:AN$46),999),ROW(AN32))),"")</f>
        <v/>
      </c>
      <c r="AT32" s="200" t="str">
        <f t="array" ref="AT32">INDEX(AS:AS,SMALL(IF($AS$2:$AS$46&lt;&gt;"",ROW($2:$46),47),ROW(AS31)))&amp;""</f>
        <v/>
      </c>
    </row>
    <row r="33" customHeight="1" spans="1:46">
      <c r="A33" s="192">
        <v>31</v>
      </c>
      <c r="B33" s="224" t="s">
        <v>6832</v>
      </c>
      <c r="C33" s="224" t="s">
        <v>6833</v>
      </c>
      <c r="D33" s="224"/>
      <c r="E33" s="240" t="s">
        <v>6641</v>
      </c>
      <c r="F33" s="193" t="s">
        <v>6642</v>
      </c>
      <c r="G33" s="193" t="s">
        <v>6816</v>
      </c>
      <c r="H33" s="193">
        <v>1</v>
      </c>
      <c r="N33" s="193" t="s">
        <v>6644</v>
      </c>
      <c r="O33" s="224" t="s">
        <v>6834</v>
      </c>
      <c r="P33" s="224">
        <v>0</v>
      </c>
      <c r="Q33" s="244" t="str">
        <f>IF(OR(综合数据!$B$5=TRUE,综合数据!$B$14=TRUE),"SCAG","")</f>
        <v>SCAG</v>
      </c>
      <c r="W33" s="193">
        <v>4</v>
      </c>
      <c r="X33" s="193">
        <v>4</v>
      </c>
      <c r="Y33" s="193">
        <v>4</v>
      </c>
      <c r="Z33" s="193" t="str">
        <f>IF(综合数据!$B$14=TRUE,"13","")</f>
        <v>13</v>
      </c>
      <c r="AA33" s="200"/>
      <c r="AB33" s="200" t="str">
        <f t="array" ref="AB33">INDEX(B:B,SMALL(IF($Q$3:$Q$524&lt;&gt;"",ROW($3:$524),525),ROW(B32)))&amp;""</f>
        <v>控火术</v>
      </c>
      <c r="AC33" s="225" t="str">
        <f>IFERROR(IF(AND($Q34&lt;&gt;"",IF(法术查询!$J$4="",1,INDEX($R34:$Z34,1,VLOOKUP(法术查询!$J$4,$AF$2:$AG$10,2,0)))&lt;&gt;"",IF(法术查询!$J$5="",1,$P34=VLOOKUP(法术查询!$J$5,$AH$2:$AI$11,2,0)),IF(法术查询!$J$6="",1,IF(法术查询!$J$6=$E34,1,0)),IF(法术查询!$J$7="",1,SEARCH(法术查询!$J$7,$F34)),IF(法术查询!$J$8="",1,SEARCH(法术查询!$J$8,G34)),IF(法术查询!$J$9="",1,SEARCH(法术查询!$J$9,N34)),IF(法术查询!$J$10="",1,IF(法术查询!$J$10=$AF$11,IF($M34=1,1,0),IF($M34="",1,0))),IF(法术查询!$J$11="",1,IF(法术查询!$J$11=$AF$11,IF($D34=1,1,0),IF($D34="",1,0))),IF(法术查询!$J$12="",1,SEARCH(法术查询!$J$12,$B34&amp;$C34&amp;$O34)),IF(法术查询!$J$13="",1,SEARCH(法术查询!$J$13,$B34&amp;$C34&amp;$O34)),IF(法术查询!$J$14="",1,SEARCH(法术查询!$J$14,$B34&amp;$C34&amp;$O34)),IF(法术查询!$J$16="",1,IF(法术查询!$J$16=$AF$11,IF($H34=1,1,0),IF($H34="",1,0))),IF(法术查询!$J$17="",1,IF(法术查询!$J$17=$AF$11,IF($I34=1,1,0),IF($I34="",1,0))),IF(法术查询!$J$18="",1,IF(法术查询!$J$18=$AF$11,IF($J34&lt;&gt;"",1,0),IF($J34="",1,0))),IF(法术查询!$J$19="",1,IF(法术查询!$J$19=$AF$11,IF($L34&lt;&gt;"",1,0),IF($L34="",1,0)))),$B34,""),"")</f>
        <v/>
      </c>
      <c r="AD33" s="192" t="str">
        <f t="array" ref="AD33">INDEX(AC:AC,SMALL(IF($AC$2:$AC$523&lt;&gt;"",ROW($2:$523),524),ROW(AC32)))&amp;""</f>
        <v/>
      </c>
      <c r="AE33" s="200" t="str">
        <f t="shared" si="3"/>
        <v/>
      </c>
      <c r="AF33" s="192"/>
      <c r="AH33" s="224" t="s">
        <v>6816</v>
      </c>
      <c r="AI33" s="223" t="s">
        <v>6739</v>
      </c>
      <c r="AJ33" s="192">
        <v>32</v>
      </c>
      <c r="AK33" s="193" t="str">
        <f>IF(法术书!V39="","",法术书!V39)</f>
        <v/>
      </c>
      <c r="AL33" s="224" t="str">
        <f t="array" ref="AL33">IFERROR(INDEX(AK$1:AK$301,SMALL(IF(MATCH(AK33,AK$1:AK$301,0)=ROW(AK33),ROW(AK$1:AK$301),999),ROW(AK33))),"")</f>
        <v/>
      </c>
      <c r="AM33" s="223" t="str">
        <f t="array" ref="AM33">INDEX(AL:AL,SMALL(IF($AL$2:$AL$301&lt;&gt;"",ROW($2:$301),302),ROW(AL32)))&amp;""</f>
        <v/>
      </c>
      <c r="AN33" s="192" t="str">
        <f>IF(主要!Q67="","",主要!Q67)</f>
        <v/>
      </c>
      <c r="AO33" s="193" t="str">
        <f t="shared" si="4"/>
        <v/>
      </c>
      <c r="AP33" s="193" t="str">
        <f t="shared" si="0"/>
        <v/>
      </c>
      <c r="AQ33" s="193" t="e">
        <f t="shared" si="1"/>
        <v>#N/A</v>
      </c>
      <c r="AR33" s="193" t="e">
        <f t="shared" si="2"/>
        <v>#N/A</v>
      </c>
      <c r="AS33" s="193" t="str">
        <f t="array" ref="AS33">IFERROR(INDEX(AN$1:AN$46,SMALL(IF(MATCH(AN33,AN$1:AN$46,0)=ROW(AN33),ROW(AN$1:AN$46),999),ROW(AN33))),"")</f>
        <v/>
      </c>
      <c r="AT33" s="200" t="str">
        <f t="array" ref="AT33">INDEX(AS:AS,SMALL(IF($AS$2:$AS$46&lt;&gt;"",ROW($2:$46),47),ROW(AS32)))&amp;""</f>
        <v/>
      </c>
    </row>
    <row r="34" customHeight="1" spans="1:46">
      <c r="A34" s="192">
        <v>32</v>
      </c>
      <c r="B34" s="224" t="s">
        <v>6835</v>
      </c>
      <c r="C34" s="224" t="s">
        <v>6836</v>
      </c>
      <c r="D34" s="224"/>
      <c r="E34" s="231" t="s">
        <v>6672</v>
      </c>
      <c r="F34" s="193" t="s">
        <v>6642</v>
      </c>
      <c r="G34" s="193" t="s">
        <v>6643</v>
      </c>
      <c r="I34" s="193">
        <v>1</v>
      </c>
      <c r="N34" s="193" t="s">
        <v>6837</v>
      </c>
      <c r="O34" s="224" t="s">
        <v>6838</v>
      </c>
      <c r="P34" s="224">
        <v>0</v>
      </c>
      <c r="Q34" s="245" t="str">
        <f>IF(综合数据!$B$7=TRUE,"XGE","")</f>
        <v>XGE</v>
      </c>
      <c r="T34" s="193">
        <v>6</v>
      </c>
      <c r="W34" s="193">
        <v>6</v>
      </c>
      <c r="X34" s="193">
        <v>6</v>
      </c>
      <c r="AA34" s="200"/>
      <c r="AB34" s="200" t="str">
        <f t="array" ref="AB34">INDEX(B:B,SMALL(IF($Q$3:$Q$524&lt;&gt;"",ROW($3:$524),525),ROW(B33)))&amp;""</f>
        <v>创造篝火</v>
      </c>
      <c r="AC34" s="225" t="str">
        <f>IFERROR(IF(AND($Q35&lt;&gt;"",IF(法术查询!$J$4="",1,INDEX($R35:$Z35,1,VLOOKUP(法术查询!$J$4,$AF$2:$AG$10,2,0)))&lt;&gt;"",IF(法术查询!$J$5="",1,$P35=VLOOKUP(法术查询!$J$5,$AH$2:$AI$11,2,0)),IF(法术查询!$J$6="",1,IF(法术查询!$J$6=$E35,1,0)),IF(法术查询!$J$7="",1,SEARCH(法术查询!$J$7,$F35)),IF(法术查询!$J$8="",1,SEARCH(法术查询!$J$8,G35)),IF(法术查询!$J$9="",1,SEARCH(法术查询!$J$9,N35)),IF(法术查询!$J$10="",1,IF(法术查询!$J$10=$AF$11,IF($M35=1,1,0),IF($M35="",1,0))),IF(法术查询!$J$11="",1,IF(法术查询!$J$11=$AF$11,IF($D35=1,1,0),IF($D35="",1,0))),IF(法术查询!$J$12="",1,SEARCH(法术查询!$J$12,$B35&amp;$C35&amp;$O35)),IF(法术查询!$J$13="",1,SEARCH(法术查询!$J$13,$B35&amp;$C35&amp;$O35)),IF(法术查询!$J$14="",1,SEARCH(法术查询!$J$14,$B35&amp;$C35&amp;$O35)),IF(法术查询!$J$16="",1,IF(法术查询!$J$16=$AF$11,IF($H35=1,1,0),IF($H35="",1,0))),IF(法术查询!$J$17="",1,IF(法术查询!$J$17=$AF$11,IF($I35=1,1,0),IF($I35="",1,0))),IF(法术查询!$J$18="",1,IF(法术查询!$J$18=$AF$11,IF($J35&lt;&gt;"",1,0),IF($J35="",1,0))),IF(法术查询!$J$19="",1,IF(法术查询!$J$19=$AF$11,IF($L35&lt;&gt;"",1,0),IF($L35="",1,0)))),$B35,""),"")</f>
        <v/>
      </c>
      <c r="AD34" s="192" t="str">
        <f t="array" ref="AD34">INDEX(AC:AC,SMALL(IF($AC$2:$AC$523&lt;&gt;"",ROW($2:$523),524),ROW(AC33)))&amp;""</f>
        <v/>
      </c>
      <c r="AE34" s="200" t="str">
        <f t="shared" si="3"/>
        <v/>
      </c>
      <c r="AF34" s="192"/>
      <c r="AH34" s="224" t="s">
        <v>6839</v>
      </c>
      <c r="AI34" s="223" t="s">
        <v>6840</v>
      </c>
      <c r="AJ34" s="192">
        <v>33</v>
      </c>
      <c r="AK34" s="193" t="str">
        <f>IF(法术书!V40="","",法术书!V40)</f>
        <v/>
      </c>
      <c r="AL34" s="224" t="str">
        <f t="array" ref="AL34">IFERROR(INDEX(AK$1:AK$301,SMALL(IF(MATCH(AK34,AK$1:AK$301,0)=ROW(AK34),ROW(AK$1:AK$301),999),ROW(AK34))),"")</f>
        <v/>
      </c>
      <c r="AM34" s="223" t="str">
        <f t="array" ref="AM34">INDEX(AL:AL,SMALL(IF($AL$2:$AL$301&lt;&gt;"",ROW($2:$301),302),ROW(AL33)))&amp;""</f>
        <v/>
      </c>
      <c r="AN34" s="192" t="str">
        <f>IF(主要!Q68="","",主要!Q68)</f>
        <v/>
      </c>
      <c r="AO34" s="193" t="str">
        <f t="shared" si="4"/>
        <v/>
      </c>
      <c r="AP34" s="193" t="str">
        <f t="shared" si="0"/>
        <v/>
      </c>
      <c r="AQ34" s="193" t="e">
        <f t="shared" si="1"/>
        <v>#N/A</v>
      </c>
      <c r="AR34" s="193" t="e">
        <f t="shared" si="2"/>
        <v>#N/A</v>
      </c>
      <c r="AS34" s="193" t="str">
        <f t="array" ref="AS34">IFERROR(INDEX(AN$1:AN$46,SMALL(IF(MATCH(AN34,AN$1:AN$46,0)=ROW(AN34),ROW(AN$1:AN$46),999),ROW(AN34))),"")</f>
        <v/>
      </c>
      <c r="AT34" s="200" t="str">
        <f t="array" ref="AT34">INDEX(AS:AS,SMALL(IF($AS$2:$AS$46&lt;&gt;"",ROW($2:$46),47),ROW(AS33)))&amp;""</f>
        <v/>
      </c>
    </row>
    <row r="35" customHeight="1" spans="1:46">
      <c r="A35" s="192">
        <v>33</v>
      </c>
      <c r="B35" s="224" t="s">
        <v>6841</v>
      </c>
      <c r="C35" s="224" t="s">
        <v>6842</v>
      </c>
      <c r="D35" s="224"/>
      <c r="E35" s="240" t="s">
        <v>6641</v>
      </c>
      <c r="F35" s="193" t="s">
        <v>6642</v>
      </c>
      <c r="G35" s="193" t="s">
        <v>6643</v>
      </c>
      <c r="H35" s="193">
        <v>1</v>
      </c>
      <c r="I35" s="193">
        <v>1</v>
      </c>
      <c r="M35" s="193">
        <v>1</v>
      </c>
      <c r="N35" s="193" t="s">
        <v>6666</v>
      </c>
      <c r="O35" s="224" t="s">
        <v>6843</v>
      </c>
      <c r="P35" s="224">
        <v>0</v>
      </c>
      <c r="Q35" s="245" t="str">
        <f>IF(综合数据!$B$7=TRUE,"XGE","")</f>
        <v>XGE</v>
      </c>
      <c r="W35" s="193">
        <v>6</v>
      </c>
      <c r="X35" s="193">
        <v>6</v>
      </c>
      <c r="Y35" s="193">
        <v>6</v>
      </c>
      <c r="Z35" s="193">
        <v>9</v>
      </c>
      <c r="AA35" s="200"/>
      <c r="AB35" s="200" t="str">
        <f t="array" ref="AB35">INDEX(B:B,SMALL(IF($Q$3:$Q$524&lt;&gt;"",ROW($3:$524),525),ROW(B34)))&amp;""</f>
        <v>霜噬术</v>
      </c>
      <c r="AC35" s="225" t="str">
        <f>IFERROR(IF(AND($Q36&lt;&gt;"",IF(法术查询!$J$4="",1,INDEX($R36:$Z36,1,VLOOKUP(法术查询!$J$4,$AF$2:$AG$10,2,0)))&lt;&gt;"",IF(法术查询!$J$5="",1,$P36=VLOOKUP(法术查询!$J$5,$AH$2:$AI$11,2,0)),IF(法术查询!$J$6="",1,IF(法术查询!$J$6=$E36,1,0)),IF(法术查询!$J$7="",1,SEARCH(法术查询!$J$7,$F36)),IF(法术查询!$J$8="",1,SEARCH(法术查询!$J$8,G36)),IF(法术查询!$J$9="",1,SEARCH(法术查询!$J$9,N36)),IF(法术查询!$J$10="",1,IF(法术查询!$J$10=$AF$11,IF($M36=1,1,0),IF($M36="",1,0))),IF(法术查询!$J$11="",1,IF(法术查询!$J$11=$AF$11,IF($D36=1,1,0),IF($D36="",1,0))),IF(法术查询!$J$12="",1,SEARCH(法术查询!$J$12,$B36&amp;$C36&amp;$O36)),IF(法术查询!$J$13="",1,SEARCH(法术查询!$J$13,$B36&amp;$C36&amp;$O36)),IF(法术查询!$J$14="",1,SEARCH(法术查询!$J$14,$B36&amp;$C36&amp;$O36)),IF(法术查询!$J$16="",1,IF(法术查询!$J$16=$AF$11,IF($H36=1,1,0),IF($H36="",1,0))),IF(法术查询!$J$17="",1,IF(法术查询!$J$17=$AF$11,IF($I36=1,1,0),IF($I36="",1,0))),IF(法术查询!$J$18="",1,IF(法术查询!$J$18=$AF$11,IF($J36&lt;&gt;"",1,0),IF($J36="",1,0))),IF(法术查询!$J$19="",1,IF(法术查询!$J$19=$AF$11,IF($L36&lt;&gt;"",1,0),IF($L36="",1,0)))),$B36,""),"")</f>
        <v/>
      </c>
      <c r="AD35" s="192" t="str">
        <f t="array" ref="AD35">INDEX(AC:AC,SMALL(IF($AC$2:$AC$523&lt;&gt;"",ROW($2:$523),524),ROW(AC34)))&amp;""</f>
        <v/>
      </c>
      <c r="AE35" s="200" t="str">
        <f t="shared" si="3"/>
        <v/>
      </c>
      <c r="AF35" s="192"/>
      <c r="AH35" s="224" t="s">
        <v>6844</v>
      </c>
      <c r="AI35" s="223" t="s">
        <v>6845</v>
      </c>
      <c r="AJ35" s="192">
        <v>34</v>
      </c>
      <c r="AK35" s="193" t="str">
        <f>IF(法术书!V41="","",法术书!V41)</f>
        <v/>
      </c>
      <c r="AL35" s="224" t="str">
        <f t="array" ref="AL35">IFERROR(INDEX(AK$1:AK$301,SMALL(IF(MATCH(AK35,AK$1:AK$301,0)=ROW(AK35),ROW(AK$1:AK$301),999),ROW(AK35))),"")</f>
        <v/>
      </c>
      <c r="AM35" s="223" t="str">
        <f t="array" ref="AM35">INDEX(AL:AL,SMALL(IF($AL$2:$AL$301&lt;&gt;"",ROW($2:$301),302),ROW(AL34)))&amp;""</f>
        <v/>
      </c>
      <c r="AN35" s="192" t="str">
        <f>IF(主要!Q69="","",主要!Q69)</f>
        <v/>
      </c>
      <c r="AO35" s="193" t="str">
        <f t="shared" si="4"/>
        <v/>
      </c>
      <c r="AP35" s="193" t="str">
        <f t="shared" si="0"/>
        <v/>
      </c>
      <c r="AQ35" s="193" t="e">
        <f t="shared" si="1"/>
        <v>#N/A</v>
      </c>
      <c r="AR35" s="193" t="e">
        <f t="shared" si="2"/>
        <v>#N/A</v>
      </c>
      <c r="AS35" s="193" t="str">
        <f t="array" ref="AS35">IFERROR(INDEX(AN$1:AN$46,SMALL(IF(MATCH(AN35,AN$1:AN$46,0)=ROW(AN35),ROW(AN$1:AN$46),999),ROW(AN35))),"")</f>
        <v/>
      </c>
      <c r="AT35" s="200" t="str">
        <f t="array" ref="AT35">INDEX(AS:AS,SMALL(IF($AS$2:$AS$46&lt;&gt;"",ROW($2:$46),47),ROW(AS34)))&amp;""</f>
        <v/>
      </c>
    </row>
    <row r="36" customHeight="1" spans="1:46">
      <c r="A36" s="192">
        <v>34</v>
      </c>
      <c r="B36" s="224" t="s">
        <v>6846</v>
      </c>
      <c r="C36" s="224" t="s">
        <v>6847</v>
      </c>
      <c r="D36" s="224"/>
      <c r="E36" s="229" t="s">
        <v>6664</v>
      </c>
      <c r="F36" s="193" t="s">
        <v>6642</v>
      </c>
      <c r="G36" s="193" t="s">
        <v>6643</v>
      </c>
      <c r="H36" s="193">
        <v>1</v>
      </c>
      <c r="I36" s="193">
        <v>1</v>
      </c>
      <c r="N36" s="193" t="s">
        <v>6644</v>
      </c>
      <c r="O36" s="224" t="s">
        <v>6848</v>
      </c>
      <c r="P36" s="224">
        <v>0</v>
      </c>
      <c r="Q36" s="245" t="str">
        <f>IF(综合数据!$B$7=TRUE,"XGE","")</f>
        <v>XGE</v>
      </c>
      <c r="T36" s="193">
        <v>6</v>
      </c>
      <c r="W36" s="193">
        <v>6</v>
      </c>
      <c r="X36" s="193">
        <v>6</v>
      </c>
      <c r="Y36" s="193">
        <v>6</v>
      </c>
      <c r="Z36" s="193">
        <v>9</v>
      </c>
      <c r="AA36" s="200"/>
      <c r="AB36" s="200" t="str">
        <f t="array" ref="AB36">INDEX(B:B,SMALL(IF($Q$3:$Q$524&lt;&gt;"",ROW($3:$524),525),ROW(B35)))&amp;""</f>
        <v>舞风术</v>
      </c>
      <c r="AC36" s="225" t="str">
        <f>IFERROR(IF(AND($Q37&lt;&gt;"",IF(法术查询!$J$4="",1,INDEX($R37:$Z37,1,VLOOKUP(法术查询!$J$4,$AF$2:$AG$10,2,0)))&lt;&gt;"",IF(法术查询!$J$5="",1,$P37=VLOOKUP(法术查询!$J$5,$AH$2:$AI$11,2,0)),IF(法术查询!$J$6="",1,IF(法术查询!$J$6=$E37,1,0)),IF(法术查询!$J$7="",1,SEARCH(法术查询!$J$7,$F37)),IF(法术查询!$J$8="",1,SEARCH(法术查询!$J$8,G37)),IF(法术查询!$J$9="",1,SEARCH(法术查询!$J$9,N37)),IF(法术查询!$J$10="",1,IF(法术查询!$J$10=$AF$11,IF($M37=1,1,0),IF($M37="",1,0))),IF(法术查询!$J$11="",1,IF(法术查询!$J$11=$AF$11,IF($D37=1,1,0),IF($D37="",1,0))),IF(法术查询!$J$12="",1,SEARCH(法术查询!$J$12,$B37&amp;$C37&amp;$O37)),IF(法术查询!$J$13="",1,SEARCH(法术查询!$J$13,$B37&amp;$C37&amp;$O37)),IF(法术查询!$J$14="",1,SEARCH(法术查询!$J$14,$B37&amp;$C37&amp;$O37)),IF(法术查询!$J$16="",1,IF(法术查询!$J$16=$AF$11,IF($H37=1,1,0),IF($H37="",1,0))),IF(法术查询!$J$17="",1,IF(法术查询!$J$17=$AF$11,IF($I37=1,1,0),IF($I37="",1,0))),IF(法术查询!$J$18="",1,IF(法术查询!$J$18=$AF$11,IF($J37&lt;&gt;"",1,0),IF($J37="",1,0))),IF(法术查询!$J$19="",1,IF(法术查询!$J$19=$AF$11,IF($L37&lt;&gt;"",1,0),IF($L37="",1,0)))),$B37,""),"")</f>
        <v/>
      </c>
      <c r="AD36" s="192" t="str">
        <f t="array" ref="AD36">INDEX(AC:AC,SMALL(IF($AC$2:$AC$523&lt;&gt;"",ROW($2:$523),524),ROW(AC35)))&amp;""</f>
        <v/>
      </c>
      <c r="AE36" s="200" t="str">
        <f t="shared" si="3"/>
        <v/>
      </c>
      <c r="AF36" s="192"/>
      <c r="AH36" s="224" t="s">
        <v>6849</v>
      </c>
      <c r="AI36" s="223" t="s">
        <v>6850</v>
      </c>
      <c r="AJ36" s="192">
        <v>35</v>
      </c>
      <c r="AK36" s="193" t="str">
        <f>IF(法术书!V42="","",法术书!V42)</f>
        <v/>
      </c>
      <c r="AL36" s="224" t="str">
        <f t="array" ref="AL36">IFERROR(INDEX(AK$1:AK$301,SMALL(IF(MATCH(AK36,AK$1:AK$301,0)=ROW(AK36),ROW(AK$1:AK$301),999),ROW(AK36))),"")</f>
        <v/>
      </c>
      <c r="AM36" s="223" t="str">
        <f t="array" ref="AM36">INDEX(AL:AL,SMALL(IF($AL$2:$AL$301&lt;&gt;"",ROW($2:$301),302),ROW(AL35)))&amp;""</f>
        <v/>
      </c>
      <c r="AN36" s="192" t="str">
        <f>IF(主要!Q70="","",主要!Q70)</f>
        <v/>
      </c>
      <c r="AO36" s="193" t="str">
        <f t="shared" si="4"/>
        <v/>
      </c>
      <c r="AP36" s="193" t="str">
        <f t="shared" si="0"/>
        <v/>
      </c>
      <c r="AQ36" s="193" t="e">
        <f t="shared" si="1"/>
        <v>#N/A</v>
      </c>
      <c r="AR36" s="193" t="e">
        <f t="shared" si="2"/>
        <v>#N/A</v>
      </c>
      <c r="AS36" s="193" t="str">
        <f t="array" ref="AS36">IFERROR(INDEX(AN$1:AN$46,SMALL(IF(MATCH(AN36,AN$1:AN$46,0)=ROW(AN36),ROW(AN$1:AN$46),999),ROW(AN36))),"")</f>
        <v/>
      </c>
      <c r="AT36" s="200" t="str">
        <f t="array" ref="AT36">INDEX(AS:AS,SMALL(IF($AS$2:$AS$46&lt;&gt;"",ROW($2:$46),47),ROW(AS35)))&amp;""</f>
        <v/>
      </c>
    </row>
    <row r="37" customHeight="1" spans="1:46">
      <c r="A37" s="192">
        <v>35</v>
      </c>
      <c r="B37" s="224" t="s">
        <v>6851</v>
      </c>
      <c r="C37" s="224" t="s">
        <v>6852</v>
      </c>
      <c r="D37" s="224"/>
      <c r="E37" s="231" t="s">
        <v>6672</v>
      </c>
      <c r="F37" s="193" t="s">
        <v>6642</v>
      </c>
      <c r="G37" s="193" t="s">
        <v>6673</v>
      </c>
      <c r="H37" s="193">
        <v>1</v>
      </c>
      <c r="I37" s="193">
        <v>1</v>
      </c>
      <c r="N37" s="193" t="s">
        <v>6644</v>
      </c>
      <c r="O37" s="224" t="s">
        <v>6853</v>
      </c>
      <c r="P37" s="224">
        <v>0</v>
      </c>
      <c r="Q37" s="245" t="str">
        <f>IF(综合数据!$B$7=TRUE,"XGE","")</f>
        <v>XGE</v>
      </c>
      <c r="T37" s="193">
        <v>6</v>
      </c>
      <c r="W37" s="193">
        <v>6</v>
      </c>
      <c r="X37" s="193">
        <v>6</v>
      </c>
      <c r="AA37" s="200" t="s">
        <v>829</v>
      </c>
      <c r="AB37" s="200" t="str">
        <f t="array" ref="AB37">INDEX(B:B,SMALL(IF($Q$3:$Q$524&lt;&gt;"",ROW($3:$524),525),ROW(B36)))&amp;""</f>
        <v>虫群孳生</v>
      </c>
      <c r="AC37" s="225" t="str">
        <f>IFERROR(IF(AND($Q38&lt;&gt;"",IF(法术查询!$J$4="",1,INDEX($R38:$Z38,1,VLOOKUP(法术查询!$J$4,$AF$2:$AG$10,2,0)))&lt;&gt;"",IF(法术查询!$J$5="",1,$P38=VLOOKUP(法术查询!$J$5,$AH$2:$AI$11,2,0)),IF(法术查询!$J$6="",1,IF(法术查询!$J$6=$E38,1,0)),IF(法术查询!$J$7="",1,SEARCH(法术查询!$J$7,$F38)),IF(法术查询!$J$8="",1,SEARCH(法术查询!$J$8,G38)),IF(法术查询!$J$9="",1,SEARCH(法术查询!$J$9,N38)),IF(法术查询!$J$10="",1,IF(法术查询!$J$10=$AF$11,IF($M38=1,1,0),IF($M38="",1,0))),IF(法术查询!$J$11="",1,IF(法术查询!$J$11=$AF$11,IF($D38=1,1,0),IF($D38="",1,0))),IF(法术查询!$J$12="",1,SEARCH(法术查询!$J$12,$B38&amp;$C38&amp;$O38)),IF(法术查询!$J$13="",1,SEARCH(法术查询!$J$13,$B38&amp;$C38&amp;$O38)),IF(法术查询!$J$14="",1,SEARCH(法术查询!$J$14,$B38&amp;$C38&amp;$O38)),IF(法术查询!$J$16="",1,IF(法术查询!$J$16=$AF$11,IF($H38=1,1,0),IF($H38="",1,0))),IF(法术查询!$J$17="",1,IF(法术查询!$J$17=$AF$11,IF($I38=1,1,0),IF($I38="",1,0))),IF(法术查询!$J$18="",1,IF(法术查询!$J$18=$AF$11,IF($J38&lt;&gt;"",1,0),IF($J38="",1,0))),IF(法术查询!$J$19="",1,IF(法术查询!$J$19=$AF$11,IF($L38&lt;&gt;"",1,0),IF($L38="",1,0)))),$B38,""),"")</f>
        <v/>
      </c>
      <c r="AD37" s="192" t="str">
        <f t="array" ref="AD37">INDEX(AC:AC,SMALL(IF($AC$2:$AC$523&lt;&gt;"",ROW($2:$523),524),ROW(AC36)))&amp;""</f>
        <v/>
      </c>
      <c r="AE37" s="200" t="str">
        <f t="shared" si="3"/>
        <v/>
      </c>
      <c r="AF37" s="192"/>
      <c r="AH37" s="224" t="s">
        <v>6854</v>
      </c>
      <c r="AI37" s="223" t="s">
        <v>6855</v>
      </c>
      <c r="AJ37" s="192">
        <v>36</v>
      </c>
      <c r="AK37" s="193" t="str">
        <f>IF(法术书!V43="","",法术书!V43)</f>
        <v/>
      </c>
      <c r="AL37" s="224" t="str">
        <f t="array" ref="AL37">IFERROR(INDEX(AK$1:AK$301,SMALL(IF(MATCH(AK37,AK$1:AK$301,0)=ROW(AK37),ROW(AK$1:AK$301),999),ROW(AK37))),"")</f>
        <v/>
      </c>
      <c r="AM37" s="223" t="str">
        <f t="array" ref="AM37">INDEX(AL:AL,SMALL(IF($AL$2:$AL$301&lt;&gt;"",ROW($2:$301),302),ROW(AL36)))&amp;""</f>
        <v/>
      </c>
      <c r="AN37" s="192" t="str">
        <f>IF(主要!Q71="","",主要!Q71)</f>
        <v/>
      </c>
      <c r="AO37" s="193" t="str">
        <f t="shared" si="4"/>
        <v/>
      </c>
      <c r="AP37" s="193" t="str">
        <f t="shared" si="0"/>
        <v/>
      </c>
      <c r="AQ37" s="193" t="e">
        <f t="shared" si="1"/>
        <v>#N/A</v>
      </c>
      <c r="AR37" s="193" t="e">
        <f t="shared" si="2"/>
        <v>#N/A</v>
      </c>
      <c r="AS37" s="193" t="str">
        <f t="array" ref="AS37">IFERROR(INDEX(AN$1:AN$46,SMALL(IF(MATCH(AN37,AN$1:AN$46,0)=ROW(AN37),ROW(AN$1:AN$46),999),ROW(AN37))),"")</f>
        <v/>
      </c>
      <c r="AT37" s="200" t="str">
        <f t="array" ref="AT37">INDEX(AS:AS,SMALL(IF($AS$2:$AS$46&lt;&gt;"",ROW($2:$46),47),ROW(AS36)))&amp;""</f>
        <v/>
      </c>
    </row>
    <row r="38" customHeight="1" spans="1:46">
      <c r="A38" s="192">
        <v>36</v>
      </c>
      <c r="B38" s="224" t="s">
        <v>6856</v>
      </c>
      <c r="C38" s="224" t="s">
        <v>6857</v>
      </c>
      <c r="D38" s="224"/>
      <c r="E38" s="240" t="s">
        <v>6641</v>
      </c>
      <c r="F38" s="193" t="s">
        <v>6642</v>
      </c>
      <c r="G38" s="193" t="s">
        <v>6673</v>
      </c>
      <c r="H38" s="193">
        <v>1</v>
      </c>
      <c r="I38" s="193">
        <v>1</v>
      </c>
      <c r="J38" s="193">
        <v>1</v>
      </c>
      <c r="K38" s="224" t="s">
        <v>6858</v>
      </c>
      <c r="N38" s="193" t="s">
        <v>6644</v>
      </c>
      <c r="O38" s="224" t="s">
        <v>6859</v>
      </c>
      <c r="P38" s="224">
        <v>0</v>
      </c>
      <c r="Q38" s="245" t="str">
        <f>IF(综合数据!$B$7=TRUE,"XGE","")</f>
        <v>XGE</v>
      </c>
      <c r="T38" s="193">
        <v>6</v>
      </c>
      <c r="W38" s="193">
        <v>6</v>
      </c>
      <c r="X38" s="193">
        <v>6</v>
      </c>
      <c r="Y38" s="193">
        <v>6</v>
      </c>
      <c r="AA38" s="200"/>
      <c r="AB38" s="200" t="str">
        <f t="array" ref="AB38">INDEX(B:B,SMALL(IF($Q$3:$Q$524&lt;&gt;"",ROW($3:$524),525),ROW(B37)))&amp;""</f>
        <v>魔石术</v>
      </c>
      <c r="AC38" s="225" t="str">
        <f>IFERROR(IF(AND($Q39&lt;&gt;"",IF(法术查询!$J$4="",1,INDEX($R39:$Z39,1,VLOOKUP(法术查询!$J$4,$AF$2:$AG$10,2,0)))&lt;&gt;"",IF(法术查询!$J$5="",1,$P39=VLOOKUP(法术查询!$J$5,$AH$2:$AI$11,2,0)),IF(法术查询!$J$6="",1,IF(法术查询!$J$6=$E39,1,0)),IF(法术查询!$J$7="",1,SEARCH(法术查询!$J$7,$F39)),IF(法术查询!$J$8="",1,SEARCH(法术查询!$J$8,G39)),IF(法术查询!$J$9="",1,SEARCH(法术查询!$J$9,N39)),IF(法术查询!$J$10="",1,IF(法术查询!$J$10=$AF$11,IF($M39=1,1,0),IF($M39="",1,0))),IF(法术查询!$J$11="",1,IF(法术查询!$J$11=$AF$11,IF($D39=1,1,0),IF($D39="",1,0))),IF(法术查询!$J$12="",1,SEARCH(法术查询!$J$12,$B39&amp;$C39&amp;$O39)),IF(法术查询!$J$13="",1,SEARCH(法术查询!$J$13,$B39&amp;$C39&amp;$O39)),IF(法术查询!$J$14="",1,SEARCH(法术查询!$J$14,$B39&amp;$C39&amp;$O39)),IF(法术查询!$J$16="",1,IF(法术查询!$J$16=$AF$11,IF($H39=1,1,0),IF($H39="",1,0))),IF(法术查询!$J$17="",1,IF(法术查询!$J$17=$AF$11,IF($I39=1,1,0),IF($I39="",1,0))),IF(法术查询!$J$18="",1,IF(法术查询!$J$18=$AF$11,IF($J39&lt;&gt;"",1,0),IF($J39="",1,0))),IF(法术查询!$J$19="",1,IF(法术查询!$J$19=$AF$11,IF($L39&lt;&gt;"",1,0),IF($L39="",1,0)))),$B39,""),"")</f>
        <v/>
      </c>
      <c r="AD38" s="192" t="str">
        <f t="array" ref="AD38">INDEX(AC:AC,SMALL(IF($AC$2:$AC$523&lt;&gt;"",ROW($2:$523),524),ROW(AC37)))&amp;""</f>
        <v/>
      </c>
      <c r="AE38" s="200" t="str">
        <f t="shared" si="3"/>
        <v/>
      </c>
      <c r="AF38" s="192"/>
      <c r="AH38" s="224" t="s">
        <v>6860</v>
      </c>
      <c r="AI38" s="223" t="s">
        <v>6837</v>
      </c>
      <c r="AJ38" s="192">
        <v>37</v>
      </c>
      <c r="AK38" s="193" t="str">
        <f>IF(法术书!V44="","",法术书!V44)</f>
        <v/>
      </c>
      <c r="AL38" s="224" t="str">
        <f t="array" ref="AL38">IFERROR(INDEX(AK$1:AK$301,SMALL(IF(MATCH(AK38,AK$1:AK$301,0)=ROW(AK38),ROW(AK$1:AK$301),999),ROW(AK38))),"")</f>
        <v/>
      </c>
      <c r="AM38" s="223" t="str">
        <f t="array" ref="AM38">INDEX(AL:AL,SMALL(IF($AL$2:$AL$301&lt;&gt;"",ROW($2:$301),302),ROW(AL37)))&amp;""</f>
        <v/>
      </c>
      <c r="AN38" s="192" t="str">
        <f>IF(主要!Q72="","",主要!Q72)</f>
        <v/>
      </c>
      <c r="AO38" s="193" t="str">
        <f t="shared" si="4"/>
        <v/>
      </c>
      <c r="AP38" s="193" t="str">
        <f t="shared" si="0"/>
        <v/>
      </c>
      <c r="AQ38" s="193" t="e">
        <f t="shared" si="1"/>
        <v>#N/A</v>
      </c>
      <c r="AR38" s="193" t="e">
        <f t="shared" si="2"/>
        <v>#N/A</v>
      </c>
      <c r="AS38" s="193" t="str">
        <f t="array" ref="AS38">IFERROR(INDEX(AN$1:AN$46,SMALL(IF(MATCH(AN38,AN$1:AN$46,0)=ROW(AN38),ROW(AN$1:AN$46),999),ROW(AN38))),"")</f>
        <v/>
      </c>
      <c r="AT38" s="200" t="str">
        <f t="array" ref="AT38">INDEX(AS:AS,SMALL(IF($AS$2:$AS$46&lt;&gt;"",ROW($2:$46),47),ROW(AS37)))&amp;""</f>
        <v/>
      </c>
    </row>
    <row r="39" customHeight="1" spans="1:46">
      <c r="A39" s="192">
        <v>37</v>
      </c>
      <c r="B39" s="224" t="s">
        <v>6861</v>
      </c>
      <c r="C39" s="224" t="s">
        <v>6862</v>
      </c>
      <c r="D39" s="224"/>
      <c r="E39" s="231" t="s">
        <v>6672</v>
      </c>
      <c r="F39" s="193" t="s">
        <v>6712</v>
      </c>
      <c r="G39" s="193" t="s">
        <v>3760</v>
      </c>
      <c r="H39" s="193">
        <v>1</v>
      </c>
      <c r="I39" s="193">
        <v>1</v>
      </c>
      <c r="N39" s="193" t="s">
        <v>6709</v>
      </c>
      <c r="O39" s="224" t="s">
        <v>6863</v>
      </c>
      <c r="P39" s="224">
        <v>0</v>
      </c>
      <c r="Q39" s="245" t="str">
        <f>IF(综合数据!$B$7=TRUE,"XGE","")</f>
        <v>XGE</v>
      </c>
      <c r="T39" s="193">
        <v>6</v>
      </c>
      <c r="Y39" s="193">
        <v>6</v>
      </c>
      <c r="Z39" s="193">
        <v>9</v>
      </c>
      <c r="AA39" s="200"/>
      <c r="AB39" s="200" t="str">
        <f t="array" ref="AB39">INDEX(B:B,SMALL(IF($Q$3:$Q$524&lt;&gt;"",ROW($3:$524),525),ROW(B38)))&amp;""</f>
        <v>塑土术</v>
      </c>
      <c r="AC39" s="225" t="str">
        <f>IFERROR(IF(AND($Q40&lt;&gt;"",IF(法术查询!$J$4="",1,INDEX($R40:$Z40,1,VLOOKUP(法术查询!$J$4,$AF$2:$AG$10,2,0)))&lt;&gt;"",IF(法术查询!$J$5="",1,$P40=VLOOKUP(法术查询!$J$5,$AH$2:$AI$11,2,0)),IF(法术查询!$J$6="",1,IF(法术查询!$J$6=$E40,1,0)),IF(法术查询!$J$7="",1,SEARCH(法术查询!$J$7,$F40)),IF(法术查询!$J$8="",1,SEARCH(法术查询!$J$8,G40)),IF(法术查询!$J$9="",1,SEARCH(法术查询!$J$9,N40)),IF(法术查询!$J$10="",1,IF(法术查询!$J$10=$AF$11,IF($M40=1,1,0),IF($M40="",1,0))),IF(法术查询!$J$11="",1,IF(法术查询!$J$11=$AF$11,IF($D40=1,1,0),IF($D40="",1,0))),IF(法术查询!$J$12="",1,SEARCH(法术查询!$J$12,$B40&amp;$C40&amp;$O40)),IF(法术查询!$J$13="",1,SEARCH(法术查询!$J$13,$B40&amp;$C40&amp;$O40)),IF(法术查询!$J$14="",1,SEARCH(法术查询!$J$14,$B40&amp;$C40&amp;$O40)),IF(法术查询!$J$16="",1,IF(法术查询!$J$16=$AF$11,IF($H40=1,1,0),IF($H40="",1,0))),IF(法术查询!$J$17="",1,IF(法术查询!$J$17=$AF$11,IF($I40=1,1,0),IF($I40="",1,0))),IF(法术查询!$J$18="",1,IF(法术查询!$J$18=$AF$11,IF($J40&lt;&gt;"",1,0),IF($J40="",1,0))),IF(法术查询!$J$19="",1,IF(法术查询!$J$19=$AF$11,IF($L40&lt;&gt;"",1,0),IF($L40="",1,0)))),$B40,""),"")</f>
        <v/>
      </c>
      <c r="AD39" s="192" t="str">
        <f t="array" ref="AD39">INDEX(AC:AC,SMALL(IF($AC$2:$AC$523&lt;&gt;"",ROW($2:$523),524),ROW(AC38)))&amp;""</f>
        <v/>
      </c>
      <c r="AE39" s="200" t="str">
        <f t="shared" si="3"/>
        <v/>
      </c>
      <c r="AF39" s="192"/>
      <c r="AH39" s="224" t="s">
        <v>6829</v>
      </c>
      <c r="AI39" s="200"/>
      <c r="AJ39" s="192">
        <v>38</v>
      </c>
      <c r="AK39" s="193" t="str">
        <f>IF(法术书!V45="","",法术书!V45)</f>
        <v/>
      </c>
      <c r="AL39" s="224" t="str">
        <f t="array" ref="AL39">IFERROR(INDEX(AK$1:AK$301,SMALL(IF(MATCH(AK39,AK$1:AK$301,0)=ROW(AK39),ROW(AK$1:AK$301),999),ROW(AK39))),"")</f>
        <v/>
      </c>
      <c r="AM39" s="223" t="str">
        <f t="array" ref="AM39">INDEX(AL:AL,SMALL(IF($AL$2:$AL$301&lt;&gt;"",ROW($2:$301),302),ROW(AL38)))&amp;""</f>
        <v/>
      </c>
      <c r="AN39" s="192" t="str">
        <f>IF(主要!Q73="","",主要!Q73)</f>
        <v/>
      </c>
      <c r="AO39" s="193" t="str">
        <f t="shared" si="4"/>
        <v/>
      </c>
      <c r="AP39" s="193" t="str">
        <f t="shared" si="0"/>
        <v/>
      </c>
      <c r="AQ39" s="193" t="e">
        <f t="shared" si="1"/>
        <v>#N/A</v>
      </c>
      <c r="AR39" s="193" t="e">
        <f t="shared" si="2"/>
        <v>#N/A</v>
      </c>
      <c r="AS39" s="193" t="str">
        <f t="array" ref="AS39">IFERROR(INDEX(AN$1:AN$46,SMALL(IF(MATCH(AN39,AN$1:AN$46,0)=ROW(AN39),ROW(AN$1:AN$46),999),ROW(AN39))),"")</f>
        <v/>
      </c>
      <c r="AT39" s="200" t="str">
        <f t="array" ref="AT39">INDEX(AS:AS,SMALL(IF($AS$2:$AS$46&lt;&gt;"",ROW($2:$46),47),ROW(AS38)))&amp;""</f>
        <v/>
      </c>
    </row>
    <row r="40" customHeight="1" spans="1:46">
      <c r="A40" s="192">
        <v>38</v>
      </c>
      <c r="B40" s="224" t="s">
        <v>6864</v>
      </c>
      <c r="C40" s="224" t="s">
        <v>6865</v>
      </c>
      <c r="D40" s="224"/>
      <c r="E40" s="231" t="s">
        <v>6672</v>
      </c>
      <c r="F40" s="193" t="s">
        <v>6642</v>
      </c>
      <c r="G40" s="193" t="s">
        <v>6673</v>
      </c>
      <c r="I40" s="193">
        <v>1</v>
      </c>
      <c r="N40" s="193" t="s">
        <v>6837</v>
      </c>
      <c r="O40" s="224" t="s">
        <v>6866</v>
      </c>
      <c r="P40" s="224">
        <v>0</v>
      </c>
      <c r="Q40" s="245" t="str">
        <f>IF(综合数据!$B$7=TRUE,"XGE","")</f>
        <v>XGE</v>
      </c>
      <c r="T40" s="193">
        <v>6</v>
      </c>
      <c r="W40" s="193">
        <v>6</v>
      </c>
      <c r="X40" s="193">
        <v>6</v>
      </c>
      <c r="AA40" s="200"/>
      <c r="AB40" s="200" t="str">
        <f t="array" ref="AB40">INDEX(B:B,SMALL(IF($Q$3:$Q$524&lt;&gt;"",ROW($3:$524),525),ROW(B39)))&amp;""</f>
        <v>原初蛮击</v>
      </c>
      <c r="AC40" s="225" t="str">
        <f>IFERROR(IF(AND($Q41&lt;&gt;"",IF(法术查询!$J$4="",1,INDEX($R41:$Z41,1,VLOOKUP(法术查询!$J$4,$AF$2:$AG$10,2,0)))&lt;&gt;"",IF(法术查询!$J$5="",1,$P41=VLOOKUP(法术查询!$J$5,$AH$2:$AI$11,2,0)),IF(法术查询!$J$6="",1,IF(法术查询!$J$6=$E41,1,0)),IF(法术查询!$J$7="",1,SEARCH(法术查询!$J$7,$F41)),IF(法术查询!$J$8="",1,SEARCH(法术查询!$J$8,G41)),IF(法术查询!$J$9="",1,SEARCH(法术查询!$J$9,N41)),IF(法术查询!$J$10="",1,IF(法术查询!$J$10=$AF$11,IF($M41=1,1,0),IF($M41="",1,0))),IF(法术查询!$J$11="",1,IF(法术查询!$J$11=$AF$11,IF($D41=1,1,0),IF($D41="",1,0))),IF(法术查询!$J$12="",1,SEARCH(法术查询!$J$12,$B41&amp;$C41&amp;$O41)),IF(法术查询!$J$13="",1,SEARCH(法术查询!$J$13,$B41&amp;$C41&amp;$O41)),IF(法术查询!$J$14="",1,SEARCH(法术查询!$J$14,$B41&amp;$C41&amp;$O41)),IF(法术查询!$J$16="",1,IF(法术查询!$J$16=$AF$11,IF($H41=1,1,0),IF($H41="",1,0))),IF(法术查询!$J$17="",1,IF(法术查询!$J$17=$AF$11,IF($I41=1,1,0),IF($I41="",1,0))),IF(法术查询!$J$18="",1,IF(法术查询!$J$18=$AF$11,IF($J41&lt;&gt;"",1,0),IF($J41="",1,0))),IF(法术查询!$J$19="",1,IF(法术查询!$J$19=$AF$11,IF($L41&lt;&gt;"",1,0),IF($L41="",1,0)))),$B41,""),"")</f>
        <v/>
      </c>
      <c r="AD40" s="192" t="str">
        <f t="array" ref="AD40">INDEX(AC:AC,SMALL(IF($AC$2:$AC$523&lt;&gt;"",ROW($2:$523),524),ROW(AC39)))&amp;""</f>
        <v/>
      </c>
      <c r="AE40" s="200" t="str">
        <f t="shared" si="3"/>
        <v/>
      </c>
      <c r="AF40" s="192"/>
      <c r="AH40" s="224" t="s">
        <v>6867</v>
      </c>
      <c r="AI40" s="200"/>
      <c r="AJ40" s="192">
        <v>39</v>
      </c>
      <c r="AK40" s="193" t="str">
        <f>IF(法术书!V46="","",法术书!V46)</f>
        <v/>
      </c>
      <c r="AL40" s="224" t="str">
        <f t="array" ref="AL40">IFERROR(INDEX(AK$1:AK$301,SMALL(IF(MATCH(AK40,AK$1:AK$301,0)=ROW(AK40),ROW(AK$1:AK$301),999),ROW(AK40))),"")</f>
        <v/>
      </c>
      <c r="AM40" s="223" t="str">
        <f t="array" ref="AM40">INDEX(AL:AL,SMALL(IF($AL$2:$AL$301&lt;&gt;"",ROW($2:$301),302),ROW(AL39)))&amp;""</f>
        <v/>
      </c>
      <c r="AN40" s="192" t="str">
        <f>IF(主要!Q74="","",主要!Q74)</f>
        <v/>
      </c>
      <c r="AO40" s="193" t="str">
        <f t="shared" si="4"/>
        <v/>
      </c>
      <c r="AP40" s="193" t="str">
        <f t="shared" si="0"/>
        <v/>
      </c>
      <c r="AQ40" s="193" t="e">
        <f t="shared" si="1"/>
        <v>#N/A</v>
      </c>
      <c r="AR40" s="193" t="e">
        <f t="shared" si="2"/>
        <v>#N/A</v>
      </c>
      <c r="AS40" s="193" t="str">
        <f t="array" ref="AS40">IFERROR(INDEX(AN$1:AN$46,SMALL(IF(MATCH(AN40,AN$1:AN$46,0)=ROW(AN40),ROW(AN$1:AN$46),999),ROW(AN40))),"")</f>
        <v/>
      </c>
      <c r="AT40" s="200" t="str">
        <f t="array" ref="AT40">INDEX(AS:AS,SMALL(IF($AS$2:$AS$46&lt;&gt;"",ROW($2:$46),47),ROW(AS39)))&amp;""</f>
        <v/>
      </c>
    </row>
    <row r="41" customHeight="1" spans="1:46">
      <c r="A41" s="192">
        <v>39</v>
      </c>
      <c r="B41" s="224" t="s">
        <v>6868</v>
      </c>
      <c r="C41" s="224" t="s">
        <v>6869</v>
      </c>
      <c r="D41" s="224"/>
      <c r="E41" s="231" t="s">
        <v>6672</v>
      </c>
      <c r="F41" s="193" t="s">
        <v>6642</v>
      </c>
      <c r="G41" s="193" t="s">
        <v>6651</v>
      </c>
      <c r="I41" s="193">
        <v>1</v>
      </c>
      <c r="N41" s="193" t="s">
        <v>6644</v>
      </c>
      <c r="O41" s="224" t="s">
        <v>6870</v>
      </c>
      <c r="P41" s="224">
        <v>0</v>
      </c>
      <c r="Q41" s="245" t="str">
        <f>IF(综合数据!$B$7=TRUE,"XGE","")</f>
        <v>XGE</v>
      </c>
      <c r="T41" s="193">
        <v>6</v>
      </c>
      <c r="AA41" s="200"/>
      <c r="AB41" s="200" t="str">
        <f t="array" ref="AB41">INDEX(B:B,SMALL(IF($Q$3:$Q$524&lt;&gt;"",ROW($3:$524),525),ROW(B40)))&amp;""</f>
        <v>操水术</v>
      </c>
      <c r="AC41" s="225" t="str">
        <f>IFERROR(IF(AND($Q42&lt;&gt;"",IF(法术查询!$J$4="",1,INDEX($R42:$Z42,1,VLOOKUP(法术查询!$J$4,$AF$2:$AG$10,2,0)))&lt;&gt;"",IF(法术查询!$J$5="",1,$P42=VLOOKUP(法术查询!$J$5,$AH$2:$AI$11,2,0)),IF(法术查询!$J$6="",1,IF(法术查询!$J$6=$E42,1,0)),IF(法术查询!$J$7="",1,SEARCH(法术查询!$J$7,$F42)),IF(法术查询!$J$8="",1,SEARCH(法术查询!$J$8,G42)),IF(法术查询!$J$9="",1,SEARCH(法术查询!$J$9,N42)),IF(法术查询!$J$10="",1,IF(法术查询!$J$10=$AF$11,IF($M42=1,1,0),IF($M42="",1,0))),IF(法术查询!$J$11="",1,IF(法术查询!$J$11=$AF$11,IF($D42=1,1,0),IF($D42="",1,0))),IF(法术查询!$J$12="",1,SEARCH(法术查询!$J$12,$B42&amp;$C42&amp;$O42)),IF(法术查询!$J$13="",1,SEARCH(法术查询!$J$13,$B42&amp;$C42&amp;$O42)),IF(法术查询!$J$14="",1,SEARCH(法术查询!$J$14,$B42&amp;$C42&amp;$O42)),IF(法术查询!$J$16="",1,IF(法术查询!$J$16=$AF$11,IF($H42=1,1,0),IF($H42="",1,0))),IF(法术查询!$J$17="",1,IF(法术查询!$J$17=$AF$11,IF($I42=1,1,0),IF($I42="",1,0))),IF(法术查询!$J$18="",1,IF(法术查询!$J$18=$AF$11,IF($J42&lt;&gt;"",1,0),IF($J42="",1,0))),IF(法术查询!$J$19="",1,IF(法术查询!$J$19=$AF$11,IF($L42&lt;&gt;"",1,0),IF($L42="",1,0)))),$B42,""),"")</f>
        <v/>
      </c>
      <c r="AD41" s="192" t="str">
        <f t="array" ref="AD41">INDEX(AC:AC,SMALL(IF($AC$2:$AC$523&lt;&gt;"",ROW($2:$523),524),ROW(AC40)))&amp;""</f>
        <v/>
      </c>
      <c r="AE41" s="200" t="str">
        <f t="shared" si="3"/>
        <v/>
      </c>
      <c r="AF41" s="192"/>
      <c r="AH41" s="224" t="s">
        <v>6871</v>
      </c>
      <c r="AI41" s="200"/>
      <c r="AJ41" s="192">
        <v>40</v>
      </c>
      <c r="AK41" s="193" t="str">
        <f>IF(法术书!V47="","",法术书!V47)</f>
        <v/>
      </c>
      <c r="AL41" s="224" t="str">
        <f t="array" ref="AL41">IFERROR(INDEX(AK$1:AK$301,SMALL(IF(MATCH(AK41,AK$1:AK$301,0)=ROW(AK41),ROW(AK$1:AK$301),999),ROW(AK41))),"")</f>
        <v/>
      </c>
      <c r="AM41" s="223" t="str">
        <f t="array" ref="AM41">INDEX(AL:AL,SMALL(IF($AL$2:$AL$301&lt;&gt;"",ROW($2:$301),302),ROW(AL40)))&amp;""</f>
        <v/>
      </c>
      <c r="AN41" s="192" t="str">
        <f>IF(主要!Q75="","",主要!Q75)</f>
        <v/>
      </c>
      <c r="AO41" s="193" t="str">
        <f t="shared" si="4"/>
        <v/>
      </c>
      <c r="AP41" s="193" t="str">
        <f t="shared" si="0"/>
        <v/>
      </c>
      <c r="AQ41" s="193" t="e">
        <f t="shared" si="1"/>
        <v>#N/A</v>
      </c>
      <c r="AR41" s="193" t="e">
        <f t="shared" si="2"/>
        <v>#N/A</v>
      </c>
      <c r="AS41" s="193" t="str">
        <f t="array" ref="AS41">IFERROR(INDEX(AN$1:AN$46,SMALL(IF(MATCH(AN41,AN$1:AN$46,0)=ROW(AN41),ROW(AN$1:AN$46),999),ROW(AN41))),"")</f>
        <v/>
      </c>
      <c r="AT41" s="200" t="str">
        <f t="array" ref="AT41">INDEX(AS:AS,SMALL(IF($AS$2:$AS$46&lt;&gt;"",ROW($2:$46),47),ROW(AS40)))&amp;""</f>
        <v/>
      </c>
    </row>
    <row r="42" customHeight="1" spans="1:46">
      <c r="A42" s="192">
        <v>40</v>
      </c>
      <c r="B42" s="224" t="s">
        <v>6872</v>
      </c>
      <c r="C42" s="224" t="s">
        <v>6873</v>
      </c>
      <c r="D42" s="224"/>
      <c r="E42" s="231" t="s">
        <v>6672</v>
      </c>
      <c r="F42" s="193" t="s">
        <v>6642</v>
      </c>
      <c r="G42" s="193" t="s">
        <v>6673</v>
      </c>
      <c r="I42" s="193">
        <v>1</v>
      </c>
      <c r="N42" s="193" t="s">
        <v>6837</v>
      </c>
      <c r="O42" s="224" t="s">
        <v>6874</v>
      </c>
      <c r="P42" s="224">
        <v>0</v>
      </c>
      <c r="Q42" s="245" t="str">
        <f>IF(综合数据!$B$7=TRUE,"XGE","")</f>
        <v>XGE</v>
      </c>
      <c r="T42" s="193">
        <v>6</v>
      </c>
      <c r="W42" s="193">
        <v>6</v>
      </c>
      <c r="X42" s="193">
        <v>6</v>
      </c>
      <c r="AA42" s="200" t="s">
        <v>813</v>
      </c>
      <c r="AB42" s="200" t="str">
        <f t="array" ref="AB42">INDEX(B:B,SMALL(IF($Q$3:$Q$524&lt;&gt;"",ROW($3:$524),525),ROW(B41)))&amp;""</f>
        <v>鸣雷破</v>
      </c>
      <c r="AC42" s="225" t="str">
        <f>IFERROR(IF(AND($Q43&lt;&gt;"",IF(法术查询!$J$4="",1,INDEX($R43:$Z43,1,VLOOKUP(法术查询!$J$4,$AF$2:$AG$10,2,0)))&lt;&gt;"",IF(法术查询!$J$5="",1,$P43=VLOOKUP(法术查询!$J$5,$AH$2:$AI$11,2,0)),IF(法术查询!$J$6="",1,IF(法术查询!$J$6=$E43,1,0)),IF(法术查询!$J$7="",1,SEARCH(法术查询!$J$7,$F43)),IF(法术查询!$J$8="",1,SEARCH(法术查询!$J$8,G43)),IF(法术查询!$J$9="",1,SEARCH(法术查询!$J$9,N43)),IF(法术查询!$J$10="",1,IF(法术查询!$J$10=$AF$11,IF($M43=1,1,0),IF($M43="",1,0))),IF(法术查询!$J$11="",1,IF(法术查询!$J$11=$AF$11,IF($D43=1,1,0),IF($D43="",1,0))),IF(法术查询!$J$12="",1,SEARCH(法术查询!$J$12,$B43&amp;$C43&amp;$O43)),IF(法术查询!$J$13="",1,SEARCH(法术查询!$J$13,$B43&amp;$C43&amp;$O43)),IF(法术查询!$J$14="",1,SEARCH(法术查询!$J$14,$B43&amp;$C43&amp;$O43)),IF(法术查询!$J$16="",1,IF(法术查询!$J$16=$AF$11,IF($H43=1,1,0),IF($H43="",1,0))),IF(法术查询!$J$17="",1,IF(法术查询!$J$17=$AF$11,IF($I43=1,1,0),IF($I43="",1,0))),IF(法术查询!$J$18="",1,IF(法术查询!$J$18=$AF$11,IF($J43&lt;&gt;"",1,0),IF($J43="",1,0))),IF(法术查询!$J$19="",1,IF(法术查询!$J$19=$AF$11,IF($L43&lt;&gt;"",1,0),IF($L43="",1,0)))),$B43,""),"")</f>
        <v/>
      </c>
      <c r="AD42" s="192" t="str">
        <f t="array" ref="AD42">INDEX(AC:AC,SMALL(IF($AC$2:$AC$523&lt;&gt;"",ROW($2:$523),524),ROW(AC41)))&amp;""</f>
        <v/>
      </c>
      <c r="AE42" s="200" t="str">
        <f t="shared" si="3"/>
        <v/>
      </c>
      <c r="AF42" s="192"/>
      <c r="AH42" s="224" t="s">
        <v>6875</v>
      </c>
      <c r="AI42" s="200"/>
      <c r="AJ42" s="192">
        <v>41</v>
      </c>
      <c r="AK42" s="193" t="str">
        <f>IF(法术书!V48="","",法术书!V48)</f>
        <v/>
      </c>
      <c r="AL42" s="224" t="str">
        <f t="array" ref="AL42">IFERROR(INDEX(AK$1:AK$301,SMALL(IF(MATCH(AK42,AK$1:AK$301,0)=ROW(AK42),ROW(AK$1:AK$301),999),ROW(AK42))),"")</f>
        <v/>
      </c>
      <c r="AM42" s="223" t="str">
        <f t="array" ref="AM42">INDEX(AL:AL,SMALL(IF($AL$2:$AL$301&lt;&gt;"",ROW($2:$301),302),ROW(AL41)))&amp;""</f>
        <v/>
      </c>
      <c r="AN42" s="192" t="str">
        <f>IF(主要!Q76="","",主要!Q76)</f>
        <v/>
      </c>
      <c r="AO42" s="193" t="str">
        <f t="shared" si="4"/>
        <v/>
      </c>
      <c r="AP42" s="193" t="str">
        <f t="shared" si="0"/>
        <v/>
      </c>
      <c r="AQ42" s="193" t="e">
        <f t="shared" si="1"/>
        <v>#N/A</v>
      </c>
      <c r="AR42" s="193" t="e">
        <f t="shared" si="2"/>
        <v>#N/A</v>
      </c>
      <c r="AS42" s="193" t="str">
        <f t="array" ref="AS42">IFERROR(INDEX(AN$1:AN$46,SMALL(IF(MATCH(AN42,AN$1:AN$46,0)=ROW(AN42),ROW(AN$1:AN$46),999),ROW(AN42))),"")</f>
        <v/>
      </c>
      <c r="AT42" s="200" t="str">
        <f t="array" ref="AT42">INDEX(AS:AS,SMALL(IF($AS$2:$AS$46&lt;&gt;"",ROW($2:$46),47),ROW(AS41)))&amp;""</f>
        <v/>
      </c>
    </row>
    <row r="43" customHeight="1" spans="1:46">
      <c r="A43" s="192">
        <v>41</v>
      </c>
      <c r="B43" s="224" t="s">
        <v>6876</v>
      </c>
      <c r="C43" s="224" t="s">
        <v>6877</v>
      </c>
      <c r="D43" s="224"/>
      <c r="E43" s="229" t="s">
        <v>6664</v>
      </c>
      <c r="F43" s="193" t="s">
        <v>6642</v>
      </c>
      <c r="G43" s="193" t="s">
        <v>6723</v>
      </c>
      <c r="I43" s="193">
        <v>1</v>
      </c>
      <c r="N43" s="193" t="s">
        <v>6644</v>
      </c>
      <c r="O43" s="224" t="s">
        <v>6878</v>
      </c>
      <c r="P43" s="224">
        <v>0</v>
      </c>
      <c r="Q43" s="245" t="str">
        <f>IF(综合数据!$B$7=TRUE,"XGE","")</f>
        <v>XGE</v>
      </c>
      <c r="R43" s="193">
        <v>6</v>
      </c>
      <c r="T43" s="193">
        <v>6</v>
      </c>
      <c r="W43" s="193">
        <v>6</v>
      </c>
      <c r="X43" s="193">
        <v>6</v>
      </c>
      <c r="Y43" s="193">
        <v>6</v>
      </c>
      <c r="Z43" s="193">
        <v>9</v>
      </c>
      <c r="AA43" s="200"/>
      <c r="AB43" s="200" t="str">
        <f t="array" ref="AB43">INDEX(B:B,SMALL(IF($Q$3:$Q$524&lt;&gt;"",ROW($3:$524),525),ROW(B42)))&amp;""</f>
        <v>亡者丧钟</v>
      </c>
      <c r="AC43" s="225" t="str">
        <f>IFERROR(IF(AND($Q44&lt;&gt;"",IF(法术查询!$J$4="",1,INDEX($R44:$Z44,1,VLOOKUP(法术查询!$J$4,$AF$2:$AG$10,2,0)))&lt;&gt;"",IF(法术查询!$J$5="",1,$P44=VLOOKUP(法术查询!$J$5,$AH$2:$AI$11,2,0)),IF(法术查询!$J$6="",1,IF(法术查询!$J$6=$E44,1,0)),IF(法术查询!$J$7="",1,SEARCH(法术查询!$J$7,$F44)),IF(法术查询!$J$8="",1,SEARCH(法术查询!$J$8,G44)),IF(法术查询!$J$9="",1,SEARCH(法术查询!$J$9,N44)),IF(法术查询!$J$10="",1,IF(法术查询!$J$10=$AF$11,IF($M44=1,1,0),IF($M44="",1,0))),IF(法术查询!$J$11="",1,IF(法术查询!$J$11=$AF$11,IF($D44=1,1,0),IF($D44="",1,0))),IF(法术查询!$J$12="",1,SEARCH(法术查询!$J$12,$B44&amp;$C44&amp;$O44)),IF(法术查询!$J$13="",1,SEARCH(法术查询!$J$13,$B44&amp;$C44&amp;$O44)),IF(法术查询!$J$14="",1,SEARCH(法术查询!$J$14,$B44&amp;$C44&amp;$O44)),IF(法术查询!$J$16="",1,IF(法术查询!$J$16=$AF$11,IF($H44=1,1,0),IF($H44="",1,0))),IF(法术查询!$J$17="",1,IF(法术查询!$J$17=$AF$11,IF($I44=1,1,0),IF($I44="",1,0))),IF(法术查询!$J$18="",1,IF(法术查询!$J$18=$AF$11,IF($J44&lt;&gt;"",1,0),IF($J44="",1,0))),IF(法术查询!$J$19="",1,IF(法术查询!$J$19=$AF$11,IF($L44&lt;&gt;"",1,0),IF($L44="",1,0)))),$B44,""),"")</f>
        <v/>
      </c>
      <c r="AD43" s="192" t="str">
        <f t="array" ref="AD43">INDEX(AC:AC,SMALL(IF($AC$2:$AC$523&lt;&gt;"",ROW($2:$523),524),ROW(AC42)))&amp;""</f>
        <v/>
      </c>
      <c r="AE43" s="200" t="str">
        <f t="shared" si="3"/>
        <v/>
      </c>
      <c r="AF43" s="192"/>
      <c r="AH43" s="224" t="s">
        <v>6879</v>
      </c>
      <c r="AI43" s="200"/>
      <c r="AJ43" s="192">
        <v>42</v>
      </c>
      <c r="AK43" s="193" t="str">
        <f>IF(法术书!V49="","",法术书!V49)</f>
        <v/>
      </c>
      <c r="AL43" s="224" t="str">
        <f t="array" ref="AL43">IFERROR(INDEX(AK$1:AK$301,SMALL(IF(MATCH(AK43,AK$1:AK$301,0)=ROW(AK43),ROW(AK$1:AK$301),999),ROW(AK43))),"")</f>
        <v/>
      </c>
      <c r="AM43" s="223" t="str">
        <f t="array" ref="AM43">INDEX(AL:AL,SMALL(IF($AL$2:$AL$301&lt;&gt;"",ROW($2:$301),302),ROW(AL42)))&amp;""</f>
        <v/>
      </c>
      <c r="AN43" s="192" t="str">
        <f>IF(主要!Q77="","",主要!Q77)</f>
        <v/>
      </c>
      <c r="AO43" s="193" t="str">
        <f t="shared" si="4"/>
        <v/>
      </c>
      <c r="AP43" s="193" t="str">
        <f t="shared" si="0"/>
        <v/>
      </c>
      <c r="AQ43" s="193" t="e">
        <f t="shared" si="1"/>
        <v>#N/A</v>
      </c>
      <c r="AR43" s="193" t="e">
        <f t="shared" si="2"/>
        <v>#N/A</v>
      </c>
      <c r="AS43" s="193" t="str">
        <f t="array" ref="AS43">IFERROR(INDEX(AN$1:AN$46,SMALL(IF(MATCH(AN43,AN$1:AN$46,0)=ROW(AN43),ROW(AN$1:AN$46),999),ROW(AN43))),"")</f>
        <v/>
      </c>
      <c r="AT43" s="200" t="str">
        <f t="array" ref="AT43">INDEX(AS:AS,SMALL(IF($AS$2:$AS$46&lt;&gt;"",ROW($2:$46),47),ROW(AS42)))&amp;""</f>
        <v/>
      </c>
    </row>
    <row r="44" customHeight="1" spans="1:46">
      <c r="A44" s="192">
        <v>42</v>
      </c>
      <c r="B44" s="224" t="s">
        <v>6880</v>
      </c>
      <c r="C44" s="224" t="s">
        <v>6881</v>
      </c>
      <c r="D44" s="224"/>
      <c r="E44" s="243" t="s">
        <v>6657</v>
      </c>
      <c r="F44" s="193" t="s">
        <v>6642</v>
      </c>
      <c r="G44" s="193" t="s">
        <v>6643</v>
      </c>
      <c r="H44" s="193">
        <v>1</v>
      </c>
      <c r="I44" s="193">
        <v>1</v>
      </c>
      <c r="N44" s="193" t="s">
        <v>6644</v>
      </c>
      <c r="O44" s="224" t="s">
        <v>6882</v>
      </c>
      <c r="P44" s="224">
        <v>0</v>
      </c>
      <c r="Q44" s="245" t="str">
        <f>IF(综合数据!$B$7=TRUE,"XGE","")</f>
        <v>XGE</v>
      </c>
      <c r="S44" s="193">
        <v>6</v>
      </c>
      <c r="X44" s="193">
        <v>6</v>
      </c>
      <c r="Y44" s="193">
        <v>6</v>
      </c>
      <c r="AA44" s="200"/>
      <c r="AB44" s="200" t="str">
        <f t="array" ref="AB44">INDEX(B:B,SMALL(IF($Q$3:$Q$524&lt;&gt;"",ROW($3:$524),525),ROW(B43)))&amp;""</f>
        <v>光耀祷词</v>
      </c>
      <c r="AC44" s="225" t="str">
        <f>IFERROR(IF(AND($Q45&lt;&gt;"",IF(法术查询!$J$4="",1,INDEX($R45:$Z45,1,VLOOKUP(法术查询!$J$4,$AF$2:$AG$10,2,0)))&lt;&gt;"",IF(法术查询!$J$5="",1,$P45=VLOOKUP(法术查询!$J$5,$AH$2:$AI$11,2,0)),IF(法术查询!$J$6="",1,IF(法术查询!$J$6=$E45,1,0)),IF(法术查询!$J$7="",1,SEARCH(法术查询!$J$7,$F45)),IF(法术查询!$J$8="",1,SEARCH(法术查询!$J$8,G45)),IF(法术查询!$J$9="",1,SEARCH(法术查询!$J$9,N45)),IF(法术查询!$J$10="",1,IF(法术查询!$J$10=$AF$11,IF($M45=1,1,0),IF($M45="",1,0))),IF(法术查询!$J$11="",1,IF(法术查询!$J$11=$AF$11,IF($D45=1,1,0),IF($D45="",1,0))),IF(法术查询!$J$12="",1,SEARCH(法术查询!$J$12,$B45&amp;$C45&amp;$O45)),IF(法术查询!$J$13="",1,SEARCH(法术查询!$J$13,$B45&amp;$C45&amp;$O45)),IF(法术查询!$J$14="",1,SEARCH(法术查询!$J$14,$B45&amp;$C45&amp;$O45)),IF(法术查询!$J$16="",1,IF(法术查询!$J$16=$AF$11,IF($H45=1,1,0),IF($H45="",1,0))),IF(法术查询!$J$17="",1,IF(法术查询!$J$17=$AF$11,IF($I45=1,1,0),IF($I45="",1,0))),IF(法术查询!$J$18="",1,IF(法术查询!$J$18=$AF$11,IF($J45&lt;&gt;"",1,0),IF($J45="",1,0))),IF(法术查询!$J$19="",1,IF(法术查询!$J$19=$AF$11,IF($L45&lt;&gt;"",1,0),IF($L45="",1,0)))),$B45,""),"")</f>
        <v/>
      </c>
      <c r="AD44" s="192" t="str">
        <f t="array" ref="AD44">INDEX(AC:AC,SMALL(IF($AC$2:$AC$523&lt;&gt;"",ROW($2:$523),524),ROW(AC43)))&amp;""</f>
        <v/>
      </c>
      <c r="AE44" s="200" t="str">
        <f t="shared" si="3"/>
        <v/>
      </c>
      <c r="AF44" s="192"/>
      <c r="AH44" s="224" t="s">
        <v>6883</v>
      </c>
      <c r="AI44" s="200"/>
      <c r="AJ44" s="192">
        <v>43</v>
      </c>
      <c r="AK44" s="193" t="str">
        <f>IF(法术书!V50="","",法术书!V50)</f>
        <v/>
      </c>
      <c r="AL44" s="224" t="str">
        <f t="array" ref="AL44">IFERROR(INDEX(AK$1:AK$301,SMALL(IF(MATCH(AK44,AK$1:AK$301,0)=ROW(AK44),ROW(AK$1:AK$301),999),ROW(AK44))),"")</f>
        <v/>
      </c>
      <c r="AM44" s="223" t="str">
        <f t="array" ref="AM44">INDEX(AL:AL,SMALL(IF($AL$2:$AL$301&lt;&gt;"",ROW($2:$301),302),ROW(AL43)))&amp;""</f>
        <v/>
      </c>
      <c r="AN44" s="192" t="str">
        <f>IF(主要!Q78="","",主要!Q78)</f>
        <v/>
      </c>
      <c r="AO44" s="193" t="str">
        <f t="shared" si="4"/>
        <v/>
      </c>
      <c r="AP44" s="193" t="str">
        <f t="shared" si="0"/>
        <v/>
      </c>
      <c r="AQ44" s="193" t="e">
        <f t="shared" si="1"/>
        <v>#N/A</v>
      </c>
      <c r="AR44" s="193" t="e">
        <f t="shared" si="2"/>
        <v>#N/A</v>
      </c>
      <c r="AS44" s="193" t="str">
        <f t="array" ref="AS44">IFERROR(INDEX(AN$1:AN$46,SMALL(IF(MATCH(AN44,AN$1:AN$46,0)=ROW(AN44),ROW(AN$1:AN$46),999),ROW(AN44))),"")</f>
        <v/>
      </c>
      <c r="AT44" s="200" t="str">
        <f t="array" ref="AT44">INDEX(AS:AS,SMALL(IF($AS$2:$AS$46&lt;&gt;"",ROW($2:$46),47),ROW(AS43)))&amp;""</f>
        <v/>
      </c>
    </row>
    <row r="45" customHeight="1" spans="1:46">
      <c r="A45" s="192">
        <v>43</v>
      </c>
      <c r="B45" s="224" t="s">
        <v>6884</v>
      </c>
      <c r="C45" s="224" t="s">
        <v>6885</v>
      </c>
      <c r="D45" s="224"/>
      <c r="E45" s="229" t="s">
        <v>6664</v>
      </c>
      <c r="F45" s="193" t="s">
        <v>6642</v>
      </c>
      <c r="G45" s="193" t="s">
        <v>6723</v>
      </c>
      <c r="H45" s="193">
        <v>1</v>
      </c>
      <c r="J45" s="193">
        <v>1</v>
      </c>
      <c r="K45" s="224" t="s">
        <v>6886</v>
      </c>
      <c r="N45" s="193" t="s">
        <v>6644</v>
      </c>
      <c r="O45" s="224" t="s">
        <v>6887</v>
      </c>
      <c r="P45" s="224">
        <v>0</v>
      </c>
      <c r="Q45" s="245" t="str">
        <f>IF(综合数据!$B$7=TRUE,"XGE","")</f>
        <v>XGE</v>
      </c>
      <c r="S45" s="193">
        <v>6</v>
      </c>
      <c r="T45" s="193">
        <v>6</v>
      </c>
      <c r="AA45" s="200"/>
      <c r="AB45" s="200" t="str">
        <f t="array" ref="AB45">INDEX(B:B,SMALL(IF($Q$3:$Q$524&lt;&gt;"",ROW($3:$524),525),ROW(B44)))&amp;""</f>
        <v>思想编码</v>
      </c>
      <c r="AC45" s="225" t="str">
        <f>IFERROR(IF(AND($Q46&lt;&gt;"",IF(法术查询!$J$4="",1,INDEX($R46:$Z46,1,VLOOKUP(法术查询!$J$4,$AF$2:$AG$10,2,0)))&lt;&gt;"",IF(法术查询!$J$5="",1,$P46=VLOOKUP(法术查询!$J$5,$AH$2:$AI$11,2,0)),IF(法术查询!$J$6="",1,IF(法术查询!$J$6=$E46,1,0)),IF(法术查询!$J$7="",1,SEARCH(法术查询!$J$7,$F46)),IF(法术查询!$J$8="",1,SEARCH(法术查询!$J$8,G46)),IF(法术查询!$J$9="",1,SEARCH(法术查询!$J$9,N46)),IF(法术查询!$J$10="",1,IF(法术查询!$J$10=$AF$11,IF($M46=1,1,0),IF($M46="",1,0))),IF(法术查询!$J$11="",1,IF(法术查询!$J$11=$AF$11,IF($D46=1,1,0),IF($D46="",1,0))),IF(法术查询!$J$12="",1,SEARCH(法术查询!$J$12,$B46&amp;$C46&amp;$O46)),IF(法术查询!$J$13="",1,SEARCH(法术查询!$J$13,$B46&amp;$C46&amp;$O46)),IF(法术查询!$J$14="",1,SEARCH(法术查询!$J$14,$B46&amp;$C46&amp;$O46)),IF(法术查询!$J$16="",1,IF(法术查询!$J$16=$AF$11,IF($H46=1,1,0),IF($H46="",1,0))),IF(法术查询!$J$17="",1,IF(法术查询!$J$17=$AF$11,IF($I46=1,1,0),IF($I46="",1,0))),IF(法术查询!$J$18="",1,IF(法术查询!$J$18=$AF$11,IF($J46&lt;&gt;"",1,0),IF($J46="",1,0))),IF(法术查询!$J$19="",1,IF(法术查询!$J$19=$AF$11,IF($L46&lt;&gt;"",1,0),IF($L46="",1,0)))),$B46,""),"")</f>
        <v/>
      </c>
      <c r="AD45" s="192" t="str">
        <f t="array" ref="AD45">INDEX(AC:AC,SMALL(IF($AC$2:$AC$523&lt;&gt;"",ROW($2:$523),524),ROW(AC44)))&amp;""</f>
        <v/>
      </c>
      <c r="AE45" s="200" t="str">
        <f t="shared" si="3"/>
        <v/>
      </c>
      <c r="AF45" s="192"/>
      <c r="AH45" s="224" t="s">
        <v>6888</v>
      </c>
      <c r="AI45" s="200"/>
      <c r="AJ45" s="192">
        <v>44</v>
      </c>
      <c r="AK45" s="193" t="str">
        <f>IF(法术书!V51="","",法术书!V51)</f>
        <v/>
      </c>
      <c r="AL45" s="224" t="str">
        <f t="array" ref="AL45">IFERROR(INDEX(AK$1:AK$301,SMALL(IF(MATCH(AK45,AK$1:AK$301,0)=ROW(AK45),ROW(AK$1:AK$301),999),ROW(AK45))),"")</f>
        <v/>
      </c>
      <c r="AM45" s="223" t="str">
        <f t="array" ref="AM45">INDEX(AL:AL,SMALL(IF($AL$2:$AL$301&lt;&gt;"",ROW($2:$301),302),ROW(AL44)))&amp;""</f>
        <v/>
      </c>
      <c r="AN45" s="192" t="str">
        <f>IF(主要!Q79="","",主要!Q79)</f>
        <v/>
      </c>
      <c r="AO45" s="193" t="str">
        <f t="shared" si="4"/>
        <v/>
      </c>
      <c r="AP45" s="193" t="str">
        <f t="shared" si="0"/>
        <v/>
      </c>
      <c r="AQ45" s="193" t="e">
        <f t="shared" si="1"/>
        <v>#N/A</v>
      </c>
      <c r="AR45" s="193" t="e">
        <f t="shared" si="2"/>
        <v>#N/A</v>
      </c>
      <c r="AS45" s="193" t="str">
        <f t="array" ref="AS45">IFERROR(INDEX(AN$1:AN$46,SMALL(IF(MATCH(AN45,AN$1:AN$46,0)=ROW(AN45),ROW(AN$1:AN$46),999),ROW(AN45))),"")</f>
        <v/>
      </c>
      <c r="AT45" s="200" t="str">
        <f t="array" ref="AT45">INDEX(AS:AS,SMALL(IF($AS$2:$AS$46&lt;&gt;"",ROW($2:$46),47),ROW(AS44)))&amp;""</f>
        <v/>
      </c>
    </row>
    <row r="46" customHeight="1" spans="1:46">
      <c r="A46" s="192">
        <v>44</v>
      </c>
      <c r="B46" s="224" t="s">
        <v>6889</v>
      </c>
      <c r="C46" s="224" t="s">
        <v>6890</v>
      </c>
      <c r="D46" s="224"/>
      <c r="E46" s="233" t="s">
        <v>6688</v>
      </c>
      <c r="F46" s="193" t="s">
        <v>6642</v>
      </c>
      <c r="G46" s="193" t="s">
        <v>6651</v>
      </c>
      <c r="I46" s="193">
        <v>1</v>
      </c>
      <c r="N46" s="193" t="s">
        <v>6845</v>
      </c>
      <c r="O46" s="224" t="s">
        <v>6891</v>
      </c>
      <c r="P46" s="224">
        <v>0</v>
      </c>
      <c r="Q46" s="246" t="str">
        <f>IF(综合数据!B9=TRUE,"GGR","")</f>
        <v>GGR</v>
      </c>
      <c r="AA46" s="223" t="s">
        <v>6892</v>
      </c>
      <c r="AB46" s="200" t="str">
        <f t="array" ref="AB46">INDEX(B:B,SMALL(IF($Q$3:$Q$524&lt;&gt;"",ROW($3:$524),525),ROW(B45)))&amp;""</f>
        <v>削弱芒刺</v>
      </c>
      <c r="AC46" s="225" t="str">
        <f>IFERROR(IF(AND($Q47&lt;&gt;"",IF(法术查询!$J$4="",1,INDEX($R47:$Z47,1,VLOOKUP(法术查询!$J$4,$AF$2:$AG$10,2,0)))&lt;&gt;"",IF(法术查询!$J$5="",1,$P47=VLOOKUP(法术查询!$J$5,$AH$2:$AI$11,2,0)),IF(法术查询!$J$6="",1,IF(法术查询!$J$6=$E47,1,0)),IF(法术查询!$J$7="",1,SEARCH(法术查询!$J$7,$F47)),IF(法术查询!$J$8="",1,SEARCH(法术查询!$J$8,G47)),IF(法术查询!$J$9="",1,SEARCH(法术查询!$J$9,N47)),IF(法术查询!$J$10="",1,IF(法术查询!$J$10=$AF$11,IF($M47=1,1,0),IF($M47="",1,0))),IF(法术查询!$J$11="",1,IF(法术查询!$J$11=$AF$11,IF($D47=1,1,0),IF($D47="",1,0))),IF(法术查询!$J$12="",1,SEARCH(法术查询!$J$12,$B47&amp;$C47&amp;$O47)),IF(法术查询!$J$13="",1,SEARCH(法术查询!$J$13,$B47&amp;$C47&amp;$O47)),IF(法术查询!$J$14="",1,SEARCH(法术查询!$J$14,$B47&amp;$C47&amp;$O47)),IF(法术查询!$J$16="",1,IF(法术查询!$J$16=$AF$11,IF($H47=1,1,0),IF($H47="",1,0))),IF(法术查询!$J$17="",1,IF(法术查询!$J$17=$AF$11,IF($I47=1,1,0),IF($I47="",1,0))),IF(法术查询!$J$18="",1,IF(法术查询!$J$18=$AF$11,IF($J47&lt;&gt;"",1,0),IF($J47="",1,0))),IF(法术查询!$J$19="",1,IF(法术查询!$J$19=$AF$11,IF($L47&lt;&gt;"",1,0),IF($L47="",1,0)))),$B47,""),"")</f>
        <v/>
      </c>
      <c r="AD46" s="192" t="str">
        <f t="array" ref="AD46">INDEX(AC:AC,SMALL(IF($AC$2:$AC$523&lt;&gt;"",ROW($2:$523),524),ROW(AC45)))&amp;""</f>
        <v/>
      </c>
      <c r="AE46" s="200" t="str">
        <f t="shared" si="3"/>
        <v/>
      </c>
      <c r="AF46" s="204"/>
      <c r="AG46" s="235"/>
      <c r="AH46" s="234" t="s">
        <v>6893</v>
      </c>
      <c r="AI46" s="205"/>
      <c r="AJ46" s="192">
        <v>45</v>
      </c>
      <c r="AK46" s="193" t="str">
        <f>IF(法术书!V52="","",法术书!V52)</f>
        <v/>
      </c>
      <c r="AL46" s="224" t="str">
        <f t="array" ref="AL46">IFERROR(INDEX(AK$1:AK$301,SMALL(IF(MATCH(AK46,AK$1:AK$301,0)=ROW(AK46),ROW(AK$1:AK$301),999),ROW(AK46))),"")</f>
        <v/>
      </c>
      <c r="AM46" s="223" t="str">
        <f t="array" ref="AM46">INDEX(AL:AL,SMALL(IF($AL$2:$AL$301&lt;&gt;"",ROW($2:$301),302),ROW(AL45)))&amp;""</f>
        <v/>
      </c>
      <c r="AN46" s="192" t="str">
        <f>IF(主要!Q80="","",主要!Q80)</f>
        <v/>
      </c>
      <c r="AO46" s="193" t="str">
        <f t="shared" si="4"/>
        <v/>
      </c>
      <c r="AP46" s="193" t="str">
        <f t="shared" si="0"/>
        <v/>
      </c>
      <c r="AQ46" s="193" t="e">
        <f t="shared" si="1"/>
        <v>#N/A</v>
      </c>
      <c r="AR46" s="193" t="e">
        <f t="shared" si="2"/>
        <v>#N/A</v>
      </c>
      <c r="AS46" s="193" t="str">
        <f t="array" ref="AS46">IFERROR(INDEX(AN$1:AN$46,SMALL(IF(MATCH(AN46,AN$1:AN$46,0)=ROW(AN46),ROW(AN$1:AN$46),999),ROW(AN46))),"")</f>
        <v/>
      </c>
      <c r="AT46" s="200" t="str">
        <f t="array" ref="AT46">INDEX(AS:AS,SMALL(IF($AS$2:$AS$46&lt;&gt;"",ROW($2:$46),47),ROW(AS45)))&amp;""</f>
        <v/>
      </c>
    </row>
    <row r="47" customHeight="1" spans="1:46">
      <c r="A47" s="192">
        <v>45</v>
      </c>
      <c r="B47" s="224" t="s">
        <v>6894</v>
      </c>
      <c r="C47" s="224" t="s">
        <v>6895</v>
      </c>
      <c r="D47" s="224"/>
      <c r="E47" s="243" t="s">
        <v>6657</v>
      </c>
      <c r="F47" s="193" t="s">
        <v>6642</v>
      </c>
      <c r="G47" s="193" t="s">
        <v>6673</v>
      </c>
      <c r="H47" s="193">
        <v>1</v>
      </c>
      <c r="I47" s="193">
        <v>1</v>
      </c>
      <c r="N47" s="193" t="s">
        <v>6644</v>
      </c>
      <c r="O47" s="224" t="s">
        <v>6896</v>
      </c>
      <c r="P47" s="224">
        <v>0</v>
      </c>
      <c r="Q47" s="247" t="str">
        <f>IF(综合数据!$B$11=TRUE,"EGW","")</f>
        <v>EGW</v>
      </c>
      <c r="AA47" s="223" t="s">
        <v>6897</v>
      </c>
      <c r="AB47" s="200" t="str">
        <f t="array" ref="AB47">INDEX(B:B,SMALL(IF($Q$3:$Q$524&lt;&gt;"",ROW($3:$524),525),ROW(B46)))&amp;""</f>
        <v>心灵之楔</v>
      </c>
      <c r="AC47" s="225" t="str">
        <f>IFERROR(IF(AND($Q48&lt;&gt;"",IF(法术查询!$J$4="",1,INDEX($R48:$Z48,1,VLOOKUP(法术查询!$J$4,$AF$2:$AG$10,2,0)))&lt;&gt;"",IF(法术查询!$J$5="",1,$P48=VLOOKUP(法术查询!$J$5,$AH$2:$AI$11,2,0)),IF(法术查询!$J$6="",1,IF(法术查询!$J$6=$E48,1,0)),IF(法术查询!$J$7="",1,SEARCH(法术查询!$J$7,$F48)),IF(法术查询!$J$8="",1,SEARCH(法术查询!$J$8,G48)),IF(法术查询!$J$9="",1,SEARCH(法术查询!$J$9,N48)),IF(法术查询!$J$10="",1,IF(法术查询!$J$10=$AF$11,IF($M48=1,1,0),IF($M48="",1,0))),IF(法术查询!$J$11="",1,IF(法术查询!$J$11=$AF$11,IF($D48=1,1,0),IF($D48="",1,0))),IF(法术查询!$J$12="",1,SEARCH(法术查询!$J$12,$B48&amp;$C48&amp;$O48)),IF(法术查询!$J$13="",1,SEARCH(法术查询!$J$13,$B48&amp;$C48&amp;$O48)),IF(法术查询!$J$14="",1,SEARCH(法术查询!$J$14,$B48&amp;$C48&amp;$O48)),IF(法术查询!$J$16="",1,IF(法术查询!$J$16=$AF$11,IF($H48=1,1,0),IF($H48="",1,0))),IF(法术查询!$J$17="",1,IF(法术查询!$J$17=$AF$11,IF($I48=1,1,0),IF($I48="",1,0))),IF(法术查询!$J$18="",1,IF(法术查询!$J$18=$AF$11,IF($J48&lt;&gt;"",1,0),IF($J48="",1,0))),IF(法术查询!$J$19="",1,IF(法术查询!$J$19=$AF$11,IF($L48&lt;&gt;"",1,0),IF($L48="",1,0)))),$B48,""),"")</f>
        <v/>
      </c>
      <c r="AD47" s="192" t="str">
        <f t="array" ref="AD47">INDEX(AC:AC,SMALL(IF($AC$2:$AC$523&lt;&gt;"",ROW($2:$523),524),ROW(AC46)))&amp;""</f>
        <v/>
      </c>
      <c r="AE47" s="200" t="str">
        <f t="shared" si="3"/>
        <v/>
      </c>
      <c r="AF47" s="183" t="s">
        <v>6629</v>
      </c>
      <c r="AG47" s="220"/>
      <c r="AH47" s="183" t="s">
        <v>172</v>
      </c>
      <c r="AI47" s="220"/>
      <c r="AJ47" s="192">
        <v>46</v>
      </c>
      <c r="AK47" s="193" t="str">
        <f>IF(法术书!V53="","",法术书!V53)</f>
        <v/>
      </c>
      <c r="AL47" s="224" t="str">
        <f t="array" ref="AL47">IFERROR(INDEX(AK$1:AK$301,SMALL(IF(MATCH(AK47,AK$1:AK$301,0)=ROW(AK47),ROW(AK$1:AK$301),999),ROW(AK47))),"")</f>
        <v/>
      </c>
      <c r="AM47" s="223" t="str">
        <f t="array" ref="AM47">INDEX(AL:AL,SMALL(IF($AL$2:$AL$301&lt;&gt;"",ROW($2:$301),302),ROW(AL46)))&amp;""</f>
        <v/>
      </c>
      <c r="AN47" s="230" t="s">
        <v>6898</v>
      </c>
      <c r="AO47" s="235">
        <f>COUNTIF(AO2:AO46,"&gt;1")</f>
        <v>0</v>
      </c>
      <c r="AP47" s="234" t="s">
        <v>221</v>
      </c>
      <c r="AQ47" s="235">
        <f>COUNTIF(AQ2:AQ46,"=1")</f>
        <v>0</v>
      </c>
      <c r="AR47" s="235"/>
      <c r="AS47" s="235"/>
      <c r="AT47" s="205"/>
    </row>
    <row r="48" customHeight="1" spans="1:46">
      <c r="A48" s="192">
        <v>46</v>
      </c>
      <c r="B48" s="224" t="s">
        <v>6899</v>
      </c>
      <c r="C48" s="224" t="s">
        <v>6900</v>
      </c>
      <c r="D48" s="224"/>
      <c r="E48" s="233" t="s">
        <v>6688</v>
      </c>
      <c r="F48" s="193" t="s">
        <v>6642</v>
      </c>
      <c r="G48" s="193" t="s">
        <v>6643</v>
      </c>
      <c r="H48" s="193">
        <v>1</v>
      </c>
      <c r="N48" s="193" t="s">
        <v>6652</v>
      </c>
      <c r="O48" s="224" t="s">
        <v>6901</v>
      </c>
      <c r="P48" s="224">
        <v>0</v>
      </c>
      <c r="Q48" s="248" t="str">
        <f>IF(综合数据!$B$14=TRUE,"TCE","")</f>
        <v>TCE</v>
      </c>
      <c r="W48" s="193">
        <v>13</v>
      </c>
      <c r="X48" s="193">
        <v>13</v>
      </c>
      <c r="Y48" s="193">
        <v>13</v>
      </c>
      <c r="AA48" s="223" t="s">
        <v>3496</v>
      </c>
      <c r="AB48" s="200" t="str">
        <f t="array" ref="AB48">INDEX(B:B,SMALL(IF($Q$3:$Q$524&lt;&gt;"",ROW($3:$524),525),ROW(B47)))&amp;""</f>
        <v>警报术</v>
      </c>
      <c r="AC48" s="225" t="str">
        <f>IFERROR(IF(AND($Q49&lt;&gt;"",IF(法术查询!$J$4="",1,INDEX($R49:$Z49,1,VLOOKUP(法术查询!$J$4,$AF$2:$AG$10,2,0)))&lt;&gt;"",IF(法术查询!$J$5="",1,$P49=VLOOKUP(法术查询!$J$5,$AH$2:$AI$11,2,0)),IF(法术查询!$J$6="",1,IF(法术查询!$J$6=$E49,1,0)),IF(法术查询!$J$7="",1,SEARCH(法术查询!$J$7,$F49)),IF(法术查询!$J$8="",1,SEARCH(法术查询!$J$8,G49)),IF(法术查询!$J$9="",1,SEARCH(法术查询!$J$9,N49)),IF(法术查询!$J$10="",1,IF(法术查询!$J$10=$AF$11,IF($M49=1,1,0),IF($M49="",1,0))),IF(法术查询!$J$11="",1,IF(法术查询!$J$11=$AF$11,IF($D49=1,1,0),IF($D49="",1,0))),IF(法术查询!$J$12="",1,SEARCH(法术查询!$J$12,$B49&amp;$C49&amp;$O49)),IF(法术查询!$J$13="",1,SEARCH(法术查询!$J$13,$B49&amp;$C49&amp;$O49)),IF(法术查询!$J$14="",1,SEARCH(法术查询!$J$14,$B49&amp;$C49&amp;$O49)),IF(法术查询!$J$16="",1,IF(法术查询!$J$16=$AF$11,IF($H49=1,1,0),IF($H49="",1,0))),IF(法术查询!$J$17="",1,IF(法术查询!$J$17=$AF$11,IF($I49=1,1,0),IF($I49="",1,0))),IF(法术查询!$J$18="",1,IF(法术查询!$J$18=$AF$11,IF($J49&lt;&gt;"",1,0),IF($J49="",1,0))),IF(法术查询!$J$19="",1,IF(法术查询!$J$19=$AF$11,IF($L49&lt;&gt;"",1,0),IF($L49="",1,0)))),$B49,""),"")</f>
        <v/>
      </c>
      <c r="AD48" s="192" t="str">
        <f t="array" ref="AD48">INDEX(AC:AC,SMALL(IF($AC$2:$AC$523&lt;&gt;"",ROW($2:$523),524),ROW(AC47)))&amp;""</f>
        <v/>
      </c>
      <c r="AE48" s="200" t="str">
        <f t="shared" si="3"/>
        <v/>
      </c>
      <c r="AF48" s="222" t="str">
        <f>IF(OR(法术查询!J4=U2,法术查询!J4=V2),"","戏法")</f>
        <v>戏法</v>
      </c>
      <c r="AG48" s="200" t="str">
        <f t="array" ref="AG48">INDEX(AF:AF,SMALL(IF($AF$48:$AF$57&lt;&gt;"",ROW($48:$57),58),ROW(AG1)))&amp;""</f>
        <v>戏法</v>
      </c>
      <c r="AH48" s="222" t="s">
        <v>1540</v>
      </c>
      <c r="AI48" s="200" t="str">
        <f t="array" ref="AI48">INDEX(AH:AH,SMALL(IF($AH$48:$AH$56&lt;&gt;"",ROW($48:$56),57),ROW(AI1)))&amp;""</f>
        <v>吟游诗人</v>
      </c>
      <c r="AJ48" s="192">
        <v>47</v>
      </c>
      <c r="AK48" s="193" t="str">
        <f>IF(法术书!V54="","",法术书!V54)</f>
        <v/>
      </c>
      <c r="AL48" s="224" t="str">
        <f t="array" ref="AL48">IFERROR(INDEX(AK$1:AK$301,SMALL(IF(MATCH(AK48,AK$1:AK$301,0)=ROW(AK48),ROW(AK$1:AK$301),999),ROW(AK48))),"")</f>
        <v/>
      </c>
      <c r="AM48" s="223" t="str">
        <f t="array" ref="AM48">INDEX(AL:AL,SMALL(IF($AL$2:$AL$301&lt;&gt;"",ROW($2:$301),302),ROW(AL47)))&amp;""</f>
        <v/>
      </c>
    </row>
    <row r="49" customHeight="1" spans="1:39">
      <c r="A49" s="192">
        <v>47</v>
      </c>
      <c r="B49" s="224" t="s">
        <v>6902</v>
      </c>
      <c r="C49" s="224" t="s">
        <v>6903</v>
      </c>
      <c r="D49" s="193">
        <v>1</v>
      </c>
      <c r="E49" s="242" t="s">
        <v>6650</v>
      </c>
      <c r="F49" s="193" t="s">
        <v>6709</v>
      </c>
      <c r="G49" s="193" t="s">
        <v>6673</v>
      </c>
      <c r="H49" s="193">
        <v>1</v>
      </c>
      <c r="I49" s="193">
        <v>1</v>
      </c>
      <c r="J49" s="193">
        <v>1</v>
      </c>
      <c r="K49" s="224" t="s">
        <v>6904</v>
      </c>
      <c r="L49" s="224"/>
      <c r="N49" s="193" t="s">
        <v>6748</v>
      </c>
      <c r="O49" s="224" t="s">
        <v>6905</v>
      </c>
      <c r="P49" s="224">
        <v>1</v>
      </c>
      <c r="Q49" s="224" t="s">
        <v>249</v>
      </c>
      <c r="V49" s="193">
        <v>1</v>
      </c>
      <c r="X49" s="193">
        <v>1</v>
      </c>
      <c r="Z49" s="193">
        <v>9</v>
      </c>
      <c r="AA49" s="223" t="s">
        <v>6906</v>
      </c>
      <c r="AB49" s="200" t="str">
        <f t="array" ref="AB49">INDEX(B:B,SMALL(IF($Q$3:$Q$524&lt;&gt;"",ROW($3:$524),525),ROW(B48)))&amp;""</f>
        <v>化兽为友</v>
      </c>
      <c r="AC49" s="225" t="str">
        <f>IFERROR(IF(AND($Q50&lt;&gt;"",IF(法术查询!$J$4="",1,INDEX($R50:$Z50,1,VLOOKUP(法术查询!$J$4,$AF$2:$AG$10,2,0)))&lt;&gt;"",IF(法术查询!$J$5="",1,$P50=VLOOKUP(法术查询!$J$5,$AH$2:$AI$11,2,0)),IF(法术查询!$J$6="",1,IF(法术查询!$J$6=$E50,1,0)),IF(法术查询!$J$7="",1,SEARCH(法术查询!$J$7,$F50)),IF(法术查询!$J$8="",1,SEARCH(法术查询!$J$8,G50)),IF(法术查询!$J$9="",1,SEARCH(法术查询!$J$9,N50)),IF(法术查询!$J$10="",1,IF(法术查询!$J$10=$AF$11,IF($M50=1,1,0),IF($M50="",1,0))),IF(法术查询!$J$11="",1,IF(法术查询!$J$11=$AF$11,IF($D50=1,1,0),IF($D50="",1,0))),IF(法术查询!$J$12="",1,SEARCH(法术查询!$J$12,$B50&amp;$C50&amp;$O50)),IF(法术查询!$J$13="",1,SEARCH(法术查询!$J$13,$B50&amp;$C50&amp;$O50)),IF(法术查询!$J$14="",1,SEARCH(法术查询!$J$14,$B50&amp;$C50&amp;$O50)),IF(法术查询!$J$16="",1,IF(法术查询!$J$16=$AF$11,IF($H50=1,1,0),IF($H50="",1,0))),IF(法术查询!$J$17="",1,IF(法术查询!$J$17=$AF$11,IF($I50=1,1,0),IF($I50="",1,0))),IF(法术查询!$J$18="",1,IF(法术查询!$J$18=$AF$11,IF($J50&lt;&gt;"",1,0),IF($J50="",1,0))),IF(法术查询!$J$19="",1,IF(法术查询!$J$19=$AF$11,IF($L50&lt;&gt;"",1,0),IF($L50="",1,0)))),$B50,""),"")</f>
        <v/>
      </c>
      <c r="AD49" s="192" t="str">
        <f t="array" ref="AD49">INDEX(AC:AC,SMALL(IF($AC$2:$AC$523&lt;&gt;"",ROW($2:$523),524),ROW(AC48)))&amp;""</f>
        <v/>
      </c>
      <c r="AE49" s="200" t="str">
        <f t="shared" si="3"/>
        <v/>
      </c>
      <c r="AF49" s="222" t="s">
        <v>6647</v>
      </c>
      <c r="AG49" s="200" t="str">
        <f t="array" ref="AG49">INDEX(AF:AF,SMALL(IF($AF$48:$AF$57&lt;&gt;"",ROW($48:$57),58),ROW(AG2)))&amp;""</f>
        <v>一环</v>
      </c>
      <c r="AH49" s="222" t="s">
        <v>1570</v>
      </c>
      <c r="AI49" s="200" t="str">
        <f t="array" ref="AI49">INDEX(AH:AH,SMALL(IF($AH$48:$AH$56&lt;&gt;"",ROW($48:$56),57),ROW(AI2)))&amp;""</f>
        <v>牧师</v>
      </c>
      <c r="AJ49" s="192">
        <v>48</v>
      </c>
      <c r="AK49" s="193" t="str">
        <f>IF(法术书!V55="","",法术书!V55)</f>
        <v/>
      </c>
      <c r="AL49" s="224" t="str">
        <f t="array" ref="AL49">IFERROR(INDEX(AK$1:AK$301,SMALL(IF(MATCH(AK49,AK$1:AK$301,0)=ROW(AK49),ROW(AK$1:AK$301),999),ROW(AK49))),"")</f>
        <v/>
      </c>
      <c r="AM49" s="223" t="str">
        <f t="array" ref="AM49">INDEX(AL:AL,SMALL(IF($AL$2:$AL$301&lt;&gt;"",ROW($2:$301),302),ROW(AL48)))&amp;""</f>
        <v/>
      </c>
    </row>
    <row r="50" customHeight="1" spans="1:39">
      <c r="A50" s="192">
        <v>48</v>
      </c>
      <c r="B50" s="224" t="s">
        <v>6907</v>
      </c>
      <c r="C50" s="224" t="s">
        <v>6908</v>
      </c>
      <c r="E50" s="233" t="s">
        <v>6688</v>
      </c>
      <c r="F50" s="193" t="s">
        <v>6642</v>
      </c>
      <c r="G50" s="193" t="s">
        <v>6673</v>
      </c>
      <c r="H50" s="193">
        <v>1</v>
      </c>
      <c r="I50" s="193">
        <v>1</v>
      </c>
      <c r="J50" s="193">
        <v>1</v>
      </c>
      <c r="K50" s="224" t="s">
        <v>6909</v>
      </c>
      <c r="L50" s="224"/>
      <c r="N50" s="193" t="s">
        <v>6759</v>
      </c>
      <c r="O50" s="224" t="s">
        <v>6910</v>
      </c>
      <c r="P50" s="224">
        <v>1</v>
      </c>
      <c r="Q50" s="224" t="s">
        <v>249</v>
      </c>
      <c r="R50" s="193">
        <v>1</v>
      </c>
      <c r="T50" s="193">
        <v>1</v>
      </c>
      <c r="V50" s="193">
        <v>1</v>
      </c>
      <c r="AA50" s="223" t="s">
        <v>6911</v>
      </c>
      <c r="AB50" s="200" t="str">
        <f t="array" ref="AB50">INDEX(B:B,SMALL(IF($Q$3:$Q$524&lt;&gt;"",ROW($3:$524),525),ROW(B49)))&amp;""</f>
        <v>艾嘉西斯之铠</v>
      </c>
      <c r="AC50" s="225" t="str">
        <f>IFERROR(IF(AND($Q51&lt;&gt;"",IF(法术查询!$J$4="",1,INDEX($R51:$Z51,1,VLOOKUP(法术查询!$J$4,$AF$2:$AG$10,2,0)))&lt;&gt;"",IF(法术查询!$J$5="",1,$P51=VLOOKUP(法术查询!$J$5,$AH$2:$AI$11,2,0)),IF(法术查询!$J$6="",1,IF(法术查询!$J$6=$E51,1,0)),IF(法术查询!$J$7="",1,SEARCH(法术查询!$J$7,$F51)),IF(法术查询!$J$8="",1,SEARCH(法术查询!$J$8,G51)),IF(法术查询!$J$9="",1,SEARCH(法术查询!$J$9,N51)),IF(法术查询!$J$10="",1,IF(法术查询!$J$10=$AF$11,IF($M51=1,1,0),IF($M51="",1,0))),IF(法术查询!$J$11="",1,IF(法术查询!$J$11=$AF$11,IF($D51=1,1,0),IF($D51="",1,0))),IF(法术查询!$J$12="",1,SEARCH(法术查询!$J$12,$B51&amp;$C51&amp;$O51)),IF(法术查询!$J$13="",1,SEARCH(法术查询!$J$13,$B51&amp;$C51&amp;$O51)),IF(法术查询!$J$14="",1,SEARCH(法术查询!$J$14,$B51&amp;$C51&amp;$O51)),IF(法术查询!$J$16="",1,IF(法术查询!$J$16=$AF$11,IF($H51=1,1,0),IF($H51="",1,0))),IF(法术查询!$J$17="",1,IF(法术查询!$J$17=$AF$11,IF($I51=1,1,0),IF($I51="",1,0))),IF(法术查询!$J$18="",1,IF(法术查询!$J$18=$AF$11,IF($J51&lt;&gt;"",1,0),IF($J51="",1,0))),IF(法术查询!$J$19="",1,IF(法术查询!$J$19=$AF$11,IF($L51&lt;&gt;"",1,0),IF($L51="",1,0)))),$B51,""),"")</f>
        <v/>
      </c>
      <c r="AD50" s="192" t="str">
        <f t="array" ref="AD50">INDEX(AC:AC,SMALL(IF($AC$2:$AC$523&lt;&gt;"",ROW($2:$523),524),ROW(AC49)))&amp;""</f>
        <v/>
      </c>
      <c r="AE50" s="200" t="str">
        <f t="shared" si="3"/>
        <v/>
      </c>
      <c r="AF50" s="222" t="s">
        <v>6654</v>
      </c>
      <c r="AG50" s="200" t="str">
        <f t="array" ref="AG50">INDEX(AF:AF,SMALL(IF($AF$48:$AF$57&lt;&gt;"",ROW($48:$57),58),ROW(AG3)))&amp;""</f>
        <v>二环</v>
      </c>
      <c r="AH50" s="222" t="s">
        <v>1600</v>
      </c>
      <c r="AI50" s="200" t="str">
        <f t="array" ref="AI50">INDEX(AH:AH,SMALL(IF($AH$48:$AH$56&lt;&gt;"",ROW($48:$56),57),ROW(AI3)))&amp;""</f>
        <v>德鲁伊</v>
      </c>
      <c r="AJ50" s="192">
        <v>49</v>
      </c>
      <c r="AK50" s="193" t="str">
        <f>IF(法术书!V56="","",法术书!V56)</f>
        <v/>
      </c>
      <c r="AL50" s="224" t="str">
        <f t="array" ref="AL50">IFERROR(INDEX(AK$1:AK$301,SMALL(IF(MATCH(AK50,AK$1:AK$301,0)=ROW(AK50),ROW(AK$1:AK$301),999),ROW(AK50))),"")</f>
        <v/>
      </c>
      <c r="AM50" s="223" t="str">
        <f t="array" ref="AM50">INDEX(AL:AL,SMALL(IF($AL$2:$AL$301&lt;&gt;"",ROW($2:$301),302),ROW(AL49)))&amp;""</f>
        <v/>
      </c>
    </row>
    <row r="51" customHeight="1" spans="1:39">
      <c r="A51" s="192">
        <v>49</v>
      </c>
      <c r="B51" s="224" t="s">
        <v>6912</v>
      </c>
      <c r="C51" s="224" t="s">
        <v>6913</v>
      </c>
      <c r="E51" s="242" t="s">
        <v>6650</v>
      </c>
      <c r="F51" s="193" t="s">
        <v>6642</v>
      </c>
      <c r="G51" s="193" t="s">
        <v>6651</v>
      </c>
      <c r="H51" s="193">
        <v>1</v>
      </c>
      <c r="I51" s="193">
        <v>1</v>
      </c>
      <c r="J51" s="193">
        <v>1</v>
      </c>
      <c r="K51" s="224" t="s">
        <v>6914</v>
      </c>
      <c r="L51" s="224"/>
      <c r="N51" s="193" t="s">
        <v>6704</v>
      </c>
      <c r="O51" s="224" t="s">
        <v>6915</v>
      </c>
      <c r="P51" s="224">
        <v>1</v>
      </c>
      <c r="Q51" s="224" t="s">
        <v>249</v>
      </c>
      <c r="Y51" s="193">
        <v>1</v>
      </c>
      <c r="AA51" s="223" t="s">
        <v>6916</v>
      </c>
      <c r="AB51" s="200" t="str">
        <f t="array" ref="AB51">INDEX(B:B,SMALL(IF($Q$3:$Q$524&lt;&gt;"",ROW($3:$524),525),ROW(B50)))&amp;""</f>
        <v>哈达之臂</v>
      </c>
      <c r="AC51" s="225" t="str">
        <f>IFERROR(IF(AND($Q52&lt;&gt;"",IF(法术查询!$J$4="",1,INDEX($R52:$Z52,1,VLOOKUP(法术查询!$J$4,$AF$2:$AG$10,2,0)))&lt;&gt;"",IF(法术查询!$J$5="",1,$P52=VLOOKUP(法术查询!$J$5,$AH$2:$AI$11,2,0)),IF(法术查询!$J$6="",1,IF(法术查询!$J$6=$E52,1,0)),IF(法术查询!$J$7="",1,SEARCH(法术查询!$J$7,$F52)),IF(法术查询!$J$8="",1,SEARCH(法术查询!$J$8,G52)),IF(法术查询!$J$9="",1,SEARCH(法术查询!$J$9,N52)),IF(法术查询!$J$10="",1,IF(法术查询!$J$10=$AF$11,IF($M52=1,1,0),IF($M52="",1,0))),IF(法术查询!$J$11="",1,IF(法术查询!$J$11=$AF$11,IF($D52=1,1,0),IF($D52="",1,0))),IF(法术查询!$J$12="",1,SEARCH(法术查询!$J$12,$B52&amp;$C52&amp;$O52)),IF(法术查询!$J$13="",1,SEARCH(法术查询!$J$13,$B52&amp;$C52&amp;$O52)),IF(法术查询!$J$14="",1,SEARCH(法术查询!$J$14,$B52&amp;$C52&amp;$O52)),IF(法术查询!$J$16="",1,IF(法术查询!$J$16=$AF$11,IF($H52=1,1,0),IF($H52="",1,0))),IF(法术查询!$J$17="",1,IF(法术查询!$J$17=$AF$11,IF($I52=1,1,0),IF($I52="",1,0))),IF(法术查询!$J$18="",1,IF(法术查询!$J$18=$AF$11,IF($J52&lt;&gt;"",1,0),IF($J52="",1,0))),IF(法术查询!$J$19="",1,IF(法术查询!$J$19=$AF$11,IF($L52&lt;&gt;"",1,0),IF($L52="",1,0)))),$B52,""),"")</f>
        <v/>
      </c>
      <c r="AD51" s="192" t="str">
        <f t="array" ref="AD51">INDEX(AC:AC,SMALL(IF($AC$2:$AC$523&lt;&gt;"",ROW($2:$523),524),ROW(AC50)))&amp;""</f>
        <v/>
      </c>
      <c r="AE51" s="200" t="str">
        <f t="shared" si="3"/>
        <v/>
      </c>
      <c r="AF51" s="222" t="s">
        <v>6661</v>
      </c>
      <c r="AG51" s="200" t="str">
        <f t="array" ref="AG51">INDEX(AF:AF,SMALL(IF($AF$48:$AF$57&lt;&gt;"",ROW($48:$57),58),ROW(AG4)))&amp;""</f>
        <v>三环</v>
      </c>
      <c r="AH51" s="222" t="str">
        <f>IF(OR(法术查询!J5=AH2,COUNTIF(AH8:AH11,法术查询!J5)),"","圣武士")</f>
        <v>圣武士</v>
      </c>
      <c r="AI51" s="200" t="str">
        <f t="array" ref="AI51">INDEX(AH:AH,SMALL(IF($AH$48:$AH$56&lt;&gt;"",ROW($48:$56),57),ROW(AI4)))&amp;""</f>
        <v>圣武士</v>
      </c>
      <c r="AJ51" s="192">
        <v>50</v>
      </c>
      <c r="AK51" s="193" t="str">
        <f>IF(法术书!V57="","",法术书!V57)</f>
        <v/>
      </c>
      <c r="AL51" s="224" t="str">
        <f t="array" ref="AL51">IFERROR(INDEX(AK$1:AK$301,SMALL(IF(MATCH(AK51,AK$1:AK$301,0)=ROW(AK51),ROW(AK$1:AK$301),999),ROW(AK51))),"")</f>
        <v/>
      </c>
      <c r="AM51" s="223" t="str">
        <f t="array" ref="AM51">INDEX(AL:AL,SMALL(IF($AL$2:$AL$301&lt;&gt;"",ROW($2:$301),302),ROW(AL50)))&amp;""</f>
        <v/>
      </c>
    </row>
    <row r="52" customHeight="1" spans="1:39">
      <c r="A52" s="192">
        <v>50</v>
      </c>
      <c r="B52" s="224" t="s">
        <v>6917</v>
      </c>
      <c r="C52" s="224" t="s">
        <v>6918</v>
      </c>
      <c r="E52" s="240" t="s">
        <v>6641</v>
      </c>
      <c r="F52" s="193" t="s">
        <v>6642</v>
      </c>
      <c r="G52" s="193" t="s">
        <v>6839</v>
      </c>
      <c r="H52" s="193">
        <v>1</v>
      </c>
      <c r="I52" s="193">
        <v>1</v>
      </c>
      <c r="N52" s="193" t="s">
        <v>6644</v>
      </c>
      <c r="O52" s="224" t="s">
        <v>6919</v>
      </c>
      <c r="P52" s="224">
        <v>1</v>
      </c>
      <c r="Q52" s="224" t="s">
        <v>249</v>
      </c>
      <c r="Y52" s="193">
        <v>1</v>
      </c>
      <c r="AA52" s="200" t="s">
        <v>3496</v>
      </c>
      <c r="AB52" s="200" t="str">
        <f t="array" ref="AB52">INDEX(B:B,SMALL(IF($Q$3:$Q$524&lt;&gt;"",ROW($3:$524),525),ROW(B51)))&amp;""</f>
        <v>灾祸术</v>
      </c>
      <c r="AC52" s="225" t="str">
        <f>IFERROR(IF(AND($Q53&lt;&gt;"",IF(法术查询!$J$4="",1,INDEX($R53:$Z53,1,VLOOKUP(法术查询!$J$4,$AF$2:$AG$10,2,0)))&lt;&gt;"",IF(法术查询!$J$5="",1,$P53=VLOOKUP(法术查询!$J$5,$AH$2:$AI$11,2,0)),IF(法术查询!$J$6="",1,IF(法术查询!$J$6=$E53,1,0)),IF(法术查询!$J$7="",1,SEARCH(法术查询!$J$7,$F53)),IF(法术查询!$J$8="",1,SEARCH(法术查询!$J$8,G53)),IF(法术查询!$J$9="",1,SEARCH(法术查询!$J$9,N53)),IF(法术查询!$J$10="",1,IF(法术查询!$J$10=$AF$11,IF($M53=1,1,0),IF($M53="",1,0))),IF(法术查询!$J$11="",1,IF(法术查询!$J$11=$AF$11,IF($D53=1,1,0),IF($D53="",1,0))),IF(法术查询!$J$12="",1,SEARCH(法术查询!$J$12,$B53&amp;$C53&amp;$O53)),IF(法术查询!$J$13="",1,SEARCH(法术查询!$J$13,$B53&amp;$C53&amp;$O53)),IF(法术查询!$J$14="",1,SEARCH(法术查询!$J$14,$B53&amp;$C53&amp;$O53)),IF(法术查询!$J$16="",1,IF(法术查询!$J$16=$AF$11,IF($H53=1,1,0),IF($H53="",1,0))),IF(法术查询!$J$17="",1,IF(法术查询!$J$17=$AF$11,IF($I53=1,1,0),IF($I53="",1,0))),IF(法术查询!$J$18="",1,IF(法术查询!$J$18=$AF$11,IF($J53&lt;&gt;"",1,0),IF($J53="",1,0))),IF(法术查询!$J$19="",1,IF(法术查询!$J$19=$AF$11,IF($L53&lt;&gt;"",1,0),IF($L53="",1,0)))),$B53,""),"")</f>
        <v/>
      </c>
      <c r="AD52" s="192" t="str">
        <f t="array" ref="AD52">INDEX(AC:AC,SMALL(IF($AC$2:$AC$523&lt;&gt;"",ROW($2:$523),524),ROW(AC51)))&amp;""</f>
        <v/>
      </c>
      <c r="AE52" s="200" t="str">
        <f t="shared" si="3"/>
        <v/>
      </c>
      <c r="AF52" s="222" t="s">
        <v>6669</v>
      </c>
      <c r="AG52" s="200" t="str">
        <f t="array" ref="AG52">INDEX(AF:AF,SMALL(IF($AF$48:$AF$57&lt;&gt;"",ROW($48:$57),58),ROW(AG5)))&amp;""</f>
        <v>四环</v>
      </c>
      <c r="AH52" s="222" t="str">
        <f>IF(OR(法术查询!J5=AH2,COUNTIF(AH8:AH11,法术查询!J5)),"","游侠")</f>
        <v>游侠</v>
      </c>
      <c r="AI52" s="200" t="str">
        <f t="array" ref="AI52">INDEX(AH:AH,SMALL(IF($AH$48:$AH$56&lt;&gt;"",ROW($48:$56),57),ROW(AI5)))&amp;""</f>
        <v>游侠</v>
      </c>
      <c r="AJ52" s="192">
        <v>51</v>
      </c>
      <c r="AK52" s="193" t="str">
        <f>IF(法术书!Y8="","",法术书!Y8)</f>
        <v/>
      </c>
      <c r="AL52" s="224" t="str">
        <f t="array" ref="AL52">IFERROR(INDEX(AK$1:AK$301,SMALL(IF(MATCH(AK52,AK$1:AK$301,0)=ROW(AK52),ROW(AK$1:AK$301),999),ROW(AK52))),"")</f>
        <v/>
      </c>
      <c r="AM52" s="223" t="str">
        <f t="array" ref="AM52">INDEX(AL:AL,SMALL(IF($AL$2:$AL$301&lt;&gt;"",ROW($2:$301),302),ROW(AL51)))&amp;""</f>
        <v/>
      </c>
    </row>
    <row r="53" customHeight="1" spans="1:39">
      <c r="A53" s="192">
        <v>51</v>
      </c>
      <c r="B53" s="224" t="s">
        <v>6920</v>
      </c>
      <c r="C53" s="224" t="s">
        <v>6921</v>
      </c>
      <c r="E53" s="233" t="s">
        <v>6688</v>
      </c>
      <c r="F53" s="193" t="s">
        <v>6642</v>
      </c>
      <c r="G53" s="193" t="s">
        <v>6673</v>
      </c>
      <c r="H53" s="193">
        <v>1</v>
      </c>
      <c r="I53" s="193">
        <v>1</v>
      </c>
      <c r="J53" s="193">
        <v>1</v>
      </c>
      <c r="K53" s="224" t="s">
        <v>6922</v>
      </c>
      <c r="L53" s="224"/>
      <c r="M53" s="193">
        <v>1</v>
      </c>
      <c r="N53" s="193" t="s">
        <v>6666</v>
      </c>
      <c r="O53" s="224" t="s">
        <v>6923</v>
      </c>
      <c r="P53" s="224">
        <v>1</v>
      </c>
      <c r="Q53" s="224" t="s">
        <v>249</v>
      </c>
      <c r="R53" s="193">
        <v>1</v>
      </c>
      <c r="S53" s="193">
        <v>1</v>
      </c>
      <c r="AA53" s="223" t="s">
        <v>6924</v>
      </c>
      <c r="AB53" s="200" t="str">
        <f t="array" ref="AB53">INDEX(B:B,SMALL(IF($Q$3:$Q$524&lt;&gt;"",ROW($3:$524),525),ROW(B52)))&amp;""</f>
        <v>祝福术</v>
      </c>
      <c r="AC53" s="225" t="str">
        <f>IFERROR(IF(AND($Q54&lt;&gt;"",IF(法术查询!$J$4="",1,INDEX($R54:$Z54,1,VLOOKUP(法术查询!$J$4,$AF$2:$AG$10,2,0)))&lt;&gt;"",IF(法术查询!$J$5="",1,$P54=VLOOKUP(法术查询!$J$5,$AH$2:$AI$11,2,0)),IF(法术查询!$J$6="",1,IF(法术查询!$J$6=$E54,1,0)),IF(法术查询!$J$7="",1,SEARCH(法术查询!$J$7,$F54)),IF(法术查询!$J$8="",1,SEARCH(法术查询!$J$8,G54)),IF(法术查询!$J$9="",1,SEARCH(法术查询!$J$9,N54)),IF(法术查询!$J$10="",1,IF(法术查询!$J$10=$AF$11,IF($M54=1,1,0),IF($M54="",1,0))),IF(法术查询!$J$11="",1,IF(法术查询!$J$11=$AF$11,IF($D54=1,1,0),IF($D54="",1,0))),IF(法术查询!$J$12="",1,SEARCH(法术查询!$J$12,$B54&amp;$C54&amp;$O54)),IF(法术查询!$J$13="",1,SEARCH(法术查询!$J$13,$B54&amp;$C54&amp;$O54)),IF(法术查询!$J$14="",1,SEARCH(法术查询!$J$14,$B54&amp;$C54&amp;$O54)),IF(法术查询!$J$16="",1,IF(法术查询!$J$16=$AF$11,IF($H54=1,1,0),IF($H54="",1,0))),IF(法术查询!$J$17="",1,IF(法术查询!$J$17=$AF$11,IF($I54=1,1,0),IF($I54="",1,0))),IF(法术查询!$J$18="",1,IF(法术查询!$J$18=$AF$11,IF($J54&lt;&gt;"",1,0),IF($J54="",1,0))),IF(法术查询!$J$19="",1,IF(法术查询!$J$19=$AF$11,IF($L54&lt;&gt;"",1,0),IF($L54="",1,0)))),$B54,""),"")</f>
        <v/>
      </c>
      <c r="AD53" s="192" t="str">
        <f t="array" ref="AD53">INDEX(AC:AC,SMALL(IF($AC$2:$AC$523&lt;&gt;"",ROW($2:$523),524),ROW(AC52)))&amp;""</f>
        <v/>
      </c>
      <c r="AE53" s="200" t="str">
        <f t="shared" si="3"/>
        <v/>
      </c>
      <c r="AF53" s="222" t="s">
        <v>6676</v>
      </c>
      <c r="AG53" s="200" t="str">
        <f t="array" ref="AG53">INDEX(AF:AF,SMALL(IF($AF$48:$AF$57&lt;&gt;"",ROW($48:$57),58),ROW(AG6)))&amp;""</f>
        <v>五环</v>
      </c>
      <c r="AH53" s="222" t="s">
        <v>1711</v>
      </c>
      <c r="AI53" s="200" t="str">
        <f t="array" ref="AI53">INDEX(AH:AH,SMALL(IF($AH$48:$AH$56&lt;&gt;"",ROW($48:$56),57),ROW(AI6)))&amp;""</f>
        <v>术士</v>
      </c>
      <c r="AJ53" s="192">
        <v>52</v>
      </c>
      <c r="AK53" s="193" t="str">
        <f>IF(法术书!Y9="","",法术书!Y9)</f>
        <v/>
      </c>
      <c r="AL53" s="224" t="str">
        <f t="array" ref="AL53">IFERROR(INDEX(AK$1:AK$301,SMALL(IF(MATCH(AK53,AK$1:AK$301,0)=ROW(AK53),ROW(AK$1:AK$301),999),ROW(AK53))),"")</f>
        <v/>
      </c>
      <c r="AM53" s="223" t="str">
        <f t="array" ref="AM53">INDEX(AL:AL,SMALL(IF($AL$2:$AL$301&lt;&gt;"",ROW($2:$301),302),ROW(AL52)))&amp;""</f>
        <v/>
      </c>
    </row>
    <row r="54" customHeight="1" spans="1:39">
      <c r="A54" s="192">
        <v>52</v>
      </c>
      <c r="B54" s="224" t="s">
        <v>6925</v>
      </c>
      <c r="C54" s="224" t="s">
        <v>6926</v>
      </c>
      <c r="E54" s="233" t="s">
        <v>6688</v>
      </c>
      <c r="F54" s="193" t="s">
        <v>6642</v>
      </c>
      <c r="G54" s="193" t="s">
        <v>6673</v>
      </c>
      <c r="H54" s="193">
        <v>1</v>
      </c>
      <c r="I54" s="193">
        <v>1</v>
      </c>
      <c r="J54" s="193">
        <v>1</v>
      </c>
      <c r="K54" s="224" t="s">
        <v>6927</v>
      </c>
      <c r="L54" s="224"/>
      <c r="M54" s="193">
        <v>1</v>
      </c>
      <c r="N54" s="193" t="s">
        <v>6666</v>
      </c>
      <c r="O54" s="224" t="s">
        <v>6928</v>
      </c>
      <c r="P54" s="224">
        <v>1</v>
      </c>
      <c r="Q54" s="224" t="s">
        <v>249</v>
      </c>
      <c r="S54" s="193">
        <v>1</v>
      </c>
      <c r="U54" s="193">
        <v>1</v>
      </c>
      <c r="AA54" s="223" t="s">
        <v>6929</v>
      </c>
      <c r="AB54" s="200" t="str">
        <f t="array" ref="AB54">INDEX(B:B,SMALL(IF($Q$3:$Q$524&lt;&gt;"",ROW($3:$524),525),ROW(B53)))&amp;""</f>
        <v>燃烧之手</v>
      </c>
      <c r="AC54" s="225" t="str">
        <f>IFERROR(IF(AND($Q55&lt;&gt;"",IF(法术查询!$J$4="",1,INDEX($R55:$Z55,1,VLOOKUP(法术查询!$J$4,$AF$2:$AG$10,2,0)))&lt;&gt;"",IF(法术查询!$J$5="",1,$P55=VLOOKUP(法术查询!$J$5,$AH$2:$AI$11,2,0)),IF(法术查询!$J$6="",1,IF(法术查询!$J$6=$E55,1,0)),IF(法术查询!$J$7="",1,SEARCH(法术查询!$J$7,$F55)),IF(法术查询!$J$8="",1,SEARCH(法术查询!$J$8,G55)),IF(法术查询!$J$9="",1,SEARCH(法术查询!$J$9,N55)),IF(法术查询!$J$10="",1,IF(法术查询!$J$10=$AF$11,IF($M55=1,1,0),IF($M55="",1,0))),IF(法术查询!$J$11="",1,IF(法术查询!$J$11=$AF$11,IF($D55=1,1,0),IF($D55="",1,0))),IF(法术查询!$J$12="",1,SEARCH(法术查询!$J$12,$B55&amp;$C55&amp;$O55)),IF(法术查询!$J$13="",1,SEARCH(法术查询!$J$13,$B55&amp;$C55&amp;$O55)),IF(法术查询!$J$14="",1,SEARCH(法术查询!$J$14,$B55&amp;$C55&amp;$O55)),IF(法术查询!$J$16="",1,IF(法术查询!$J$16=$AF$11,IF($H55=1,1,0),IF($H55="",1,0))),IF(法术查询!$J$17="",1,IF(法术查询!$J$17=$AF$11,IF($I55=1,1,0),IF($I55="",1,0))),IF(法术查询!$J$18="",1,IF(法术查询!$J$18=$AF$11,IF($J55&lt;&gt;"",1,0),IF($J55="",1,0))),IF(法术查询!$J$19="",1,IF(法术查询!$J$19=$AF$11,IF($L55&lt;&gt;"",1,0),IF($L55="",1,0)))),$B55,""),"")</f>
        <v/>
      </c>
      <c r="AD54" s="192" t="str">
        <f t="array" ref="AD54">INDEX(AC:AC,SMALL(IF($AC$2:$AC$523&lt;&gt;"",ROW($2:$523),524),ROW(AC53)))&amp;""</f>
        <v/>
      </c>
      <c r="AE54" s="200" t="str">
        <f t="shared" si="3"/>
        <v/>
      </c>
      <c r="AF54" s="222" t="str">
        <f>IF(OR(法术查询!J4=U2,法术查询!J4=V2,法术查询!J4=Z2),"","六环")</f>
        <v/>
      </c>
      <c r="AG54" s="200" t="str">
        <f t="array" ref="AG54">INDEX(AF:AF,SMALL(IF($AF$48:$AF$57&lt;&gt;"",ROW($48:$57),58),ROW(AG7)))&amp;""</f>
        <v/>
      </c>
      <c r="AH54" s="222" t="s">
        <v>1725</v>
      </c>
      <c r="AI54" s="200" t="str">
        <f t="array" ref="AI54">INDEX(AH:AH,SMALL(IF($AH$48:$AH$56&lt;&gt;"",ROW($48:$56),57),ROW(AI7)))&amp;""</f>
        <v>法师</v>
      </c>
      <c r="AJ54" s="192">
        <v>53</v>
      </c>
      <c r="AK54" s="193" t="str">
        <f>IF(法术书!Y10="","",法术书!Y10)</f>
        <v/>
      </c>
      <c r="AL54" s="224" t="str">
        <f t="array" ref="AL54">IFERROR(INDEX(AK$1:AK$301,SMALL(IF(MATCH(AK54,AK$1:AK$301,0)=ROW(AK54),ROW(AK$1:AK$301),999),ROW(AK54))),"")</f>
        <v/>
      </c>
      <c r="AM54" s="223" t="str">
        <f t="array" ref="AM54">INDEX(AL:AL,SMALL(IF($AL$2:$AL$301&lt;&gt;"",ROW($2:$301),302),ROW(AL53)))&amp;""</f>
        <v/>
      </c>
    </row>
    <row r="55" customHeight="1" spans="1:39">
      <c r="A55" s="192">
        <v>53</v>
      </c>
      <c r="B55" s="224" t="s">
        <v>6930</v>
      </c>
      <c r="C55" s="224" t="s">
        <v>6931</v>
      </c>
      <c r="E55" s="229" t="s">
        <v>6664</v>
      </c>
      <c r="F55" s="193" t="s">
        <v>6642</v>
      </c>
      <c r="G55" s="193" t="s">
        <v>6854</v>
      </c>
      <c r="H55" s="193">
        <v>1</v>
      </c>
      <c r="I55" s="193">
        <v>1</v>
      </c>
      <c r="N55" s="193" t="s">
        <v>6644</v>
      </c>
      <c r="O55" s="224" t="s">
        <v>6932</v>
      </c>
      <c r="P55" s="224">
        <v>1</v>
      </c>
      <c r="Q55" s="224" t="s">
        <v>249</v>
      </c>
      <c r="W55" s="193">
        <v>1</v>
      </c>
      <c r="X55" s="193">
        <v>1</v>
      </c>
      <c r="AA55" s="223" t="s">
        <v>6933</v>
      </c>
      <c r="AB55" s="200" t="str">
        <f t="array" ref="AB55">INDEX(B:B,SMALL(IF($Q$3:$Q$524&lt;&gt;"",ROW($3:$524),525),ROW(B54)))&amp;""</f>
        <v>魅惑人类</v>
      </c>
      <c r="AC55" s="225" t="str">
        <f>IFERROR(IF(AND($Q56&lt;&gt;"",IF(法术查询!$J$4="",1,INDEX($R56:$Z56,1,VLOOKUP(法术查询!$J$4,$AF$2:$AG$10,2,0)))&lt;&gt;"",IF(法术查询!$J$5="",1,$P56=VLOOKUP(法术查询!$J$5,$AH$2:$AI$11,2,0)),IF(法术查询!$J$6="",1,IF(法术查询!$J$6=$E56,1,0)),IF(法术查询!$J$7="",1,SEARCH(法术查询!$J$7,$F56)),IF(法术查询!$J$8="",1,SEARCH(法术查询!$J$8,G56)),IF(法术查询!$J$9="",1,SEARCH(法术查询!$J$9,N56)),IF(法术查询!$J$10="",1,IF(法术查询!$J$10=$AF$11,IF($M56=1,1,0),IF($M56="",1,0))),IF(法术查询!$J$11="",1,IF(法术查询!$J$11=$AF$11,IF($D56=1,1,0),IF($D56="",1,0))),IF(法术查询!$J$12="",1,SEARCH(法术查询!$J$12,$B56&amp;$C56&amp;$O56)),IF(法术查询!$J$13="",1,SEARCH(法术查询!$J$13,$B56&amp;$C56&amp;$O56)),IF(法术查询!$J$14="",1,SEARCH(法术查询!$J$14,$B56&amp;$C56&amp;$O56)),IF(法术查询!$J$16="",1,IF(法术查询!$J$16=$AF$11,IF($H56=1,1,0),IF($H56="",1,0))),IF(法术查询!$J$17="",1,IF(法术查询!$J$17=$AF$11,IF($I56=1,1,0),IF($I56="",1,0))),IF(法术查询!$J$18="",1,IF(法术查询!$J$18=$AF$11,IF($J56&lt;&gt;"",1,0),IF($J56="",1,0))),IF(法术查询!$J$19="",1,IF(法术查询!$J$19=$AF$11,IF($L56&lt;&gt;"",1,0),IF($L56="",1,0)))),$B56,""),"")</f>
        <v/>
      </c>
      <c r="AD55" s="192" t="str">
        <f t="array" ref="AD55">INDEX(AC:AC,SMALL(IF($AC$2:$AC$523&lt;&gt;"",ROW($2:$523),524),ROW(AC54)))&amp;""</f>
        <v/>
      </c>
      <c r="AE55" s="200" t="str">
        <f t="shared" si="3"/>
        <v/>
      </c>
      <c r="AF55" s="222" t="str">
        <f>IF(OR(法术查询!J4=U2,法术查询!J4=V2,法术查询!J4=Z2),"","七环")</f>
        <v/>
      </c>
      <c r="AG55" s="200" t="str">
        <f t="array" ref="AG55">INDEX(AF:AF,SMALL(IF($AF$48:$AF$57&lt;&gt;"",ROW($48:$57),58),ROW(AG8)))&amp;""</f>
        <v/>
      </c>
      <c r="AH55" s="222" t="s">
        <v>1720</v>
      </c>
      <c r="AI55" s="200" t="str">
        <f t="array" ref="AI55">INDEX(AH:AH,SMALL(IF($AH$48:$AH$56&lt;&gt;"",ROW($48:$56),57),ROW(AI8)))&amp;""</f>
        <v>邪术师</v>
      </c>
      <c r="AJ55" s="192">
        <v>54</v>
      </c>
      <c r="AK55" s="193" t="str">
        <f>IF(法术书!Y11="","",法术书!Y11)</f>
        <v/>
      </c>
      <c r="AL55" s="224" t="str">
        <f t="array" ref="AL55">IFERROR(INDEX(AK$1:AK$301,SMALL(IF(MATCH(AK55,AK$1:AK$301,0)=ROW(AK55),ROW(AK$1:AK$301),999),ROW(AK55))),"")</f>
        <v/>
      </c>
      <c r="AM55" s="223" t="str">
        <f t="array" ref="AM55">INDEX(AL:AL,SMALL(IF($AL$2:$AL$301&lt;&gt;"",ROW($2:$301),302),ROW(AL54)))&amp;""</f>
        <v/>
      </c>
    </row>
    <row r="56" customHeight="1" spans="1:39">
      <c r="A56" s="192">
        <v>54</v>
      </c>
      <c r="B56" s="224" t="s">
        <v>6934</v>
      </c>
      <c r="C56" s="224" t="s">
        <v>6935</v>
      </c>
      <c r="E56" s="233" t="s">
        <v>6688</v>
      </c>
      <c r="F56" s="193" t="s">
        <v>6642</v>
      </c>
      <c r="G56" s="193" t="s">
        <v>6673</v>
      </c>
      <c r="H56" s="193">
        <v>1</v>
      </c>
      <c r="I56" s="193">
        <v>1</v>
      </c>
      <c r="N56" s="193" t="s">
        <v>6704</v>
      </c>
      <c r="O56" s="224" t="s">
        <v>6936</v>
      </c>
      <c r="P56" s="224">
        <v>1</v>
      </c>
      <c r="Q56" s="224" t="s">
        <v>249</v>
      </c>
      <c r="R56" s="193">
        <v>1</v>
      </c>
      <c r="T56" s="193">
        <v>1</v>
      </c>
      <c r="W56" s="193">
        <v>1</v>
      </c>
      <c r="X56" s="193">
        <v>1</v>
      </c>
      <c r="Y56" s="193">
        <v>1</v>
      </c>
      <c r="AA56" s="223" t="s">
        <v>6937</v>
      </c>
      <c r="AB56" s="200" t="str">
        <f t="array" ref="AB56">INDEX(B:B,SMALL(IF($Q$3:$Q$524&lt;&gt;"",ROW($3:$524),525),ROW(B55)))&amp;""</f>
        <v>繁彩球</v>
      </c>
      <c r="AC56" s="225" t="str">
        <f>IFERROR(IF(AND($Q57&lt;&gt;"",IF(法术查询!$J$4="",1,INDEX($R57:$Z57,1,VLOOKUP(法术查询!$J$4,$AF$2:$AG$10,2,0)))&lt;&gt;"",IF(法术查询!$J$5="",1,$P57=VLOOKUP(法术查询!$J$5,$AH$2:$AI$11,2,0)),IF(法术查询!$J$6="",1,IF(法术查询!$J$6=$E57,1,0)),IF(法术查询!$J$7="",1,SEARCH(法术查询!$J$7,$F57)),IF(法术查询!$J$8="",1,SEARCH(法术查询!$J$8,G57)),IF(法术查询!$J$9="",1,SEARCH(法术查询!$J$9,N57)),IF(法术查询!$J$10="",1,IF(法术查询!$J$10=$AF$11,IF($M57=1,1,0),IF($M57="",1,0))),IF(法术查询!$J$11="",1,IF(法术查询!$J$11=$AF$11,IF($D57=1,1,0),IF($D57="",1,0))),IF(法术查询!$J$12="",1,SEARCH(法术查询!$J$12,$B57&amp;$C57&amp;$O57)),IF(法术查询!$J$13="",1,SEARCH(法术查询!$J$13,$B57&amp;$C57&amp;$O57)),IF(法术查询!$J$14="",1,SEARCH(法术查询!$J$14,$B57&amp;$C57&amp;$O57)),IF(法术查询!$J$16="",1,IF(法术查询!$J$16=$AF$11,IF($H57=1,1,0),IF($H57="",1,0))),IF(法术查询!$J$17="",1,IF(法术查询!$J$17=$AF$11,IF($I57=1,1,0),IF($I57="",1,0))),IF(法术查询!$J$18="",1,IF(法术查询!$J$18=$AF$11,IF($J57&lt;&gt;"",1,0),IF($J57="",1,0))),IF(法术查询!$J$19="",1,IF(法术查询!$J$19=$AF$11,IF($L57&lt;&gt;"",1,0),IF($L57="",1,0)))),$B57,""),"")</f>
        <v/>
      </c>
      <c r="AD56" s="192" t="str">
        <f t="array" ref="AD56">INDEX(AC:AC,SMALL(IF($AC$2:$AC$523&lt;&gt;"",ROW($2:$523),524),ROW(AC55)))&amp;""</f>
        <v/>
      </c>
      <c r="AE56" s="200" t="str">
        <f t="shared" si="3"/>
        <v/>
      </c>
      <c r="AF56" s="222" t="str">
        <f>IF(OR(法术查询!J4=U2,法术查询!J4=V2,法术查询!J4=Z2),"","八环")</f>
        <v/>
      </c>
      <c r="AG56" s="200" t="str">
        <f t="array" ref="AG56">INDEX(AF:AF,SMALL(IF($AF$48:$AF$57&lt;&gt;"",ROW($48:$57),58),ROW(AG9)))&amp;""</f>
        <v/>
      </c>
      <c r="AH56" s="230" t="str">
        <f>IF(COUNTIF(AH8:AH11,法术查询!J5),"",IF(OR(综合数据!B10=TRUE,综合数据!B14=TRUE),"奇械师",""))</f>
        <v>奇械师</v>
      </c>
      <c r="AI56" s="205" t="str">
        <f t="array" ref="AI56">INDEX(AH:AH,SMALL(IF($AH$48:$AH$56&lt;&gt;"",ROW($48:$56),57),ROW(AI9)))&amp;""</f>
        <v>奇械师</v>
      </c>
      <c r="AJ56" s="192">
        <v>55</v>
      </c>
      <c r="AK56" s="193" t="str">
        <f>IF(法术书!Y12="","",法术书!Y12)</f>
        <v/>
      </c>
      <c r="AL56" s="224" t="str">
        <f t="array" ref="AL56">IFERROR(INDEX(AK$1:AK$301,SMALL(IF(MATCH(AK56,AK$1:AK$301,0)=ROW(AK56),ROW(AK$1:AK$301),999),ROW(AK56))),"")</f>
        <v/>
      </c>
      <c r="AM56" s="223" t="str">
        <f t="array" ref="AM56">INDEX(AL:AL,SMALL(IF($AL$2:$AL$301&lt;&gt;"",ROW($2:$301),302),ROW(AL55)))&amp;""</f>
        <v/>
      </c>
    </row>
    <row r="57" customHeight="1" spans="1:39">
      <c r="A57" s="192">
        <v>55</v>
      </c>
      <c r="B57" s="224" t="s">
        <v>6938</v>
      </c>
      <c r="C57" s="224" t="s">
        <v>6939</v>
      </c>
      <c r="E57" s="229" t="s">
        <v>6664</v>
      </c>
      <c r="F57" s="193" t="s">
        <v>6642</v>
      </c>
      <c r="G57" s="193" t="s">
        <v>6760</v>
      </c>
      <c r="H57" s="193">
        <v>1</v>
      </c>
      <c r="I57" s="193">
        <v>1</v>
      </c>
      <c r="J57" s="193">
        <v>1</v>
      </c>
      <c r="K57" s="224" t="s">
        <v>6940</v>
      </c>
      <c r="L57" s="224"/>
      <c r="N57" s="193" t="s">
        <v>6644</v>
      </c>
      <c r="O57" s="224" t="s">
        <v>6941</v>
      </c>
      <c r="P57" s="224">
        <v>1</v>
      </c>
      <c r="Q57" s="224" t="s">
        <v>249</v>
      </c>
      <c r="W57" s="193">
        <v>1</v>
      </c>
      <c r="X57" s="193">
        <v>1</v>
      </c>
      <c r="AA57" s="223" t="s">
        <v>6942</v>
      </c>
      <c r="AB57" s="200" t="str">
        <f t="array" ref="AB57">INDEX(B:B,SMALL(IF($Q$3:$Q$524&lt;&gt;"",ROW($3:$524),525),ROW(B56)))&amp;""</f>
        <v>七彩喷射</v>
      </c>
      <c r="AC57" s="225" t="str">
        <f>IFERROR(IF(AND($Q58&lt;&gt;"",IF(法术查询!$J$4="",1,INDEX($R58:$Z58,1,VLOOKUP(法术查询!$J$4,$AF$2:$AG$10,2,0)))&lt;&gt;"",IF(法术查询!$J$5="",1,$P58=VLOOKUP(法术查询!$J$5,$AH$2:$AI$11,2,0)),IF(法术查询!$J$6="",1,IF(法术查询!$J$6=$E58,1,0)),IF(法术查询!$J$7="",1,SEARCH(法术查询!$J$7,$F58)),IF(法术查询!$J$8="",1,SEARCH(法术查询!$J$8,G58)),IF(法术查询!$J$9="",1,SEARCH(法术查询!$J$9,N58)),IF(法术查询!$J$10="",1,IF(法术查询!$J$10=$AF$11,IF($M58=1,1,0),IF($M58="",1,0))),IF(法术查询!$J$11="",1,IF(法术查询!$J$11=$AF$11,IF($D58=1,1,0),IF($D58="",1,0))),IF(法术查询!$J$12="",1,SEARCH(法术查询!$J$12,$B58&amp;$C58&amp;$O58)),IF(法术查询!$J$13="",1,SEARCH(法术查询!$J$13,$B58&amp;$C58&amp;$O58)),IF(法术查询!$J$14="",1,SEARCH(法术查询!$J$14,$B58&amp;$C58&amp;$O58)),IF(法术查询!$J$16="",1,IF(法术查询!$J$16=$AF$11,IF($H58=1,1,0),IF($H58="",1,0))),IF(法术查询!$J$17="",1,IF(法术查询!$J$17=$AF$11,IF($I58=1,1,0),IF($I58="",1,0))),IF(法术查询!$J$18="",1,IF(法术查询!$J$18=$AF$11,IF($J58&lt;&gt;"",1,0),IF($J58="",1,0))),IF(法术查询!$J$19="",1,IF(法术查询!$J$19=$AF$11,IF($L58&lt;&gt;"",1,0),IF($L58="",1,0)))),$B58,""),"")</f>
        <v/>
      </c>
      <c r="AD57" s="192" t="str">
        <f t="array" ref="AD57">INDEX(AC:AC,SMALL(IF($AC$2:$AC$523&lt;&gt;"",ROW($2:$523),524),ROW(AC56)))&amp;""</f>
        <v/>
      </c>
      <c r="AE57" s="200" t="str">
        <f t="shared" si="3"/>
        <v/>
      </c>
      <c r="AF57" s="230" t="str">
        <f>IF(OR(法术查询!J4=U2,法术查询!J4=V2,法术查询!J4=Z2),"","九环")</f>
        <v/>
      </c>
      <c r="AG57" s="205" t="str">
        <f t="array" ref="AG57">INDEX(AF:AF,SMALL(IF($AF$48:$AF$57&lt;&gt;"",ROW($48:$57),58),ROW(AG10)))&amp;""</f>
        <v/>
      </c>
      <c r="AJ57" s="192">
        <v>56</v>
      </c>
      <c r="AK57" s="193" t="str">
        <f>IF(法术书!Y13="","",法术书!Y13)</f>
        <v/>
      </c>
      <c r="AL57" s="224" t="str">
        <f t="array" ref="AL57">IFERROR(INDEX(AK$1:AK$301,SMALL(IF(MATCH(AK57,AK$1:AK$301,0)=ROW(AK57),ROW(AK$1:AK$301),999),ROW(AK57))),"")</f>
        <v/>
      </c>
      <c r="AM57" s="223" t="str">
        <f t="array" ref="AM57">INDEX(AL:AL,SMALL(IF($AL$2:$AL$301&lt;&gt;"",ROW($2:$301),302),ROW(AL56)))&amp;""</f>
        <v/>
      </c>
    </row>
    <row r="58" customHeight="1" spans="1:39">
      <c r="A58" s="192">
        <v>56</v>
      </c>
      <c r="B58" s="224" t="s">
        <v>6943</v>
      </c>
      <c r="C58" s="224" t="s">
        <v>6944</v>
      </c>
      <c r="E58" s="241" t="s">
        <v>6726</v>
      </c>
      <c r="F58" s="193" t="s">
        <v>6642</v>
      </c>
      <c r="G58" s="193" t="s">
        <v>6854</v>
      </c>
      <c r="H58" s="193">
        <v>1</v>
      </c>
      <c r="I58" s="193">
        <v>1</v>
      </c>
      <c r="J58" s="193">
        <v>1</v>
      </c>
      <c r="K58" s="224" t="s">
        <v>6945</v>
      </c>
      <c r="L58" s="224"/>
      <c r="N58" s="193" t="s">
        <v>6652</v>
      </c>
      <c r="O58" s="224" t="s">
        <v>6946</v>
      </c>
      <c r="P58" s="224">
        <v>1</v>
      </c>
      <c r="Q58" s="224" t="s">
        <v>249</v>
      </c>
      <c r="R58" s="193" t="str">
        <f>IF(综合数据!$B$14=TRUE,"13","")</f>
        <v>13</v>
      </c>
      <c r="W58" s="193">
        <v>1</v>
      </c>
      <c r="X58" s="193">
        <v>1</v>
      </c>
      <c r="AA58" s="200"/>
      <c r="AB58" s="200" t="str">
        <f t="array" ref="AB58">INDEX(B:B,SMALL(IF($Q$3:$Q$524&lt;&gt;"",ROW($3:$524),525),ROW(B57)))&amp;""</f>
        <v>命令术</v>
      </c>
      <c r="AC58" s="225" t="str">
        <f>IFERROR(IF(AND($Q59&lt;&gt;"",IF(法术查询!$J$4="",1,INDEX($R59:$Z59,1,VLOOKUP(法术查询!$J$4,$AF$2:$AG$10,2,0)))&lt;&gt;"",IF(法术查询!$J$5="",1,$P59=VLOOKUP(法术查询!$J$5,$AH$2:$AI$11,2,0)),IF(法术查询!$J$6="",1,IF(法术查询!$J$6=$E59,1,0)),IF(法术查询!$J$7="",1,SEARCH(法术查询!$J$7,$F59)),IF(法术查询!$J$8="",1,SEARCH(法术查询!$J$8,G59)),IF(法术查询!$J$9="",1,SEARCH(法术查询!$J$9,N59)),IF(法术查询!$J$10="",1,IF(法术查询!$J$10=$AF$11,IF($M59=1,1,0),IF($M59="",1,0))),IF(法术查询!$J$11="",1,IF(法术查询!$J$11=$AF$11,IF($D59=1,1,0),IF($D59="",1,0))),IF(法术查询!$J$12="",1,SEARCH(法术查询!$J$12,$B59&amp;$C59&amp;$O59)),IF(法术查询!$J$13="",1,SEARCH(法术查询!$J$13,$B59&amp;$C59&amp;$O59)),IF(法术查询!$J$14="",1,SEARCH(法术查询!$J$14,$B59&amp;$C59&amp;$O59)),IF(法术查询!$J$16="",1,IF(法术查询!$J$16=$AF$11,IF($H59=1,1,0),IF($H59="",1,0))),IF(法术查询!$J$17="",1,IF(法术查询!$J$17=$AF$11,IF($I59=1,1,0),IF($I59="",1,0))),IF(法术查询!$J$18="",1,IF(法术查询!$J$18=$AF$11,IF($J59&lt;&gt;"",1,0),IF($J59="",1,0))),IF(法术查询!$J$19="",1,IF(法术查询!$J$19=$AF$11,IF($L59&lt;&gt;"",1,0),IF($L59="",1,0)))),$B59,""),"")</f>
        <v/>
      </c>
      <c r="AD58" s="192" t="str">
        <f t="array" ref="AD58">INDEX(AC:AC,SMALL(IF($AC$2:$AC$523&lt;&gt;"",ROW($2:$523),524),ROW(AC57)))&amp;""</f>
        <v/>
      </c>
      <c r="AE58" s="200" t="str">
        <f t="shared" si="3"/>
        <v/>
      </c>
      <c r="AJ58" s="192">
        <v>57</v>
      </c>
      <c r="AK58" s="193" t="str">
        <f>IF(法术书!Y14="","",法术书!Y14)</f>
        <v/>
      </c>
      <c r="AL58" s="224" t="str">
        <f t="array" ref="AL58">IFERROR(INDEX(AK$1:AK$301,SMALL(IF(MATCH(AK58,AK$1:AK$301,0)=ROW(AK58),ROW(AK$1:AK$301),999),ROW(AK58))),"")</f>
        <v/>
      </c>
      <c r="AM58" s="223" t="str">
        <f t="array" ref="AM58">INDEX(AL:AL,SMALL(IF($AL$2:$AL$301&lt;&gt;"",ROW($2:$301),302),ROW(AL57)))&amp;""</f>
        <v/>
      </c>
    </row>
    <row r="59" customHeight="1" spans="1:39">
      <c r="A59" s="192">
        <v>57</v>
      </c>
      <c r="B59" s="224" t="s">
        <v>6947</v>
      </c>
      <c r="C59" s="224" t="s">
        <v>6948</v>
      </c>
      <c r="E59" s="233" t="s">
        <v>6688</v>
      </c>
      <c r="F59" s="193" t="s">
        <v>6642</v>
      </c>
      <c r="G59" s="193" t="s">
        <v>6643</v>
      </c>
      <c r="H59" s="193">
        <v>1</v>
      </c>
      <c r="N59" s="193" t="s">
        <v>6652</v>
      </c>
      <c r="O59" s="224" t="s">
        <v>6949</v>
      </c>
      <c r="P59" s="224">
        <v>1</v>
      </c>
      <c r="Q59" s="224" t="s">
        <v>249</v>
      </c>
      <c r="R59" s="193" t="str">
        <f>IF(综合数据!$B$14=TRUE,"13","")</f>
        <v>13</v>
      </c>
      <c r="S59" s="193">
        <v>1</v>
      </c>
      <c r="U59" s="193">
        <v>1</v>
      </c>
      <c r="AA59" s="223" t="s">
        <v>6950</v>
      </c>
      <c r="AB59" s="200" t="str">
        <f t="array" ref="AB59">INDEX(B:B,SMALL(IF($Q$3:$Q$524&lt;&gt;"",ROW($3:$524),525),ROW(B58)))&amp;""</f>
        <v>强令对决</v>
      </c>
      <c r="AC59" s="225" t="str">
        <f>IFERROR(IF(AND($Q60&lt;&gt;"",IF(法术查询!$J$4="",1,INDEX($R60:$Z60,1,VLOOKUP(法术查询!$J$4,$AF$2:$AG$10,2,0)))&lt;&gt;"",IF(法术查询!$J$5="",1,$P60=VLOOKUP(法术查询!$J$5,$AH$2:$AI$11,2,0)),IF(法术查询!$J$6="",1,IF(法术查询!$J$6=$E60,1,0)),IF(法术查询!$J$7="",1,SEARCH(法术查询!$J$7,$F60)),IF(法术查询!$J$8="",1,SEARCH(法术查询!$J$8,G60)),IF(法术查询!$J$9="",1,SEARCH(法术查询!$J$9,N60)),IF(法术查询!$J$10="",1,IF(法术查询!$J$10=$AF$11,IF($M60=1,1,0),IF($M60="",1,0))),IF(法术查询!$J$11="",1,IF(法术查询!$J$11=$AF$11,IF($D60=1,1,0),IF($D60="",1,0))),IF(法术查询!$J$12="",1,SEARCH(法术查询!$J$12,$B60&amp;$C60&amp;$O60)),IF(法术查询!$J$13="",1,SEARCH(法术查询!$J$13,$B60&amp;$C60&amp;$O60)),IF(法术查询!$J$14="",1,SEARCH(法术查询!$J$14,$B60&amp;$C60&amp;$O60)),IF(法术查询!$J$16="",1,IF(法术查询!$J$16=$AF$11,IF($H60=1,1,0),IF($H60="",1,0))),IF(法术查询!$J$17="",1,IF(法术查询!$J$17=$AF$11,IF($I60=1,1,0),IF($I60="",1,0))),IF(法术查询!$J$18="",1,IF(法术查询!$J$18=$AF$11,IF($J60&lt;&gt;"",1,0),IF($J60="",1,0))),IF(法术查询!$J$19="",1,IF(法术查询!$J$19=$AF$11,IF($L60&lt;&gt;"",1,0),IF($L60="",1,0)))),$B60,""),"")</f>
        <v/>
      </c>
      <c r="AD59" s="192" t="str">
        <f t="array" ref="AD59">INDEX(AC:AC,SMALL(IF($AC$2:$AC$523&lt;&gt;"",ROW($2:$523),524),ROW(AC58)))&amp;""</f>
        <v/>
      </c>
      <c r="AE59" s="200" t="str">
        <f t="shared" si="3"/>
        <v/>
      </c>
      <c r="AJ59" s="192">
        <v>58</v>
      </c>
      <c r="AK59" s="193" t="str">
        <f>IF(法术书!Y15="","",法术书!Y15)</f>
        <v/>
      </c>
      <c r="AL59" s="224" t="str">
        <f t="array" ref="AL59">IFERROR(INDEX(AK$1:AK$301,SMALL(IF(MATCH(AK59,AK$1:AK$301,0)=ROW(AK59),ROW(AK$1:AK$301),999),ROW(AK59))),"")</f>
        <v/>
      </c>
      <c r="AM59" s="223" t="str">
        <f t="array" ref="AM59">INDEX(AL:AL,SMALL(IF($AL$2:$AL$301&lt;&gt;"",ROW($2:$301),302),ROW(AL58)))&amp;""</f>
        <v/>
      </c>
    </row>
    <row r="60" customHeight="1" spans="1:39">
      <c r="A60" s="192">
        <v>58</v>
      </c>
      <c r="B60" s="224" t="s">
        <v>6951</v>
      </c>
      <c r="C60" s="224" t="s">
        <v>6952</v>
      </c>
      <c r="E60" s="233" t="s">
        <v>6688</v>
      </c>
      <c r="F60" s="193" t="s">
        <v>6712</v>
      </c>
      <c r="G60" s="193" t="s">
        <v>6673</v>
      </c>
      <c r="H60" s="193">
        <v>1</v>
      </c>
      <c r="M60" s="193">
        <v>1</v>
      </c>
      <c r="N60" s="193" t="s">
        <v>6666</v>
      </c>
      <c r="O60" s="224" t="s">
        <v>6953</v>
      </c>
      <c r="P60" s="224">
        <v>1</v>
      </c>
      <c r="Q60" s="224" t="s">
        <v>249</v>
      </c>
      <c r="U60" s="193">
        <v>1</v>
      </c>
      <c r="AA60" s="223" t="s">
        <v>6954</v>
      </c>
      <c r="AB60" s="200" t="str">
        <f t="array" ref="AB60">INDEX(B:B,SMALL(IF($Q$3:$Q$524&lt;&gt;"",ROW($3:$524),525),ROW(B59)))&amp;""</f>
        <v>通晓语言</v>
      </c>
      <c r="AC60" s="225" t="str">
        <f>IFERROR(IF(AND($Q61&lt;&gt;"",IF(法术查询!$J$4="",1,INDEX($R61:$Z61,1,VLOOKUP(法术查询!$J$4,$AF$2:$AG$10,2,0)))&lt;&gt;"",IF(法术查询!$J$5="",1,$P61=VLOOKUP(法术查询!$J$5,$AH$2:$AI$11,2,0)),IF(法术查询!$J$6="",1,IF(法术查询!$J$6=$E61,1,0)),IF(法术查询!$J$7="",1,SEARCH(法术查询!$J$7,$F61)),IF(法术查询!$J$8="",1,SEARCH(法术查询!$J$8,G61)),IF(法术查询!$J$9="",1,SEARCH(法术查询!$J$9,N61)),IF(法术查询!$J$10="",1,IF(法术查询!$J$10=$AF$11,IF($M61=1,1,0),IF($M61="",1,0))),IF(法术查询!$J$11="",1,IF(法术查询!$J$11=$AF$11,IF($D61=1,1,0),IF($D61="",1,0))),IF(法术查询!$J$12="",1,SEARCH(法术查询!$J$12,$B61&amp;$C61&amp;$O61)),IF(法术查询!$J$13="",1,SEARCH(法术查询!$J$13,$B61&amp;$C61&amp;$O61)),IF(法术查询!$J$14="",1,SEARCH(法术查询!$J$14,$B61&amp;$C61&amp;$O61)),IF(法术查询!$J$16="",1,IF(法术查询!$J$16=$AF$11,IF($H61=1,1,0),IF($H61="",1,0))),IF(法术查询!$J$17="",1,IF(法术查询!$J$17=$AF$11,IF($I61=1,1,0),IF($I61="",1,0))),IF(法术查询!$J$18="",1,IF(法术查询!$J$18=$AF$11,IF($J61&lt;&gt;"",1,0),IF($J61="",1,0))),IF(法术查询!$J$19="",1,IF(法术查询!$J$19=$AF$11,IF($L61&lt;&gt;"",1,0),IF($L61="",1,0)))),$B61,""),"")</f>
        <v/>
      </c>
      <c r="AD60" s="192" t="str">
        <f t="array" ref="AD60">INDEX(AC:AC,SMALL(IF($AC$2:$AC$523&lt;&gt;"",ROW($2:$523),524),ROW(AC59)))&amp;""</f>
        <v/>
      </c>
      <c r="AE60" s="200" t="str">
        <f t="shared" si="3"/>
        <v/>
      </c>
      <c r="AJ60" s="192">
        <v>59</v>
      </c>
      <c r="AK60" s="193" t="str">
        <f>IF(法术书!Y16="","",法术书!Y16)</f>
        <v/>
      </c>
      <c r="AL60" s="224" t="str">
        <f t="array" ref="AL60">IFERROR(INDEX(AK$1:AK$301,SMALL(IF(MATCH(AK60,AK$1:AK$301,0)=ROW(AK60),ROW(AK$1:AK$301),999),ROW(AK60))),"")</f>
        <v/>
      </c>
      <c r="AM60" s="223" t="str">
        <f t="array" ref="AM60">INDEX(AL:AL,SMALL(IF($AL$2:$AL$301&lt;&gt;"",ROW($2:$301),302),ROW(AL59)))&amp;""</f>
        <v/>
      </c>
    </row>
    <row r="61" customHeight="1" spans="1:39">
      <c r="A61" s="192">
        <v>59</v>
      </c>
      <c r="B61" s="224" t="s">
        <v>6955</v>
      </c>
      <c r="C61" s="224" t="s">
        <v>6956</v>
      </c>
      <c r="D61" s="193">
        <v>1</v>
      </c>
      <c r="E61" s="238" t="s">
        <v>6695</v>
      </c>
      <c r="F61" s="193" t="s">
        <v>6642</v>
      </c>
      <c r="G61" s="193" t="s">
        <v>6651</v>
      </c>
      <c r="H61" s="193">
        <v>1</v>
      </c>
      <c r="I61" s="193">
        <v>1</v>
      </c>
      <c r="J61" s="193">
        <v>1</v>
      </c>
      <c r="K61" s="224" t="s">
        <v>6957</v>
      </c>
      <c r="L61" s="224"/>
      <c r="N61" s="193" t="s">
        <v>6704</v>
      </c>
      <c r="O61" s="224" t="s">
        <v>6958</v>
      </c>
      <c r="P61" s="224">
        <v>1</v>
      </c>
      <c r="Q61" s="224" t="s">
        <v>249</v>
      </c>
      <c r="R61" s="193">
        <v>1</v>
      </c>
      <c r="W61" s="193">
        <v>1</v>
      </c>
      <c r="X61" s="193">
        <v>1</v>
      </c>
      <c r="Y61" s="193">
        <v>1</v>
      </c>
      <c r="AA61" s="223" t="s">
        <v>6959</v>
      </c>
      <c r="AB61" s="200" t="str">
        <f t="array" ref="AB61">INDEX(B:B,SMALL(IF($Q$3:$Q$524&lt;&gt;"",ROW($3:$524),525),ROW(B60)))&amp;""</f>
        <v>造水/枯水术</v>
      </c>
      <c r="AC61" s="225" t="str">
        <f>IFERROR(IF(AND($Q62&lt;&gt;"",IF(法术查询!$J$4="",1,INDEX($R62:$Z62,1,VLOOKUP(法术查询!$J$4,$AF$2:$AG$10,2,0)))&lt;&gt;"",IF(法术查询!$J$5="",1,$P62=VLOOKUP(法术查询!$J$5,$AH$2:$AI$11,2,0)),IF(法术查询!$J$6="",1,IF(法术查询!$J$6=$E62,1,0)),IF(法术查询!$J$7="",1,SEARCH(法术查询!$J$7,$F62)),IF(法术查询!$J$8="",1,SEARCH(法术查询!$J$8,G62)),IF(法术查询!$J$9="",1,SEARCH(法术查询!$J$9,N62)),IF(法术查询!$J$10="",1,IF(法术查询!$J$10=$AF$11,IF($M62=1,1,0),IF($M62="",1,0))),IF(法术查询!$J$11="",1,IF(法术查询!$J$11=$AF$11,IF($D62=1,1,0),IF($D62="",1,0))),IF(法术查询!$J$12="",1,SEARCH(法术查询!$J$12,$B62&amp;$C62&amp;$O62)),IF(法术查询!$J$13="",1,SEARCH(法术查询!$J$13,$B62&amp;$C62&amp;$O62)),IF(法术查询!$J$14="",1,SEARCH(法术查询!$J$14,$B62&amp;$C62&amp;$O62)),IF(法术查询!$J$16="",1,IF(法术查询!$J$16=$AF$11,IF($H62=1,1,0),IF($H62="",1,0))),IF(法术查询!$J$17="",1,IF(法术查询!$J$17=$AF$11,IF($I62=1,1,0),IF($I62="",1,0))),IF(法术查询!$J$18="",1,IF(法术查询!$J$18=$AF$11,IF($J62&lt;&gt;"",1,0),IF($J62="",1,0))),IF(法术查询!$J$19="",1,IF(法术查询!$J$19=$AF$11,IF($L62&lt;&gt;"",1,0),IF($L62="",1,0)))),$B62,""),"")</f>
        <v/>
      </c>
      <c r="AD61" s="192" t="str">
        <f t="array" ref="AD61">INDEX(AC:AC,SMALL(IF($AC$2:$AC$523&lt;&gt;"",ROW($2:$523),524),ROW(AC60)))&amp;""</f>
        <v/>
      </c>
      <c r="AE61" s="200" t="str">
        <f t="shared" si="3"/>
        <v/>
      </c>
      <c r="AJ61" s="192">
        <v>60</v>
      </c>
      <c r="AK61" s="193" t="str">
        <f>IF(法术书!Y17="","",法术书!Y17)</f>
        <v/>
      </c>
      <c r="AL61" s="224" t="str">
        <f t="array" ref="AL61">IFERROR(INDEX(AK$1:AK$301,SMALL(IF(MATCH(AK61,AK$1:AK$301,0)=ROW(AK61),ROW(AK$1:AK$301),999),ROW(AK61))),"")</f>
        <v/>
      </c>
      <c r="AM61" s="223" t="str">
        <f t="array" ref="AM61">INDEX(AL:AL,SMALL(IF($AL$2:$AL$301&lt;&gt;"",ROW($2:$301),302),ROW(AL60)))&amp;""</f>
        <v/>
      </c>
    </row>
    <row r="62" customHeight="1" spans="1:39">
      <c r="A62" s="192">
        <v>60</v>
      </c>
      <c r="B62" s="224" t="s">
        <v>6960</v>
      </c>
      <c r="C62" s="224" t="s">
        <v>6961</v>
      </c>
      <c r="E62" s="231" t="s">
        <v>6672</v>
      </c>
      <c r="F62" s="193" t="s">
        <v>6642</v>
      </c>
      <c r="G62" s="193" t="s">
        <v>6673</v>
      </c>
      <c r="H62" s="193">
        <v>1</v>
      </c>
      <c r="I62" s="193">
        <v>1</v>
      </c>
      <c r="J62" s="193">
        <v>1</v>
      </c>
      <c r="K62" s="224" t="s">
        <v>6962</v>
      </c>
      <c r="L62" s="224"/>
      <c r="N62" s="193" t="s">
        <v>6644</v>
      </c>
      <c r="O62" s="224" t="s">
        <v>6963</v>
      </c>
      <c r="P62" s="224">
        <v>1</v>
      </c>
      <c r="Q62" s="224" t="s">
        <v>249</v>
      </c>
      <c r="S62" s="193">
        <v>1</v>
      </c>
      <c r="T62" s="193">
        <v>1</v>
      </c>
      <c r="AA62" s="223" t="s">
        <v>6964</v>
      </c>
      <c r="AB62" s="200" t="str">
        <f t="array" ref="AB62">INDEX(B:B,SMALL(IF($Q$3:$Q$524&lt;&gt;"",ROW($3:$524),525),ROW(B61)))&amp;""</f>
        <v>疗伤术</v>
      </c>
      <c r="AC62" s="225" t="str">
        <f>IFERROR(IF(AND($Q63&lt;&gt;"",IF(法术查询!$J$4="",1,INDEX($R63:$Z63,1,VLOOKUP(法术查询!$J$4,$AF$2:$AG$10,2,0)))&lt;&gt;"",IF(法术查询!$J$5="",1,$P63=VLOOKUP(法术查询!$J$5,$AH$2:$AI$11,2,0)),IF(法术查询!$J$6="",1,IF(法术查询!$J$6=$E63,1,0)),IF(法术查询!$J$7="",1,SEARCH(法术查询!$J$7,$F63)),IF(法术查询!$J$8="",1,SEARCH(法术查询!$J$8,G63)),IF(法术查询!$J$9="",1,SEARCH(法术查询!$J$9,N63)),IF(法术查询!$J$10="",1,IF(法术查询!$J$10=$AF$11,IF($M63=1,1,0),IF($M63="",1,0))),IF(法术查询!$J$11="",1,IF(法术查询!$J$11=$AF$11,IF($D63=1,1,0),IF($D63="",1,0))),IF(法术查询!$J$12="",1,SEARCH(法术查询!$J$12,$B63&amp;$C63&amp;$O63)),IF(法术查询!$J$13="",1,SEARCH(法术查询!$J$13,$B63&amp;$C63&amp;$O63)),IF(法术查询!$J$14="",1,SEARCH(法术查询!$J$14,$B63&amp;$C63&amp;$O63)),IF(法术查询!$J$16="",1,IF(法术查询!$J$16=$AF$11,IF($H63=1,1,0),IF($H63="",1,0))),IF(法术查询!$J$17="",1,IF(法术查询!$J$17=$AF$11,IF($I63=1,1,0),IF($I63="",1,0))),IF(法术查询!$J$18="",1,IF(法术查询!$J$18=$AF$11,IF($J63&lt;&gt;"",1,0),IF($J63="",1,0))),IF(法术查询!$J$19="",1,IF(法术查询!$J$19=$AF$11,IF($L63&lt;&gt;"",1,0),IF($L63="",1,0)))),$B63,""),"")</f>
        <v/>
      </c>
      <c r="AD62" s="192" t="str">
        <f t="array" ref="AD62">INDEX(AC:AC,SMALL(IF($AC$2:$AC$523&lt;&gt;"",ROW($2:$523),524),ROW(AC61)))&amp;""</f>
        <v/>
      </c>
      <c r="AE62" s="200" t="str">
        <f t="shared" si="3"/>
        <v/>
      </c>
      <c r="AJ62" s="192">
        <v>61</v>
      </c>
      <c r="AK62" s="193" t="str">
        <f>IF(法术书!Y18="","",法术书!Y18)</f>
        <v/>
      </c>
      <c r="AL62" s="224" t="str">
        <f t="array" ref="AL62">IFERROR(INDEX(AK$1:AK$301,SMALL(IF(MATCH(AK62,AK$1:AK$301,0)=ROW(AK62),ROW(AK$1:AK$301),999),ROW(AK62))),"")</f>
        <v/>
      </c>
      <c r="AM62" s="223" t="str">
        <f t="array" ref="AM62">INDEX(AL:AL,SMALL(IF($AL$2:$AL$301&lt;&gt;"",ROW($2:$301),302),ROW(AL61)))&amp;""</f>
        <v/>
      </c>
    </row>
    <row r="63" customHeight="1" spans="1:39">
      <c r="A63" s="192">
        <v>61</v>
      </c>
      <c r="B63" s="224" t="s">
        <v>6965</v>
      </c>
      <c r="C63" s="224" t="s">
        <v>6966</v>
      </c>
      <c r="E63" s="229" t="s">
        <v>6664</v>
      </c>
      <c r="F63" s="193" t="s">
        <v>6642</v>
      </c>
      <c r="G63" s="193" t="s">
        <v>3760</v>
      </c>
      <c r="H63" s="193">
        <v>1</v>
      </c>
      <c r="I63" s="193">
        <v>1</v>
      </c>
      <c r="N63" s="193" t="s">
        <v>6644</v>
      </c>
      <c r="O63" s="224" t="s">
        <v>6967</v>
      </c>
      <c r="P63" s="224">
        <v>1</v>
      </c>
      <c r="Q63" s="224" t="s">
        <v>249</v>
      </c>
      <c r="R63" s="193">
        <v>1</v>
      </c>
      <c r="S63" s="193">
        <v>1</v>
      </c>
      <c r="T63" s="193">
        <v>1</v>
      </c>
      <c r="U63" s="193">
        <v>1</v>
      </c>
      <c r="V63" s="193">
        <v>1</v>
      </c>
      <c r="Z63" s="193">
        <v>9</v>
      </c>
      <c r="AA63" s="223" t="s">
        <v>6968</v>
      </c>
      <c r="AB63" s="200" t="str">
        <f t="array" ref="AB63">INDEX(B:B,SMALL(IF($Q$3:$Q$524&lt;&gt;"",ROW($3:$524),525),ROW(B62)))&amp;""</f>
        <v>侦测善恶</v>
      </c>
      <c r="AC63" s="225" t="str">
        <f>IFERROR(IF(AND($Q64&lt;&gt;"",IF(法术查询!$J$4="",1,INDEX($R64:$Z64,1,VLOOKUP(法术查询!$J$4,$AF$2:$AG$10,2,0)))&lt;&gt;"",IF(法术查询!$J$5="",1,$P64=VLOOKUP(法术查询!$J$5,$AH$2:$AI$11,2,0)),IF(法术查询!$J$6="",1,IF(法术查询!$J$6=$E64,1,0)),IF(法术查询!$J$7="",1,SEARCH(法术查询!$J$7,$F64)),IF(法术查询!$J$8="",1,SEARCH(法术查询!$J$8,G64)),IF(法术查询!$J$9="",1,SEARCH(法术查询!$J$9,N64)),IF(法术查询!$J$10="",1,IF(法术查询!$J$10=$AF$11,IF($M64=1,1,0),IF($M64="",1,0))),IF(法术查询!$J$11="",1,IF(法术查询!$J$11=$AF$11,IF($D64=1,1,0),IF($D64="",1,0))),IF(法术查询!$J$12="",1,SEARCH(法术查询!$J$12,$B64&amp;$C64&amp;$O64)),IF(法术查询!$J$13="",1,SEARCH(法术查询!$J$13,$B64&amp;$C64&amp;$O64)),IF(法术查询!$J$14="",1,SEARCH(法术查询!$J$14,$B64&amp;$C64&amp;$O64)),IF(法术查询!$J$16="",1,IF(法术查询!$J$16=$AF$11,IF($H64=1,1,0),IF($H64="",1,0))),IF(法术查询!$J$17="",1,IF(法术查询!$J$17=$AF$11,IF($I64=1,1,0),IF($I64="",1,0))),IF(法术查询!$J$18="",1,IF(法术查询!$J$18=$AF$11,IF($J64&lt;&gt;"",1,0),IF($J64="",1,0))),IF(法术查询!$J$19="",1,IF(法术查询!$J$19=$AF$11,IF($L64&lt;&gt;"",1,0),IF($L64="",1,0)))),$B64,""),"")</f>
        <v/>
      </c>
      <c r="AD63" s="192" t="str">
        <f t="array" ref="AD63">INDEX(AC:AC,SMALL(IF($AC$2:$AC$523&lt;&gt;"",ROW($2:$523),524),ROW(AC62)))&amp;""</f>
        <v/>
      </c>
      <c r="AE63" s="200" t="str">
        <f t="shared" si="3"/>
        <v/>
      </c>
      <c r="AJ63" s="192">
        <v>62</v>
      </c>
      <c r="AK63" s="193" t="str">
        <f>IF(法术书!Y19="","",法术书!Y19)</f>
        <v/>
      </c>
      <c r="AL63" s="224" t="str">
        <f t="array" ref="AL63">IFERROR(INDEX(AK$1:AK$301,SMALL(IF(MATCH(AK63,AK$1:AK$301,0)=ROW(AK63),ROW(AK$1:AK$301),999),ROW(AK63))),"")</f>
        <v/>
      </c>
      <c r="AM63" s="223" t="str">
        <f t="array" ref="AM63">INDEX(AL:AL,SMALL(IF($AL$2:$AL$301&lt;&gt;"",ROW($2:$301),302),ROW(AL62)))&amp;""</f>
        <v/>
      </c>
    </row>
    <row r="64" customHeight="1" spans="1:39">
      <c r="A64" s="192">
        <v>62</v>
      </c>
      <c r="B64" s="224" t="s">
        <v>6969</v>
      </c>
      <c r="C64" s="224" t="s">
        <v>6970</v>
      </c>
      <c r="E64" s="238" t="s">
        <v>6695</v>
      </c>
      <c r="F64" s="193" t="s">
        <v>6642</v>
      </c>
      <c r="G64" s="193" t="s">
        <v>6651</v>
      </c>
      <c r="H64" s="193">
        <v>1</v>
      </c>
      <c r="I64" s="193">
        <v>1</v>
      </c>
      <c r="M64" s="193">
        <v>1</v>
      </c>
      <c r="N64" s="193" t="s">
        <v>6831</v>
      </c>
      <c r="O64" s="224" t="s">
        <v>6971</v>
      </c>
      <c r="P64" s="224">
        <v>1</v>
      </c>
      <c r="Q64" s="224" t="s">
        <v>249</v>
      </c>
      <c r="S64" s="193">
        <v>1</v>
      </c>
      <c r="U64" s="193">
        <v>1</v>
      </c>
      <c r="AA64" s="223" t="s">
        <v>6972</v>
      </c>
      <c r="AB64" s="200" t="str">
        <f t="array" ref="AB64">INDEX(B:B,SMALL(IF($Q$3:$Q$524&lt;&gt;"",ROW($3:$524),525),ROW(B63)))&amp;""</f>
        <v>侦测魔法</v>
      </c>
      <c r="AC64" s="225" t="str">
        <f>IFERROR(IF(AND($Q65&lt;&gt;"",IF(法术查询!$J$4="",1,INDEX($R65:$Z65,1,VLOOKUP(法术查询!$J$4,$AF$2:$AG$10,2,0)))&lt;&gt;"",IF(法术查询!$J$5="",1,$P65=VLOOKUP(法术查询!$J$5,$AH$2:$AI$11,2,0)),IF(法术查询!$J$6="",1,IF(法术查询!$J$6=$E65,1,0)),IF(法术查询!$J$7="",1,SEARCH(法术查询!$J$7,$F65)),IF(法术查询!$J$8="",1,SEARCH(法术查询!$J$8,G65)),IF(法术查询!$J$9="",1,SEARCH(法术查询!$J$9,N65)),IF(法术查询!$J$10="",1,IF(法术查询!$J$10=$AF$11,IF($M65=1,1,0),IF($M65="",1,0))),IF(法术查询!$J$11="",1,IF(法术查询!$J$11=$AF$11,IF($D65=1,1,0),IF($D65="",1,0))),IF(法术查询!$J$12="",1,SEARCH(法术查询!$J$12,$B65&amp;$C65&amp;$O65)),IF(法术查询!$J$13="",1,SEARCH(法术查询!$J$13,$B65&amp;$C65&amp;$O65)),IF(法术查询!$J$14="",1,SEARCH(法术查询!$J$14,$B65&amp;$C65&amp;$O65)),IF(法术查询!$J$16="",1,IF(法术查询!$J$16=$AF$11,IF($H65=1,1,0),IF($H65="",1,0))),IF(法术查询!$J$17="",1,IF(法术查询!$J$17=$AF$11,IF($I65=1,1,0),IF($I65="",1,0))),IF(法术查询!$J$18="",1,IF(法术查询!$J$18=$AF$11,IF($J65&lt;&gt;"",1,0),IF($J65="",1,0))),IF(法术查询!$J$19="",1,IF(法术查询!$J$19=$AF$11,IF($L65&lt;&gt;"",1,0),IF($L65="",1,0)))),$B65,""),"")</f>
        <v/>
      </c>
      <c r="AD64" s="192" t="str">
        <f t="array" ref="AD64">INDEX(AC:AC,SMALL(IF($AC$2:$AC$523&lt;&gt;"",ROW($2:$523),524),ROW(AC63)))&amp;""</f>
        <v/>
      </c>
      <c r="AE64" s="200" t="str">
        <f t="shared" si="3"/>
        <v/>
      </c>
      <c r="AJ64" s="192">
        <v>63</v>
      </c>
      <c r="AK64" s="193" t="str">
        <f>IF(法术书!Y20="","",法术书!Y20)</f>
        <v/>
      </c>
      <c r="AL64" s="224" t="str">
        <f t="array" ref="AL64">IFERROR(INDEX(AK$1:AK$301,SMALL(IF(MATCH(AK64,AK$1:AK$301,0)=ROW(AK64),ROW(AK$1:AK$301),999),ROW(AK64))),"")</f>
        <v/>
      </c>
      <c r="AM64" s="223" t="str">
        <f t="array" ref="AM64">INDEX(AL:AL,SMALL(IF($AL$2:$AL$301&lt;&gt;"",ROW($2:$301),302),ROW(AL63)))&amp;""</f>
        <v/>
      </c>
    </row>
    <row r="65" customHeight="1" spans="1:39">
      <c r="A65" s="192">
        <v>63</v>
      </c>
      <c r="B65" s="224" t="s">
        <v>6973</v>
      </c>
      <c r="C65" s="224" t="s">
        <v>6974</v>
      </c>
      <c r="D65" s="193">
        <v>1</v>
      </c>
      <c r="E65" s="238" t="s">
        <v>6695</v>
      </c>
      <c r="F65" s="193" t="s">
        <v>6642</v>
      </c>
      <c r="G65" s="193" t="s">
        <v>6651</v>
      </c>
      <c r="H65" s="193">
        <v>1</v>
      </c>
      <c r="I65" s="193">
        <v>1</v>
      </c>
      <c r="M65" s="193">
        <v>1</v>
      </c>
      <c r="N65" s="193" t="s">
        <v>6831</v>
      </c>
      <c r="O65" s="224" t="s">
        <v>6975</v>
      </c>
      <c r="P65" s="224">
        <v>1</v>
      </c>
      <c r="Q65" s="224" t="s">
        <v>249</v>
      </c>
      <c r="R65" s="193">
        <v>1</v>
      </c>
      <c r="S65" s="193">
        <v>1</v>
      </c>
      <c r="T65" s="193">
        <v>1</v>
      </c>
      <c r="U65" s="193">
        <v>1</v>
      </c>
      <c r="V65" s="193">
        <v>1</v>
      </c>
      <c r="W65" s="193">
        <v>1</v>
      </c>
      <c r="X65" s="193">
        <v>1</v>
      </c>
      <c r="Z65" s="193">
        <v>9</v>
      </c>
      <c r="AA65" s="223" t="s">
        <v>6976</v>
      </c>
      <c r="AB65" s="200" t="str">
        <f t="array" ref="AB65">INDEX(B:B,SMALL(IF($Q$3:$Q$524&lt;&gt;"",ROW($3:$524),525),ROW(B64)))&amp;""</f>
        <v>侦测毒性和疾病</v>
      </c>
      <c r="AC65" s="225" t="str">
        <f>IFERROR(IF(AND($Q66&lt;&gt;"",IF(法术查询!$J$4="",1,INDEX($R66:$Z66,1,VLOOKUP(法术查询!$J$4,$AF$2:$AG$10,2,0)))&lt;&gt;"",IF(法术查询!$J$5="",1,$P66=VLOOKUP(法术查询!$J$5,$AH$2:$AI$11,2,0)),IF(法术查询!$J$6="",1,IF(法术查询!$J$6=$E66,1,0)),IF(法术查询!$J$7="",1,SEARCH(法术查询!$J$7,$F66)),IF(法术查询!$J$8="",1,SEARCH(法术查询!$J$8,G66)),IF(法术查询!$J$9="",1,SEARCH(法术查询!$J$9,N66)),IF(法术查询!$J$10="",1,IF(法术查询!$J$10=$AF$11,IF($M66=1,1,0),IF($M66="",1,0))),IF(法术查询!$J$11="",1,IF(法术查询!$J$11=$AF$11,IF($D66=1,1,0),IF($D66="",1,0))),IF(法术查询!$J$12="",1,SEARCH(法术查询!$J$12,$B66&amp;$C66&amp;$O66)),IF(法术查询!$J$13="",1,SEARCH(法术查询!$J$13,$B66&amp;$C66&amp;$O66)),IF(法术查询!$J$14="",1,SEARCH(法术查询!$J$14,$B66&amp;$C66&amp;$O66)),IF(法术查询!$J$16="",1,IF(法术查询!$J$16=$AF$11,IF($H66=1,1,0),IF($H66="",1,0))),IF(法术查询!$J$17="",1,IF(法术查询!$J$17=$AF$11,IF($I66=1,1,0),IF($I66="",1,0))),IF(法术查询!$J$18="",1,IF(法术查询!$J$18=$AF$11,IF($J66&lt;&gt;"",1,0),IF($J66="",1,0))),IF(法术查询!$J$19="",1,IF(法术查询!$J$19=$AF$11,IF($L66&lt;&gt;"",1,0),IF($L66="",1,0)))),$B66,""),"")</f>
        <v/>
      </c>
      <c r="AD65" s="192" t="str">
        <f t="array" ref="AD65">INDEX(AC:AC,SMALL(IF($AC$2:$AC$523&lt;&gt;"",ROW($2:$523),524),ROW(AC64)))&amp;""</f>
        <v/>
      </c>
      <c r="AE65" s="200" t="str">
        <f t="shared" si="3"/>
        <v/>
      </c>
      <c r="AJ65" s="192">
        <v>64</v>
      </c>
      <c r="AK65" s="193" t="str">
        <f>IF(法术书!Y21="","",法术书!Y21)</f>
        <v/>
      </c>
      <c r="AL65" s="224" t="str">
        <f t="array" ref="AL65">IFERROR(INDEX(AK$1:AK$301,SMALL(IF(MATCH(AK65,AK$1:AK$301,0)=ROW(AK65),ROW(AK$1:AK$301),999),ROW(AK65))),"")</f>
        <v/>
      </c>
      <c r="AM65" s="223" t="str">
        <f t="array" ref="AM65">INDEX(AL:AL,SMALL(IF($AL$2:$AL$301&lt;&gt;"",ROW($2:$301),302),ROW(AL64)))&amp;""</f>
        <v/>
      </c>
    </row>
    <row r="66" customHeight="1" spans="1:39">
      <c r="A66" s="192">
        <v>64</v>
      </c>
      <c r="B66" s="224" t="s">
        <v>6977</v>
      </c>
      <c r="C66" s="224" t="s">
        <v>6978</v>
      </c>
      <c r="D66" s="193">
        <v>1</v>
      </c>
      <c r="E66" s="238" t="s">
        <v>6695</v>
      </c>
      <c r="F66" s="193" t="s">
        <v>6642</v>
      </c>
      <c r="G66" s="193" t="s">
        <v>6651</v>
      </c>
      <c r="H66" s="193">
        <v>1</v>
      </c>
      <c r="I66" s="193">
        <v>1</v>
      </c>
      <c r="J66" s="193">
        <v>1</v>
      </c>
      <c r="K66" s="224" t="s">
        <v>6979</v>
      </c>
      <c r="L66" s="224"/>
      <c r="M66" s="193">
        <v>1</v>
      </c>
      <c r="N66" s="193" t="s">
        <v>6831</v>
      </c>
      <c r="O66" s="224" t="s">
        <v>6980</v>
      </c>
      <c r="P66" s="224">
        <v>1</v>
      </c>
      <c r="Q66" s="224" t="s">
        <v>249</v>
      </c>
      <c r="S66" s="193">
        <v>1</v>
      </c>
      <c r="T66" s="193">
        <v>1</v>
      </c>
      <c r="U66" s="193">
        <v>1</v>
      </c>
      <c r="V66" s="193">
        <v>1</v>
      </c>
      <c r="AA66" s="223" t="s">
        <v>6981</v>
      </c>
      <c r="AB66" s="200" t="str">
        <f t="array" ref="AB66">INDEX(B:B,SMALL(IF($Q$3:$Q$524&lt;&gt;"",ROW($3:$524),525),ROW(B65)))&amp;""</f>
        <v>易容术</v>
      </c>
      <c r="AC66" s="225" t="str">
        <f>IFERROR(IF(AND($Q67&lt;&gt;"",IF(法术查询!$J$4="",1,INDEX($R67:$Z67,1,VLOOKUP(法术查询!$J$4,$AF$2:$AG$10,2,0)))&lt;&gt;"",IF(法术查询!$J$5="",1,$P67=VLOOKUP(法术查询!$J$5,$AH$2:$AI$11,2,0)),IF(法术查询!$J$6="",1,IF(法术查询!$J$6=$E67,1,0)),IF(法术查询!$J$7="",1,SEARCH(法术查询!$J$7,$F67)),IF(法术查询!$J$8="",1,SEARCH(法术查询!$J$8,G67)),IF(法术查询!$J$9="",1,SEARCH(法术查询!$J$9,N67)),IF(法术查询!$J$10="",1,IF(法术查询!$J$10=$AF$11,IF($M67=1,1,0),IF($M67="",1,0))),IF(法术查询!$J$11="",1,IF(法术查询!$J$11=$AF$11,IF($D67=1,1,0),IF($D67="",1,0))),IF(法术查询!$J$12="",1,SEARCH(法术查询!$J$12,$B67&amp;$C67&amp;$O67)),IF(法术查询!$J$13="",1,SEARCH(法术查询!$J$13,$B67&amp;$C67&amp;$O67)),IF(法术查询!$J$14="",1,SEARCH(法术查询!$J$14,$B67&amp;$C67&amp;$O67)),IF(法术查询!$J$16="",1,IF(法术查询!$J$16=$AF$11,IF($H67=1,1,0),IF($H67="",1,0))),IF(法术查询!$J$17="",1,IF(法术查询!$J$17=$AF$11,IF($I67=1,1,0),IF($I67="",1,0))),IF(法术查询!$J$18="",1,IF(法术查询!$J$18=$AF$11,IF($J67&lt;&gt;"",1,0),IF($J67="",1,0))),IF(法术查询!$J$19="",1,IF(法术查询!$J$19=$AF$11,IF($L67&lt;&gt;"",1,0),IF($L67="",1,0)))),$B67,""),"")</f>
        <v/>
      </c>
      <c r="AD66" s="192" t="str">
        <f t="array" ref="AD66">INDEX(AC:AC,SMALL(IF($AC$2:$AC$523&lt;&gt;"",ROW($2:$523),524),ROW(AC65)))&amp;""</f>
        <v/>
      </c>
      <c r="AE66" s="200" t="str">
        <f t="shared" si="3"/>
        <v/>
      </c>
      <c r="AJ66" s="192">
        <v>65</v>
      </c>
      <c r="AK66" s="193" t="str">
        <f>IF(法术书!Y22="","",法术书!Y22)</f>
        <v/>
      </c>
      <c r="AL66" s="224" t="str">
        <f t="array" ref="AL66">IFERROR(INDEX(AK$1:AK$301,SMALL(IF(MATCH(AK66,AK$1:AK$301,0)=ROW(AK66),ROW(AK$1:AK$301),999),ROW(AK66))),"")</f>
        <v/>
      </c>
      <c r="AM66" s="223" t="str">
        <f t="array" ref="AM66">INDEX(AL:AL,SMALL(IF($AL$2:$AL$301&lt;&gt;"",ROW($2:$301),302),ROW(AL65)))&amp;""</f>
        <v/>
      </c>
    </row>
    <row r="67" customHeight="1" spans="1:39">
      <c r="A67" s="192">
        <v>65</v>
      </c>
      <c r="B67" s="224" t="s">
        <v>6982</v>
      </c>
      <c r="C67" s="224" t="s">
        <v>6983</v>
      </c>
      <c r="E67" s="241" t="s">
        <v>6726</v>
      </c>
      <c r="F67" s="193" t="s">
        <v>6642</v>
      </c>
      <c r="G67" s="193" t="s">
        <v>6651</v>
      </c>
      <c r="H67" s="193">
        <v>1</v>
      </c>
      <c r="I67" s="193">
        <v>1</v>
      </c>
      <c r="N67" s="193" t="s">
        <v>6704</v>
      </c>
      <c r="O67" s="224" t="s">
        <v>6984</v>
      </c>
      <c r="P67" s="224">
        <v>1</v>
      </c>
      <c r="Q67" s="224" t="s">
        <v>249</v>
      </c>
      <c r="R67" s="193">
        <v>1</v>
      </c>
      <c r="W67" s="193">
        <v>1</v>
      </c>
      <c r="X67" s="193">
        <v>1</v>
      </c>
      <c r="Z67" s="193">
        <v>9</v>
      </c>
      <c r="AA67" s="223" t="s">
        <v>6985</v>
      </c>
      <c r="AB67" s="200" t="str">
        <f t="array" ref="AB67">INDEX(B:B,SMALL(IF($Q$3:$Q$524&lt;&gt;"",ROW($3:$524),525),ROW(B66)))&amp;""</f>
        <v>不谐低语</v>
      </c>
      <c r="AC67" s="225" t="str">
        <f>IFERROR(IF(AND($Q68&lt;&gt;"",IF(法术查询!$J$4="",1,INDEX($R68:$Z68,1,VLOOKUP(法术查询!$J$4,$AF$2:$AG$10,2,0)))&lt;&gt;"",IF(法术查询!$J$5="",1,$P68=VLOOKUP(法术查询!$J$5,$AH$2:$AI$11,2,0)),IF(法术查询!$J$6="",1,IF(法术查询!$J$6=$E68,1,0)),IF(法术查询!$J$7="",1,SEARCH(法术查询!$J$7,$F68)),IF(法术查询!$J$8="",1,SEARCH(法术查询!$J$8,G68)),IF(法术查询!$J$9="",1,SEARCH(法术查询!$J$9,N68)),IF(法术查询!$J$10="",1,IF(法术查询!$J$10=$AF$11,IF($M68=1,1,0),IF($M68="",1,0))),IF(法术查询!$J$11="",1,IF(法术查询!$J$11=$AF$11,IF($D68=1,1,0),IF($D68="",1,0))),IF(法术查询!$J$12="",1,SEARCH(法术查询!$J$12,$B68&amp;$C68&amp;$O68)),IF(法术查询!$J$13="",1,SEARCH(法术查询!$J$13,$B68&amp;$C68&amp;$O68)),IF(法术查询!$J$14="",1,SEARCH(法术查询!$J$14,$B68&amp;$C68&amp;$O68)),IF(法术查询!$J$16="",1,IF(法术查询!$J$16=$AF$11,IF($H68=1,1,0),IF($H68="",1,0))),IF(法术查询!$J$17="",1,IF(法术查询!$J$17=$AF$11,IF($I68=1,1,0),IF($I68="",1,0))),IF(法术查询!$J$18="",1,IF(法术查询!$J$18=$AF$11,IF($J68&lt;&gt;"",1,0),IF($J68="",1,0))),IF(法术查询!$J$19="",1,IF(法术查询!$J$19=$AF$11,IF($L68&lt;&gt;"",1,0),IF($L68="",1,0)))),$B68,""),"")</f>
        <v/>
      </c>
      <c r="AD67" s="192" t="str">
        <f t="array" ref="AD67">INDEX(AC:AC,SMALL(IF($AC$2:$AC$523&lt;&gt;"",ROW($2:$523),524),ROW(AC66)))&amp;""</f>
        <v/>
      </c>
      <c r="AE67" s="200" t="str">
        <f t="shared" ref="AE67:AE130" si="5">IF(AD67="","",VLOOKUP(AD67,B:C,2,0))</f>
        <v/>
      </c>
      <c r="AJ67" s="192">
        <v>66</v>
      </c>
      <c r="AK67" s="193" t="str">
        <f>IF(法术书!Y23="","",法术书!Y23)</f>
        <v/>
      </c>
      <c r="AL67" s="224" t="str">
        <f t="array" ref="AL67">IFERROR(INDEX(AK$1:AK$301,SMALL(IF(MATCH(AK67,AK$1:AK$301,0)=ROW(AK67),ROW(AK$1:AK$301),999),ROW(AK67))),"")</f>
        <v/>
      </c>
      <c r="AM67" s="223" t="str">
        <f t="array" ref="AM67">INDEX(AL:AL,SMALL(IF($AL$2:$AL$301&lt;&gt;"",ROW($2:$301),302),ROW(AL66)))&amp;""</f>
        <v/>
      </c>
    </row>
    <row r="68" customHeight="1" spans="1:39">
      <c r="A68" s="192">
        <v>66</v>
      </c>
      <c r="B68" s="224" t="s">
        <v>6986</v>
      </c>
      <c r="C68" s="224" t="s">
        <v>6987</v>
      </c>
      <c r="E68" s="233" t="s">
        <v>6688</v>
      </c>
      <c r="F68" s="193" t="s">
        <v>6642</v>
      </c>
      <c r="G68" s="193" t="s">
        <v>6643</v>
      </c>
      <c r="H68" s="193">
        <v>1</v>
      </c>
      <c r="N68" s="193" t="s">
        <v>6644</v>
      </c>
      <c r="O68" s="224" t="s">
        <v>6988</v>
      </c>
      <c r="P68" s="224">
        <v>1</v>
      </c>
      <c r="Q68" s="224" t="s">
        <v>249</v>
      </c>
      <c r="R68" s="193">
        <v>1</v>
      </c>
      <c r="AA68" s="223" t="s">
        <v>6989</v>
      </c>
      <c r="AB68" s="200" t="str">
        <f t="array" ref="AB68">INDEX(B:B,SMALL(IF($Q$3:$Q$524&lt;&gt;"",ROW($3:$524),525),ROW(B67)))&amp;""</f>
        <v>神恩</v>
      </c>
      <c r="AC68" s="225" t="str">
        <f>IFERROR(IF(AND($Q69&lt;&gt;"",IF(法术查询!$J$4="",1,INDEX($R69:$Z69,1,VLOOKUP(法术查询!$J$4,$AF$2:$AG$10,2,0)))&lt;&gt;"",IF(法术查询!$J$5="",1,$P69=VLOOKUP(法术查询!$J$5,$AH$2:$AI$11,2,0)),IF(法术查询!$J$6="",1,IF(法术查询!$J$6=$E69,1,0)),IF(法术查询!$J$7="",1,SEARCH(法术查询!$J$7,$F69)),IF(法术查询!$J$8="",1,SEARCH(法术查询!$J$8,G69)),IF(法术查询!$J$9="",1,SEARCH(法术查询!$J$9,N69)),IF(法术查询!$J$10="",1,IF(法术查询!$J$10=$AF$11,IF($M69=1,1,0),IF($M69="",1,0))),IF(法术查询!$J$11="",1,IF(法术查询!$J$11=$AF$11,IF($D69=1,1,0),IF($D69="",1,0))),IF(法术查询!$J$12="",1,SEARCH(法术查询!$J$12,$B69&amp;$C69&amp;$O69)),IF(法术查询!$J$13="",1,SEARCH(法术查询!$J$13,$B69&amp;$C69&amp;$O69)),IF(法术查询!$J$14="",1,SEARCH(法术查询!$J$14,$B69&amp;$C69&amp;$O69)),IF(法术查询!$J$16="",1,IF(法术查询!$J$16=$AF$11,IF($H69=1,1,0),IF($H69="",1,0))),IF(法术查询!$J$17="",1,IF(法术查询!$J$17=$AF$11,IF($I69=1,1,0),IF($I69="",1,0))),IF(法术查询!$J$18="",1,IF(法术查询!$J$18=$AF$11,IF($J69&lt;&gt;"",1,0),IF($J69="",1,0))),IF(法术查询!$J$19="",1,IF(法术查询!$J$19=$AF$11,IF($L69&lt;&gt;"",1,0),IF($L69="",1,0)))),$B69,""),"")</f>
        <v/>
      </c>
      <c r="AD68" s="192" t="str">
        <f t="array" ref="AD68">INDEX(AC:AC,SMALL(IF($AC$2:$AC$523&lt;&gt;"",ROW($2:$523),524),ROW(AC67)))&amp;""</f>
        <v/>
      </c>
      <c r="AE68" s="200" t="str">
        <f t="shared" si="5"/>
        <v/>
      </c>
      <c r="AJ68" s="192">
        <v>67</v>
      </c>
      <c r="AK68" s="193" t="str">
        <f>IF(法术书!Y24="","",法术书!Y24)</f>
        <v/>
      </c>
      <c r="AL68" s="224" t="str">
        <f t="array" ref="AL68">IFERROR(INDEX(AK$1:AK$301,SMALL(IF(MATCH(AK68,AK$1:AK$301,0)=ROW(AK68),ROW(AK$1:AK$301),999),ROW(AK68))),"")</f>
        <v/>
      </c>
      <c r="AM68" s="223" t="str">
        <f t="array" ref="AM68">INDEX(AL:AL,SMALL(IF($AL$2:$AL$301&lt;&gt;"",ROW($2:$301),302),ROW(AL67)))&amp;""</f>
        <v/>
      </c>
    </row>
    <row r="69" customHeight="1" spans="1:39">
      <c r="A69" s="192">
        <v>67</v>
      </c>
      <c r="B69" s="224" t="s">
        <v>6990</v>
      </c>
      <c r="C69" s="224" t="s">
        <v>6991</v>
      </c>
      <c r="E69" s="229" t="s">
        <v>6664</v>
      </c>
      <c r="F69" s="193" t="s">
        <v>6712</v>
      </c>
      <c r="G69" s="193" t="s">
        <v>6651</v>
      </c>
      <c r="H69" s="193">
        <v>1</v>
      </c>
      <c r="I69" s="193">
        <v>1</v>
      </c>
      <c r="M69" s="193">
        <v>1</v>
      </c>
      <c r="N69" s="193" t="s">
        <v>6666</v>
      </c>
      <c r="O69" s="224" t="s">
        <v>6992</v>
      </c>
      <c r="P69" s="224">
        <v>1</v>
      </c>
      <c r="Q69" s="224" t="s">
        <v>249</v>
      </c>
      <c r="U69" s="193">
        <v>1</v>
      </c>
      <c r="AA69" s="223" t="s">
        <v>6993</v>
      </c>
      <c r="AB69" s="200" t="str">
        <f t="array" ref="AB69">INDEX(B:B,SMALL(IF($Q$3:$Q$524&lt;&gt;"",ROW($3:$524),525),ROW(B68)))&amp;""</f>
        <v>诱捕打击</v>
      </c>
      <c r="AC69" s="225" t="str">
        <f>IFERROR(IF(AND($Q70&lt;&gt;"",IF(法术查询!$J$4="",1,INDEX($R70:$Z70,1,VLOOKUP(法术查询!$J$4,$AF$2:$AG$10,2,0)))&lt;&gt;"",IF(法术查询!$J$5="",1,$P70=VLOOKUP(法术查询!$J$5,$AH$2:$AI$11,2,0)),IF(法术查询!$J$6="",1,IF(法术查询!$J$6=$E70,1,0)),IF(法术查询!$J$7="",1,SEARCH(法术查询!$J$7,$F70)),IF(法术查询!$J$8="",1,SEARCH(法术查询!$J$8,G70)),IF(法术查询!$J$9="",1,SEARCH(法术查询!$J$9,N70)),IF(法术查询!$J$10="",1,IF(法术查询!$J$10=$AF$11,IF($M70=1,1,0),IF($M70="",1,0))),IF(法术查询!$J$11="",1,IF(法术查询!$J$11=$AF$11,IF($D70=1,1,0),IF($D70="",1,0))),IF(法术查询!$J$12="",1,SEARCH(法术查询!$J$12,$B70&amp;$C70&amp;$O70)),IF(法术查询!$J$13="",1,SEARCH(法术查询!$J$13,$B70&amp;$C70&amp;$O70)),IF(法术查询!$J$14="",1,SEARCH(法术查询!$J$14,$B70&amp;$C70&amp;$O70)),IF(法术查询!$J$16="",1,IF(法术查询!$J$16=$AF$11,IF($H70=1,1,0),IF($H70="",1,0))),IF(法术查询!$J$17="",1,IF(法术查询!$J$17=$AF$11,IF($I70=1,1,0),IF($I70="",1,0))),IF(法术查询!$J$18="",1,IF(法术查询!$J$18=$AF$11,IF($J70&lt;&gt;"",1,0),IF($J70="",1,0))),IF(法术查询!$J$19="",1,IF(法术查询!$J$19=$AF$11,IF($L70&lt;&gt;"",1,0),IF($L70="",1,0)))),$B70,""),"")</f>
        <v/>
      </c>
      <c r="AD69" s="192" t="str">
        <f t="array" ref="AD69">INDEX(AC:AC,SMALL(IF($AC$2:$AC$523&lt;&gt;"",ROW($2:$523),524),ROW(AC68)))&amp;""</f>
        <v/>
      </c>
      <c r="AE69" s="200" t="str">
        <f t="shared" si="5"/>
        <v/>
      </c>
      <c r="AJ69" s="192">
        <v>68</v>
      </c>
      <c r="AK69" s="193" t="str">
        <f>IF(法术书!Y25="","",法术书!Y25)</f>
        <v/>
      </c>
      <c r="AL69" s="224" t="str">
        <f t="array" ref="AL69">IFERROR(INDEX(AK$1:AK$301,SMALL(IF(MATCH(AK69,AK$1:AK$301,0)=ROW(AK69),ROW(AK$1:AK$301),999),ROW(AK69))),"")</f>
        <v/>
      </c>
      <c r="AM69" s="223" t="str">
        <f t="array" ref="AM69">INDEX(AL:AL,SMALL(IF($AL$2:$AL$301&lt;&gt;"",ROW($2:$301),302),ROW(AL68)))&amp;""</f>
        <v/>
      </c>
    </row>
    <row r="70" customHeight="1" spans="1:39">
      <c r="A70" s="192">
        <v>68</v>
      </c>
      <c r="B70" s="224" t="s">
        <v>6994</v>
      </c>
      <c r="C70" s="224" t="s">
        <v>6995</v>
      </c>
      <c r="E70" s="240" t="s">
        <v>6641</v>
      </c>
      <c r="F70" s="193" t="s">
        <v>6712</v>
      </c>
      <c r="G70" s="193" t="s">
        <v>6651</v>
      </c>
      <c r="H70" s="193">
        <v>1</v>
      </c>
      <c r="M70" s="193">
        <v>1</v>
      </c>
      <c r="N70" s="193" t="s">
        <v>6666</v>
      </c>
      <c r="O70" s="224" t="s">
        <v>6996</v>
      </c>
      <c r="P70" s="224">
        <v>1</v>
      </c>
      <c r="Q70" s="224" t="s">
        <v>249</v>
      </c>
      <c r="V70" s="193">
        <v>1</v>
      </c>
      <c r="AA70" s="223" t="s">
        <v>6997</v>
      </c>
      <c r="AB70" s="200" t="str">
        <f t="array" ref="AB70">INDEX(B:B,SMALL(IF($Q$3:$Q$524&lt;&gt;"",ROW($3:$524),525),ROW(B69)))&amp;""</f>
        <v>纠缠术</v>
      </c>
      <c r="AC70" s="225" t="str">
        <f>IFERROR(IF(AND($Q71&lt;&gt;"",IF(法术查询!$J$4="",1,INDEX($R71:$Z71,1,VLOOKUP(法术查询!$J$4,$AF$2:$AG$10,2,0)))&lt;&gt;"",IF(法术查询!$J$5="",1,$P71=VLOOKUP(法术查询!$J$5,$AH$2:$AI$11,2,0)),IF(法术查询!$J$6="",1,IF(法术查询!$J$6=$E71,1,0)),IF(法术查询!$J$7="",1,SEARCH(法术查询!$J$7,$F71)),IF(法术查询!$J$8="",1,SEARCH(法术查询!$J$8,G71)),IF(法术查询!$J$9="",1,SEARCH(法术查询!$J$9,N71)),IF(法术查询!$J$10="",1,IF(法术查询!$J$10=$AF$11,IF($M71=1,1,0),IF($M71="",1,0))),IF(法术查询!$J$11="",1,IF(法术查询!$J$11=$AF$11,IF($D71=1,1,0),IF($D71="",1,0))),IF(法术查询!$J$12="",1,SEARCH(法术查询!$J$12,$B71&amp;$C71&amp;$O71)),IF(法术查询!$J$13="",1,SEARCH(法术查询!$J$13,$B71&amp;$C71&amp;$O71)),IF(法术查询!$J$14="",1,SEARCH(法术查询!$J$14,$B71&amp;$C71&amp;$O71)),IF(法术查询!$J$16="",1,IF(法术查询!$J$16=$AF$11,IF($H71=1,1,0),IF($H71="",1,0))),IF(法术查询!$J$17="",1,IF(法术查询!$J$17=$AF$11,IF($I71=1,1,0),IF($I71="",1,0))),IF(法术查询!$J$18="",1,IF(法术查询!$J$18=$AF$11,IF($J71&lt;&gt;"",1,0),IF($J71="",1,0))),IF(法术查询!$J$19="",1,IF(法术查询!$J$19=$AF$11,IF($L71&lt;&gt;"",1,0),IF($L71="",1,0)))),$B71,""),"")</f>
        <v/>
      </c>
      <c r="AD70" s="192" t="str">
        <f t="array" ref="AD70">INDEX(AC:AC,SMALL(IF($AC$2:$AC$523&lt;&gt;"",ROW($2:$523),524),ROW(AC69)))&amp;""</f>
        <v/>
      </c>
      <c r="AE70" s="200" t="str">
        <f t="shared" si="5"/>
        <v/>
      </c>
      <c r="AJ70" s="192">
        <v>69</v>
      </c>
      <c r="AK70" s="193" t="str">
        <f>IF(法术书!Y26="","",法术书!Y26)</f>
        <v/>
      </c>
      <c r="AL70" s="224" t="str">
        <f t="array" ref="AL70">IFERROR(INDEX(AK$1:AK$301,SMALL(IF(MATCH(AK70,AK$1:AK$301,0)=ROW(AK70),ROW(AK$1:AK$301),999),ROW(AK70))),"")</f>
        <v/>
      </c>
      <c r="AM70" s="223" t="str">
        <f t="array" ref="AM70">INDEX(AL:AL,SMALL(IF($AL$2:$AL$301&lt;&gt;"",ROW($2:$301),302),ROW(AL69)))&amp;""</f>
        <v/>
      </c>
    </row>
    <row r="71" customHeight="1" spans="1:39">
      <c r="A71" s="192">
        <v>69</v>
      </c>
      <c r="B71" s="224" t="s">
        <v>6998</v>
      </c>
      <c r="C71" s="224" t="s">
        <v>6999</v>
      </c>
      <c r="E71" s="240" t="s">
        <v>6641</v>
      </c>
      <c r="F71" s="193" t="s">
        <v>6642</v>
      </c>
      <c r="G71" s="193" t="s">
        <v>6760</v>
      </c>
      <c r="H71" s="193">
        <v>1</v>
      </c>
      <c r="I71" s="193">
        <v>1</v>
      </c>
      <c r="M71" s="193">
        <v>1</v>
      </c>
      <c r="N71" s="193" t="s">
        <v>6666</v>
      </c>
      <c r="O71" s="224" t="s">
        <v>7000</v>
      </c>
      <c r="P71" s="224">
        <v>1</v>
      </c>
      <c r="Q71" s="224" t="s">
        <v>249</v>
      </c>
      <c r="T71" s="193">
        <v>1</v>
      </c>
      <c r="V71" s="193" t="str">
        <f>IF(综合数据!$B$14=TRUE,"13","")</f>
        <v>13</v>
      </c>
      <c r="AA71" s="223" t="s">
        <v>7001</v>
      </c>
      <c r="AB71" s="200" t="str">
        <f t="array" ref="AB71">INDEX(B:B,SMALL(IF($Q$3:$Q$524&lt;&gt;"",ROW($3:$524),525),ROW(B70)))&amp;""</f>
        <v>脚底抹油</v>
      </c>
      <c r="AC71" s="225" t="str">
        <f>IFERROR(IF(AND($Q72&lt;&gt;"",IF(法术查询!$J$4="",1,INDEX($R72:$Z72,1,VLOOKUP(法术查询!$J$4,$AF$2:$AG$10,2,0)))&lt;&gt;"",IF(法术查询!$J$5="",1,$P72=VLOOKUP(法术查询!$J$5,$AH$2:$AI$11,2,0)),IF(法术查询!$J$6="",1,IF(法术查询!$J$6=$E72,1,0)),IF(法术查询!$J$7="",1,SEARCH(法术查询!$J$7,$F72)),IF(法术查询!$J$8="",1,SEARCH(法术查询!$J$8,G72)),IF(法术查询!$J$9="",1,SEARCH(法术查询!$J$9,N72)),IF(法术查询!$J$10="",1,IF(法术查询!$J$10=$AF$11,IF($M72=1,1,0),IF($M72="",1,0))),IF(法术查询!$J$11="",1,IF(法术查询!$J$11=$AF$11,IF($D72=1,1,0),IF($D72="",1,0))),IF(法术查询!$J$12="",1,SEARCH(法术查询!$J$12,$B72&amp;$C72&amp;$O72)),IF(法术查询!$J$13="",1,SEARCH(法术查询!$J$13,$B72&amp;$C72&amp;$O72)),IF(法术查询!$J$14="",1,SEARCH(法术查询!$J$14,$B72&amp;$C72&amp;$O72)),IF(法术查询!$J$16="",1,IF(法术查询!$J$16=$AF$11,IF($H72=1,1,0),IF($H72="",1,0))),IF(法术查询!$J$17="",1,IF(法术查询!$J$17=$AF$11,IF($I72=1,1,0),IF($I72="",1,0))),IF(法术查询!$J$18="",1,IF(法术查询!$J$18=$AF$11,IF($J72&lt;&gt;"",1,0),IF($J72="",1,0))),IF(法术查询!$J$19="",1,IF(法术查询!$J$19=$AF$11,IF($L72&lt;&gt;"",1,0),IF($L72="",1,0)))),$B72,""),"")</f>
        <v/>
      </c>
      <c r="AD71" s="192" t="str">
        <f t="array" ref="AD71">INDEX(AC:AC,SMALL(IF($AC$2:$AC$523&lt;&gt;"",ROW($2:$523),524),ROW(AC70)))&amp;""</f>
        <v/>
      </c>
      <c r="AE71" s="200" t="str">
        <f t="shared" si="5"/>
        <v/>
      </c>
      <c r="AJ71" s="192">
        <v>70</v>
      </c>
      <c r="AK71" s="193" t="str">
        <f>IF(法术书!Y27="","",法术书!Y27)</f>
        <v/>
      </c>
      <c r="AL71" s="224" t="str">
        <f t="array" ref="AL71">IFERROR(INDEX(AK$1:AK$301,SMALL(IF(MATCH(AK71,AK$1:AK$301,0)=ROW(AK71),ROW(AK$1:AK$301),999),ROW(AK71))),"")</f>
        <v/>
      </c>
      <c r="AM71" s="223" t="str">
        <f t="array" ref="AM71">INDEX(AL:AL,SMALL(IF($AL$2:$AL$301&lt;&gt;"",ROW($2:$301),302),ROW(AL70)))&amp;""</f>
        <v/>
      </c>
    </row>
    <row r="72" customHeight="1" spans="1:39">
      <c r="A72" s="192">
        <v>70</v>
      </c>
      <c r="B72" s="224" t="s">
        <v>7002</v>
      </c>
      <c r="C72" s="224" t="s">
        <v>7003</v>
      </c>
      <c r="E72" s="231" t="s">
        <v>6672</v>
      </c>
      <c r="F72" s="193" t="s">
        <v>6712</v>
      </c>
      <c r="G72" s="193" t="s">
        <v>6651</v>
      </c>
      <c r="H72" s="193">
        <v>1</v>
      </c>
      <c r="I72" s="193">
        <v>1</v>
      </c>
      <c r="M72" s="193">
        <v>1</v>
      </c>
      <c r="N72" s="193" t="s">
        <v>6831</v>
      </c>
      <c r="O72" s="224" t="s">
        <v>7004</v>
      </c>
      <c r="P72" s="224">
        <v>1</v>
      </c>
      <c r="Q72" s="224" t="s">
        <v>249</v>
      </c>
      <c r="W72" s="193">
        <v>1</v>
      </c>
      <c r="X72" s="193">
        <v>1</v>
      </c>
      <c r="Y72" s="193">
        <v>1</v>
      </c>
      <c r="Z72" s="193">
        <v>9</v>
      </c>
      <c r="AA72" s="223" t="s">
        <v>7005</v>
      </c>
      <c r="AB72" s="200" t="str">
        <f t="array" ref="AB72">INDEX(B:B,SMALL(IF($Q$3:$Q$524&lt;&gt;"",ROW($3:$524),525),ROW(B71)))&amp;""</f>
        <v>妖火</v>
      </c>
      <c r="AC72" s="225" t="str">
        <f>IFERROR(IF(AND($Q73&lt;&gt;"",IF(法术查询!$J$4="",1,INDEX($R73:$Z73,1,VLOOKUP(法术查询!$J$4,$AF$2:$AG$10,2,0)))&lt;&gt;"",IF(法术查询!$J$5="",1,$P73=VLOOKUP(法术查询!$J$5,$AH$2:$AI$11,2,0)),IF(法术查询!$J$6="",1,IF(法术查询!$J$6=$E73,1,0)),IF(法术查询!$J$7="",1,SEARCH(法术查询!$J$7,$F73)),IF(法术查询!$J$8="",1,SEARCH(法术查询!$J$8,G73)),IF(法术查询!$J$9="",1,SEARCH(法术查询!$J$9,N73)),IF(法术查询!$J$10="",1,IF(法术查询!$J$10=$AF$11,IF($M73=1,1,0),IF($M73="",1,0))),IF(法术查询!$J$11="",1,IF(法术查询!$J$11=$AF$11,IF($D73=1,1,0),IF($D73="",1,0))),IF(法术查询!$J$12="",1,SEARCH(法术查询!$J$12,$B73&amp;$C73&amp;$O73)),IF(法术查询!$J$13="",1,SEARCH(法术查询!$J$13,$B73&amp;$C73&amp;$O73)),IF(法术查询!$J$14="",1,SEARCH(法术查询!$J$14,$B73&amp;$C73&amp;$O73)),IF(法术查询!$J$16="",1,IF(法术查询!$J$16=$AF$11,IF($H73=1,1,0),IF($H73="",1,0))),IF(法术查询!$J$17="",1,IF(法术查询!$J$17=$AF$11,IF($I73=1,1,0),IF($I73="",1,0))),IF(法术查询!$J$18="",1,IF(法术查询!$J$18=$AF$11,IF($J73&lt;&gt;"",1,0),IF($J73="",1,0))),IF(法术查询!$J$19="",1,IF(法术查询!$J$19=$AF$11,IF($L73&lt;&gt;"",1,0),IF($L73="",1,0)))),$B73,""),"")</f>
        <v/>
      </c>
      <c r="AD72" s="192" t="str">
        <f t="array" ref="AD72">INDEX(AC:AC,SMALL(IF($AC$2:$AC$523&lt;&gt;"",ROW($2:$523),524),ROW(AC71)))&amp;""</f>
        <v/>
      </c>
      <c r="AE72" s="200" t="str">
        <f t="shared" si="5"/>
        <v/>
      </c>
      <c r="AJ72" s="192">
        <v>71</v>
      </c>
      <c r="AK72" s="193" t="str">
        <f>IF(法术书!Y28="","",法术书!Y28)</f>
        <v/>
      </c>
      <c r="AL72" s="224" t="str">
        <f t="array" ref="AL72">IFERROR(INDEX(AK$1:AK$301,SMALL(IF(MATCH(AK72,AK$1:AK$301,0)=ROW(AK72),ROW(AK$1:AK$301),999),ROW(AK72))),"")</f>
        <v/>
      </c>
      <c r="AM72" s="223" t="str">
        <f t="array" ref="AM72">INDEX(AL:AL,SMALL(IF($AL$2:$AL$301&lt;&gt;"",ROW($2:$301),302),ROW(AL71)))&amp;""</f>
        <v/>
      </c>
    </row>
    <row r="73" customHeight="1" spans="1:39">
      <c r="A73" s="192">
        <v>71</v>
      </c>
      <c r="B73" s="224" t="s">
        <v>7006</v>
      </c>
      <c r="C73" s="224" t="s">
        <v>7007</v>
      </c>
      <c r="E73" s="229" t="s">
        <v>6664</v>
      </c>
      <c r="F73" s="193" t="s">
        <v>6642</v>
      </c>
      <c r="G73" s="193" t="s">
        <v>6643</v>
      </c>
      <c r="H73" s="193">
        <v>1</v>
      </c>
      <c r="M73" s="193">
        <v>1</v>
      </c>
      <c r="N73" s="193" t="s">
        <v>6666</v>
      </c>
      <c r="O73" s="224" t="s">
        <v>7008</v>
      </c>
      <c r="P73" s="224">
        <v>1</v>
      </c>
      <c r="Q73" s="224" t="s">
        <v>249</v>
      </c>
      <c r="R73" s="193">
        <v>1</v>
      </c>
      <c r="T73" s="193">
        <v>1</v>
      </c>
      <c r="Z73" s="193">
        <v>9</v>
      </c>
      <c r="AA73" s="223" t="s">
        <v>7009</v>
      </c>
      <c r="AB73" s="200" t="str">
        <f t="array" ref="AB73">INDEX(B:B,SMALL(IF($Q$3:$Q$524&lt;&gt;"",ROW($3:$524),525),ROW(B72)))&amp;""</f>
        <v>虚假生命</v>
      </c>
      <c r="AC73" s="225" t="str">
        <f>IFERROR(IF(AND($Q74&lt;&gt;"",IF(法术查询!$J$4="",1,INDEX($R74:$Z74,1,VLOOKUP(法术查询!$J$4,$AF$2:$AG$10,2,0)))&lt;&gt;"",IF(法术查询!$J$5="",1,$P74=VLOOKUP(法术查询!$J$5,$AH$2:$AI$11,2,0)),IF(法术查询!$J$6="",1,IF(法术查询!$J$6=$E74,1,0)),IF(法术查询!$J$7="",1,SEARCH(法术查询!$J$7,$F74)),IF(法术查询!$J$8="",1,SEARCH(法术查询!$J$8,G74)),IF(法术查询!$J$9="",1,SEARCH(法术查询!$J$9,N74)),IF(法术查询!$J$10="",1,IF(法术查询!$J$10=$AF$11,IF($M74=1,1,0),IF($M74="",1,0))),IF(法术查询!$J$11="",1,IF(法术查询!$J$11=$AF$11,IF($D74=1,1,0),IF($D74="",1,0))),IF(法术查询!$J$12="",1,SEARCH(法术查询!$J$12,$B74&amp;$C74&amp;$O74)),IF(法术查询!$J$13="",1,SEARCH(法术查询!$J$13,$B74&amp;$C74&amp;$O74)),IF(法术查询!$J$14="",1,SEARCH(法术查询!$J$14,$B74&amp;$C74&amp;$O74)),IF(法术查询!$J$16="",1,IF(法术查询!$J$16=$AF$11,IF($H74=1,1,0),IF($H74="",1,0))),IF(法术查询!$J$17="",1,IF(法术查询!$J$17=$AF$11,IF($I74=1,1,0),IF($I74="",1,0))),IF(法术查询!$J$18="",1,IF(法术查询!$J$18=$AF$11,IF($J74&lt;&gt;"",1,0),IF($J74="",1,0))),IF(法术查询!$J$19="",1,IF(法术查询!$J$19=$AF$11,IF($L74&lt;&gt;"",1,0),IF($L74="",1,0)))),$B74,""),"")</f>
        <v/>
      </c>
      <c r="AD73" s="192" t="str">
        <f t="array" ref="AD73">INDEX(AC:AC,SMALL(IF($AC$2:$AC$523&lt;&gt;"",ROW($2:$523),524),ROW(AC72)))&amp;""</f>
        <v/>
      </c>
      <c r="AE73" s="200" t="str">
        <f t="shared" si="5"/>
        <v/>
      </c>
      <c r="AJ73" s="192">
        <v>72</v>
      </c>
      <c r="AK73" s="193" t="str">
        <f>IF(法术书!Y29="","",法术书!Y29)</f>
        <v/>
      </c>
      <c r="AL73" s="224" t="str">
        <f t="array" ref="AL73">IFERROR(INDEX(AK$1:AK$301,SMALL(IF(MATCH(AK73,AK$1:AK$301,0)=ROW(AK73),ROW(AK$1:AK$301),999),ROW(AK73))),"")</f>
        <v/>
      </c>
      <c r="AM73" s="223" t="str">
        <f t="array" ref="AM73">INDEX(AL:AL,SMALL(IF($AL$2:$AL$301&lt;&gt;"",ROW($2:$301),302),ROW(AL72)))&amp;""</f>
        <v/>
      </c>
    </row>
    <row r="74" customHeight="1" spans="1:39">
      <c r="A74" s="192">
        <v>72</v>
      </c>
      <c r="B74" s="224" t="s">
        <v>7010</v>
      </c>
      <c r="C74" s="224" t="s">
        <v>7011</v>
      </c>
      <c r="E74" s="243" t="s">
        <v>6657</v>
      </c>
      <c r="F74" s="193" t="s">
        <v>6642</v>
      </c>
      <c r="G74" s="193" t="s">
        <v>6651</v>
      </c>
      <c r="H74" s="193">
        <v>1</v>
      </c>
      <c r="I74" s="193">
        <v>1</v>
      </c>
      <c r="J74" s="193">
        <v>1</v>
      </c>
      <c r="K74" s="224" t="s">
        <v>7012</v>
      </c>
      <c r="L74" s="224"/>
      <c r="N74" s="193" t="s">
        <v>6704</v>
      </c>
      <c r="O74" s="224" t="s">
        <v>7013</v>
      </c>
      <c r="P74" s="224">
        <v>1</v>
      </c>
      <c r="Q74" s="224" t="s">
        <v>249</v>
      </c>
      <c r="W74" s="193">
        <v>1</v>
      </c>
      <c r="X74" s="193">
        <v>1</v>
      </c>
      <c r="Z74" s="193">
        <v>9</v>
      </c>
      <c r="AA74" s="223" t="s">
        <v>7014</v>
      </c>
      <c r="AB74" s="200" t="str">
        <f t="array" ref="AB74">INDEX(B:B,SMALL(IF($Q$3:$Q$524&lt;&gt;"",ROW($3:$524),525),ROW(B73)))&amp;""</f>
        <v>羽落术</v>
      </c>
      <c r="AC74" s="225" t="str">
        <f>IFERROR(IF(AND($Q75&lt;&gt;"",IF(法术查询!$J$4="",1,INDEX($R75:$Z75,1,VLOOKUP(法术查询!$J$4,$AF$2:$AG$10,2,0)))&lt;&gt;"",IF(法术查询!$J$5="",1,$P75=VLOOKUP(法术查询!$J$5,$AH$2:$AI$11,2,0)),IF(法术查询!$J$6="",1,IF(法术查询!$J$6=$E75,1,0)),IF(法术查询!$J$7="",1,SEARCH(法术查询!$J$7,$F75)),IF(法术查询!$J$8="",1,SEARCH(法术查询!$J$8,G75)),IF(法术查询!$J$9="",1,SEARCH(法术查询!$J$9,N75)),IF(法术查询!$J$10="",1,IF(法术查询!$J$10=$AF$11,IF($M75=1,1,0),IF($M75="",1,0))),IF(法术查询!$J$11="",1,IF(法术查询!$J$11=$AF$11,IF($D75=1,1,0),IF($D75="",1,0))),IF(法术查询!$J$12="",1,SEARCH(法术查询!$J$12,$B75&amp;$C75&amp;$O75)),IF(法术查询!$J$13="",1,SEARCH(法术查询!$J$13,$B75&amp;$C75&amp;$O75)),IF(法术查询!$J$14="",1,SEARCH(法术查询!$J$14,$B75&amp;$C75&amp;$O75)),IF(法术查询!$J$16="",1,IF(法术查询!$J$16=$AF$11,IF($H75=1,1,0),IF($H75="",1,0))),IF(法术查询!$J$17="",1,IF(法术查询!$J$17=$AF$11,IF($I75=1,1,0),IF($I75="",1,0))),IF(法术查询!$J$18="",1,IF(法术查询!$J$18=$AF$11,IF($J75&lt;&gt;"",1,0),IF($J75="",1,0))),IF(法术查询!$J$19="",1,IF(法术查询!$J$19=$AF$11,IF($L75&lt;&gt;"",1,0),IF($L75="",1,0)))),$B75,""),"")</f>
        <v/>
      </c>
      <c r="AD74" s="192" t="str">
        <f t="array" ref="AD74">INDEX(AC:AC,SMALL(IF($AC$2:$AC$523&lt;&gt;"",ROW($2:$523),524),ROW(AC73)))&amp;""</f>
        <v/>
      </c>
      <c r="AE74" s="200" t="str">
        <f t="shared" si="5"/>
        <v/>
      </c>
      <c r="AJ74" s="192">
        <v>73</v>
      </c>
      <c r="AK74" s="193" t="str">
        <f>IF(法术书!Y30="","",法术书!Y30)</f>
        <v/>
      </c>
      <c r="AL74" s="224" t="str">
        <f t="array" ref="AL74">IFERROR(INDEX(AK$1:AK$301,SMALL(IF(MATCH(AK74,AK$1:AK$301,0)=ROW(AK74),ROW(AK$1:AK$301),999),ROW(AK74))),"")</f>
        <v/>
      </c>
      <c r="AM74" s="223" t="str">
        <f t="array" ref="AM74">INDEX(AL:AL,SMALL(IF($AL$2:$AL$301&lt;&gt;"",ROW($2:$301),302),ROW(AL73)))&amp;""</f>
        <v/>
      </c>
    </row>
    <row r="75" customHeight="1" spans="1:39">
      <c r="A75" s="192">
        <v>73</v>
      </c>
      <c r="B75" s="224" t="s">
        <v>7015</v>
      </c>
      <c r="C75" s="224" t="s">
        <v>7016</v>
      </c>
      <c r="E75" s="231" t="s">
        <v>6672</v>
      </c>
      <c r="F75" s="193" t="s">
        <v>6772</v>
      </c>
      <c r="G75" s="193" t="s">
        <v>6643</v>
      </c>
      <c r="H75" s="193">
        <v>1</v>
      </c>
      <c r="J75" s="193">
        <v>1</v>
      </c>
      <c r="K75" s="224" t="s">
        <v>7017</v>
      </c>
      <c r="L75" s="224"/>
      <c r="N75" s="193" t="s">
        <v>6709</v>
      </c>
      <c r="O75" s="224" t="s">
        <v>7018</v>
      </c>
      <c r="P75" s="224">
        <v>1</v>
      </c>
      <c r="Q75" s="224" t="s">
        <v>249</v>
      </c>
      <c r="R75" s="193">
        <v>1</v>
      </c>
      <c r="W75" s="193">
        <v>1</v>
      </c>
      <c r="X75" s="193">
        <v>1</v>
      </c>
      <c r="Z75" s="193">
        <v>9</v>
      </c>
      <c r="AA75" s="223" t="s">
        <v>7019</v>
      </c>
      <c r="AB75" s="200" t="str">
        <f t="array" ref="AB75">INDEX(B:B,SMALL(IF($Q$3:$Q$524&lt;&gt;"",ROW($3:$524),525),ROW(B74)))&amp;""</f>
        <v>获得魔宠</v>
      </c>
      <c r="AC75" s="225" t="str">
        <f>IFERROR(IF(AND($Q76&lt;&gt;"",IF(法术查询!$J$4="",1,INDEX($R76:$Z76,1,VLOOKUP(法术查询!$J$4,$AF$2:$AG$10,2,0)))&lt;&gt;"",IF(法术查询!$J$5="",1,$P76=VLOOKUP(法术查询!$J$5,$AH$2:$AI$11,2,0)),IF(法术查询!$J$6="",1,IF(法术查询!$J$6=$E76,1,0)),IF(法术查询!$J$7="",1,SEARCH(法术查询!$J$7,$F76)),IF(法术查询!$J$8="",1,SEARCH(法术查询!$J$8,G76)),IF(法术查询!$J$9="",1,SEARCH(法术查询!$J$9,N76)),IF(法术查询!$J$10="",1,IF(法术查询!$J$10=$AF$11,IF($M76=1,1,0),IF($M76="",1,0))),IF(法术查询!$J$11="",1,IF(法术查询!$J$11=$AF$11,IF($D76=1,1,0),IF($D76="",1,0))),IF(法术查询!$J$12="",1,SEARCH(法术查询!$J$12,$B76&amp;$C76&amp;$O76)),IF(法术查询!$J$13="",1,SEARCH(法术查询!$J$13,$B76&amp;$C76&amp;$O76)),IF(法术查询!$J$14="",1,SEARCH(法术查询!$J$14,$B76&amp;$C76&amp;$O76)),IF(法术查询!$J$16="",1,IF(法术查询!$J$16=$AF$11,IF($H76=1,1,0),IF($H76="",1,0))),IF(法术查询!$J$17="",1,IF(法术查询!$J$17=$AF$11,IF($I76=1,1,0),IF($I76="",1,0))),IF(法术查询!$J$18="",1,IF(法术查询!$J$18=$AF$11,IF($J76&lt;&gt;"",1,0),IF($J76="",1,0))),IF(法术查询!$J$19="",1,IF(法术查询!$J$19=$AF$11,IF($L76&lt;&gt;"",1,0),IF($L76="",1,0)))),$B76,""),"")</f>
        <v/>
      </c>
      <c r="AD75" s="192" t="str">
        <f t="array" ref="AD75">INDEX(AC:AC,SMALL(IF($AC$2:$AC$523&lt;&gt;"",ROW($2:$523),524),ROW(AC74)))&amp;""</f>
        <v/>
      </c>
      <c r="AE75" s="200" t="str">
        <f t="shared" si="5"/>
        <v/>
      </c>
      <c r="AJ75" s="192">
        <v>74</v>
      </c>
      <c r="AK75" s="193" t="str">
        <f>IF(法术书!Y31="","",法术书!Y31)</f>
        <v/>
      </c>
      <c r="AL75" s="224" t="str">
        <f t="array" ref="AL75">IFERROR(INDEX(AK$1:AK$301,SMALL(IF(MATCH(AK75,AK$1:AK$301,0)=ROW(AK75),ROW(AK$1:AK$301),999),ROW(AK75))),"")</f>
        <v/>
      </c>
      <c r="AM75" s="223" t="str">
        <f t="array" ref="AM75">INDEX(AL:AL,SMALL(IF($AL$2:$AL$301&lt;&gt;"",ROW($2:$301),302),ROW(AL74)))&amp;""</f>
        <v/>
      </c>
    </row>
    <row r="76" customHeight="1" spans="1:39">
      <c r="A76" s="192">
        <v>74</v>
      </c>
      <c r="B76" s="224" t="s">
        <v>7020</v>
      </c>
      <c r="C76" s="224" t="s">
        <v>7021</v>
      </c>
      <c r="D76" s="193">
        <v>1</v>
      </c>
      <c r="E76" s="240" t="s">
        <v>6641</v>
      </c>
      <c r="F76" s="193" t="s">
        <v>6704</v>
      </c>
      <c r="G76" s="193" t="s">
        <v>6730</v>
      </c>
      <c r="H76" s="193">
        <v>1</v>
      </c>
      <c r="I76" s="193">
        <v>1</v>
      </c>
      <c r="J76" s="193">
        <v>1</v>
      </c>
      <c r="L76" s="224" t="s">
        <v>7022</v>
      </c>
      <c r="N76" s="193" t="s">
        <v>6644</v>
      </c>
      <c r="O76" s="224" t="s">
        <v>7023</v>
      </c>
      <c r="P76" s="224">
        <v>1</v>
      </c>
      <c r="Q76" s="224" t="s">
        <v>249</v>
      </c>
      <c r="X76" s="193">
        <v>1</v>
      </c>
      <c r="AA76" s="223" t="s">
        <v>7024</v>
      </c>
      <c r="AB76" s="200" t="str">
        <f t="array" ref="AB76">INDEX(B:B,SMALL(IF($Q$3:$Q$524&lt;&gt;"",ROW($3:$524),525),ROW(B75)))&amp;""</f>
        <v>云雾术</v>
      </c>
      <c r="AC76" s="225" t="str">
        <f>IFERROR(IF(AND($Q77&lt;&gt;"",IF(法术查询!$J$4="",1,INDEX($R77:$Z77,1,VLOOKUP(法术查询!$J$4,$AF$2:$AG$10,2,0)))&lt;&gt;"",IF(法术查询!$J$5="",1,$P77=VLOOKUP(法术查询!$J$5,$AH$2:$AI$11,2,0)),IF(法术查询!$J$6="",1,IF(法术查询!$J$6=$E77,1,0)),IF(法术查询!$J$7="",1,SEARCH(法术查询!$J$7,$F77)),IF(法术查询!$J$8="",1,SEARCH(法术查询!$J$8,G77)),IF(法术查询!$J$9="",1,SEARCH(法术查询!$J$9,N77)),IF(法术查询!$J$10="",1,IF(法术查询!$J$10=$AF$11,IF($M77=1,1,0),IF($M77="",1,0))),IF(法术查询!$J$11="",1,IF(法术查询!$J$11=$AF$11,IF($D77=1,1,0),IF($D77="",1,0))),IF(法术查询!$J$12="",1,SEARCH(法术查询!$J$12,$B77&amp;$C77&amp;$O77)),IF(法术查询!$J$13="",1,SEARCH(法术查询!$J$13,$B77&amp;$C77&amp;$O77)),IF(法术查询!$J$14="",1,SEARCH(法术查询!$J$14,$B77&amp;$C77&amp;$O77)),IF(法术查询!$J$16="",1,IF(法术查询!$J$16=$AF$11,IF($H77=1,1,0),IF($H77="",1,0))),IF(法术查询!$J$17="",1,IF(法术查询!$J$17=$AF$11,IF($I77=1,1,0),IF($I77="",1,0))),IF(法术查询!$J$18="",1,IF(法术查询!$J$18=$AF$11,IF($J77&lt;&gt;"",1,0),IF($J77="",1,0))),IF(法术查询!$J$19="",1,IF(法术查询!$J$19=$AF$11,IF($L77&lt;&gt;"",1,0),IF($L77="",1,0)))),$B77,""),"")</f>
        <v/>
      </c>
      <c r="AD76" s="192" t="str">
        <f t="array" ref="AD76">INDEX(AC:AC,SMALL(IF($AC$2:$AC$523&lt;&gt;"",ROW($2:$523),524),ROW(AC75)))&amp;""</f>
        <v/>
      </c>
      <c r="AE76" s="200" t="str">
        <f t="shared" si="5"/>
        <v/>
      </c>
      <c r="AJ76" s="192">
        <v>75</v>
      </c>
      <c r="AK76" s="193" t="str">
        <f>IF(法术书!Y32="","",法术书!Y32)</f>
        <v/>
      </c>
      <c r="AL76" s="224" t="str">
        <f t="array" ref="AL76">IFERROR(INDEX(AK$1:AK$301,SMALL(IF(MATCH(AK76,AK$1:AK$301,0)=ROW(AK76),ROW(AK$1:AK$301),999),ROW(AK76))),"")</f>
        <v/>
      </c>
      <c r="AM76" s="223" t="str">
        <f t="array" ref="AM76">INDEX(AL:AL,SMALL(IF($AL$2:$AL$301&lt;&gt;"",ROW($2:$301),302),ROW(AL75)))&amp;""</f>
        <v/>
      </c>
    </row>
    <row r="77" customHeight="1" spans="1:39">
      <c r="A77" s="192">
        <v>75</v>
      </c>
      <c r="B77" s="224" t="s">
        <v>7025</v>
      </c>
      <c r="C77" s="224" t="s">
        <v>7026</v>
      </c>
      <c r="E77" s="240" t="s">
        <v>6641</v>
      </c>
      <c r="F77" s="193" t="s">
        <v>6642</v>
      </c>
      <c r="G77" s="193" t="s">
        <v>6658</v>
      </c>
      <c r="H77" s="193">
        <v>1</v>
      </c>
      <c r="I77" s="193">
        <v>1</v>
      </c>
      <c r="M77" s="193">
        <v>1</v>
      </c>
      <c r="N77" s="193" t="s">
        <v>6739</v>
      </c>
      <c r="O77" s="224" t="s">
        <v>7027</v>
      </c>
      <c r="P77" s="224">
        <v>1</v>
      </c>
      <c r="Q77" s="224" t="s">
        <v>249</v>
      </c>
      <c r="T77" s="193">
        <v>1</v>
      </c>
      <c r="V77" s="193">
        <v>1</v>
      </c>
      <c r="W77" s="193">
        <v>1</v>
      </c>
      <c r="X77" s="193">
        <v>1</v>
      </c>
      <c r="AA77" s="223" t="s">
        <v>7028</v>
      </c>
      <c r="AB77" s="200" t="str">
        <f t="array" ref="AB77">INDEX(B:B,SMALL(IF($Q$3:$Q$524&lt;&gt;"",ROW($3:$524),525),ROW(B76)))&amp;""</f>
        <v>神莓术</v>
      </c>
      <c r="AC77" s="225" t="str">
        <f>IFERROR(IF(AND($Q78&lt;&gt;"",IF(法术查询!$J$4="",1,INDEX($R78:$Z78,1,VLOOKUP(法术查询!$J$4,$AF$2:$AG$10,2,0)))&lt;&gt;"",IF(法术查询!$J$5="",1,$P78=VLOOKUP(法术查询!$J$5,$AH$2:$AI$11,2,0)),IF(法术查询!$J$6="",1,IF(法术查询!$J$6=$E78,1,0)),IF(法术查询!$J$7="",1,SEARCH(法术查询!$J$7,$F78)),IF(法术查询!$J$8="",1,SEARCH(法术查询!$J$8,G78)),IF(法术查询!$J$9="",1,SEARCH(法术查询!$J$9,N78)),IF(法术查询!$J$10="",1,IF(法术查询!$J$10=$AF$11,IF($M78=1,1,0),IF($M78="",1,0))),IF(法术查询!$J$11="",1,IF(法术查询!$J$11=$AF$11,IF($D78=1,1,0),IF($D78="",1,0))),IF(法术查询!$J$12="",1,SEARCH(法术查询!$J$12,$B78&amp;$C78&amp;$O78)),IF(法术查询!$J$13="",1,SEARCH(法术查询!$J$13,$B78&amp;$C78&amp;$O78)),IF(法术查询!$J$14="",1,SEARCH(法术查询!$J$14,$B78&amp;$C78&amp;$O78)),IF(法术查询!$J$16="",1,IF(法术查询!$J$16=$AF$11,IF($H78=1,1,0),IF($H78="",1,0))),IF(法术查询!$J$17="",1,IF(法术查询!$J$17=$AF$11,IF($I78=1,1,0),IF($I78="",1,0))),IF(法术查询!$J$18="",1,IF(法术查询!$J$18=$AF$11,IF($J78&lt;&gt;"",1,0),IF($J78="",1,0))),IF(法术查询!$J$19="",1,IF(法术查询!$J$19=$AF$11,IF($L78&lt;&gt;"",1,0),IF($L78="",1,0)))),$B78,""),"")</f>
        <v/>
      </c>
      <c r="AD77" s="192" t="str">
        <f t="array" ref="AD77">INDEX(AC:AC,SMALL(IF($AC$2:$AC$523&lt;&gt;"",ROW($2:$523),524),ROW(AC76)))&amp;""</f>
        <v/>
      </c>
      <c r="AE77" s="200" t="str">
        <f t="shared" si="5"/>
        <v/>
      </c>
      <c r="AJ77" s="192">
        <v>76</v>
      </c>
      <c r="AK77" s="193" t="str">
        <f>IF(法术书!Y33="","",法术书!Y33)</f>
        <v/>
      </c>
      <c r="AL77" s="224" t="str">
        <f t="array" ref="AL77">IFERROR(INDEX(AK$1:AK$301,SMALL(IF(MATCH(AK77,AK$1:AK$301,0)=ROW(AK77),ROW(AK$1:AK$301),999),ROW(AK77))),"")</f>
        <v/>
      </c>
      <c r="AM77" s="223" t="str">
        <f t="array" ref="AM77">INDEX(AL:AL,SMALL(IF($AL$2:$AL$301&lt;&gt;"",ROW($2:$301),302),ROW(AL76)))&amp;""</f>
        <v/>
      </c>
    </row>
    <row r="78" customHeight="1" spans="1:39">
      <c r="A78" s="192">
        <v>76</v>
      </c>
      <c r="B78" s="224" t="s">
        <v>7029</v>
      </c>
      <c r="C78" s="224" t="s">
        <v>7030</v>
      </c>
      <c r="E78" s="231" t="s">
        <v>6672</v>
      </c>
      <c r="F78" s="193" t="s">
        <v>6642</v>
      </c>
      <c r="G78" s="193" t="s">
        <v>3760</v>
      </c>
      <c r="H78" s="193">
        <v>1</v>
      </c>
      <c r="I78" s="193">
        <v>1</v>
      </c>
      <c r="J78" s="193">
        <v>1</v>
      </c>
      <c r="K78" s="224" t="s">
        <v>7031</v>
      </c>
      <c r="N78" s="193" t="s">
        <v>6644</v>
      </c>
      <c r="O78" s="224" t="s">
        <v>7032</v>
      </c>
      <c r="P78" s="224">
        <v>1</v>
      </c>
      <c r="Q78" s="224" t="s">
        <v>249</v>
      </c>
      <c r="T78" s="193">
        <v>1</v>
      </c>
      <c r="V78" s="193">
        <v>1</v>
      </c>
      <c r="AA78" s="200" t="s">
        <v>776</v>
      </c>
      <c r="AB78" s="200" t="str">
        <f t="array" ref="AB78">INDEX(B:B,SMALL(IF($Q$3:$Q$524&lt;&gt;"",ROW($3:$524),525),ROW(B77)))&amp;""</f>
        <v>油腻术</v>
      </c>
      <c r="AC78" s="225" t="str">
        <f>IFERROR(IF(AND($Q79&lt;&gt;"",IF(法术查询!$J$4="",1,INDEX($R79:$Z79,1,VLOOKUP(法术查询!$J$4,$AF$2:$AG$10,2,0)))&lt;&gt;"",IF(法术查询!$J$5="",1,$P79=VLOOKUP(法术查询!$J$5,$AH$2:$AI$11,2,0)),IF(法术查询!$J$6="",1,IF(法术查询!$J$6=$E79,1,0)),IF(法术查询!$J$7="",1,SEARCH(法术查询!$J$7,$F79)),IF(法术查询!$J$8="",1,SEARCH(法术查询!$J$8,G79)),IF(法术查询!$J$9="",1,SEARCH(法术查询!$J$9,N79)),IF(法术查询!$J$10="",1,IF(法术查询!$J$10=$AF$11,IF($M79=1,1,0),IF($M79="",1,0))),IF(法术查询!$J$11="",1,IF(法术查询!$J$11=$AF$11,IF($D79=1,1,0),IF($D79="",1,0))),IF(法术查询!$J$12="",1,SEARCH(法术查询!$J$12,$B79&amp;$C79&amp;$O79)),IF(法术查询!$J$13="",1,SEARCH(法术查询!$J$13,$B79&amp;$C79&amp;$O79)),IF(法术查询!$J$14="",1,SEARCH(法术查询!$J$14,$B79&amp;$C79&amp;$O79)),IF(法术查询!$J$16="",1,IF(法术查询!$J$16=$AF$11,IF($H79=1,1,0),IF($H79="",1,0))),IF(法术查询!$J$17="",1,IF(法术查询!$J$17=$AF$11,IF($I79=1,1,0),IF($I79="",1,0))),IF(法术查询!$J$18="",1,IF(法术查询!$J$18=$AF$11,IF($J79&lt;&gt;"",1,0),IF($J79="",1,0))),IF(法术查询!$J$19="",1,IF(法术查询!$J$19=$AF$11,IF($L79&lt;&gt;"",1,0),IF($L79="",1,0)))),$B79,""),"")</f>
        <v/>
      </c>
      <c r="AD78" s="192" t="str">
        <f t="array" ref="AD78">INDEX(AC:AC,SMALL(IF($AC$2:$AC$523&lt;&gt;"",ROW($2:$523),524),ROW(AC77)))&amp;""</f>
        <v/>
      </c>
      <c r="AE78" s="200" t="str">
        <f t="shared" si="5"/>
        <v/>
      </c>
      <c r="AJ78" s="192">
        <v>77</v>
      </c>
      <c r="AK78" s="193" t="str">
        <f>IF(法术书!Y34="","",法术书!Y34)</f>
        <v/>
      </c>
      <c r="AL78" s="224" t="str">
        <f t="array" ref="AL78">IFERROR(INDEX(AK$1:AK$301,SMALL(IF(MATCH(AK78,AK$1:AK$301,0)=ROW(AK78),ROW(AK$1:AK$301),999),ROW(AK78))),"")</f>
        <v/>
      </c>
      <c r="AM78" s="223" t="str">
        <f t="array" ref="AM78">INDEX(AL:AL,SMALL(IF($AL$2:$AL$301&lt;&gt;"",ROW($2:$301),302),ROW(AL77)))&amp;""</f>
        <v/>
      </c>
    </row>
    <row r="79" customHeight="1" spans="1:39">
      <c r="A79" s="192">
        <v>77</v>
      </c>
      <c r="B79" s="224" t="s">
        <v>7033</v>
      </c>
      <c r="C79" s="224" t="s">
        <v>7034</v>
      </c>
      <c r="E79" s="240" t="s">
        <v>6641</v>
      </c>
      <c r="F79" s="193" t="s">
        <v>6642</v>
      </c>
      <c r="G79" s="193" t="s">
        <v>6643</v>
      </c>
      <c r="H79" s="193">
        <v>1</v>
      </c>
      <c r="I79" s="193">
        <v>1</v>
      </c>
      <c r="J79" s="193">
        <v>1</v>
      </c>
      <c r="K79" s="224" t="s">
        <v>7035</v>
      </c>
      <c r="N79" s="193" t="s">
        <v>6709</v>
      </c>
      <c r="O79" s="224" t="s">
        <v>7036</v>
      </c>
      <c r="P79" s="224">
        <v>1</v>
      </c>
      <c r="Q79" s="224" t="s">
        <v>249</v>
      </c>
      <c r="W79" s="193" t="str">
        <f>IF(综合数据!$B$14=TRUE,"13","")</f>
        <v>13</v>
      </c>
      <c r="X79" s="193">
        <v>1</v>
      </c>
      <c r="Z79" s="193">
        <v>9</v>
      </c>
      <c r="AA79" s="200" t="s">
        <v>2437</v>
      </c>
      <c r="AB79" s="200" t="str">
        <f t="array" ref="AB79">INDEX(B:B,SMALL(IF($Q$3:$Q$524&lt;&gt;"",ROW($3:$524),525),ROW(B78)))&amp;""</f>
        <v>曳光弹</v>
      </c>
      <c r="AC79" s="225" t="str">
        <f>IFERROR(IF(AND($Q80&lt;&gt;"",IF(法术查询!$J$4="",1,INDEX($R80:$Z80,1,VLOOKUP(法术查询!$J$4,$AF$2:$AG$10,2,0)))&lt;&gt;"",IF(法术查询!$J$5="",1,$P80=VLOOKUP(法术查询!$J$5,$AH$2:$AI$11,2,0)),IF(法术查询!$J$6="",1,IF(法术查询!$J$6=$E80,1,0)),IF(法术查询!$J$7="",1,SEARCH(法术查询!$J$7,$F80)),IF(法术查询!$J$8="",1,SEARCH(法术查询!$J$8,G80)),IF(法术查询!$J$9="",1,SEARCH(法术查询!$J$9,N80)),IF(法术查询!$J$10="",1,IF(法术查询!$J$10=$AF$11,IF($M80=1,1,0),IF($M80="",1,0))),IF(法术查询!$J$11="",1,IF(法术查询!$J$11=$AF$11,IF($D80=1,1,0),IF($D80="",1,0))),IF(法术查询!$J$12="",1,SEARCH(法术查询!$J$12,$B80&amp;$C80&amp;$O80)),IF(法术查询!$J$13="",1,SEARCH(法术查询!$J$13,$B80&amp;$C80&amp;$O80)),IF(法术查询!$J$14="",1,SEARCH(法术查询!$J$14,$B80&amp;$C80&amp;$O80)),IF(法术查询!$J$16="",1,IF(法术查询!$J$16=$AF$11,IF($H80=1,1,0),IF($H80="",1,0))),IF(法术查询!$J$17="",1,IF(法术查询!$J$17=$AF$11,IF($I80=1,1,0),IF($I80="",1,0))),IF(法术查询!$J$18="",1,IF(法术查询!$J$18=$AF$11,IF($J80&lt;&gt;"",1,0),IF($J80="",1,0))),IF(法术查询!$J$19="",1,IF(法术查询!$J$19=$AF$11,IF($L80&lt;&gt;"",1,0),IF($L80="",1,0)))),$B80,""),"")</f>
        <v/>
      </c>
      <c r="AD79" s="192" t="str">
        <f t="array" ref="AD79">INDEX(AC:AC,SMALL(IF($AC$2:$AC$523&lt;&gt;"",ROW($2:$523),524),ROW(AC78)))&amp;""</f>
        <v/>
      </c>
      <c r="AE79" s="200" t="str">
        <f t="shared" si="5"/>
        <v/>
      </c>
      <c r="AJ79" s="192">
        <v>78</v>
      </c>
      <c r="AK79" s="193" t="str">
        <f>IF(法术书!Y35="","",法术书!Y35)</f>
        <v/>
      </c>
      <c r="AL79" s="224" t="str">
        <f t="array" ref="AL79">IFERROR(INDEX(AK$1:AK$301,SMALL(IF(MATCH(AK79,AK$1:AK$301,0)=ROW(AK79),ROW(AK$1:AK$301),999),ROW(AK79))),"")</f>
        <v/>
      </c>
      <c r="AM79" s="223" t="str">
        <f t="array" ref="AM79">INDEX(AL:AL,SMALL(IF($AL$2:$AL$301&lt;&gt;"",ROW($2:$301),302),ROW(AL78)))&amp;""</f>
        <v/>
      </c>
    </row>
    <row r="80" customHeight="1" spans="1:39">
      <c r="A80" s="192">
        <v>78</v>
      </c>
      <c r="B80" s="224" t="s">
        <v>7037</v>
      </c>
      <c r="C80" s="224" t="s">
        <v>7038</v>
      </c>
      <c r="E80" s="229" t="s">
        <v>6664</v>
      </c>
      <c r="F80" s="193" t="s">
        <v>6642</v>
      </c>
      <c r="G80" s="193" t="s">
        <v>6658</v>
      </c>
      <c r="H80" s="193">
        <v>1</v>
      </c>
      <c r="I80" s="193">
        <v>1</v>
      </c>
      <c r="N80" s="193" t="s">
        <v>6652</v>
      </c>
      <c r="O80" s="224" t="s">
        <v>7039</v>
      </c>
      <c r="P80" s="224">
        <v>1</v>
      </c>
      <c r="Q80" s="224" t="s">
        <v>249</v>
      </c>
      <c r="S80" s="193">
        <v>1</v>
      </c>
      <c r="AA80" s="223" t="s">
        <v>7040</v>
      </c>
      <c r="AB80" s="200" t="str">
        <f t="array" ref="AB80">INDEX(B:B,SMALL(IF($Q$3:$Q$524&lt;&gt;"",ROW($3:$524),525),ROW(B79)))&amp;""</f>
        <v>棘雹术</v>
      </c>
      <c r="AC80" s="225" t="str">
        <f>IFERROR(IF(AND($Q81&lt;&gt;"",IF(法术查询!$J$4="",1,INDEX($R81:$Z81,1,VLOOKUP(法术查询!$J$4,$AF$2:$AG$10,2,0)))&lt;&gt;"",IF(法术查询!$J$5="",1,$P81=VLOOKUP(法术查询!$J$5,$AH$2:$AI$11,2,0)),IF(法术查询!$J$6="",1,IF(法术查询!$J$6=$E81,1,0)),IF(法术查询!$J$7="",1,SEARCH(法术查询!$J$7,$F81)),IF(法术查询!$J$8="",1,SEARCH(法术查询!$J$8,G81)),IF(法术查询!$J$9="",1,SEARCH(法术查询!$J$9,N81)),IF(法术查询!$J$10="",1,IF(法术查询!$J$10=$AF$11,IF($M81=1,1,0),IF($M81="",1,0))),IF(法术查询!$J$11="",1,IF(法术查询!$J$11=$AF$11,IF($D81=1,1,0),IF($D81="",1,0))),IF(法术查询!$J$12="",1,SEARCH(法术查询!$J$12,$B81&amp;$C81&amp;$O81)),IF(法术查询!$J$13="",1,SEARCH(法术查询!$J$13,$B81&amp;$C81&amp;$O81)),IF(法术查询!$J$14="",1,SEARCH(法术查询!$J$14,$B81&amp;$C81&amp;$O81)),IF(法术查询!$J$16="",1,IF(法术查询!$J$16=$AF$11,IF($H81=1,1,0),IF($H81="",1,0))),IF(法术查询!$J$17="",1,IF(法术查询!$J$17=$AF$11,IF($I81=1,1,0),IF($I81="",1,0))),IF(法术查询!$J$18="",1,IF(法术查询!$J$18=$AF$11,IF($J81&lt;&gt;"",1,0),IF($J81="",1,0))),IF(法术查询!$J$19="",1,IF(法术查询!$J$19=$AF$11,IF($L81&lt;&gt;"",1,0),IF($L81="",1,0)))),$B81,""),"")</f>
        <v/>
      </c>
      <c r="AD80" s="192" t="str">
        <f t="array" ref="AD80">INDEX(AC:AC,SMALL(IF($AC$2:$AC$523&lt;&gt;"",ROW($2:$523),524),ROW(AC79)))&amp;""</f>
        <v/>
      </c>
      <c r="AE80" s="200" t="str">
        <f t="shared" si="5"/>
        <v/>
      </c>
      <c r="AJ80" s="192">
        <v>79</v>
      </c>
      <c r="AK80" s="193" t="str">
        <f>IF(法术书!Y36="","",法术书!Y36)</f>
        <v/>
      </c>
      <c r="AL80" s="224" t="str">
        <f t="array" ref="AL80">IFERROR(INDEX(AK$1:AK$301,SMALL(IF(MATCH(AK80,AK$1:AK$301,0)=ROW(AK80),ROW(AK$1:AK$301),999),ROW(AK80))),"")</f>
        <v/>
      </c>
      <c r="AM80" s="223" t="str">
        <f t="array" ref="AM80">INDEX(AL:AL,SMALL(IF($AL$2:$AL$301&lt;&gt;"",ROW($2:$301),302),ROW(AL79)))&amp;""</f>
        <v/>
      </c>
    </row>
    <row r="81" customHeight="1" spans="1:39">
      <c r="A81" s="192">
        <v>79</v>
      </c>
      <c r="B81" s="224" t="s">
        <v>7041</v>
      </c>
      <c r="C81" s="224" t="s">
        <v>7042</v>
      </c>
      <c r="E81" s="240" t="s">
        <v>6641</v>
      </c>
      <c r="F81" s="193" t="s">
        <v>6712</v>
      </c>
      <c r="G81" s="193" t="s">
        <v>6651</v>
      </c>
      <c r="H81" s="193">
        <v>1</v>
      </c>
      <c r="M81" s="193">
        <v>1</v>
      </c>
      <c r="N81" s="193" t="s">
        <v>6666</v>
      </c>
      <c r="O81" s="224" t="s">
        <v>7043</v>
      </c>
      <c r="P81" s="224">
        <v>1</v>
      </c>
      <c r="Q81" s="224" t="s">
        <v>249</v>
      </c>
      <c r="V81" s="193">
        <v>1</v>
      </c>
      <c r="AA81" s="200"/>
      <c r="AB81" s="200" t="str">
        <f t="array" ref="AB81">INDEX(B:B,SMALL(IF($Q$3:$Q$524&lt;&gt;"",ROW($3:$524),525),ROW(B80)))&amp;""</f>
        <v>治愈真言</v>
      </c>
      <c r="AC81" s="225" t="str">
        <f>IFERROR(IF(AND($Q82&lt;&gt;"",IF(法术查询!$J$4="",1,INDEX($R82:$Z82,1,VLOOKUP(法术查询!$J$4,$AF$2:$AG$10,2,0)))&lt;&gt;"",IF(法术查询!$J$5="",1,$P82=VLOOKUP(法术查询!$J$5,$AH$2:$AI$11,2,0)),IF(法术查询!$J$6="",1,IF(法术查询!$J$6=$E82,1,0)),IF(法术查询!$J$7="",1,SEARCH(法术查询!$J$7,$F82)),IF(法术查询!$J$8="",1,SEARCH(法术查询!$J$8,G82)),IF(法术查询!$J$9="",1,SEARCH(法术查询!$J$9,N82)),IF(法术查询!$J$10="",1,IF(法术查询!$J$10=$AF$11,IF($M82=1,1,0),IF($M82="",1,0))),IF(法术查询!$J$11="",1,IF(法术查询!$J$11=$AF$11,IF($D82=1,1,0),IF($D82="",1,0))),IF(法术查询!$J$12="",1,SEARCH(法术查询!$J$12,$B82&amp;$C82&amp;$O82)),IF(法术查询!$J$13="",1,SEARCH(法术查询!$J$13,$B82&amp;$C82&amp;$O82)),IF(法术查询!$J$14="",1,SEARCH(法术查询!$J$14,$B82&amp;$C82&amp;$O82)),IF(法术查询!$J$16="",1,IF(法术查询!$J$16=$AF$11,IF($H82=1,1,0),IF($H82="",1,0))),IF(法术查询!$J$17="",1,IF(法术查询!$J$17=$AF$11,IF($I82=1,1,0),IF($I82="",1,0))),IF(法术查询!$J$18="",1,IF(法术查询!$J$18=$AF$11,IF($J82&lt;&gt;"",1,0),IF($J82="",1,0))),IF(法术查询!$J$19="",1,IF(法术查询!$J$19=$AF$11,IF($L82&lt;&gt;"",1,0),IF($L82="",1,0)))),$B82,""),"")</f>
        <v/>
      </c>
      <c r="AD81" s="192" t="str">
        <f t="array" ref="AD81">INDEX(AC:AC,SMALL(IF($AC$2:$AC$523&lt;&gt;"",ROW($2:$523),524),ROW(AC80)))&amp;""</f>
        <v/>
      </c>
      <c r="AE81" s="200" t="str">
        <f t="shared" si="5"/>
        <v/>
      </c>
      <c r="AJ81" s="192">
        <v>80</v>
      </c>
      <c r="AK81" s="193" t="str">
        <f>IF(法术书!Y37="","",法术书!Y37)</f>
        <v/>
      </c>
      <c r="AL81" s="224" t="str">
        <f t="array" ref="AL81">IFERROR(INDEX(AK$1:AK$301,SMALL(IF(MATCH(AK81,AK$1:AK$301,0)=ROW(AK81),ROW(AK$1:AK$301),999),ROW(AK81))),"")</f>
        <v/>
      </c>
      <c r="AM81" s="223" t="str">
        <f t="array" ref="AM81">INDEX(AL:AL,SMALL(IF($AL$2:$AL$301&lt;&gt;"",ROW($2:$301),302),ROW(AL80)))&amp;""</f>
        <v/>
      </c>
    </row>
    <row r="82" customHeight="1" spans="1:39">
      <c r="A82" s="192">
        <v>80</v>
      </c>
      <c r="B82" s="224" t="s">
        <v>7044</v>
      </c>
      <c r="C82" s="224" t="s">
        <v>7045</v>
      </c>
      <c r="E82" s="229" t="s">
        <v>6664</v>
      </c>
      <c r="F82" s="193" t="s">
        <v>6712</v>
      </c>
      <c r="G82" s="193" t="s">
        <v>6643</v>
      </c>
      <c r="H82" s="193">
        <v>1</v>
      </c>
      <c r="N82" s="193" t="s">
        <v>6644</v>
      </c>
      <c r="O82" s="224" t="s">
        <v>7046</v>
      </c>
      <c r="P82" s="224">
        <v>1</v>
      </c>
      <c r="Q82" s="224" t="s">
        <v>249</v>
      </c>
      <c r="R82" s="193">
        <v>1</v>
      </c>
      <c r="S82" s="193">
        <v>1</v>
      </c>
      <c r="T82" s="193">
        <v>1</v>
      </c>
      <c r="AA82" s="223" t="s">
        <v>7047</v>
      </c>
      <c r="AB82" s="200" t="str">
        <f t="array" ref="AB82">INDEX(B:B,SMALL(IF($Q$3:$Q$524&lt;&gt;"",ROW($3:$524),525),ROW(B81)))&amp;""</f>
        <v>炼狱叱喝</v>
      </c>
      <c r="AC82" s="225" t="str">
        <f>IFERROR(IF(AND($Q83&lt;&gt;"",IF(法术查询!$J$4="",1,INDEX($R83:$Z83,1,VLOOKUP(法术查询!$J$4,$AF$2:$AG$10,2,0)))&lt;&gt;"",IF(法术查询!$J$5="",1,$P83=VLOOKUP(法术查询!$J$5,$AH$2:$AI$11,2,0)),IF(法术查询!$J$6="",1,IF(法术查询!$J$6=$E83,1,0)),IF(法术查询!$J$7="",1,SEARCH(法术查询!$J$7,$F83)),IF(法术查询!$J$8="",1,SEARCH(法术查询!$J$8,G83)),IF(法术查询!$J$9="",1,SEARCH(法术查询!$J$9,N83)),IF(法术查询!$J$10="",1,IF(法术查询!$J$10=$AF$11,IF($M83=1,1,0),IF($M83="",1,0))),IF(法术查询!$J$11="",1,IF(法术查询!$J$11=$AF$11,IF($D83=1,1,0),IF($D83="",1,0))),IF(法术查询!$J$12="",1,SEARCH(法术查询!$J$12,$B83&amp;$C83&amp;$O83)),IF(法术查询!$J$13="",1,SEARCH(法术查询!$J$13,$B83&amp;$C83&amp;$O83)),IF(法术查询!$J$14="",1,SEARCH(法术查询!$J$14,$B83&amp;$C83&amp;$O83)),IF(法术查询!$J$16="",1,IF(法术查询!$J$16=$AF$11,IF($H83=1,1,0),IF($H83="",1,0))),IF(法术查询!$J$17="",1,IF(法术查询!$J$17=$AF$11,IF($I83=1,1,0),IF($I83="",1,0))),IF(法术查询!$J$18="",1,IF(法术查询!$J$18=$AF$11,IF($J83&lt;&gt;"",1,0),IF($J83="",1,0))),IF(法术查询!$J$19="",1,IF(法术查询!$J$19=$AF$11,IF($L83&lt;&gt;"",1,0),IF($L83="",1,0)))),$B83,""),"")</f>
        <v/>
      </c>
      <c r="AD82" s="192" t="str">
        <f t="array" ref="AD82">INDEX(AC:AC,SMALL(IF($AC$2:$AC$523&lt;&gt;"",ROW($2:$523),524),ROW(AC81)))&amp;""</f>
        <v/>
      </c>
      <c r="AE82" s="200" t="str">
        <f t="shared" si="5"/>
        <v/>
      </c>
      <c r="AJ82" s="192">
        <v>81</v>
      </c>
      <c r="AK82" s="193" t="str">
        <f>IF(法术书!Y38="","",法术书!Y38)</f>
        <v/>
      </c>
      <c r="AL82" s="224" t="str">
        <f t="array" ref="AL82">IFERROR(INDEX(AK$1:AK$301,SMALL(IF(MATCH(AK82,AK$1:AK$301,0)=ROW(AK82),ROW(AK$1:AK$301),999),ROW(AK82))),"")</f>
        <v/>
      </c>
      <c r="AM82" s="223" t="str">
        <f t="array" ref="AM82">INDEX(AL:AL,SMALL(IF($AL$2:$AL$301&lt;&gt;"",ROW($2:$301),302),ROW(AL81)))&amp;""</f>
        <v/>
      </c>
    </row>
    <row r="83" customHeight="1" spans="1:39">
      <c r="A83" s="192">
        <v>81</v>
      </c>
      <c r="B83" s="224" t="s">
        <v>7048</v>
      </c>
      <c r="C83" s="224" t="s">
        <v>7049</v>
      </c>
      <c r="E83" s="229" t="s">
        <v>6664</v>
      </c>
      <c r="F83" s="193" t="s">
        <v>6778</v>
      </c>
      <c r="G83" s="193" t="s">
        <v>6643</v>
      </c>
      <c r="H83" s="193">
        <v>1</v>
      </c>
      <c r="I83" s="193">
        <v>1</v>
      </c>
      <c r="N83" s="193" t="s">
        <v>6644</v>
      </c>
      <c r="O83" s="224" t="s">
        <v>7050</v>
      </c>
      <c r="P83" s="224">
        <v>1</v>
      </c>
      <c r="Q83" s="224" t="s">
        <v>249</v>
      </c>
      <c r="Y83" s="193">
        <v>1</v>
      </c>
      <c r="AA83" s="223" t="s">
        <v>7051</v>
      </c>
      <c r="AB83" s="200" t="str">
        <f t="array" ref="AB83">INDEX(B:B,SMALL(IF($Q$3:$Q$524&lt;&gt;"",ROW($3:$524),525),ROW(B82)))&amp;""</f>
        <v>英雄气概</v>
      </c>
      <c r="AC83" s="225" t="str">
        <f>IFERROR(IF(AND($Q84&lt;&gt;"",IF(法术查询!$J$4="",1,INDEX($R84:$Z84,1,VLOOKUP(法术查询!$J$4,$AF$2:$AG$10,2,0)))&lt;&gt;"",IF(法术查询!$J$5="",1,$P84=VLOOKUP(法术查询!$J$5,$AH$2:$AI$11,2,0)),IF(法术查询!$J$6="",1,IF(法术查询!$J$6=$E84,1,0)),IF(法术查询!$J$7="",1,SEARCH(法术查询!$J$7,$F84)),IF(法术查询!$J$8="",1,SEARCH(法术查询!$J$8,G84)),IF(法术查询!$J$9="",1,SEARCH(法术查询!$J$9,N84)),IF(法术查询!$J$10="",1,IF(法术查询!$J$10=$AF$11,IF($M84=1,1,0),IF($M84="",1,0))),IF(法术查询!$J$11="",1,IF(法术查询!$J$11=$AF$11,IF($D84=1,1,0),IF($D84="",1,0))),IF(法术查询!$J$12="",1,SEARCH(法术查询!$J$12,$B84&amp;$C84&amp;$O84)),IF(法术查询!$J$13="",1,SEARCH(法术查询!$J$13,$B84&amp;$C84&amp;$O84)),IF(法术查询!$J$14="",1,SEARCH(法术查询!$J$14,$B84&amp;$C84&amp;$O84)),IF(法术查询!$J$16="",1,IF(法术查询!$J$16=$AF$11,IF($H84=1,1,0),IF($H84="",1,0))),IF(法术查询!$J$17="",1,IF(法术查询!$J$17=$AF$11,IF($I84=1,1,0),IF($I84="",1,0))),IF(法术查询!$J$18="",1,IF(法术查询!$J$18=$AF$11,IF($J84&lt;&gt;"",1,0),IF($J84="",1,0))),IF(法术查询!$J$19="",1,IF(法术查询!$J$19=$AF$11,IF($L84&lt;&gt;"",1,0),IF($L84="",1,0)))),$B84,""),"")</f>
        <v/>
      </c>
      <c r="AD83" s="192" t="str">
        <f t="array" ref="AD83">INDEX(AC:AC,SMALL(IF($AC$2:$AC$523&lt;&gt;"",ROW($2:$523),524),ROW(AC82)))&amp;""</f>
        <v/>
      </c>
      <c r="AE83" s="200" t="str">
        <f t="shared" si="5"/>
        <v/>
      </c>
      <c r="AJ83" s="192">
        <v>82</v>
      </c>
      <c r="AK83" s="193" t="str">
        <f>IF(法术书!Y39="","",法术书!Y39)</f>
        <v/>
      </c>
      <c r="AL83" s="224" t="str">
        <f t="array" ref="AL83">IFERROR(INDEX(AK$1:AK$301,SMALL(IF(MATCH(AK83,AK$1:AK$301,0)=ROW(AK83),ROW(AK$1:AK$301),999),ROW(AK83))),"")</f>
        <v/>
      </c>
      <c r="AM83" s="223" t="str">
        <f t="array" ref="AM83">INDEX(AL:AL,SMALL(IF($AL$2:$AL$301&lt;&gt;"",ROW($2:$301),302),ROW(AL82)))&amp;""</f>
        <v/>
      </c>
    </row>
    <row r="84" customHeight="1" spans="1:39">
      <c r="A84" s="192">
        <v>82</v>
      </c>
      <c r="B84" s="224" t="s">
        <v>7052</v>
      </c>
      <c r="C84" s="224" t="s">
        <v>7053</v>
      </c>
      <c r="E84" s="233" t="s">
        <v>6688</v>
      </c>
      <c r="F84" s="193" t="s">
        <v>6642</v>
      </c>
      <c r="G84" s="193" t="s">
        <v>3760</v>
      </c>
      <c r="H84" s="193">
        <v>1</v>
      </c>
      <c r="I84" s="193">
        <v>1</v>
      </c>
      <c r="M84" s="193">
        <v>1</v>
      </c>
      <c r="N84" s="193" t="s">
        <v>6666</v>
      </c>
      <c r="O84" s="224" t="s">
        <v>7054</v>
      </c>
      <c r="P84" s="224">
        <v>1</v>
      </c>
      <c r="Q84" s="224" t="s">
        <v>249</v>
      </c>
      <c r="R84" s="193">
        <v>1</v>
      </c>
      <c r="U84" s="193">
        <v>1</v>
      </c>
      <c r="AA84" s="223" t="s">
        <v>7055</v>
      </c>
      <c r="AB84" s="200" t="str">
        <f t="array" ref="AB84">INDEX(B:B,SMALL(IF($Q$3:$Q$524&lt;&gt;"",ROW($3:$524),525),ROW(B83)))&amp;""</f>
        <v>脆弱诅咒</v>
      </c>
      <c r="AC84" s="225" t="str">
        <f>IFERROR(IF(AND($Q85&lt;&gt;"",IF(法术查询!$J$4="",1,INDEX($R85:$Z85,1,VLOOKUP(法术查询!$J$4,$AF$2:$AG$10,2,0)))&lt;&gt;"",IF(法术查询!$J$5="",1,$P85=VLOOKUP(法术查询!$J$5,$AH$2:$AI$11,2,0)),IF(法术查询!$J$6="",1,IF(法术查询!$J$6=$E85,1,0)),IF(法术查询!$J$7="",1,SEARCH(法术查询!$J$7,$F85)),IF(法术查询!$J$8="",1,SEARCH(法术查询!$J$8,G85)),IF(法术查询!$J$9="",1,SEARCH(法术查询!$J$9,N85)),IF(法术查询!$J$10="",1,IF(法术查询!$J$10=$AF$11,IF($M85=1,1,0),IF($M85="",1,0))),IF(法术查询!$J$11="",1,IF(法术查询!$J$11=$AF$11,IF($D85=1,1,0),IF($D85="",1,0))),IF(法术查询!$J$12="",1,SEARCH(法术查询!$J$12,$B85&amp;$C85&amp;$O85)),IF(法术查询!$J$13="",1,SEARCH(法术查询!$J$13,$B85&amp;$C85&amp;$O85)),IF(法术查询!$J$14="",1,SEARCH(法术查询!$J$14,$B85&amp;$C85&amp;$O85)),IF(法术查询!$J$16="",1,IF(法术查询!$J$16=$AF$11,IF($H85=1,1,0),IF($H85="",1,0))),IF(法术查询!$J$17="",1,IF(法术查询!$J$17=$AF$11,IF($I85=1,1,0),IF($I85="",1,0))),IF(法术查询!$J$18="",1,IF(法术查询!$J$18=$AF$11,IF($J85&lt;&gt;"",1,0),IF($J85="",1,0))),IF(法术查询!$J$19="",1,IF(法术查询!$J$19=$AF$11,IF($L85&lt;&gt;"",1,0),IF($L85="",1,0)))),$B85,""),"")</f>
        <v/>
      </c>
      <c r="AD84" s="192" t="str">
        <f t="array" ref="AD84">INDEX(AC:AC,SMALL(IF($AC$2:$AC$523&lt;&gt;"",ROW($2:$523),524),ROW(AC83)))&amp;""</f>
        <v/>
      </c>
      <c r="AE84" s="200" t="str">
        <f t="shared" si="5"/>
        <v/>
      </c>
      <c r="AJ84" s="192">
        <v>83</v>
      </c>
      <c r="AK84" s="193" t="str">
        <f>IF(法术书!Y40="","",法术书!Y40)</f>
        <v/>
      </c>
      <c r="AL84" s="224" t="str">
        <f t="array" ref="AL84">IFERROR(INDEX(AK$1:AK$301,SMALL(IF(MATCH(AK84,AK$1:AK$301,0)=ROW(AK84),ROW(AK$1:AK$301),999),ROW(AK84))),"")</f>
        <v/>
      </c>
      <c r="AM84" s="223" t="str">
        <f t="array" ref="AM84">INDEX(AL:AL,SMALL(IF($AL$2:$AL$301&lt;&gt;"",ROW($2:$301),302),ROW(AL83)))&amp;""</f>
        <v/>
      </c>
    </row>
    <row r="85" customHeight="1" spans="1:39">
      <c r="A85" s="192">
        <v>83</v>
      </c>
      <c r="B85" s="224" t="s">
        <v>7056</v>
      </c>
      <c r="C85" s="224" t="s">
        <v>7057</v>
      </c>
      <c r="E85" s="233" t="s">
        <v>6688</v>
      </c>
      <c r="F85" s="193" t="s">
        <v>6712</v>
      </c>
      <c r="G85" s="193" t="s">
        <v>6760</v>
      </c>
      <c r="H85" s="193">
        <v>1</v>
      </c>
      <c r="I85" s="193">
        <v>1</v>
      </c>
      <c r="J85" s="193">
        <v>1</v>
      </c>
      <c r="K85" s="224" t="s">
        <v>7058</v>
      </c>
      <c r="M85" s="193">
        <v>1</v>
      </c>
      <c r="N85" s="193" t="s">
        <v>6739</v>
      </c>
      <c r="O85" s="224" t="s">
        <v>7059</v>
      </c>
      <c r="P85" s="224">
        <v>1</v>
      </c>
      <c r="Q85" s="224" t="s">
        <v>249</v>
      </c>
      <c r="Y85" s="193">
        <v>1</v>
      </c>
      <c r="AA85" s="200"/>
      <c r="AB85" s="200" t="str">
        <f t="array" ref="AB85">INDEX(B:B,SMALL(IF($Q$3:$Q$524&lt;&gt;"",ROW($3:$524),525),ROW(B84)))&amp;""</f>
        <v>猎人印记</v>
      </c>
      <c r="AC85" s="225" t="str">
        <f>IFERROR(IF(AND($Q86&lt;&gt;"",IF(法术查询!$J$4="",1,INDEX($R86:$Z86,1,VLOOKUP(法术查询!$J$4,$AF$2:$AG$10,2,0)))&lt;&gt;"",IF(法术查询!$J$5="",1,$P86=VLOOKUP(法术查询!$J$5,$AH$2:$AI$11,2,0)),IF(法术查询!$J$6="",1,IF(法术查询!$J$6=$E86,1,0)),IF(法术查询!$J$7="",1,SEARCH(法术查询!$J$7,$F86)),IF(法术查询!$J$8="",1,SEARCH(法术查询!$J$8,G86)),IF(法术查询!$J$9="",1,SEARCH(法术查询!$J$9,N86)),IF(法术查询!$J$10="",1,IF(法术查询!$J$10=$AF$11,IF($M86=1,1,0),IF($M86="",1,0))),IF(法术查询!$J$11="",1,IF(法术查询!$J$11=$AF$11,IF($D86=1,1,0),IF($D86="",1,0))),IF(法术查询!$J$12="",1,SEARCH(法术查询!$J$12,$B86&amp;$C86&amp;$O86)),IF(法术查询!$J$13="",1,SEARCH(法术查询!$J$13,$B86&amp;$C86&amp;$O86)),IF(法术查询!$J$14="",1,SEARCH(法术查询!$J$14,$B86&amp;$C86&amp;$O86)),IF(法术查询!$J$16="",1,IF(法术查询!$J$16=$AF$11,IF($H86=1,1,0),IF($H86="",1,0))),IF(法术查询!$J$17="",1,IF(法术查询!$J$17=$AF$11,IF($I86=1,1,0),IF($I86="",1,0))),IF(法术查询!$J$18="",1,IF(法术查询!$J$18=$AF$11,IF($J86&lt;&gt;"",1,0),IF($J86="",1,0))),IF(法术查询!$J$19="",1,IF(法术查询!$J$19=$AF$11,IF($L86&lt;&gt;"",1,0),IF($L86="",1,0)))),$B86,""),"")</f>
        <v/>
      </c>
      <c r="AD85" s="192" t="str">
        <f t="array" ref="AD85">INDEX(AC:AC,SMALL(IF($AC$2:$AC$523&lt;&gt;"",ROW($2:$523),524),ROW(AC84)))&amp;""</f>
        <v/>
      </c>
      <c r="AE85" s="200" t="str">
        <f t="shared" si="5"/>
        <v/>
      </c>
      <c r="AJ85" s="192">
        <v>84</v>
      </c>
      <c r="AK85" s="193" t="str">
        <f>IF(法术书!Y41="","",法术书!Y41)</f>
        <v/>
      </c>
      <c r="AL85" s="224" t="str">
        <f t="array" ref="AL85">IFERROR(INDEX(AK$1:AK$301,SMALL(IF(MATCH(AK85,AK$1:AK$301,0)=ROW(AK85),ROW(AK$1:AK$301),999),ROW(AK85))),"")</f>
        <v/>
      </c>
      <c r="AM85" s="223" t="str">
        <f t="array" ref="AM85">INDEX(AL:AL,SMALL(IF($AL$2:$AL$301&lt;&gt;"",ROW($2:$301),302),ROW(AL84)))&amp;""</f>
        <v/>
      </c>
    </row>
    <row r="86" customHeight="1" spans="1:39">
      <c r="A86" s="192">
        <v>84</v>
      </c>
      <c r="B86" s="224" t="s">
        <v>7060</v>
      </c>
      <c r="C86" s="224" t="s">
        <v>7061</v>
      </c>
      <c r="E86" s="238" t="s">
        <v>6695</v>
      </c>
      <c r="F86" s="193" t="s">
        <v>6712</v>
      </c>
      <c r="G86" s="193" t="s">
        <v>6760</v>
      </c>
      <c r="H86" s="193">
        <v>1</v>
      </c>
      <c r="M86" s="193">
        <v>1</v>
      </c>
      <c r="N86" s="193" t="s">
        <v>6739</v>
      </c>
      <c r="O86" s="224" t="s">
        <v>7062</v>
      </c>
      <c r="P86" s="224">
        <v>1</v>
      </c>
      <c r="Q86" s="224" t="s">
        <v>249</v>
      </c>
      <c r="V86" s="193">
        <v>1</v>
      </c>
      <c r="AA86" s="223" t="s">
        <v>7063</v>
      </c>
      <c r="AB86" s="200" t="str">
        <f t="array" ref="AB86">INDEX(B:B,SMALL(IF($Q$3:$Q$524&lt;&gt;"",ROW($3:$524),525),ROW(B85)))&amp;""</f>
        <v>鉴定术</v>
      </c>
      <c r="AC86" s="225" t="str">
        <f>IFERROR(IF(AND($Q87&lt;&gt;"",IF(法术查询!$J$4="",1,INDEX($R87:$Z87,1,VLOOKUP(法术查询!$J$4,$AF$2:$AG$10,2,0)))&lt;&gt;"",IF(法术查询!$J$5="",1,$P87=VLOOKUP(法术查询!$J$5,$AH$2:$AI$11,2,0)),IF(法术查询!$J$6="",1,IF(法术查询!$J$6=$E87,1,0)),IF(法术查询!$J$7="",1,SEARCH(法术查询!$J$7,$F87)),IF(法术查询!$J$8="",1,SEARCH(法术查询!$J$8,G87)),IF(法术查询!$J$9="",1,SEARCH(法术查询!$J$9,N87)),IF(法术查询!$J$10="",1,IF(法术查询!$J$10=$AF$11,IF($M87=1,1,0),IF($M87="",1,0))),IF(法术查询!$J$11="",1,IF(法术查询!$J$11=$AF$11,IF($D87=1,1,0),IF($D87="",1,0))),IF(法术查询!$J$12="",1,SEARCH(法术查询!$J$12,$B87&amp;$C87&amp;$O87)),IF(法术查询!$J$13="",1,SEARCH(法术查询!$J$13,$B87&amp;$C87&amp;$O87)),IF(法术查询!$J$14="",1,SEARCH(法术查询!$J$14,$B87&amp;$C87&amp;$O87)),IF(法术查询!$J$16="",1,IF(法术查询!$J$16=$AF$11,IF($H87=1,1,0),IF($H87="",1,0))),IF(法术查询!$J$17="",1,IF(法术查询!$J$17=$AF$11,IF($I87=1,1,0),IF($I87="",1,0))),IF(法术查询!$J$18="",1,IF(法术查询!$J$18=$AF$11,IF($J87&lt;&gt;"",1,0),IF($J87="",1,0))),IF(法术查询!$J$19="",1,IF(法术查询!$J$19=$AF$11,IF($L87&lt;&gt;"",1,0),IF($L87="",1,0)))),$B87,""),"")</f>
        <v/>
      </c>
      <c r="AD86" s="192" t="str">
        <f t="array" ref="AD86">INDEX(AC:AC,SMALL(IF($AC$2:$AC$523&lt;&gt;"",ROW($2:$523),524),ROW(AC85)))&amp;""</f>
        <v/>
      </c>
      <c r="AE86" s="200" t="str">
        <f t="shared" si="5"/>
        <v/>
      </c>
      <c r="AJ86" s="192">
        <v>85</v>
      </c>
      <c r="AK86" s="193" t="str">
        <f>IF(法术书!Y42="","",法术书!Y42)</f>
        <v/>
      </c>
      <c r="AL86" s="224" t="str">
        <f t="array" ref="AL86">IFERROR(INDEX(AK$1:AK$301,SMALL(IF(MATCH(AK86,AK$1:AK$301,0)=ROW(AK86),ROW(AK$1:AK$301),999),ROW(AK86))),"")</f>
        <v/>
      </c>
      <c r="AM86" s="223" t="str">
        <f t="array" ref="AM86">INDEX(AL:AL,SMALL(IF($AL$2:$AL$301&lt;&gt;"",ROW($2:$301),302),ROW(AL85)))&amp;""</f>
        <v/>
      </c>
    </row>
    <row r="87" customHeight="1" spans="1:39">
      <c r="A87" s="192">
        <v>85</v>
      </c>
      <c r="B87" s="224" t="s">
        <v>7064</v>
      </c>
      <c r="C87" s="224" t="s">
        <v>7065</v>
      </c>
      <c r="D87" s="193">
        <v>1</v>
      </c>
      <c r="E87" s="238" t="s">
        <v>6695</v>
      </c>
      <c r="F87" s="193" t="s">
        <v>6709</v>
      </c>
      <c r="G87" s="193" t="s">
        <v>3760</v>
      </c>
      <c r="H87" s="193">
        <v>1</v>
      </c>
      <c r="I87" s="193">
        <v>1</v>
      </c>
      <c r="J87" s="193">
        <v>1</v>
      </c>
      <c r="K87" s="224" t="s">
        <v>7066</v>
      </c>
      <c r="N87" s="193" t="s">
        <v>6644</v>
      </c>
      <c r="O87" s="224" t="s">
        <v>7067</v>
      </c>
      <c r="P87" s="224">
        <v>1</v>
      </c>
      <c r="Q87" s="224" t="s">
        <v>249</v>
      </c>
      <c r="R87" s="193">
        <v>1</v>
      </c>
      <c r="X87" s="193">
        <v>1</v>
      </c>
      <c r="Z87" s="193">
        <v>9</v>
      </c>
      <c r="AA87" s="223" t="s">
        <v>7068</v>
      </c>
      <c r="AB87" s="200" t="str">
        <f t="array" ref="AB87">INDEX(B:B,SMALL(IF($Q$3:$Q$524&lt;&gt;"",ROW($3:$524),525),ROW(B86)))&amp;""</f>
        <v>迷幻手稿</v>
      </c>
      <c r="AC87" s="225" t="str">
        <f>IFERROR(IF(AND($Q88&lt;&gt;"",IF(法术查询!$J$4="",1,INDEX($R88:$Z88,1,VLOOKUP(法术查询!$J$4,$AF$2:$AG$10,2,0)))&lt;&gt;"",IF(法术查询!$J$5="",1,$P88=VLOOKUP(法术查询!$J$5,$AH$2:$AI$11,2,0)),IF(法术查询!$J$6="",1,IF(法术查询!$J$6=$E88,1,0)),IF(法术查询!$J$7="",1,SEARCH(法术查询!$J$7,$F88)),IF(法术查询!$J$8="",1,SEARCH(法术查询!$J$8,G88)),IF(法术查询!$J$9="",1,SEARCH(法术查询!$J$9,N88)),IF(法术查询!$J$10="",1,IF(法术查询!$J$10=$AF$11,IF($M88=1,1,0),IF($M88="",1,0))),IF(法术查询!$J$11="",1,IF(法术查询!$J$11=$AF$11,IF($D88=1,1,0),IF($D88="",1,0))),IF(法术查询!$J$12="",1,SEARCH(法术查询!$J$12,$B88&amp;$C88&amp;$O88)),IF(法术查询!$J$13="",1,SEARCH(法术查询!$J$13,$B88&amp;$C88&amp;$O88)),IF(法术查询!$J$14="",1,SEARCH(法术查询!$J$14,$B88&amp;$C88&amp;$O88)),IF(法术查询!$J$16="",1,IF(法术查询!$J$16=$AF$11,IF($H88=1,1,0),IF($H88="",1,0))),IF(法术查询!$J$17="",1,IF(法术查询!$J$17=$AF$11,IF($I88=1,1,0),IF($I88="",1,0))),IF(法术查询!$J$18="",1,IF(法术查询!$J$18=$AF$11,IF($J88&lt;&gt;"",1,0),IF($J88="",1,0))),IF(法术查询!$J$19="",1,IF(法术查询!$J$19=$AF$11,IF($L88&lt;&gt;"",1,0),IF($L88="",1,0)))),$B88,""),"")</f>
        <v/>
      </c>
      <c r="AD87" s="192" t="str">
        <f t="array" ref="AD87">INDEX(AC:AC,SMALL(IF($AC$2:$AC$523&lt;&gt;"",ROW($2:$523),524),ROW(AC86)))&amp;""</f>
        <v/>
      </c>
      <c r="AE87" s="200" t="str">
        <f t="shared" si="5"/>
        <v/>
      </c>
      <c r="AJ87" s="192">
        <v>86</v>
      </c>
      <c r="AK87" s="193" t="str">
        <f>IF(法术书!Y43="","",法术书!Y43)</f>
        <v/>
      </c>
      <c r="AL87" s="224" t="str">
        <f t="array" ref="AL87">IFERROR(INDEX(AK$1:AK$301,SMALL(IF(MATCH(AK87,AK$1:AK$301,0)=ROW(AK87),ROW(AK$1:AK$301),999),ROW(AK87))),"")</f>
        <v/>
      </c>
      <c r="AM87" s="223" t="str">
        <f t="array" ref="AM87">INDEX(AL:AL,SMALL(IF($AL$2:$AL$301&lt;&gt;"",ROW($2:$301),302),ROW(AL86)))&amp;""</f>
        <v/>
      </c>
    </row>
    <row r="88" customHeight="1" spans="1:39">
      <c r="A88" s="192">
        <v>86</v>
      </c>
      <c r="B88" s="224" t="s">
        <v>7069</v>
      </c>
      <c r="C88" s="224" t="s">
        <v>7070</v>
      </c>
      <c r="D88" s="193">
        <v>1</v>
      </c>
      <c r="E88" s="241" t="s">
        <v>6726</v>
      </c>
      <c r="F88" s="193" t="s">
        <v>6709</v>
      </c>
      <c r="G88" s="193" t="s">
        <v>3760</v>
      </c>
      <c r="I88" s="193">
        <v>1</v>
      </c>
      <c r="J88" s="193">
        <v>1</v>
      </c>
      <c r="L88" s="224" t="s">
        <v>7071</v>
      </c>
      <c r="N88" s="193" t="s">
        <v>6780</v>
      </c>
      <c r="O88" s="224" t="s">
        <v>7072</v>
      </c>
      <c r="P88" s="224">
        <v>1</v>
      </c>
      <c r="Q88" s="224" t="s">
        <v>249</v>
      </c>
      <c r="R88" s="193">
        <v>1</v>
      </c>
      <c r="X88" s="193">
        <v>1</v>
      </c>
      <c r="Y88" s="193">
        <v>1</v>
      </c>
      <c r="AA88" s="223" t="s">
        <v>7073</v>
      </c>
      <c r="AB88" s="200" t="str">
        <f t="array" ref="AB88">INDEX(B:B,SMALL(IF($Q$3:$Q$524&lt;&gt;"",ROW($3:$524),525),ROW(B87)))&amp;""</f>
        <v>致伤术</v>
      </c>
      <c r="AC88" s="225" t="str">
        <f>IFERROR(IF(AND($Q89&lt;&gt;"",IF(法术查询!$J$4="",1,INDEX($R89:$Z89,1,VLOOKUP(法术查询!$J$4,$AF$2:$AG$10,2,0)))&lt;&gt;"",IF(法术查询!$J$5="",1,$P89=VLOOKUP(法术查询!$J$5,$AH$2:$AI$11,2,0)),IF(法术查询!$J$6="",1,IF(法术查询!$J$6=$E89,1,0)),IF(法术查询!$J$7="",1,SEARCH(法术查询!$J$7,$F89)),IF(法术查询!$J$8="",1,SEARCH(法术查询!$J$8,G89)),IF(法术查询!$J$9="",1,SEARCH(法术查询!$J$9,N89)),IF(法术查询!$J$10="",1,IF(法术查询!$J$10=$AF$11,IF($M89=1,1,0),IF($M89="",1,0))),IF(法术查询!$J$11="",1,IF(法术查询!$J$11=$AF$11,IF($D89=1,1,0),IF($D89="",1,0))),IF(法术查询!$J$12="",1,SEARCH(法术查询!$J$12,$B89&amp;$C89&amp;$O89)),IF(法术查询!$J$13="",1,SEARCH(法术查询!$J$13,$B89&amp;$C89&amp;$O89)),IF(法术查询!$J$14="",1,SEARCH(法术查询!$J$14,$B89&amp;$C89&amp;$O89)),IF(法术查询!$J$16="",1,IF(法术查询!$J$16=$AF$11,IF($H89=1,1,0),IF($H89="",1,0))),IF(法术查询!$J$17="",1,IF(法术查询!$J$17=$AF$11,IF($I89=1,1,0),IF($I89="",1,0))),IF(法术查询!$J$18="",1,IF(法术查询!$J$18=$AF$11,IF($J89&lt;&gt;"",1,0),IF($J89="",1,0))),IF(法术查询!$J$19="",1,IF(法术查询!$J$19=$AF$11,IF($L89&lt;&gt;"",1,0),IF($L89="",1,0)))),$B89,""),"")</f>
        <v/>
      </c>
      <c r="AD88" s="192" t="str">
        <f t="array" ref="AD88">INDEX(AC:AC,SMALL(IF($AC$2:$AC$523&lt;&gt;"",ROW($2:$523),524),ROW(AC87)))&amp;""</f>
        <v/>
      </c>
      <c r="AE88" s="200" t="str">
        <f t="shared" si="5"/>
        <v/>
      </c>
      <c r="AJ88" s="192">
        <v>87</v>
      </c>
      <c r="AK88" s="193" t="str">
        <f>IF(法术书!Y44="","",法术书!Y44)</f>
        <v/>
      </c>
      <c r="AL88" s="224" t="str">
        <f t="array" ref="AL88">IFERROR(INDEX(AK$1:AK$301,SMALL(IF(MATCH(AK88,AK$1:AK$301,0)=ROW(AK88),ROW(AK$1:AK$301),999),ROW(AK88))),"")</f>
        <v/>
      </c>
      <c r="AM88" s="223" t="str">
        <f t="array" ref="AM88">INDEX(AL:AL,SMALL(IF($AL$2:$AL$301&lt;&gt;"",ROW($2:$301),302),ROW(AL87)))&amp;""</f>
        <v/>
      </c>
    </row>
    <row r="89" customHeight="1" spans="1:39">
      <c r="A89" s="192">
        <v>87</v>
      </c>
      <c r="B89" s="224" t="s">
        <v>7074</v>
      </c>
      <c r="C89" s="224" t="s">
        <v>7075</v>
      </c>
      <c r="E89" s="243" t="s">
        <v>6657</v>
      </c>
      <c r="F89" s="193" t="s">
        <v>6642</v>
      </c>
      <c r="G89" s="193" t="s">
        <v>3760</v>
      </c>
      <c r="H89" s="193">
        <v>1</v>
      </c>
      <c r="I89" s="193">
        <v>1</v>
      </c>
      <c r="N89" s="193" t="s">
        <v>6644</v>
      </c>
      <c r="O89" s="224" t="s">
        <v>7076</v>
      </c>
      <c r="P89" s="224">
        <v>1</v>
      </c>
      <c r="Q89" s="224" t="s">
        <v>249</v>
      </c>
      <c r="S89" s="193">
        <v>1</v>
      </c>
      <c r="AA89" s="223" t="s">
        <v>7077</v>
      </c>
      <c r="AB89" s="200" t="str">
        <f t="array" ref="AB89">INDEX(B:B,SMALL(IF($Q$3:$Q$524&lt;&gt;"",ROW($3:$524),525),ROW(B88)))&amp;""</f>
        <v>跳跃术</v>
      </c>
      <c r="AC89" s="225" t="str">
        <f>IFERROR(IF(AND($Q90&lt;&gt;"",IF(法术查询!$J$4="",1,INDEX($R90:$Z90,1,VLOOKUP(法术查询!$J$4,$AF$2:$AG$10,2,0)))&lt;&gt;"",IF(法术查询!$J$5="",1,$P90=VLOOKUP(法术查询!$J$5,$AH$2:$AI$11,2,0)),IF(法术查询!$J$6="",1,IF(法术查询!$J$6=$E90,1,0)),IF(法术查询!$J$7="",1,SEARCH(法术查询!$J$7,$F90)),IF(法术查询!$J$8="",1,SEARCH(法术查询!$J$8,G90)),IF(法术查询!$J$9="",1,SEARCH(法术查询!$J$9,N90)),IF(法术查询!$J$10="",1,IF(法术查询!$J$10=$AF$11,IF($M90=1,1,0),IF($M90="",1,0))),IF(法术查询!$J$11="",1,IF(法术查询!$J$11=$AF$11,IF($D90=1,1,0),IF($D90="",1,0))),IF(法术查询!$J$12="",1,SEARCH(法术查询!$J$12,$B90&amp;$C90&amp;$O90)),IF(法术查询!$J$13="",1,SEARCH(法术查询!$J$13,$B90&amp;$C90&amp;$O90)),IF(法术查询!$J$14="",1,SEARCH(法术查询!$J$14,$B90&amp;$C90&amp;$O90)),IF(法术查询!$J$16="",1,IF(法术查询!$J$16=$AF$11,IF($H90=1,1,0),IF($H90="",1,0))),IF(法术查询!$J$17="",1,IF(法术查询!$J$17=$AF$11,IF($I90=1,1,0),IF($I90="",1,0))),IF(法术查询!$J$18="",1,IF(法术查询!$J$18=$AF$11,IF($J90&lt;&gt;"",1,0),IF($J90="",1,0))),IF(法术查询!$J$19="",1,IF(法术查询!$J$19=$AF$11,IF($L90&lt;&gt;"",1,0),IF($L90="",1,0)))),$B90,""),"")</f>
        <v/>
      </c>
      <c r="AD89" s="192" t="str">
        <f t="array" ref="AD89">INDEX(AC:AC,SMALL(IF($AC$2:$AC$523&lt;&gt;"",ROW($2:$523),524),ROW(AC88)))&amp;""</f>
        <v/>
      </c>
      <c r="AE89" s="200" t="str">
        <f t="shared" si="5"/>
        <v/>
      </c>
      <c r="AJ89" s="192">
        <v>88</v>
      </c>
      <c r="AK89" s="193" t="str">
        <f>IF(法术书!Y45="","",法术书!Y45)</f>
        <v/>
      </c>
      <c r="AL89" s="224" t="str">
        <f t="array" ref="AL89">IFERROR(INDEX(AK$1:AK$301,SMALL(IF(MATCH(AK89,AK$1:AK$301,0)=ROW(AK89),ROW(AK$1:AK$301),999),ROW(AK89))),"")</f>
        <v/>
      </c>
      <c r="AM89" s="223" t="str">
        <f t="array" ref="AM89">INDEX(AL:AL,SMALL(IF($AL$2:$AL$301&lt;&gt;"",ROW($2:$301),302),ROW(AL88)))&amp;""</f>
        <v/>
      </c>
    </row>
    <row r="90" customHeight="1" spans="1:39">
      <c r="A90" s="192">
        <v>88</v>
      </c>
      <c r="B90" s="224" t="s">
        <v>7078</v>
      </c>
      <c r="C90" s="224" t="s">
        <v>7079</v>
      </c>
      <c r="E90" s="231" t="s">
        <v>6672</v>
      </c>
      <c r="F90" s="193" t="s">
        <v>6642</v>
      </c>
      <c r="G90" s="193" t="s">
        <v>3760</v>
      </c>
      <c r="H90" s="193">
        <v>1</v>
      </c>
      <c r="I90" s="193">
        <v>1</v>
      </c>
      <c r="J90" s="193">
        <v>1</v>
      </c>
      <c r="K90" s="224" t="s">
        <v>7080</v>
      </c>
      <c r="N90" s="193" t="s">
        <v>6709</v>
      </c>
      <c r="O90" s="224" t="s">
        <v>7081</v>
      </c>
      <c r="P90" s="224">
        <v>1</v>
      </c>
      <c r="Q90" s="224" t="s">
        <v>249</v>
      </c>
      <c r="T90" s="193">
        <v>1</v>
      </c>
      <c r="V90" s="193">
        <v>1</v>
      </c>
      <c r="W90" s="193">
        <v>1</v>
      </c>
      <c r="X90" s="193">
        <v>1</v>
      </c>
      <c r="Z90" s="193">
        <v>9</v>
      </c>
      <c r="AA90" s="223" t="s">
        <v>7082</v>
      </c>
      <c r="AB90" s="200" t="str">
        <f t="array" ref="AB90">INDEX(B:B,SMALL(IF($Q$3:$Q$524&lt;&gt;"",ROW($3:$524),525),ROW(B89)))&amp;""</f>
        <v>大步奔行</v>
      </c>
      <c r="AC90" s="225" t="str">
        <f>IFERROR(IF(AND($Q91&lt;&gt;"",IF(法术查询!$J$4="",1,INDEX($R91:$Z91,1,VLOOKUP(法术查询!$J$4,$AF$2:$AG$10,2,0)))&lt;&gt;"",IF(法术查询!$J$5="",1,$P91=VLOOKUP(法术查询!$J$5,$AH$2:$AI$11,2,0)),IF(法术查询!$J$6="",1,IF(法术查询!$J$6=$E91,1,0)),IF(法术查询!$J$7="",1,SEARCH(法术查询!$J$7,$F91)),IF(法术查询!$J$8="",1,SEARCH(法术查询!$J$8,G91)),IF(法术查询!$J$9="",1,SEARCH(法术查询!$J$9,N91)),IF(法术查询!$J$10="",1,IF(法术查询!$J$10=$AF$11,IF($M91=1,1,0),IF($M91="",1,0))),IF(法术查询!$J$11="",1,IF(法术查询!$J$11=$AF$11,IF($D91=1,1,0),IF($D91="",1,0))),IF(法术查询!$J$12="",1,SEARCH(法术查询!$J$12,$B91&amp;$C91&amp;$O91)),IF(法术查询!$J$13="",1,SEARCH(法术查询!$J$13,$B91&amp;$C91&amp;$O91)),IF(法术查询!$J$14="",1,SEARCH(法术查询!$J$14,$B91&amp;$C91&amp;$O91)),IF(法术查询!$J$16="",1,IF(法术查询!$J$16=$AF$11,IF($H91=1,1,0),IF($H91="",1,0))),IF(法术查询!$J$17="",1,IF(法术查询!$J$17=$AF$11,IF($I91=1,1,0),IF($I91="",1,0))),IF(法术查询!$J$18="",1,IF(法术查询!$J$18=$AF$11,IF($J91&lt;&gt;"",1,0),IF($J91="",1,0))),IF(法术查询!$J$19="",1,IF(法术查询!$J$19=$AF$11,IF($L91&lt;&gt;"",1,0),IF($L91="",1,0)))),$B91,""),"")</f>
        <v/>
      </c>
      <c r="AD90" s="192" t="str">
        <f t="array" ref="AD90">INDEX(AC:AC,SMALL(IF($AC$2:$AC$523&lt;&gt;"",ROW($2:$523),524),ROW(AC89)))&amp;""</f>
        <v/>
      </c>
      <c r="AE90" s="200" t="str">
        <f t="shared" si="5"/>
        <v/>
      </c>
      <c r="AJ90" s="192">
        <v>89</v>
      </c>
      <c r="AK90" s="193" t="str">
        <f>IF(法术书!Y46="","",法术书!Y46)</f>
        <v/>
      </c>
      <c r="AL90" s="224" t="str">
        <f t="array" ref="AL90">IFERROR(INDEX(AK$1:AK$301,SMALL(IF(MATCH(AK90,AK$1:AK$301,0)=ROW(AK90),ROW(AK$1:AK$301),999),ROW(AK90))),"")</f>
        <v/>
      </c>
      <c r="AM90" s="223" t="str">
        <f t="array" ref="AM90">INDEX(AL:AL,SMALL(IF($AL$2:$AL$301&lt;&gt;"",ROW($2:$301),302),ROW(AL89)))&amp;""</f>
        <v/>
      </c>
    </row>
    <row r="91" customHeight="1" spans="1:39">
      <c r="A91" s="192">
        <v>89</v>
      </c>
      <c r="B91" s="224" t="s">
        <v>7083</v>
      </c>
      <c r="C91" s="224" t="s">
        <v>7084</v>
      </c>
      <c r="E91" s="231" t="s">
        <v>6672</v>
      </c>
      <c r="F91" s="193" t="s">
        <v>6642</v>
      </c>
      <c r="G91" s="193" t="s">
        <v>3760</v>
      </c>
      <c r="H91" s="193">
        <v>1</v>
      </c>
      <c r="I91" s="193">
        <v>1</v>
      </c>
      <c r="J91" s="193">
        <v>1</v>
      </c>
      <c r="K91" s="224" t="s">
        <v>7085</v>
      </c>
      <c r="N91" s="193" t="s">
        <v>6704</v>
      </c>
      <c r="O91" s="224" t="s">
        <v>7086</v>
      </c>
      <c r="P91" s="224">
        <v>1</v>
      </c>
      <c r="Q91" s="224" t="s">
        <v>249</v>
      </c>
      <c r="R91" s="193">
        <v>1</v>
      </c>
      <c r="T91" s="193">
        <v>1</v>
      </c>
      <c r="V91" s="193">
        <v>1</v>
      </c>
      <c r="X91" s="193">
        <v>1</v>
      </c>
      <c r="Z91" s="193">
        <v>9</v>
      </c>
      <c r="AA91" s="223" t="s">
        <v>7087</v>
      </c>
      <c r="AB91" s="200" t="str">
        <f t="array" ref="AB91">INDEX(B:B,SMALL(IF($Q$3:$Q$524&lt;&gt;"",ROW($3:$524),525),ROW(B90)))&amp;""</f>
        <v>法师护甲</v>
      </c>
      <c r="AC91" s="225" t="str">
        <f>IFERROR(IF(AND($Q92&lt;&gt;"",IF(法术查询!$J$4="",1,INDEX($R92:$Z92,1,VLOOKUP(法术查询!$J$4,$AF$2:$AG$10,2,0)))&lt;&gt;"",IF(法术查询!$J$5="",1,$P92=VLOOKUP(法术查询!$J$5,$AH$2:$AI$11,2,0)),IF(法术查询!$J$6="",1,IF(法术查询!$J$6=$E92,1,0)),IF(法术查询!$J$7="",1,SEARCH(法术查询!$J$7,$F92)),IF(法术查询!$J$8="",1,SEARCH(法术查询!$J$8,G92)),IF(法术查询!$J$9="",1,SEARCH(法术查询!$J$9,N92)),IF(法术查询!$J$10="",1,IF(法术查询!$J$10=$AF$11,IF($M92=1,1,0),IF($M92="",1,0))),IF(法术查询!$J$11="",1,IF(法术查询!$J$11=$AF$11,IF($D92=1,1,0),IF($D92="",1,0))),IF(法术查询!$J$12="",1,SEARCH(法术查询!$J$12,$B92&amp;$C92&amp;$O92)),IF(法术查询!$J$13="",1,SEARCH(法术查询!$J$13,$B92&amp;$C92&amp;$O92)),IF(法术查询!$J$14="",1,SEARCH(法术查询!$J$14,$B92&amp;$C92&amp;$O92)),IF(法术查询!$J$16="",1,IF(法术查询!$J$16=$AF$11,IF($H92=1,1,0),IF($H92="",1,0))),IF(法术查询!$J$17="",1,IF(法术查询!$J$17=$AF$11,IF($I92=1,1,0),IF($I92="",1,0))),IF(法术查询!$J$18="",1,IF(法术查询!$J$18=$AF$11,IF($J92&lt;&gt;"",1,0),IF($J92="",1,0))),IF(法术查询!$J$19="",1,IF(法术查询!$J$19=$AF$11,IF($L92&lt;&gt;"",1,0),IF($L92="",1,0)))),$B92,""),"")</f>
        <v/>
      </c>
      <c r="AD91" s="192" t="str">
        <f t="array" ref="AD91">INDEX(AC:AC,SMALL(IF($AC$2:$AC$523&lt;&gt;"",ROW($2:$523),524),ROW(AC90)))&amp;""</f>
        <v/>
      </c>
      <c r="AE91" s="200" t="str">
        <f t="shared" si="5"/>
        <v/>
      </c>
      <c r="AJ91" s="192">
        <v>90</v>
      </c>
      <c r="AK91" s="193" t="str">
        <f>IF(法术书!Y47="","",法术书!Y47)</f>
        <v/>
      </c>
      <c r="AL91" s="224" t="str">
        <f t="array" ref="AL91">IFERROR(INDEX(AK$1:AK$301,SMALL(IF(MATCH(AK91,AK$1:AK$301,0)=ROW(AK91),ROW(AK$1:AK$301),999),ROW(AK91))),"")</f>
        <v/>
      </c>
      <c r="AM91" s="223" t="str">
        <f t="array" ref="AM91">INDEX(AL:AL,SMALL(IF($AL$2:$AL$301&lt;&gt;"",ROW($2:$301),302),ROW(AL90)))&amp;""</f>
        <v/>
      </c>
    </row>
    <row r="92" customHeight="1" spans="1:39">
      <c r="A92" s="192">
        <v>90</v>
      </c>
      <c r="B92" s="224" t="s">
        <v>3761</v>
      </c>
      <c r="C92" s="224" t="s">
        <v>7088</v>
      </c>
      <c r="E92" s="242" t="s">
        <v>6650</v>
      </c>
      <c r="F92" s="193" t="s">
        <v>6642</v>
      </c>
      <c r="G92" s="193" t="s">
        <v>3760</v>
      </c>
      <c r="H92" s="193">
        <v>1</v>
      </c>
      <c r="I92" s="193">
        <v>1</v>
      </c>
      <c r="J92" s="193">
        <v>1</v>
      </c>
      <c r="K92" s="224" t="s">
        <v>7089</v>
      </c>
      <c r="N92" s="193" t="s">
        <v>6748</v>
      </c>
      <c r="O92" s="224" t="s">
        <v>7090</v>
      </c>
      <c r="P92" s="224">
        <v>1</v>
      </c>
      <c r="Q92" s="224" t="s">
        <v>249</v>
      </c>
      <c r="W92" s="193">
        <v>1</v>
      </c>
      <c r="X92" s="193">
        <v>1</v>
      </c>
      <c r="AA92" s="223" t="s">
        <v>7091</v>
      </c>
      <c r="AB92" s="200" t="str">
        <f t="array" ref="AB92">INDEX(B:B,SMALL(IF($Q$3:$Q$524&lt;&gt;"",ROW($3:$524),525),ROW(B91)))&amp;""</f>
        <v>魔法飞弹</v>
      </c>
      <c r="AC92" s="225" t="str">
        <f>IFERROR(IF(AND($Q93&lt;&gt;"",IF(法术查询!$J$4="",1,INDEX($R93:$Z93,1,VLOOKUP(法术查询!$J$4,$AF$2:$AG$10,2,0)))&lt;&gt;"",IF(法术查询!$J$5="",1,$P93=VLOOKUP(法术查询!$J$5,$AH$2:$AI$11,2,0)),IF(法术查询!$J$6="",1,IF(法术查询!$J$6=$E93,1,0)),IF(法术查询!$J$7="",1,SEARCH(法术查询!$J$7,$F93)),IF(法术查询!$J$8="",1,SEARCH(法术查询!$J$8,G93)),IF(法术查询!$J$9="",1,SEARCH(法术查询!$J$9,N93)),IF(法术查询!$J$10="",1,IF(法术查询!$J$10=$AF$11,IF($M93=1,1,0),IF($M93="",1,0))),IF(法术查询!$J$11="",1,IF(法术查询!$J$11=$AF$11,IF($D93=1,1,0),IF($D93="",1,0))),IF(法术查询!$J$12="",1,SEARCH(法术查询!$J$12,$B93&amp;$C93&amp;$O93)),IF(法术查询!$J$13="",1,SEARCH(法术查询!$J$13,$B93&amp;$C93&amp;$O93)),IF(法术查询!$J$14="",1,SEARCH(法术查询!$J$14,$B93&amp;$C93&amp;$O93)),IF(法术查询!$J$16="",1,IF(法术查询!$J$16=$AF$11,IF($H93=1,1,0),IF($H93="",1,0))),IF(法术查询!$J$17="",1,IF(法术查询!$J$17=$AF$11,IF($I93=1,1,0),IF($I93="",1,0))),IF(法术查询!$J$18="",1,IF(法术查询!$J$18=$AF$11,IF($J93&lt;&gt;"",1,0),IF($J93="",1,0))),IF(法术查询!$J$19="",1,IF(法术查询!$J$19=$AF$11,IF($L93&lt;&gt;"",1,0),IF($L93="",1,0)))),$B93,""),"")</f>
        <v/>
      </c>
      <c r="AD92" s="192" t="str">
        <f t="array" ref="AD92">INDEX(AC:AC,SMALL(IF($AC$2:$AC$523&lt;&gt;"",ROW($2:$523),524),ROW(AC91)))&amp;""</f>
        <v/>
      </c>
      <c r="AE92" s="200" t="str">
        <f t="shared" si="5"/>
        <v/>
      </c>
      <c r="AJ92" s="192">
        <v>91</v>
      </c>
      <c r="AK92" s="193" t="str">
        <f>IF(法术书!Y48="","",法术书!Y48)</f>
        <v/>
      </c>
      <c r="AL92" s="224" t="str">
        <f t="array" ref="AL92">IFERROR(INDEX(AK$1:AK$301,SMALL(IF(MATCH(AK92,AK$1:AK$301,0)=ROW(AK92),ROW(AK$1:AK$301),999),ROW(AK92))),"")</f>
        <v/>
      </c>
      <c r="AM92" s="223" t="str">
        <f t="array" ref="AM92">INDEX(AL:AL,SMALL(IF($AL$2:$AL$301&lt;&gt;"",ROW($2:$301),302),ROW(AL91)))&amp;""</f>
        <v/>
      </c>
    </row>
    <row r="93" customHeight="1" spans="1:39">
      <c r="A93" s="192">
        <v>91</v>
      </c>
      <c r="B93" s="224" t="s">
        <v>7092</v>
      </c>
      <c r="C93" s="224" t="s">
        <v>7093</v>
      </c>
      <c r="E93" s="229" t="s">
        <v>6664</v>
      </c>
      <c r="F93" s="193" t="s">
        <v>6642</v>
      </c>
      <c r="G93" s="193" t="s">
        <v>6658</v>
      </c>
      <c r="H93" s="193">
        <v>1</v>
      </c>
      <c r="I93" s="193">
        <v>1</v>
      </c>
      <c r="N93" s="193" t="s">
        <v>6644</v>
      </c>
      <c r="O93" s="224" t="s">
        <v>7094</v>
      </c>
      <c r="P93" s="224">
        <v>1</v>
      </c>
      <c r="Q93" s="224" t="s">
        <v>249</v>
      </c>
      <c r="W93" s="193">
        <v>1</v>
      </c>
      <c r="X93" s="193">
        <v>1</v>
      </c>
      <c r="AA93" s="223" t="s">
        <v>7095</v>
      </c>
      <c r="AB93" s="200" t="str">
        <f t="array" ref="AB93">INDEX(B:B,SMALL(IF($Q$3:$Q$524&lt;&gt;"",ROW($3:$524),525),ROW(B92)))&amp;""</f>
        <v>防护善恶</v>
      </c>
      <c r="AC93" s="225" t="str">
        <f>IFERROR(IF(AND($Q94&lt;&gt;"",IF(法术查询!$J$4="",1,INDEX($R94:$Z94,1,VLOOKUP(法术查询!$J$4,$AF$2:$AG$10,2,0)))&lt;&gt;"",IF(法术查询!$J$5="",1,$P94=VLOOKUP(法术查询!$J$5,$AH$2:$AI$11,2,0)),IF(法术查询!$J$6="",1,IF(法术查询!$J$6=$E94,1,0)),IF(法术查询!$J$7="",1,SEARCH(法术查询!$J$7,$F94)),IF(法术查询!$J$8="",1,SEARCH(法术查询!$J$8,G94)),IF(法术查询!$J$9="",1,SEARCH(法术查询!$J$9,N94)),IF(法术查询!$J$10="",1,IF(法术查询!$J$10=$AF$11,IF($M94=1,1,0),IF($M94="",1,0))),IF(法术查询!$J$11="",1,IF(法术查询!$J$11=$AF$11,IF($D94=1,1,0),IF($D94="",1,0))),IF(法术查询!$J$12="",1,SEARCH(法术查询!$J$12,$B94&amp;$C94&amp;$O94)),IF(法术查询!$J$13="",1,SEARCH(法术查询!$J$13,$B94&amp;$C94&amp;$O94)),IF(法术查询!$J$14="",1,SEARCH(法术查询!$J$14,$B94&amp;$C94&amp;$O94)),IF(法术查询!$J$16="",1,IF(法术查询!$J$16=$AF$11,IF($H94=1,1,0),IF($H94="",1,0))),IF(法术查询!$J$17="",1,IF(法术查询!$J$17=$AF$11,IF($I94=1,1,0),IF($I94="",1,0))),IF(法术查询!$J$18="",1,IF(法术查询!$J$18=$AF$11,IF($J94&lt;&gt;"",1,0),IF($J94="",1,0))),IF(法术查询!$J$19="",1,IF(法术查询!$J$19=$AF$11,IF($L94&lt;&gt;"",1,0),IF($L94="",1,0)))),$B94,""),"")</f>
        <v/>
      </c>
      <c r="AD93" s="192" t="str">
        <f t="array" ref="AD93">INDEX(AC:AC,SMALL(IF($AC$2:$AC$523&lt;&gt;"",ROW($2:$523),524),ROW(AC92)))&amp;""</f>
        <v/>
      </c>
      <c r="AE93" s="200" t="str">
        <f t="shared" si="5"/>
        <v/>
      </c>
      <c r="AJ93" s="192">
        <v>92</v>
      </c>
      <c r="AK93" s="193" t="str">
        <f>IF(法术书!Y49="","",法术书!Y49)</f>
        <v/>
      </c>
      <c r="AL93" s="224" t="str">
        <f t="array" ref="AL93">IFERROR(INDEX(AK$1:AK$301,SMALL(IF(MATCH(AK93,AK$1:AK$301,0)=ROW(AK93),ROW(AK$1:AK$301),999),ROW(AK93))),"")</f>
        <v/>
      </c>
      <c r="AM93" s="223" t="str">
        <f t="array" ref="AM93">INDEX(AL:AL,SMALL(IF($AL$2:$AL$301&lt;&gt;"",ROW($2:$301),302),ROW(AL92)))&amp;""</f>
        <v/>
      </c>
    </row>
    <row r="94" customHeight="1" spans="1:39">
      <c r="A94" s="192">
        <v>92</v>
      </c>
      <c r="B94" s="224" t="s">
        <v>7096</v>
      </c>
      <c r="C94" s="224" t="s">
        <v>7097</v>
      </c>
      <c r="E94" s="242" t="s">
        <v>6650</v>
      </c>
      <c r="F94" s="193" t="s">
        <v>6642</v>
      </c>
      <c r="G94" s="193" t="s">
        <v>3760</v>
      </c>
      <c r="H94" s="193">
        <v>1</v>
      </c>
      <c r="I94" s="193">
        <v>1</v>
      </c>
      <c r="J94" s="193">
        <v>1</v>
      </c>
      <c r="L94" s="224" t="s">
        <v>7098</v>
      </c>
      <c r="M94" s="193">
        <v>1</v>
      </c>
      <c r="N94" s="193" t="s">
        <v>6831</v>
      </c>
      <c r="O94" s="224" t="s">
        <v>7099</v>
      </c>
      <c r="P94" s="224">
        <v>1</v>
      </c>
      <c r="Q94" s="224" t="s">
        <v>249</v>
      </c>
      <c r="S94" s="193">
        <v>1</v>
      </c>
      <c r="T94" s="193" t="str">
        <f>IF(综合数据!$B$14=TRUE,"13","")</f>
        <v>13</v>
      </c>
      <c r="U94" s="193">
        <v>1</v>
      </c>
      <c r="X94" s="193">
        <v>1</v>
      </c>
      <c r="Y94" s="193">
        <v>1</v>
      </c>
      <c r="AA94" s="223" t="s">
        <v>7100</v>
      </c>
      <c r="AB94" s="200" t="str">
        <f t="array" ref="AB94">INDEX(B:B,SMALL(IF($Q$3:$Q$524&lt;&gt;"",ROW($3:$524),525),ROW(B93)))&amp;""</f>
        <v>净化食粮</v>
      </c>
      <c r="AC94" s="225" t="str">
        <f>IFERROR(IF(AND($Q95&lt;&gt;"",IF(法术查询!$J$4="",1,INDEX($R95:$Z95,1,VLOOKUP(法术查询!$J$4,$AF$2:$AG$10,2,0)))&lt;&gt;"",IF(法术查询!$J$5="",1,$P95=VLOOKUP(法术查询!$J$5,$AH$2:$AI$11,2,0)),IF(法术查询!$J$6="",1,IF(法术查询!$J$6=$E95,1,0)),IF(法术查询!$J$7="",1,SEARCH(法术查询!$J$7,$F95)),IF(法术查询!$J$8="",1,SEARCH(法术查询!$J$8,G95)),IF(法术查询!$J$9="",1,SEARCH(法术查询!$J$9,N95)),IF(法术查询!$J$10="",1,IF(法术查询!$J$10=$AF$11,IF($M95=1,1,0),IF($M95="",1,0))),IF(法术查询!$J$11="",1,IF(法术查询!$J$11=$AF$11,IF($D95=1,1,0),IF($D95="",1,0))),IF(法术查询!$J$12="",1,SEARCH(法术查询!$J$12,$B95&amp;$C95&amp;$O95)),IF(法术查询!$J$13="",1,SEARCH(法术查询!$J$13,$B95&amp;$C95&amp;$O95)),IF(法术查询!$J$14="",1,SEARCH(法术查询!$J$14,$B95&amp;$C95&amp;$O95)),IF(法术查询!$J$16="",1,IF(法术查询!$J$16=$AF$11,IF($H95=1,1,0),IF($H95="",1,0))),IF(法术查询!$J$17="",1,IF(法术查询!$J$17=$AF$11,IF($I95=1,1,0),IF($I95="",1,0))),IF(法术查询!$J$18="",1,IF(法术查询!$J$18=$AF$11,IF($J95&lt;&gt;"",1,0),IF($J95="",1,0))),IF(法术查询!$J$19="",1,IF(法术查询!$J$19=$AF$11,IF($L95&lt;&gt;"",1,0),IF($L95="",1,0)))),$B95,""),"")</f>
        <v/>
      </c>
      <c r="AD94" s="192" t="str">
        <f t="array" ref="AD94">INDEX(AC:AC,SMALL(IF($AC$2:$AC$523&lt;&gt;"",ROW($2:$523),524),ROW(AC93)))&amp;""</f>
        <v/>
      </c>
      <c r="AE94" s="200" t="str">
        <f t="shared" si="5"/>
        <v/>
      </c>
      <c r="AJ94" s="192">
        <v>93</v>
      </c>
      <c r="AK94" s="193" t="str">
        <f>IF(法术书!Y50="","",法术书!Y50)</f>
        <v/>
      </c>
      <c r="AL94" s="224" t="str">
        <f t="array" ref="AL94">IFERROR(INDEX(AK$1:AK$301,SMALL(IF(MATCH(AK94,AK$1:AK$301,0)=ROW(AK94),ROW(AK$1:AK$301),999),ROW(AK94))),"")</f>
        <v/>
      </c>
      <c r="AM94" s="223" t="str">
        <f t="array" ref="AM94">INDEX(AL:AL,SMALL(IF($AL$2:$AL$301&lt;&gt;"",ROW($2:$301),302),ROW(AL93)))&amp;""</f>
        <v/>
      </c>
    </row>
    <row r="95" customHeight="1" spans="1:39">
      <c r="A95" s="192">
        <v>93</v>
      </c>
      <c r="B95" s="224" t="s">
        <v>7101</v>
      </c>
      <c r="C95" s="224" t="s">
        <v>7102</v>
      </c>
      <c r="D95" s="193">
        <v>1</v>
      </c>
      <c r="E95" s="231" t="s">
        <v>6672</v>
      </c>
      <c r="F95" s="193" t="s">
        <v>6642</v>
      </c>
      <c r="G95" s="193" t="s">
        <v>6730</v>
      </c>
      <c r="H95" s="193">
        <v>1</v>
      </c>
      <c r="I95" s="193">
        <v>1</v>
      </c>
      <c r="N95" s="193" t="s">
        <v>6644</v>
      </c>
      <c r="O95" s="224" t="s">
        <v>7103</v>
      </c>
      <c r="P95" s="224">
        <v>1</v>
      </c>
      <c r="Q95" s="224" t="s">
        <v>249</v>
      </c>
      <c r="S95" s="193">
        <v>1</v>
      </c>
      <c r="T95" s="193">
        <v>1</v>
      </c>
      <c r="U95" s="193">
        <v>1</v>
      </c>
      <c r="Z95" s="193">
        <v>9</v>
      </c>
      <c r="AA95" s="200" t="s">
        <v>776</v>
      </c>
      <c r="AB95" s="200" t="str">
        <f t="array" ref="AB95">INDEX(B:B,SMALL(IF($Q$3:$Q$524&lt;&gt;"",ROW($3:$524),525),ROW(B94)))&amp;""</f>
        <v>致病射线</v>
      </c>
      <c r="AC95" s="225" t="str">
        <f>IFERROR(IF(AND($Q96&lt;&gt;"",IF(法术查询!$J$4="",1,INDEX($R96:$Z96,1,VLOOKUP(法术查询!$J$4,$AF$2:$AG$10,2,0)))&lt;&gt;"",IF(法术查询!$J$5="",1,$P96=VLOOKUP(法术查询!$J$5,$AH$2:$AI$11,2,0)),IF(法术查询!$J$6="",1,IF(法术查询!$J$6=$E96,1,0)),IF(法术查询!$J$7="",1,SEARCH(法术查询!$J$7,$F96)),IF(法术查询!$J$8="",1,SEARCH(法术查询!$J$8,G96)),IF(法术查询!$J$9="",1,SEARCH(法术查询!$J$9,N96)),IF(法术查询!$J$10="",1,IF(法术查询!$J$10=$AF$11,IF($M96=1,1,0),IF($M96="",1,0))),IF(法术查询!$J$11="",1,IF(法术查询!$J$11=$AF$11,IF($D96=1,1,0),IF($D96="",1,0))),IF(法术查询!$J$12="",1,SEARCH(法术查询!$J$12,$B96&amp;$C96&amp;$O96)),IF(法术查询!$J$13="",1,SEARCH(法术查询!$J$13,$B96&amp;$C96&amp;$O96)),IF(法术查询!$J$14="",1,SEARCH(法术查询!$J$14,$B96&amp;$C96&amp;$O96)),IF(法术查询!$J$16="",1,IF(法术查询!$J$16=$AF$11,IF($H96=1,1,0),IF($H96="",1,0))),IF(法术查询!$J$17="",1,IF(法术查询!$J$17=$AF$11,IF($I96=1,1,0),IF($I96="",1,0))),IF(法术查询!$J$18="",1,IF(法术查询!$J$18=$AF$11,IF($J96&lt;&gt;"",1,0),IF($J96="",1,0))),IF(法术查询!$J$19="",1,IF(法术查询!$J$19=$AF$11,IF($L96&lt;&gt;"",1,0),IF($L96="",1,0)))),$B96,""),"")</f>
        <v/>
      </c>
      <c r="AD95" s="192" t="str">
        <f t="array" ref="AD95">INDEX(AC:AC,SMALL(IF($AC$2:$AC$523&lt;&gt;"",ROW($2:$523),524),ROW(AC94)))&amp;""</f>
        <v/>
      </c>
      <c r="AE95" s="200" t="str">
        <f t="shared" si="5"/>
        <v/>
      </c>
      <c r="AJ95" s="192">
        <v>94</v>
      </c>
      <c r="AK95" s="193" t="str">
        <f>IF(法术书!Y51="","",法术书!Y51)</f>
        <v/>
      </c>
      <c r="AL95" s="224" t="str">
        <f t="array" ref="AL95">IFERROR(INDEX(AK$1:AK$301,SMALL(IF(MATCH(AK95,AK$1:AK$301,0)=ROW(AK95),ROW(AK$1:AK$301),999),ROW(AK95))),"")</f>
        <v/>
      </c>
      <c r="AM95" s="223" t="str">
        <f t="array" ref="AM95">INDEX(AL:AL,SMALL(IF($AL$2:$AL$301&lt;&gt;"",ROW($2:$301),302),ROW(AL94)))&amp;""</f>
        <v/>
      </c>
    </row>
    <row r="96" customHeight="1" spans="1:39">
      <c r="A96" s="192">
        <v>94</v>
      </c>
      <c r="B96" s="224" t="s">
        <v>7104</v>
      </c>
      <c r="C96" s="224" t="s">
        <v>7105</v>
      </c>
      <c r="E96" s="243" t="s">
        <v>6657</v>
      </c>
      <c r="F96" s="193" t="s">
        <v>6642</v>
      </c>
      <c r="G96" s="193" t="s">
        <v>6643</v>
      </c>
      <c r="H96" s="193">
        <v>1</v>
      </c>
      <c r="I96" s="193">
        <v>1</v>
      </c>
      <c r="N96" s="193" t="s">
        <v>6644</v>
      </c>
      <c r="O96" s="224" t="s">
        <v>7106</v>
      </c>
      <c r="P96" s="224">
        <v>1</v>
      </c>
      <c r="Q96" s="224" t="s">
        <v>249</v>
      </c>
      <c r="W96" s="193">
        <v>1</v>
      </c>
      <c r="X96" s="193">
        <v>1</v>
      </c>
      <c r="AA96" s="223" t="s">
        <v>7107</v>
      </c>
      <c r="AB96" s="200" t="str">
        <f t="array" ref="AB96">INDEX(B:B,SMALL(IF($Q$3:$Q$524&lt;&gt;"",ROW($3:$524),525),ROW(B95)))&amp;""</f>
        <v>庇护术</v>
      </c>
      <c r="AC96" s="225" t="str">
        <f>IFERROR(IF(AND($Q97&lt;&gt;"",IF(法术查询!$J$4="",1,INDEX($R97:$Z97,1,VLOOKUP(法术查询!$J$4,$AF$2:$AG$10,2,0)))&lt;&gt;"",IF(法术查询!$J$5="",1,$P97=VLOOKUP(法术查询!$J$5,$AH$2:$AI$11,2,0)),IF(法术查询!$J$6="",1,IF(法术查询!$J$6=$E97,1,0)),IF(法术查询!$J$7="",1,SEARCH(法术查询!$J$7,$F97)),IF(法术查询!$J$8="",1,SEARCH(法术查询!$J$8,G97)),IF(法术查询!$J$9="",1,SEARCH(法术查询!$J$9,N97)),IF(法术查询!$J$10="",1,IF(法术查询!$J$10=$AF$11,IF($M97=1,1,0),IF($M97="",1,0))),IF(法术查询!$J$11="",1,IF(法术查询!$J$11=$AF$11,IF($D97=1,1,0),IF($D97="",1,0))),IF(法术查询!$J$12="",1,SEARCH(法术查询!$J$12,$B97&amp;$C97&amp;$O97)),IF(法术查询!$J$13="",1,SEARCH(法术查询!$J$13,$B97&amp;$C97&amp;$O97)),IF(法术查询!$J$14="",1,SEARCH(法术查询!$J$14,$B97&amp;$C97&amp;$O97)),IF(法术查询!$J$16="",1,IF(法术查询!$J$16=$AF$11,IF($H97=1,1,0),IF($H97="",1,0))),IF(法术查询!$J$17="",1,IF(法术查询!$J$17=$AF$11,IF($I97=1,1,0),IF($I97="",1,0))),IF(法术查询!$J$18="",1,IF(法术查询!$J$18=$AF$11,IF($J97&lt;&gt;"",1,0),IF($J97="",1,0))),IF(法术查询!$J$19="",1,IF(法术查询!$J$19=$AF$11,IF($L97&lt;&gt;"",1,0),IF($L97="",1,0)))),$B97,""),"")</f>
        <v/>
      </c>
      <c r="AD96" s="192" t="str">
        <f t="array" ref="AD96">INDEX(AC:AC,SMALL(IF($AC$2:$AC$523&lt;&gt;"",ROW($2:$523),524),ROW(AC95)))&amp;""</f>
        <v/>
      </c>
      <c r="AE96" s="200" t="str">
        <f t="shared" si="5"/>
        <v/>
      </c>
      <c r="AJ96" s="192">
        <v>95</v>
      </c>
      <c r="AK96" s="193" t="str">
        <f>IF(法术书!Y52="","",法术书!Y52)</f>
        <v/>
      </c>
      <c r="AL96" s="224" t="str">
        <f t="array" ref="AL96">IFERROR(INDEX(AK$1:AK$301,SMALL(IF(MATCH(AK96,AK$1:AK$301,0)=ROW(AK96),ROW(AK$1:AK$301),999),ROW(AK96))),"")</f>
        <v/>
      </c>
      <c r="AM96" s="223" t="str">
        <f t="array" ref="AM96">INDEX(AL:AL,SMALL(IF($AL$2:$AL$301&lt;&gt;"",ROW($2:$301),302),ROW(AL95)))&amp;""</f>
        <v/>
      </c>
    </row>
    <row r="97" customHeight="1" spans="1:39">
      <c r="A97" s="192">
        <v>95</v>
      </c>
      <c r="B97" s="224" t="s">
        <v>7108</v>
      </c>
      <c r="C97" s="224" t="s">
        <v>7109</v>
      </c>
      <c r="E97" s="242" t="s">
        <v>6650</v>
      </c>
      <c r="F97" s="193" t="s">
        <v>6712</v>
      </c>
      <c r="G97" s="193" t="s">
        <v>6673</v>
      </c>
      <c r="H97" s="193">
        <v>1</v>
      </c>
      <c r="I97" s="193">
        <v>1</v>
      </c>
      <c r="J97" s="193">
        <v>1</v>
      </c>
      <c r="K97" s="224" t="s">
        <v>7110</v>
      </c>
      <c r="N97" s="193" t="s">
        <v>6709</v>
      </c>
      <c r="O97" s="224" t="s">
        <v>7111</v>
      </c>
      <c r="P97" s="224">
        <v>1</v>
      </c>
      <c r="Q97" s="224" t="s">
        <v>249</v>
      </c>
      <c r="S97" s="193">
        <v>1</v>
      </c>
      <c r="Z97" s="193">
        <v>9</v>
      </c>
      <c r="AA97" s="223" t="s">
        <v>7112</v>
      </c>
      <c r="AB97" s="200" t="str">
        <f t="array" ref="AB97">INDEX(B:B,SMALL(IF($Q$3:$Q$524&lt;&gt;"",ROW($3:$524),525),ROW(B96)))&amp;""</f>
        <v>炽焰斩</v>
      </c>
      <c r="AC97" s="225" t="str">
        <f>IFERROR(IF(AND($Q98&lt;&gt;"",IF(法术查询!$J$4="",1,INDEX($R98:$Z98,1,VLOOKUP(法术查询!$J$4,$AF$2:$AG$10,2,0)))&lt;&gt;"",IF(法术查询!$J$5="",1,$P98=VLOOKUP(法术查询!$J$5,$AH$2:$AI$11,2,0)),IF(法术查询!$J$6="",1,IF(法术查询!$J$6=$E98,1,0)),IF(法术查询!$J$7="",1,SEARCH(法术查询!$J$7,$F98)),IF(法术查询!$J$8="",1,SEARCH(法术查询!$J$8,G98)),IF(法术查询!$J$9="",1,SEARCH(法术查询!$J$9,N98)),IF(法术查询!$J$10="",1,IF(法术查询!$J$10=$AF$11,IF($M98=1,1,0),IF($M98="",1,0))),IF(法术查询!$J$11="",1,IF(法术查询!$J$11=$AF$11,IF($D98=1,1,0),IF($D98="",1,0))),IF(法术查询!$J$12="",1,SEARCH(法术查询!$J$12,$B98&amp;$C98&amp;$O98)),IF(法术查询!$J$13="",1,SEARCH(法术查询!$J$13,$B98&amp;$C98&amp;$O98)),IF(法术查询!$J$14="",1,SEARCH(法术查询!$J$14,$B98&amp;$C98&amp;$O98)),IF(法术查询!$J$16="",1,IF(法术查询!$J$16=$AF$11,IF($H98=1,1,0),IF($H98="",1,0))),IF(法术查询!$J$17="",1,IF(法术查询!$J$17=$AF$11,IF($I98=1,1,0),IF($I98="",1,0))),IF(法术查询!$J$18="",1,IF(法术查询!$J$18=$AF$11,IF($J98&lt;&gt;"",1,0),IF($J98="",1,0))),IF(法术查询!$J$19="",1,IF(法术查询!$J$19=$AF$11,IF($L98&lt;&gt;"",1,0),IF($L98="",1,0)))),$B98,""),"")</f>
        <v/>
      </c>
      <c r="AD97" s="192" t="str">
        <f t="array" ref="AD97">INDEX(AC:AC,SMALL(IF($AC$2:$AC$523&lt;&gt;"",ROW($2:$523),524),ROW(AC96)))&amp;""</f>
        <v/>
      </c>
      <c r="AE97" s="200" t="str">
        <f t="shared" si="5"/>
        <v/>
      </c>
      <c r="AJ97" s="192">
        <v>96</v>
      </c>
      <c r="AK97" s="193" t="str">
        <f>IF(法术书!Y53="","",法术书!Y53)</f>
        <v/>
      </c>
      <c r="AL97" s="224" t="str">
        <f t="array" ref="AL97">IFERROR(INDEX(AK$1:AK$301,SMALL(IF(MATCH(AK97,AK$1:AK$301,0)=ROW(AK97),ROW(AK$1:AK$301),999),ROW(AK97))),"")</f>
        <v/>
      </c>
      <c r="AM97" s="223" t="str">
        <f t="array" ref="AM97">INDEX(AL:AL,SMALL(IF($AL$2:$AL$301&lt;&gt;"",ROW($2:$301),302),ROW(AL96)))&amp;""</f>
        <v/>
      </c>
    </row>
    <row r="98" customHeight="1" spans="1:39">
      <c r="A98" s="192">
        <v>96</v>
      </c>
      <c r="B98" s="224" t="s">
        <v>7113</v>
      </c>
      <c r="C98" s="224" t="s">
        <v>7114</v>
      </c>
      <c r="E98" s="229" t="s">
        <v>6664</v>
      </c>
      <c r="F98" s="193" t="s">
        <v>6712</v>
      </c>
      <c r="G98" s="193" t="s">
        <v>6651</v>
      </c>
      <c r="H98" s="193">
        <v>1</v>
      </c>
      <c r="M98" s="193">
        <v>1</v>
      </c>
      <c r="N98" s="193" t="s">
        <v>6666</v>
      </c>
      <c r="O98" s="224" t="s">
        <v>7115</v>
      </c>
      <c r="P98" s="224">
        <v>1</v>
      </c>
      <c r="Q98" s="224" t="s">
        <v>249</v>
      </c>
      <c r="U98" s="193">
        <v>1</v>
      </c>
      <c r="V98" s="193" t="str">
        <f>IF(综合数据!$B$14=TRUE,"13","")</f>
        <v>13</v>
      </c>
      <c r="AA98" s="223" t="s">
        <v>7116</v>
      </c>
      <c r="AB98" s="200" t="str">
        <f t="array" ref="AB98">INDEX(B:B,SMALL(IF($Q$3:$Q$524&lt;&gt;"",ROW($3:$524),525),ROW(B97)))&amp;""</f>
        <v>护盾术</v>
      </c>
      <c r="AC98" s="225" t="str">
        <f>IFERROR(IF(AND($Q99&lt;&gt;"",IF(法术查询!$J$4="",1,INDEX($R99:$Z99,1,VLOOKUP(法术查询!$J$4,$AF$2:$AG$10,2,0)))&lt;&gt;"",IF(法术查询!$J$5="",1,$P99=VLOOKUP(法术查询!$J$5,$AH$2:$AI$11,2,0)),IF(法术查询!$J$6="",1,IF(法术查询!$J$6=$E99,1,0)),IF(法术查询!$J$7="",1,SEARCH(法术查询!$J$7,$F99)),IF(法术查询!$J$8="",1,SEARCH(法术查询!$J$8,G99)),IF(法术查询!$J$9="",1,SEARCH(法术查询!$J$9,N99)),IF(法术查询!$J$10="",1,IF(法术查询!$J$10=$AF$11,IF($M99=1,1,0),IF($M99="",1,0))),IF(法术查询!$J$11="",1,IF(法术查询!$J$11=$AF$11,IF($D99=1,1,0),IF($D99="",1,0))),IF(法术查询!$J$12="",1,SEARCH(法术查询!$J$12,$B99&amp;$C99&amp;$O99)),IF(法术查询!$J$13="",1,SEARCH(法术查询!$J$13,$B99&amp;$C99&amp;$O99)),IF(法术查询!$J$14="",1,SEARCH(法术查询!$J$14,$B99&amp;$C99&amp;$O99)),IF(法术查询!$J$16="",1,IF(法术查询!$J$16=$AF$11,IF($H99=1,1,0),IF($H99="",1,0))),IF(法术查询!$J$17="",1,IF(法术查询!$J$17=$AF$11,IF($I99=1,1,0),IF($I99="",1,0))),IF(法术查询!$J$18="",1,IF(法术查询!$J$18=$AF$11,IF($J99&lt;&gt;"",1,0),IF($J99="",1,0))),IF(法术查询!$J$19="",1,IF(法术查询!$J$19=$AF$11,IF($L99&lt;&gt;"",1,0),IF($L99="",1,0)))),$B99,""),"")</f>
        <v/>
      </c>
      <c r="AD98" s="192" t="str">
        <f t="array" ref="AD98">INDEX(AC:AC,SMALL(IF($AC$2:$AC$523&lt;&gt;"",ROW($2:$523),524),ROW(AC97)))&amp;""</f>
        <v/>
      </c>
      <c r="AE98" s="200" t="str">
        <f t="shared" si="5"/>
        <v/>
      </c>
      <c r="AJ98" s="192">
        <v>97</v>
      </c>
      <c r="AK98" s="193" t="str">
        <f>IF(法术书!Y54="","",法术书!Y54)</f>
        <v/>
      </c>
      <c r="AL98" s="224" t="str">
        <f t="array" ref="AL98">IFERROR(INDEX(AK$1:AK$301,SMALL(IF(MATCH(AK98,AK$1:AK$301,0)=ROW(AK98),ROW(AK$1:AK$301),999),ROW(AK98))),"")</f>
        <v/>
      </c>
      <c r="AM98" s="223" t="str">
        <f t="array" ref="AM98">INDEX(AL:AL,SMALL(IF($AL$2:$AL$301&lt;&gt;"",ROW($2:$301),302),ROW(AL97)))&amp;""</f>
        <v/>
      </c>
    </row>
    <row r="99" customHeight="1" spans="1:39">
      <c r="A99" s="192">
        <v>97</v>
      </c>
      <c r="B99" s="224" t="s">
        <v>7117</v>
      </c>
      <c r="C99" s="224" t="s">
        <v>7118</v>
      </c>
      <c r="E99" s="242" t="s">
        <v>6650</v>
      </c>
      <c r="F99" s="193" t="s">
        <v>6765</v>
      </c>
      <c r="G99" s="193" t="s">
        <v>6651</v>
      </c>
      <c r="H99" s="193">
        <v>1</v>
      </c>
      <c r="I99" s="193">
        <v>1</v>
      </c>
      <c r="N99" s="193" t="s">
        <v>6652</v>
      </c>
      <c r="O99" s="224" t="s">
        <v>7119</v>
      </c>
      <c r="P99" s="224">
        <v>1</v>
      </c>
      <c r="Q99" s="224" t="s">
        <v>249</v>
      </c>
      <c r="W99" s="193">
        <v>1</v>
      </c>
      <c r="X99" s="193">
        <v>1</v>
      </c>
      <c r="AA99" s="223" t="s">
        <v>7120</v>
      </c>
      <c r="AB99" s="200" t="str">
        <f t="array" ref="AB99">INDEX(B:B,SMALL(IF($Q$3:$Q$524&lt;&gt;"",ROW($3:$524),525),ROW(B98)))&amp;""</f>
        <v>虔诚护盾</v>
      </c>
      <c r="AC99" s="225" t="str">
        <f>IFERROR(IF(AND($Q100&lt;&gt;"",IF(法术查询!$J$4="",1,INDEX($R100:$Z100,1,VLOOKUP(法术查询!$J$4,$AF$2:$AG$10,2,0)))&lt;&gt;"",IF(法术查询!$J$5="",1,$P100=VLOOKUP(法术查询!$J$5,$AH$2:$AI$11,2,0)),IF(法术查询!$J$6="",1,IF(法术查询!$J$6=$E100,1,0)),IF(法术查询!$J$7="",1,SEARCH(法术查询!$J$7,$F100)),IF(法术查询!$J$8="",1,SEARCH(法术查询!$J$8,G100)),IF(法术查询!$J$9="",1,SEARCH(法术查询!$J$9,N100)),IF(法术查询!$J$10="",1,IF(法术查询!$J$10=$AF$11,IF($M100=1,1,0),IF($M100="",1,0))),IF(法术查询!$J$11="",1,IF(法术查询!$J$11=$AF$11,IF($D100=1,1,0),IF($D100="",1,0))),IF(法术查询!$J$12="",1,SEARCH(法术查询!$J$12,$B100&amp;$C100&amp;$O100)),IF(法术查询!$J$13="",1,SEARCH(法术查询!$J$13,$B100&amp;$C100&amp;$O100)),IF(法术查询!$J$14="",1,SEARCH(法术查询!$J$14,$B100&amp;$C100&amp;$O100)),IF(法术查询!$J$16="",1,IF(法术查询!$J$16=$AF$11,IF($H100=1,1,0),IF($H100="",1,0))),IF(法术查询!$J$17="",1,IF(法术查询!$J$17=$AF$11,IF($I100=1,1,0),IF($I100="",1,0))),IF(法术查询!$J$18="",1,IF(法术查询!$J$18=$AF$11,IF($J100&lt;&gt;"",1,0),IF($J100="",1,0))),IF(法术查询!$J$19="",1,IF(法术查询!$J$19=$AF$11,IF($L100&lt;&gt;"",1,0),IF($L100="",1,0)))),$B100,""),"")</f>
        <v/>
      </c>
      <c r="AD99" s="192" t="str">
        <f t="array" ref="AD99">INDEX(AC:AC,SMALL(IF($AC$2:$AC$523&lt;&gt;"",ROW($2:$523),524),ROW(AC98)))&amp;""</f>
        <v/>
      </c>
      <c r="AE99" s="200" t="str">
        <f t="shared" si="5"/>
        <v/>
      </c>
      <c r="AJ99" s="192">
        <v>98</v>
      </c>
      <c r="AK99" s="193" t="str">
        <f>IF(法术书!Y55="","",法术书!Y55)</f>
        <v/>
      </c>
      <c r="AL99" s="224" t="str">
        <f t="array" ref="AL99">IFERROR(INDEX(AK$1:AK$301,SMALL(IF(MATCH(AK99,AK$1:AK$301,0)=ROW(AK99),ROW(AK$1:AK$301),999),ROW(AK99))),"")</f>
        <v/>
      </c>
      <c r="AM99" s="223" t="str">
        <f t="array" ref="AM99">INDEX(AL:AL,SMALL(IF($AL$2:$AL$301&lt;&gt;"",ROW($2:$301),302),ROW(AL98)))&amp;""</f>
        <v/>
      </c>
    </row>
    <row r="100" customHeight="1" spans="1:39">
      <c r="A100" s="192">
        <v>98</v>
      </c>
      <c r="B100" s="224" t="s">
        <v>7121</v>
      </c>
      <c r="C100" s="224" t="s">
        <v>7122</v>
      </c>
      <c r="E100" s="242" t="s">
        <v>6650</v>
      </c>
      <c r="F100" s="193" t="s">
        <v>6712</v>
      </c>
      <c r="G100" s="193" t="s">
        <v>6643</v>
      </c>
      <c r="H100" s="193">
        <v>1</v>
      </c>
      <c r="I100" s="193">
        <v>1</v>
      </c>
      <c r="J100" s="193">
        <v>1</v>
      </c>
      <c r="K100" s="224" t="s">
        <v>7123</v>
      </c>
      <c r="M100" s="193">
        <v>1</v>
      </c>
      <c r="N100" s="193" t="s">
        <v>6831</v>
      </c>
      <c r="O100" s="224" t="s">
        <v>7124</v>
      </c>
      <c r="P100" s="224">
        <v>1</v>
      </c>
      <c r="Q100" s="224" t="s">
        <v>249</v>
      </c>
      <c r="S100" s="193">
        <v>1</v>
      </c>
      <c r="U100" s="193">
        <v>1</v>
      </c>
      <c r="AA100" s="223" t="s">
        <v>7125</v>
      </c>
      <c r="AB100" s="200" t="str">
        <f t="array" ref="AB100">INDEX(B:B,SMALL(IF($Q$3:$Q$524&lt;&gt;"",ROW($3:$524),525),ROW(B99)))&amp;""</f>
        <v>无声幻影</v>
      </c>
      <c r="AC100" s="225" t="str">
        <f>IFERROR(IF(AND($Q101&lt;&gt;"",IF(法术查询!$J$4="",1,INDEX($R101:$Z101,1,VLOOKUP(法术查询!$J$4,$AF$2:$AG$10,2,0)))&lt;&gt;"",IF(法术查询!$J$5="",1,$P101=VLOOKUP(法术查询!$J$5,$AH$2:$AI$11,2,0)),IF(法术查询!$J$6="",1,IF(法术查询!$J$6=$E101,1,0)),IF(法术查询!$J$7="",1,SEARCH(法术查询!$J$7,$F101)),IF(法术查询!$J$8="",1,SEARCH(法术查询!$J$8,G101)),IF(法术查询!$J$9="",1,SEARCH(法术查询!$J$9,N101)),IF(法术查询!$J$10="",1,IF(法术查询!$J$10=$AF$11,IF($M101=1,1,0),IF($M101="",1,0))),IF(法术查询!$J$11="",1,IF(法术查询!$J$11=$AF$11,IF($D101=1,1,0),IF($D101="",1,0))),IF(法术查询!$J$12="",1,SEARCH(法术查询!$J$12,$B101&amp;$C101&amp;$O101)),IF(法术查询!$J$13="",1,SEARCH(法术查询!$J$13,$B101&amp;$C101&amp;$O101)),IF(法术查询!$J$14="",1,SEARCH(法术查询!$J$14,$B101&amp;$C101&amp;$O101)),IF(法术查询!$J$16="",1,IF(法术查询!$J$16=$AF$11,IF($H101=1,1,0),IF($H101="",1,0))),IF(法术查询!$J$17="",1,IF(法术查询!$J$17=$AF$11,IF($I101=1,1,0),IF($I101="",1,0))),IF(法术查询!$J$18="",1,IF(法术查询!$J$18=$AF$11,IF($J101&lt;&gt;"",1,0),IF($J101="",1,0))),IF(法术查询!$J$19="",1,IF(法术查询!$J$19=$AF$11,IF($L101&lt;&gt;"",1,0),IF($L101="",1,0)))),$B101,""),"")</f>
        <v/>
      </c>
      <c r="AD100" s="192" t="str">
        <f t="array" ref="AD100">INDEX(AC:AC,SMALL(IF($AC$2:$AC$523&lt;&gt;"",ROW($2:$523),524),ROW(AC99)))&amp;""</f>
        <v/>
      </c>
      <c r="AE100" s="200" t="str">
        <f t="shared" si="5"/>
        <v/>
      </c>
      <c r="AJ100" s="192">
        <v>99</v>
      </c>
      <c r="AK100" s="193" t="str">
        <f>IF(法术书!Y56="","",法术书!Y56)</f>
        <v/>
      </c>
      <c r="AL100" s="224" t="str">
        <f t="array" ref="AL100">IFERROR(INDEX(AK$1:AK$301,SMALL(IF(MATCH(AK100,AK$1:AK$301,0)=ROW(AK100),ROW(AK$1:AK$301),999),ROW(AK100))),"")</f>
        <v/>
      </c>
      <c r="AM100" s="223" t="str">
        <f t="array" ref="AM100">INDEX(AL:AL,SMALL(IF($AL$2:$AL$301&lt;&gt;"",ROW($2:$301),302),ROW(AL99)))&amp;""</f>
        <v/>
      </c>
    </row>
    <row r="101" customHeight="1" spans="1:39">
      <c r="A101" s="192">
        <v>99</v>
      </c>
      <c r="B101" s="224" t="s">
        <v>7126</v>
      </c>
      <c r="C101" s="224" t="s">
        <v>7127</v>
      </c>
      <c r="E101" s="241" t="s">
        <v>6726</v>
      </c>
      <c r="F101" s="193" t="s">
        <v>6642</v>
      </c>
      <c r="G101" s="193" t="s">
        <v>6643</v>
      </c>
      <c r="H101" s="193">
        <v>1</v>
      </c>
      <c r="I101" s="193">
        <v>1</v>
      </c>
      <c r="J101" s="193">
        <v>1</v>
      </c>
      <c r="K101" s="224" t="s">
        <v>7128</v>
      </c>
      <c r="M101" s="193">
        <v>1</v>
      </c>
      <c r="N101" s="193" t="s">
        <v>6831</v>
      </c>
      <c r="O101" s="224" t="s">
        <v>7129</v>
      </c>
      <c r="P101" s="224">
        <v>1</v>
      </c>
      <c r="Q101" s="224" t="s">
        <v>249</v>
      </c>
      <c r="R101" s="193">
        <v>1</v>
      </c>
      <c r="W101" s="193">
        <v>1</v>
      </c>
      <c r="X101" s="193">
        <v>1</v>
      </c>
      <c r="AA101" s="223" t="s">
        <v>7130</v>
      </c>
      <c r="AB101" s="200" t="str">
        <f t="array" ref="AB101">INDEX(B:B,SMALL(IF($Q$3:$Q$524&lt;&gt;"",ROW($3:$524),525),ROW(B100)))&amp;""</f>
        <v>睡眠术</v>
      </c>
      <c r="AC101" s="225" t="str">
        <f>IFERROR(IF(AND($Q102&lt;&gt;"",IF(法术查询!$J$4="",1,INDEX($R102:$Z102,1,VLOOKUP(法术查询!$J$4,$AF$2:$AG$10,2,0)))&lt;&gt;"",IF(法术查询!$J$5="",1,$P102=VLOOKUP(法术查询!$J$5,$AH$2:$AI$11,2,0)),IF(法术查询!$J$6="",1,IF(法术查询!$J$6=$E102,1,0)),IF(法术查询!$J$7="",1,SEARCH(法术查询!$J$7,$F102)),IF(法术查询!$J$8="",1,SEARCH(法术查询!$J$8,G102)),IF(法术查询!$J$9="",1,SEARCH(法术查询!$J$9,N102)),IF(法术查询!$J$10="",1,IF(法术查询!$J$10=$AF$11,IF($M102=1,1,0),IF($M102="",1,0))),IF(法术查询!$J$11="",1,IF(法术查询!$J$11=$AF$11,IF($D102=1,1,0),IF($D102="",1,0))),IF(法术查询!$J$12="",1,SEARCH(法术查询!$J$12,$B102&amp;$C102&amp;$O102)),IF(法术查询!$J$13="",1,SEARCH(法术查询!$J$13,$B102&amp;$C102&amp;$O102)),IF(法术查询!$J$14="",1,SEARCH(法术查询!$J$14,$B102&amp;$C102&amp;$O102)),IF(法术查询!$J$16="",1,IF(法术查询!$J$16=$AF$11,IF($H102=1,1,0),IF($H102="",1,0))),IF(法术查询!$J$17="",1,IF(法术查询!$J$17=$AF$11,IF($I102=1,1,0),IF($I102="",1,0))),IF(法术查询!$J$18="",1,IF(法术查询!$J$18=$AF$11,IF($J102&lt;&gt;"",1,0),IF($J102="",1,0))),IF(法术查询!$J$19="",1,IF(法术查询!$J$19=$AF$11,IF($L102&lt;&gt;"",1,0),IF($L102="",1,0)))),$B102,""),"")</f>
        <v/>
      </c>
      <c r="AD101" s="192" t="str">
        <f t="array" ref="AD101">INDEX(AC:AC,SMALL(IF($AC$2:$AC$523&lt;&gt;"",ROW($2:$523),524),ROW(AC100)))&amp;""</f>
        <v/>
      </c>
      <c r="AE101" s="200" t="str">
        <f t="shared" si="5"/>
        <v/>
      </c>
      <c r="AJ101" s="204">
        <v>100</v>
      </c>
      <c r="AK101" s="234" t="str">
        <f>IF(法术书!Y57="","",法术书!Y57)</f>
        <v/>
      </c>
      <c r="AL101" s="234" t="str">
        <f t="array" ref="AL101">IFERROR(INDEX(AK$1:AK$301,SMALL(IF(MATCH(AK101,AK$1:AK$301,0)=ROW(AK101),ROW(AK$1:AK$301),999),ROW(AK101))),"")</f>
        <v/>
      </c>
      <c r="AM101" s="249" t="str">
        <f t="array" ref="AM101">INDEX(AL:AL,SMALL(IF($AL$2:$AL$301&lt;&gt;"",ROW($2:$301),302),ROW(AL100)))&amp;""</f>
        <v/>
      </c>
    </row>
    <row r="102" customHeight="1" spans="1:39">
      <c r="A102" s="192">
        <v>100</v>
      </c>
      <c r="B102" s="224" t="s">
        <v>7131</v>
      </c>
      <c r="C102" s="224" t="s">
        <v>7132</v>
      </c>
      <c r="E102" s="233" t="s">
        <v>6688</v>
      </c>
      <c r="F102" s="193" t="s">
        <v>6642</v>
      </c>
      <c r="G102" s="193" t="s">
        <v>6760</v>
      </c>
      <c r="H102" s="193">
        <v>1</v>
      </c>
      <c r="I102" s="193">
        <v>1</v>
      </c>
      <c r="J102" s="193">
        <v>1</v>
      </c>
      <c r="K102" s="224" t="s">
        <v>7133</v>
      </c>
      <c r="N102" s="193" t="s">
        <v>6709</v>
      </c>
      <c r="O102" s="224" t="s">
        <v>7134</v>
      </c>
      <c r="P102" s="224">
        <v>1</v>
      </c>
      <c r="Q102" s="224" t="s">
        <v>249</v>
      </c>
      <c r="R102" s="193">
        <v>1</v>
      </c>
      <c r="W102" s="193">
        <v>1</v>
      </c>
      <c r="X102" s="193">
        <v>1</v>
      </c>
      <c r="AA102" s="223" t="s">
        <v>7135</v>
      </c>
      <c r="AB102" s="200" t="str">
        <f t="array" ref="AB102">INDEX(B:B,SMALL(IF($Q$3:$Q$524&lt;&gt;"",ROW($3:$524),525),ROW(B101)))&amp;""</f>
        <v>动物交谈</v>
      </c>
      <c r="AC102" s="225" t="str">
        <f>IFERROR(IF(AND($Q103&lt;&gt;"",IF(法术查询!$J$4="",1,INDEX($R103:$Z103,1,VLOOKUP(法术查询!$J$4,$AF$2:$AG$10,2,0)))&lt;&gt;"",IF(法术查询!$J$5="",1,$P103=VLOOKUP(法术查询!$J$5,$AH$2:$AI$11,2,0)),IF(法术查询!$J$6="",1,IF(法术查询!$J$6=$E103,1,0)),IF(法术查询!$J$7="",1,SEARCH(法术查询!$J$7,$F103)),IF(法术查询!$J$8="",1,SEARCH(法术查询!$J$8,G103)),IF(法术查询!$J$9="",1,SEARCH(法术查询!$J$9,N103)),IF(法术查询!$J$10="",1,IF(法术查询!$J$10=$AF$11,IF($M103=1,1,0),IF($M103="",1,0))),IF(法术查询!$J$11="",1,IF(法术查询!$J$11=$AF$11,IF($D103=1,1,0),IF($D103="",1,0))),IF(法术查询!$J$12="",1,SEARCH(法术查询!$J$12,$B103&amp;$C103&amp;$O103)),IF(法术查询!$J$13="",1,SEARCH(法术查询!$J$13,$B103&amp;$C103&amp;$O103)),IF(法术查询!$J$14="",1,SEARCH(法术查询!$J$14,$B103&amp;$C103&amp;$O103)),IF(法术查询!$J$16="",1,IF(法术查询!$J$16=$AF$11,IF($H103=1,1,0),IF($H103="",1,0))),IF(法术查询!$J$17="",1,IF(法术查询!$J$17=$AF$11,IF($I103=1,1,0),IF($I103="",1,0))),IF(法术查询!$J$18="",1,IF(法术查询!$J$18=$AF$11,IF($J103&lt;&gt;"",1,0),IF($J103="",1,0))),IF(法术查询!$J$19="",1,IF(法术查询!$J$19=$AF$11,IF($L103&lt;&gt;"",1,0),IF($L103="",1,0)))),$B103,""),"")</f>
        <v/>
      </c>
      <c r="AD102" s="192" t="str">
        <f t="array" ref="AD102">INDEX(AC:AC,SMALL(IF($AC$2:$AC$523&lt;&gt;"",ROW($2:$523),524),ROW(AC101)))&amp;""</f>
        <v/>
      </c>
      <c r="AE102" s="200" t="str">
        <f t="shared" si="5"/>
        <v/>
      </c>
      <c r="AJ102" s="192">
        <v>101</v>
      </c>
      <c r="AK102" s="193" t="str">
        <f>IF(法术书!AB8="","",法术书!AB8)</f>
        <v/>
      </c>
      <c r="AL102" s="224" t="str">
        <f t="array" ref="AL102">IFERROR(INDEX(AK$1:AK$301,SMALL(IF(MATCH(AK102,AK$1:AK$301,0)=ROW(AK102),ROW(AK$1:AK$301),999),ROW(AK102))),"")</f>
        <v/>
      </c>
      <c r="AM102" s="223" t="str">
        <f t="array" ref="AM102">INDEX(AL:AL,SMALL(IF($AL$2:$AL$301&lt;&gt;"",ROW($2:$301),302),ROW(AL101)))&amp;""</f>
        <v/>
      </c>
    </row>
    <row r="103" customHeight="1" spans="1:39">
      <c r="A103" s="192">
        <v>101</v>
      </c>
      <c r="B103" s="224" t="s">
        <v>7136</v>
      </c>
      <c r="C103" s="224" t="s">
        <v>7137</v>
      </c>
      <c r="D103" s="193">
        <v>1</v>
      </c>
      <c r="E103" s="238" t="s">
        <v>6695</v>
      </c>
      <c r="F103" s="193" t="s">
        <v>6642</v>
      </c>
      <c r="G103" s="193" t="s">
        <v>6651</v>
      </c>
      <c r="H103" s="193">
        <v>1</v>
      </c>
      <c r="I103" s="193">
        <v>1</v>
      </c>
      <c r="N103" s="193" t="s">
        <v>6731</v>
      </c>
      <c r="O103" s="224" t="s">
        <v>7138</v>
      </c>
      <c r="P103" s="224">
        <v>1</v>
      </c>
      <c r="Q103" s="224" t="s">
        <v>249</v>
      </c>
      <c r="R103" s="193">
        <v>1</v>
      </c>
      <c r="T103" s="193">
        <v>1</v>
      </c>
      <c r="V103" s="193">
        <v>1</v>
      </c>
      <c r="AA103" s="223" t="s">
        <v>7139</v>
      </c>
      <c r="AB103" s="200" t="str">
        <f t="array" ref="AB103">INDEX(B:B,SMALL(IF($Q$3:$Q$524&lt;&gt;"",ROW($3:$524),525),ROW(B102)))&amp;""</f>
        <v>塔莎狂笑术</v>
      </c>
      <c r="AC103" s="225" t="str">
        <f>IFERROR(IF(AND($Q104&lt;&gt;"",IF(法术查询!$J$4="",1,INDEX($R104:$Z104,1,VLOOKUP(法术查询!$J$4,$AF$2:$AG$10,2,0)))&lt;&gt;"",IF(法术查询!$J$5="",1,$P104=VLOOKUP(法术查询!$J$5,$AH$2:$AI$11,2,0)),IF(法术查询!$J$6="",1,IF(法术查询!$J$6=$E104,1,0)),IF(法术查询!$J$7="",1,SEARCH(法术查询!$J$7,$F104)),IF(法术查询!$J$8="",1,SEARCH(法术查询!$J$8,G104)),IF(法术查询!$J$9="",1,SEARCH(法术查询!$J$9,N104)),IF(法术查询!$J$10="",1,IF(法术查询!$J$10=$AF$11,IF($M104=1,1,0),IF($M104="",1,0))),IF(法术查询!$J$11="",1,IF(法术查询!$J$11=$AF$11,IF($D104=1,1,0),IF($D104="",1,0))),IF(法术查询!$J$12="",1,SEARCH(法术查询!$J$12,$B104&amp;$C104&amp;$O104)),IF(法术查询!$J$13="",1,SEARCH(法术查询!$J$13,$B104&amp;$C104&amp;$O104)),IF(法术查询!$J$14="",1,SEARCH(法术查询!$J$14,$B104&amp;$C104&amp;$O104)),IF(法术查询!$J$16="",1,IF(法术查询!$J$16=$AF$11,IF($H104=1,1,0),IF($H104="",1,0))),IF(法术查询!$J$17="",1,IF(法术查询!$J$17=$AF$11,IF($I104=1,1,0),IF($I104="",1,0))),IF(法术查询!$J$18="",1,IF(法术查询!$J$18=$AF$11,IF($J104&lt;&gt;"",1,0),IF($J104="",1,0))),IF(法术查询!$J$19="",1,IF(法术查询!$J$19=$AF$11,IF($L104&lt;&gt;"",1,0),IF($L104="",1,0)))),$B104,""),"")</f>
        <v/>
      </c>
      <c r="AD103" s="192" t="str">
        <f t="array" ref="AD103">INDEX(AC:AC,SMALL(IF($AC$2:$AC$523&lt;&gt;"",ROW($2:$523),524),ROW(AC102)))&amp;""</f>
        <v/>
      </c>
      <c r="AE103" s="200" t="str">
        <f t="shared" si="5"/>
        <v/>
      </c>
      <c r="AJ103" s="192">
        <v>102</v>
      </c>
      <c r="AK103" s="193" t="str">
        <f>IF(法术书!AB9="","",法术书!AB9)</f>
        <v/>
      </c>
      <c r="AL103" s="224" t="str">
        <f t="array" ref="AL103">IFERROR(INDEX(AK$1:AK$301,SMALL(IF(MATCH(AK103,AK$1:AK$301,0)=ROW(AK103),ROW(AK$1:AK$301),999),ROW(AK103))),"")</f>
        <v/>
      </c>
      <c r="AM103" s="223" t="str">
        <f t="array" ref="AM103">INDEX(AL:AL,SMALL(IF($AL$2:$AL$301&lt;&gt;"",ROW($2:$301),302),ROW(AL102)))&amp;""</f>
        <v/>
      </c>
    </row>
    <row r="104" customHeight="1" spans="1:39">
      <c r="A104" s="192">
        <v>102</v>
      </c>
      <c r="B104" s="224" t="s">
        <v>7140</v>
      </c>
      <c r="C104" s="224" t="s">
        <v>7141</v>
      </c>
      <c r="E104" s="233" t="s">
        <v>6688</v>
      </c>
      <c r="F104" s="193" t="s">
        <v>6642</v>
      </c>
      <c r="G104" s="193" t="s">
        <v>6673</v>
      </c>
      <c r="H104" s="193">
        <v>1</v>
      </c>
      <c r="I104" s="193">
        <v>1</v>
      </c>
      <c r="J104" s="193">
        <v>1</v>
      </c>
      <c r="K104" s="224" t="s">
        <v>7142</v>
      </c>
      <c r="M104" s="193">
        <v>1</v>
      </c>
      <c r="N104" s="193" t="s">
        <v>6666</v>
      </c>
      <c r="O104" s="224" t="s">
        <v>7143</v>
      </c>
      <c r="P104" s="224">
        <v>1</v>
      </c>
      <c r="Q104" s="224" t="s">
        <v>249</v>
      </c>
      <c r="R104" s="193">
        <v>1</v>
      </c>
      <c r="X104" s="193">
        <v>1</v>
      </c>
      <c r="AA104" s="200" t="s">
        <v>1722</v>
      </c>
      <c r="AB104" s="200" t="str">
        <f t="array" ref="AB104">INDEX(B:B,SMALL(IF($Q$3:$Q$524&lt;&gt;"",ROW($3:$524),525),ROW(B103)))&amp;""</f>
        <v>谭森浮碟术</v>
      </c>
      <c r="AC104" s="225" t="str">
        <f>IFERROR(IF(AND($Q105&lt;&gt;"",IF(法术查询!$J$4="",1,INDEX($R105:$Z105,1,VLOOKUP(法术查询!$J$4,$AF$2:$AG$10,2,0)))&lt;&gt;"",IF(法术查询!$J$5="",1,$P105=VLOOKUP(法术查询!$J$5,$AH$2:$AI$11,2,0)),IF(法术查询!$J$6="",1,IF(法术查询!$J$6=$E105,1,0)),IF(法术查询!$J$7="",1,SEARCH(法术查询!$J$7,$F105)),IF(法术查询!$J$8="",1,SEARCH(法术查询!$J$8,G105)),IF(法术查询!$J$9="",1,SEARCH(法术查询!$J$9,N105)),IF(法术查询!$J$10="",1,IF(法术查询!$J$10=$AF$11,IF($M105=1,1,0),IF($M105="",1,0))),IF(法术查询!$J$11="",1,IF(法术查询!$J$11=$AF$11,IF($D105=1,1,0),IF($D105="",1,0))),IF(法术查询!$J$12="",1,SEARCH(法术查询!$J$12,$B105&amp;$C105&amp;$O105)),IF(法术查询!$J$13="",1,SEARCH(法术查询!$J$13,$B105&amp;$C105&amp;$O105)),IF(法术查询!$J$14="",1,SEARCH(法术查询!$J$14,$B105&amp;$C105&amp;$O105)),IF(法术查询!$J$16="",1,IF(法术查询!$J$16=$AF$11,IF($H105=1,1,0),IF($H105="",1,0))),IF(法术查询!$J$17="",1,IF(法术查询!$J$17=$AF$11,IF($I105=1,1,0),IF($I105="",1,0))),IF(法术查询!$J$18="",1,IF(法术查询!$J$18=$AF$11,IF($J105&lt;&gt;"",1,0),IF($J105="",1,0))),IF(法术查询!$J$19="",1,IF(法术查询!$J$19=$AF$11,IF($L105&lt;&gt;"",1,0),IF($L105="",1,0)))),$B105,""),"")</f>
        <v/>
      </c>
      <c r="AD104" s="192" t="str">
        <f t="array" ref="AD104">INDEX(AC:AC,SMALL(IF($AC$2:$AC$523&lt;&gt;"",ROW($2:$523),524),ROW(AC103)))&amp;""</f>
        <v/>
      </c>
      <c r="AE104" s="200" t="str">
        <f t="shared" si="5"/>
        <v/>
      </c>
      <c r="AJ104" s="192">
        <v>103</v>
      </c>
      <c r="AK104" s="193" t="str">
        <f>IF(法术书!AB10="","",法术书!AB10)</f>
        <v/>
      </c>
      <c r="AL104" s="224" t="str">
        <f t="array" ref="AL104">IFERROR(INDEX(AK$1:AK$301,SMALL(IF(MATCH(AK104,AK$1:AK$301,0)=ROW(AK104),ROW(AK$1:AK$301),999),ROW(AK104))),"")</f>
        <v/>
      </c>
      <c r="AM104" s="223" t="str">
        <f t="array" ref="AM104">INDEX(AL:AL,SMALL(IF($AL$2:$AL$301&lt;&gt;"",ROW($2:$301),302),ROW(AL103)))&amp;""</f>
        <v/>
      </c>
    </row>
    <row r="105" customHeight="1" spans="1:39">
      <c r="A105" s="192">
        <v>103</v>
      </c>
      <c r="B105" s="224" t="s">
        <v>7144</v>
      </c>
      <c r="C105" s="224" t="s">
        <v>7145</v>
      </c>
      <c r="D105" s="193">
        <v>1</v>
      </c>
      <c r="E105" s="240" t="s">
        <v>6641</v>
      </c>
      <c r="F105" s="193" t="s">
        <v>6642</v>
      </c>
      <c r="G105" s="193" t="s">
        <v>6673</v>
      </c>
      <c r="H105" s="193">
        <v>1</v>
      </c>
      <c r="I105" s="193">
        <v>1</v>
      </c>
      <c r="J105" s="193">
        <v>1</v>
      </c>
      <c r="K105" s="224" t="s">
        <v>7146</v>
      </c>
      <c r="N105" s="193" t="s">
        <v>6704</v>
      </c>
      <c r="O105" s="224" t="s">
        <v>7147</v>
      </c>
      <c r="P105" s="224">
        <v>1</v>
      </c>
      <c r="Q105" s="224" t="s">
        <v>249</v>
      </c>
      <c r="X105" s="193">
        <v>1</v>
      </c>
      <c r="AA105" s="223" t="s">
        <v>7148</v>
      </c>
      <c r="AB105" s="200" t="str">
        <f t="array" ref="AB105">INDEX(B:B,SMALL(IF($Q$3:$Q$524&lt;&gt;"",ROW($3:$524),525),ROW(B104)))&amp;""</f>
        <v>雷鸣斩</v>
      </c>
      <c r="AC105" s="225" t="str">
        <f>IFERROR(IF(AND($Q106&lt;&gt;"",IF(法术查询!$J$4="",1,INDEX($R106:$Z106,1,VLOOKUP(法术查询!$J$4,$AF$2:$AG$10,2,0)))&lt;&gt;"",IF(法术查询!$J$5="",1,$P106=VLOOKUP(法术查询!$J$5,$AH$2:$AI$11,2,0)),IF(法术查询!$J$6="",1,IF(法术查询!$J$6=$E106,1,0)),IF(法术查询!$J$7="",1,SEARCH(法术查询!$J$7,$F106)),IF(法术查询!$J$8="",1,SEARCH(法术查询!$J$8,G106)),IF(法术查询!$J$9="",1,SEARCH(法术查询!$J$9,N106)),IF(法术查询!$J$10="",1,IF(法术查询!$J$10=$AF$11,IF($M106=1,1,0),IF($M106="",1,0))),IF(法术查询!$J$11="",1,IF(法术查询!$J$11=$AF$11,IF($D106=1,1,0),IF($D106="",1,0))),IF(法术查询!$J$12="",1,SEARCH(法术查询!$J$12,$B106&amp;$C106&amp;$O106)),IF(法术查询!$J$13="",1,SEARCH(法术查询!$J$13,$B106&amp;$C106&amp;$O106)),IF(法术查询!$J$14="",1,SEARCH(法术查询!$J$14,$B106&amp;$C106&amp;$O106)),IF(法术查询!$J$16="",1,IF(法术查询!$J$16=$AF$11,IF($H106=1,1,0),IF($H106="",1,0))),IF(法术查询!$J$17="",1,IF(法术查询!$J$17=$AF$11,IF($I106=1,1,0),IF($I106="",1,0))),IF(法术查询!$J$18="",1,IF(法术查询!$J$18=$AF$11,IF($J106&lt;&gt;"",1,0),IF($J106="",1,0))),IF(法术查询!$J$19="",1,IF(法术查询!$J$19=$AF$11,IF($L106&lt;&gt;"",1,0),IF($L106="",1,0)))),$B106,""),"")</f>
        <v/>
      </c>
      <c r="AD105" s="192" t="str">
        <f t="array" ref="AD105">INDEX(AC:AC,SMALL(IF($AC$2:$AC$523&lt;&gt;"",ROW($2:$523),524),ROW(AC104)))&amp;""</f>
        <v/>
      </c>
      <c r="AE105" s="200" t="str">
        <f t="shared" si="5"/>
        <v/>
      </c>
      <c r="AJ105" s="192">
        <v>104</v>
      </c>
      <c r="AK105" s="193" t="str">
        <f>IF(法术书!AB11="","",法术书!AB11)</f>
        <v/>
      </c>
      <c r="AL105" s="224" t="str">
        <f t="array" ref="AL105">IFERROR(INDEX(AK$1:AK$301,SMALL(IF(MATCH(AK105,AK$1:AK$301,0)=ROW(AK105),ROW(AK$1:AK$301),999),ROW(AK105))),"")</f>
        <v/>
      </c>
      <c r="AM105" s="223" t="str">
        <f t="array" ref="AM105">INDEX(AL:AL,SMALL(IF($AL$2:$AL$301&lt;&gt;"",ROW($2:$301),302),ROW(AL104)))&amp;""</f>
        <v/>
      </c>
    </row>
    <row r="106" customHeight="1" spans="1:39">
      <c r="A106" s="192">
        <v>104</v>
      </c>
      <c r="B106" s="224" t="s">
        <v>7149</v>
      </c>
      <c r="C106" s="224" t="s">
        <v>7150</v>
      </c>
      <c r="E106" s="229" t="s">
        <v>6664</v>
      </c>
      <c r="F106" s="193" t="s">
        <v>6712</v>
      </c>
      <c r="G106" s="193" t="s">
        <v>6651</v>
      </c>
      <c r="H106" s="193">
        <v>1</v>
      </c>
      <c r="M106" s="193">
        <v>1</v>
      </c>
      <c r="N106" s="193" t="s">
        <v>6666</v>
      </c>
      <c r="O106" s="224" t="s">
        <v>7151</v>
      </c>
      <c r="P106" s="224">
        <v>1</v>
      </c>
      <c r="Q106" s="224" t="s">
        <v>249</v>
      </c>
      <c r="U106" s="193">
        <v>1</v>
      </c>
      <c r="AA106" s="200" t="s">
        <v>2247</v>
      </c>
      <c r="AB106" s="200" t="str">
        <f t="array" ref="AB106">INDEX(B:B,SMALL(IF($Q$3:$Q$524&lt;&gt;"",ROW($3:$524),525),ROW(B105)))&amp;""</f>
        <v>雷鸣波</v>
      </c>
      <c r="AC106" s="225" t="str">
        <f>IFERROR(IF(AND($Q107&lt;&gt;"",IF(法术查询!$J$4="",1,INDEX($R107:$Z107,1,VLOOKUP(法术查询!$J$4,$AF$2:$AG$10,2,0)))&lt;&gt;"",IF(法术查询!$J$5="",1,$P107=VLOOKUP(法术查询!$J$5,$AH$2:$AI$11,2,0)),IF(法术查询!$J$6="",1,IF(法术查询!$J$6=$E107,1,0)),IF(法术查询!$J$7="",1,SEARCH(法术查询!$J$7,$F107)),IF(法术查询!$J$8="",1,SEARCH(法术查询!$J$8,G107)),IF(法术查询!$J$9="",1,SEARCH(法术查询!$J$9,N107)),IF(法术查询!$J$10="",1,IF(法术查询!$J$10=$AF$11,IF($M107=1,1,0),IF($M107="",1,0))),IF(法术查询!$J$11="",1,IF(法术查询!$J$11=$AF$11,IF($D107=1,1,0),IF($D107="",1,0))),IF(法术查询!$J$12="",1,SEARCH(法术查询!$J$12,$B107&amp;$C107&amp;$O107)),IF(法术查询!$J$13="",1,SEARCH(法术查询!$J$13,$B107&amp;$C107&amp;$O107)),IF(法术查询!$J$14="",1,SEARCH(法术查询!$J$14,$B107&amp;$C107&amp;$O107)),IF(法术查询!$J$16="",1,IF(法术查询!$J$16=$AF$11,IF($H107=1,1,0),IF($H107="",1,0))),IF(法术查询!$J$17="",1,IF(法术查询!$J$17=$AF$11,IF($I107=1,1,0),IF($I107="",1,0))),IF(法术查询!$J$18="",1,IF(法术查询!$J$18=$AF$11,IF($J107&lt;&gt;"",1,0),IF($J107="",1,0))),IF(法术查询!$J$19="",1,IF(法术查询!$J$19=$AF$11,IF($L107&lt;&gt;"",1,0),IF($L107="",1,0)))),$B107,""),"")</f>
        <v/>
      </c>
      <c r="AD106" s="192" t="str">
        <f t="array" ref="AD106">INDEX(AC:AC,SMALL(IF($AC$2:$AC$523&lt;&gt;"",ROW($2:$523),524),ROW(AC105)))&amp;""</f>
        <v/>
      </c>
      <c r="AE106" s="200" t="str">
        <f t="shared" si="5"/>
        <v/>
      </c>
      <c r="AJ106" s="192">
        <v>105</v>
      </c>
      <c r="AK106" s="193" t="str">
        <f>IF(法术书!AB12="","",法术书!AB12)</f>
        <v/>
      </c>
      <c r="AL106" s="224" t="str">
        <f t="array" ref="AL106">IFERROR(INDEX(AK$1:AK$301,SMALL(IF(MATCH(AK106,AK$1:AK$301,0)=ROW(AK106),ROW(AK$1:AK$301),999),ROW(AK106))),"")</f>
        <v/>
      </c>
      <c r="AM106" s="223" t="str">
        <f t="array" ref="AM106">INDEX(AL:AL,SMALL(IF($AL$2:$AL$301&lt;&gt;"",ROW($2:$301),302),ROW(AL105)))&amp;""</f>
        <v/>
      </c>
    </row>
    <row r="107" customHeight="1" spans="1:39">
      <c r="A107" s="192">
        <v>105</v>
      </c>
      <c r="B107" s="224" t="s">
        <v>7152</v>
      </c>
      <c r="C107" s="224" t="s">
        <v>7153</v>
      </c>
      <c r="E107" s="229" t="s">
        <v>6664</v>
      </c>
      <c r="F107" s="193" t="s">
        <v>6642</v>
      </c>
      <c r="G107" s="193" t="s">
        <v>6860</v>
      </c>
      <c r="H107" s="193">
        <v>1</v>
      </c>
      <c r="I107" s="193">
        <v>1</v>
      </c>
      <c r="N107" s="193" t="s">
        <v>6644</v>
      </c>
      <c r="O107" s="224" t="s">
        <v>7154</v>
      </c>
      <c r="P107" s="224">
        <v>1</v>
      </c>
      <c r="Q107" s="224" t="s">
        <v>249</v>
      </c>
      <c r="R107" s="193">
        <v>1</v>
      </c>
      <c r="T107" s="193">
        <v>1</v>
      </c>
      <c r="W107" s="193">
        <v>1</v>
      </c>
      <c r="X107" s="193">
        <v>1</v>
      </c>
      <c r="AA107" s="223" t="s">
        <v>7155</v>
      </c>
      <c r="AB107" s="200" t="str">
        <f t="array" ref="AB107">INDEX(B:B,SMALL(IF($Q$3:$Q$524&lt;&gt;"",ROW($3:$524),525),ROW(B106)))&amp;""</f>
        <v>隐形仆役</v>
      </c>
      <c r="AC107" s="225" t="str">
        <f>IFERROR(IF(AND($Q108&lt;&gt;"",IF(法术查询!$J$4="",1,INDEX($R108:$Z108,1,VLOOKUP(法术查询!$J$4,$AF$2:$AG$10,2,0)))&lt;&gt;"",IF(法术查询!$J$5="",1,$P108=VLOOKUP(法术查询!$J$5,$AH$2:$AI$11,2,0)),IF(法术查询!$J$6="",1,IF(法术查询!$J$6=$E108,1,0)),IF(法术查询!$J$7="",1,SEARCH(法术查询!$J$7,$F108)),IF(法术查询!$J$8="",1,SEARCH(法术查询!$J$8,G108)),IF(法术查询!$J$9="",1,SEARCH(法术查询!$J$9,N108)),IF(法术查询!$J$10="",1,IF(法术查询!$J$10=$AF$11,IF($M108=1,1,0),IF($M108="",1,0))),IF(法术查询!$J$11="",1,IF(法术查询!$J$11=$AF$11,IF($D108=1,1,0),IF($D108="",1,0))),IF(法术查询!$J$12="",1,SEARCH(法术查询!$J$12,$B108&amp;$C108&amp;$O108)),IF(法术查询!$J$13="",1,SEARCH(法术查询!$J$13,$B108&amp;$C108&amp;$O108)),IF(法术查询!$J$14="",1,SEARCH(法术查询!$J$14,$B108&amp;$C108&amp;$O108)),IF(法术查询!$J$16="",1,IF(法术查询!$J$16=$AF$11,IF($H108=1,1,0),IF($H108="",1,0))),IF(法术查询!$J$17="",1,IF(法术查询!$J$17=$AF$11,IF($I108=1,1,0),IF($I108="",1,0))),IF(法术查询!$J$18="",1,IF(法术查询!$J$18=$AF$11,IF($J108&lt;&gt;"",1,0),IF($J108="",1,0))),IF(法术查询!$J$19="",1,IF(法术查询!$J$19=$AF$11,IF($L108&lt;&gt;"",1,0),IF($L108="",1,0)))),$B108,""),"")</f>
        <v/>
      </c>
      <c r="AD107" s="192" t="str">
        <f t="array" ref="AD107">INDEX(AC:AC,SMALL(IF($AC$2:$AC$523&lt;&gt;"",ROW($2:$523),524),ROW(AC106)))&amp;""</f>
        <v/>
      </c>
      <c r="AE107" s="200" t="str">
        <f t="shared" si="5"/>
        <v/>
      </c>
      <c r="AJ107" s="192">
        <v>106</v>
      </c>
      <c r="AK107" s="193" t="str">
        <f>IF(法术书!AB13="","",法术书!AB13)</f>
        <v/>
      </c>
      <c r="AL107" s="224" t="str">
        <f t="array" ref="AL107">IFERROR(INDEX(AK$1:AK$301,SMALL(IF(MATCH(AK107,AK$1:AK$301,0)=ROW(AK107),ROW(AK$1:AK$301),999),ROW(AK107))),"")</f>
        <v/>
      </c>
      <c r="AM107" s="223" t="str">
        <f t="array" ref="AM107">INDEX(AL:AL,SMALL(IF($AL$2:$AL$301&lt;&gt;"",ROW($2:$301),302),ROW(AL106)))&amp;""</f>
        <v/>
      </c>
    </row>
    <row r="108" customHeight="1" spans="1:39">
      <c r="A108" s="192">
        <v>106</v>
      </c>
      <c r="B108" s="224" t="s">
        <v>7156</v>
      </c>
      <c r="C108" s="224" t="s">
        <v>7157</v>
      </c>
      <c r="D108" s="193">
        <v>1</v>
      </c>
      <c r="E108" s="240" t="s">
        <v>6641</v>
      </c>
      <c r="F108" s="193" t="s">
        <v>6642</v>
      </c>
      <c r="G108" s="193" t="s">
        <v>6643</v>
      </c>
      <c r="H108" s="193">
        <v>1</v>
      </c>
      <c r="I108" s="193">
        <v>1</v>
      </c>
      <c r="J108" s="193">
        <v>1</v>
      </c>
      <c r="K108" s="224" t="s">
        <v>7158</v>
      </c>
      <c r="N108" s="193" t="s">
        <v>6704</v>
      </c>
      <c r="O108" s="224" t="s">
        <v>7159</v>
      </c>
      <c r="P108" s="224">
        <v>1</v>
      </c>
      <c r="Q108" s="224" t="s">
        <v>249</v>
      </c>
      <c r="R108" s="193">
        <v>1</v>
      </c>
      <c r="X108" s="193">
        <v>1</v>
      </c>
      <c r="Y108" s="193">
        <v>1</v>
      </c>
      <c r="AA108" s="200" t="s">
        <v>776</v>
      </c>
      <c r="AB108" s="200" t="str">
        <f t="array" ref="AB108">INDEX(B:B,SMALL(IF($Q$3:$Q$524&lt;&gt;"",ROW($3:$524),525),ROW(B107)))&amp;""</f>
        <v>巫术箭</v>
      </c>
      <c r="AC108" s="225" t="str">
        <f>IFERROR(IF(AND($Q109&lt;&gt;"",IF(法术查询!$J$4="",1,INDEX($R109:$Z109,1,VLOOKUP(法术查询!$J$4,$AF$2:$AG$10,2,0)))&lt;&gt;"",IF(法术查询!$J$5="",1,$P109=VLOOKUP(法术查询!$J$5,$AH$2:$AI$11,2,0)),IF(法术查询!$J$6="",1,IF(法术查询!$J$6=$E109,1,0)),IF(法术查询!$J$7="",1,SEARCH(法术查询!$J$7,$F109)),IF(法术查询!$J$8="",1,SEARCH(法术查询!$J$8,G109)),IF(法术查询!$J$9="",1,SEARCH(法术查询!$J$9,N109)),IF(法术查询!$J$10="",1,IF(法术查询!$J$10=$AF$11,IF($M109=1,1,0),IF($M109="",1,0))),IF(法术查询!$J$11="",1,IF(法术查询!$J$11=$AF$11,IF($D109=1,1,0),IF($D109="",1,0))),IF(法术查询!$J$12="",1,SEARCH(法术查询!$J$12,$B109&amp;$C109&amp;$O109)),IF(法术查询!$J$13="",1,SEARCH(法术查询!$J$13,$B109&amp;$C109&amp;$O109)),IF(法术查询!$J$14="",1,SEARCH(法术查询!$J$14,$B109&amp;$C109&amp;$O109)),IF(法术查询!$J$16="",1,IF(法术查询!$J$16=$AF$11,IF($H109=1,1,0),IF($H109="",1,0))),IF(法术查询!$J$17="",1,IF(法术查询!$J$17=$AF$11,IF($I109=1,1,0),IF($I109="",1,0))),IF(法术查询!$J$18="",1,IF(法术查询!$J$18=$AF$11,IF($J109&lt;&gt;"",1,0),IF($J109="",1,0))),IF(法术查询!$J$19="",1,IF(法术查询!$J$19=$AF$11,IF($L109&lt;&gt;"",1,0),IF($L109="",1,0)))),$B109,""),"")</f>
        <v/>
      </c>
      <c r="AD108" s="192" t="str">
        <f t="array" ref="AD108">INDEX(AC:AC,SMALL(IF($AC$2:$AC$523&lt;&gt;"",ROW($2:$523),524),ROW(AC107)))&amp;""</f>
        <v/>
      </c>
      <c r="AE108" s="200" t="str">
        <f t="shared" si="5"/>
        <v/>
      </c>
      <c r="AJ108" s="192">
        <v>107</v>
      </c>
      <c r="AK108" s="193" t="str">
        <f>IF(法术书!AB14="","",法术书!AB14)</f>
        <v/>
      </c>
      <c r="AL108" s="224" t="str">
        <f t="array" ref="AL108">IFERROR(INDEX(AK$1:AK$301,SMALL(IF(MATCH(AK108,AK$1:AK$301,0)=ROW(AK108),ROW(AK$1:AK$301),999),ROW(AK108))),"")</f>
        <v/>
      </c>
      <c r="AM108" s="223" t="str">
        <f t="array" ref="AM108">INDEX(AL:AL,SMALL(IF($AL$2:$AL$301&lt;&gt;"",ROW($2:$301),302),ROW(AL107)))&amp;""</f>
        <v/>
      </c>
    </row>
    <row r="109" customHeight="1" spans="1:39">
      <c r="A109" s="192">
        <v>107</v>
      </c>
      <c r="B109" s="224" t="s">
        <v>7160</v>
      </c>
      <c r="C109" s="224" t="s">
        <v>7161</v>
      </c>
      <c r="E109" s="229" t="s">
        <v>6664</v>
      </c>
      <c r="F109" s="193" t="s">
        <v>6642</v>
      </c>
      <c r="G109" s="193" t="s">
        <v>6673</v>
      </c>
      <c r="H109" s="193">
        <v>1</v>
      </c>
      <c r="I109" s="193">
        <v>1</v>
      </c>
      <c r="J109" s="193">
        <v>1</v>
      </c>
      <c r="K109" s="224" t="s">
        <v>7162</v>
      </c>
      <c r="M109" s="193">
        <v>1</v>
      </c>
      <c r="N109" s="193" t="s">
        <v>6666</v>
      </c>
      <c r="O109" s="224" t="s">
        <v>7163</v>
      </c>
      <c r="P109" s="224">
        <v>1</v>
      </c>
      <c r="Q109" s="224" t="s">
        <v>249</v>
      </c>
      <c r="W109" s="193">
        <v>1</v>
      </c>
      <c r="X109" s="193">
        <v>1</v>
      </c>
      <c r="Y109" s="193">
        <v>1</v>
      </c>
      <c r="AA109" s="200"/>
      <c r="AB109" s="200" t="str">
        <f t="array" ref="AB109">INDEX(B:B,SMALL(IF($Q$3:$Q$524&lt;&gt;"",ROW($3:$524),525),ROW(B108)))&amp;""</f>
        <v>激愤斩</v>
      </c>
      <c r="AC109" s="225" t="str">
        <f>IFERROR(IF(AND($Q110&lt;&gt;"",IF(法术查询!$J$4="",1,INDEX($R110:$Z110,1,VLOOKUP(法术查询!$J$4,$AF$2:$AG$10,2,0)))&lt;&gt;"",IF(法术查询!$J$5="",1,$P110=VLOOKUP(法术查询!$J$5,$AH$2:$AI$11,2,0)),IF(法术查询!$J$6="",1,IF(法术查询!$J$6=$E110,1,0)),IF(法术查询!$J$7="",1,SEARCH(法术查询!$J$7,$F110)),IF(法术查询!$J$8="",1,SEARCH(法术查询!$J$8,G110)),IF(法术查询!$J$9="",1,SEARCH(法术查询!$J$9,N110)),IF(法术查询!$J$10="",1,IF(法术查询!$J$10=$AF$11,IF($M110=1,1,0),IF($M110="",1,0))),IF(法术查询!$J$11="",1,IF(法术查询!$J$11=$AF$11,IF($D110=1,1,0),IF($D110="",1,0))),IF(法术查询!$J$12="",1,SEARCH(法术查询!$J$12,$B110&amp;$C110&amp;$O110)),IF(法术查询!$J$13="",1,SEARCH(法术查询!$J$13,$B110&amp;$C110&amp;$O110)),IF(法术查询!$J$14="",1,SEARCH(法术查询!$J$14,$B110&amp;$C110&amp;$O110)),IF(法术查询!$J$16="",1,IF(法术查询!$J$16=$AF$11,IF($H110=1,1,0),IF($H110="",1,0))),IF(法术查询!$J$17="",1,IF(法术查询!$J$17=$AF$11,IF($I110=1,1,0),IF($I110="",1,0))),IF(法术查询!$J$18="",1,IF(法术查询!$J$18=$AF$11,IF($J110&lt;&gt;"",1,0),IF($J110="",1,0))),IF(法术查询!$J$19="",1,IF(法术查询!$J$19=$AF$11,IF($L110&lt;&gt;"",1,0),IF($L110="",1,0)))),$B110,""),"")</f>
        <v/>
      </c>
      <c r="AD109" s="192" t="str">
        <f t="array" ref="AD109">INDEX(AC:AC,SMALL(IF($AC$2:$AC$523&lt;&gt;"",ROW($2:$523),524),ROW(AC108)))&amp;""</f>
        <v/>
      </c>
      <c r="AE109" s="200" t="str">
        <f t="shared" si="5"/>
        <v/>
      </c>
      <c r="AJ109" s="192">
        <v>108</v>
      </c>
      <c r="AK109" s="193" t="str">
        <f>IF(法术书!AB15="","",法术书!AB15)</f>
        <v/>
      </c>
      <c r="AL109" s="224" t="str">
        <f t="array" ref="AL109">IFERROR(INDEX(AK$1:AK$301,SMALL(IF(MATCH(AK109,AK$1:AK$301,0)=ROW(AK109),ROW(AK$1:AK$301),999),ROW(AK109))),"")</f>
        <v/>
      </c>
      <c r="AM109" s="223" t="str">
        <f t="array" ref="AM109">INDEX(AL:AL,SMALL(IF($AL$2:$AL$301&lt;&gt;"",ROW($2:$301),302),ROW(AL108)))&amp;""</f>
        <v/>
      </c>
    </row>
    <row r="110" customHeight="1" spans="1:39">
      <c r="A110" s="192">
        <v>108</v>
      </c>
      <c r="B110" s="224" t="s">
        <v>7164</v>
      </c>
      <c r="C110" s="224" t="s">
        <v>7165</v>
      </c>
      <c r="E110" s="229" t="s">
        <v>6664</v>
      </c>
      <c r="F110" s="193" t="s">
        <v>6712</v>
      </c>
      <c r="G110" s="193" t="s">
        <v>6651</v>
      </c>
      <c r="H110" s="193">
        <v>1</v>
      </c>
      <c r="M110" s="193">
        <v>1</v>
      </c>
      <c r="N110" s="193" t="s">
        <v>6666</v>
      </c>
      <c r="O110" s="224" t="s">
        <v>7166</v>
      </c>
      <c r="P110" s="224">
        <v>1</v>
      </c>
      <c r="Q110" s="224" t="s">
        <v>249</v>
      </c>
      <c r="U110" s="193">
        <v>1</v>
      </c>
      <c r="AA110" s="200" t="s">
        <v>3556</v>
      </c>
      <c r="AB110" s="200" t="str">
        <f t="array" ref="AB110">INDEX(B:B,SMALL(IF($Q$3:$Q$524&lt;&gt;"",ROW($3:$524),525),ROW(B109)))&amp;""</f>
        <v>吸收元素</v>
      </c>
      <c r="AC110" s="225" t="str">
        <f>IFERROR(IF(AND($Q111&lt;&gt;"",IF(法术查询!$J$4="",1,INDEX($R111:$Z111,1,VLOOKUP(法术查询!$J$4,$AF$2:$AG$10,2,0)))&lt;&gt;"",IF(法术查询!$J$5="",1,$P111=VLOOKUP(法术查询!$J$5,$AH$2:$AI$11,2,0)),IF(法术查询!$J$6="",1,IF(法术查询!$J$6=$E111,1,0)),IF(法术查询!$J$7="",1,SEARCH(法术查询!$J$7,$F111)),IF(法术查询!$J$8="",1,SEARCH(法术查询!$J$8,G111)),IF(法术查询!$J$9="",1,SEARCH(法术查询!$J$9,N111)),IF(法术查询!$J$10="",1,IF(法术查询!$J$10=$AF$11,IF($M111=1,1,0),IF($M111="",1,0))),IF(法术查询!$J$11="",1,IF(法术查询!$J$11=$AF$11,IF($D111=1,1,0),IF($D111="",1,0))),IF(法术查询!$J$12="",1,SEARCH(法术查询!$J$12,$B111&amp;$C111&amp;$O111)),IF(法术查询!$J$13="",1,SEARCH(法术查询!$J$13,$B111&amp;$C111&amp;$O111)),IF(法术查询!$J$14="",1,SEARCH(法术查询!$J$14,$B111&amp;$C111&amp;$O111)),IF(法术查询!$J$16="",1,IF(法术查询!$J$16=$AF$11,IF($H111=1,1,0),IF($H111="",1,0))),IF(法术查询!$J$17="",1,IF(法术查询!$J$17=$AF$11,IF($I111=1,1,0),IF($I111="",1,0))),IF(法术查询!$J$18="",1,IF(法术查询!$J$18=$AF$11,IF($J111&lt;&gt;"",1,0),IF($J111="",1,0))),IF(法术查询!$J$19="",1,IF(法术查询!$J$19=$AF$11,IF($L111&lt;&gt;"",1,0),IF($L111="",1,0)))),$B111,""),"")</f>
        <v/>
      </c>
      <c r="AD110" s="192" t="str">
        <f t="array" ref="AD110">INDEX(AC:AC,SMALL(IF($AC$2:$AC$523&lt;&gt;"",ROW($2:$523),524),ROW(AC109)))&amp;""</f>
        <v/>
      </c>
      <c r="AE110" s="200" t="str">
        <f t="shared" si="5"/>
        <v/>
      </c>
      <c r="AJ110" s="192">
        <v>109</v>
      </c>
      <c r="AK110" s="193" t="str">
        <f>IF(法术书!AB16="","",法术书!AB16)</f>
        <v/>
      </c>
      <c r="AL110" s="224" t="str">
        <f t="array" ref="AL110">IFERROR(INDEX(AK$1:AK$301,SMALL(IF(MATCH(AK110,AK$1:AK$301,0)=ROW(AK110),ROW(AK$1:AK$301),999),ROW(AK110))),"")</f>
        <v/>
      </c>
      <c r="AM110" s="223" t="str">
        <f t="array" ref="AM110">INDEX(AL:AL,SMALL(IF($AL$2:$AL$301&lt;&gt;"",ROW($2:$301),302),ROW(AL109)))&amp;""</f>
        <v/>
      </c>
    </row>
    <row r="111" customHeight="1" spans="1:39">
      <c r="A111" s="192">
        <v>109</v>
      </c>
      <c r="B111" s="224" t="s">
        <v>7167</v>
      </c>
      <c r="C111" s="224" t="s">
        <v>7168</v>
      </c>
      <c r="E111" s="242" t="s">
        <v>6650</v>
      </c>
      <c r="F111" s="193" t="s">
        <v>6792</v>
      </c>
      <c r="G111" s="193" t="s">
        <v>6651</v>
      </c>
      <c r="I111" s="193">
        <v>1</v>
      </c>
      <c r="N111" s="193" t="s">
        <v>6652</v>
      </c>
      <c r="O111" s="224" t="s">
        <v>7169</v>
      </c>
      <c r="P111" s="224">
        <v>1</v>
      </c>
      <c r="Q111" s="245" t="str">
        <f>IF(综合数据!$B$7=TRUE,"XGE","")</f>
        <v>XGE</v>
      </c>
      <c r="T111" s="193">
        <v>6</v>
      </c>
      <c r="V111" s="193">
        <v>6</v>
      </c>
      <c r="W111" s="193">
        <v>6</v>
      </c>
      <c r="X111" s="193">
        <v>6</v>
      </c>
      <c r="Z111" s="193">
        <v>9</v>
      </c>
      <c r="AA111" s="200"/>
      <c r="AB111" s="200" t="str">
        <f t="array" ref="AB111">INDEX(B:B,SMALL(IF($Q$3:$Q$524&lt;&gt;"",ROW($3:$524),525),ROW(B110)))&amp;""</f>
        <v>兽之联结</v>
      </c>
      <c r="AC111" s="225" t="str">
        <f>IFERROR(IF(AND($Q112&lt;&gt;"",IF(法术查询!$J$4="",1,INDEX($R112:$Z112,1,VLOOKUP(法术查询!$J$4,$AF$2:$AG$10,2,0)))&lt;&gt;"",IF(法术查询!$J$5="",1,$P112=VLOOKUP(法术查询!$J$5,$AH$2:$AI$11,2,0)),IF(法术查询!$J$6="",1,IF(法术查询!$J$6=$E112,1,0)),IF(法术查询!$J$7="",1,SEARCH(法术查询!$J$7,$F112)),IF(法术查询!$J$8="",1,SEARCH(法术查询!$J$8,G112)),IF(法术查询!$J$9="",1,SEARCH(法术查询!$J$9,N112)),IF(法术查询!$J$10="",1,IF(法术查询!$J$10=$AF$11,IF($M112=1,1,0),IF($M112="",1,0))),IF(法术查询!$J$11="",1,IF(法术查询!$J$11=$AF$11,IF($D112=1,1,0),IF($D112="",1,0))),IF(法术查询!$J$12="",1,SEARCH(法术查询!$J$12,$B112&amp;$C112&amp;$O112)),IF(法术查询!$J$13="",1,SEARCH(法术查询!$J$13,$B112&amp;$C112&amp;$O112)),IF(法术查询!$J$14="",1,SEARCH(法术查询!$J$14,$B112&amp;$C112&amp;$O112)),IF(法术查询!$J$16="",1,IF(法术查询!$J$16=$AF$11,IF($H112=1,1,0),IF($H112="",1,0))),IF(法术查询!$J$17="",1,IF(法术查询!$J$17=$AF$11,IF($I112=1,1,0),IF($I112="",1,0))),IF(法术查询!$J$18="",1,IF(法术查询!$J$18=$AF$11,IF($J112&lt;&gt;"",1,0),IF($J112="",1,0))),IF(法术查询!$J$19="",1,IF(法术查询!$J$19=$AF$11,IF($L112&lt;&gt;"",1,0),IF($L112="",1,0)))),$B112,""),"")</f>
        <v/>
      </c>
      <c r="AD111" s="192" t="str">
        <f t="array" ref="AD111">INDEX(AC:AC,SMALL(IF($AC$2:$AC$523&lt;&gt;"",ROW($2:$523),524),ROW(AC110)))&amp;""</f>
        <v/>
      </c>
      <c r="AE111" s="200" t="str">
        <f t="shared" si="5"/>
        <v/>
      </c>
      <c r="AJ111" s="192">
        <v>110</v>
      </c>
      <c r="AK111" s="193" t="str">
        <f>IF(法术书!AB17="","",法术书!AB17)</f>
        <v/>
      </c>
      <c r="AL111" s="224" t="str">
        <f t="array" ref="AL111">IFERROR(INDEX(AK$1:AK$301,SMALL(IF(MATCH(AK111,AK$1:AK$301,0)=ROW(AK111),ROW(AK$1:AK$301),999),ROW(AK111))),"")</f>
        <v/>
      </c>
      <c r="AM111" s="223" t="str">
        <f t="array" ref="AM111">INDEX(AL:AL,SMALL(IF($AL$2:$AL$301&lt;&gt;"",ROW($2:$301),302),ROW(AL110)))&amp;""</f>
        <v/>
      </c>
    </row>
    <row r="112" customHeight="1" spans="1:39">
      <c r="A112" s="192">
        <v>110</v>
      </c>
      <c r="B112" s="224" t="s">
        <v>7170</v>
      </c>
      <c r="C112" s="224" t="s">
        <v>7171</v>
      </c>
      <c r="E112" s="238" t="s">
        <v>6695</v>
      </c>
      <c r="F112" s="193" t="s">
        <v>6642</v>
      </c>
      <c r="G112" s="193" t="s">
        <v>3760</v>
      </c>
      <c r="H112" s="193">
        <v>1</v>
      </c>
      <c r="I112" s="193">
        <v>1</v>
      </c>
      <c r="J112" s="193">
        <v>1</v>
      </c>
      <c r="K112" s="224" t="s">
        <v>7172</v>
      </c>
      <c r="M112" s="193">
        <v>1</v>
      </c>
      <c r="N112" s="193" t="s">
        <v>6831</v>
      </c>
      <c r="O112" s="224" t="s">
        <v>7173</v>
      </c>
      <c r="P112" s="224">
        <v>1</v>
      </c>
      <c r="Q112" s="245" t="str">
        <f>IF(综合数据!$B$7=TRUE,"XGE","")</f>
        <v>XGE</v>
      </c>
      <c r="T112" s="193">
        <v>6</v>
      </c>
      <c r="V112" s="193">
        <v>6</v>
      </c>
      <c r="AA112" s="200"/>
      <c r="AB112" s="200" t="str">
        <f t="array" ref="AB112">INDEX(B:B,SMALL(IF($Q$3:$Q$524&lt;&gt;"",ROW($3:$524),525),ROW(B111)))&amp;""</f>
        <v>弹射</v>
      </c>
      <c r="AC112" s="225" t="str">
        <f>IFERROR(IF(AND($Q113&lt;&gt;"",IF(法术查询!$J$4="",1,INDEX($R113:$Z113,1,VLOOKUP(法术查询!$J$4,$AF$2:$AG$10,2,0)))&lt;&gt;"",IF(法术查询!$J$5="",1,$P113=VLOOKUP(法术查询!$J$5,$AH$2:$AI$11,2,0)),IF(法术查询!$J$6="",1,IF(法术查询!$J$6=$E113,1,0)),IF(法术查询!$J$7="",1,SEARCH(法术查询!$J$7,$F113)),IF(法术查询!$J$8="",1,SEARCH(法术查询!$J$8,G113)),IF(法术查询!$J$9="",1,SEARCH(法术查询!$J$9,N113)),IF(法术查询!$J$10="",1,IF(法术查询!$J$10=$AF$11,IF($M113=1,1,0),IF($M113="",1,0))),IF(法术查询!$J$11="",1,IF(法术查询!$J$11=$AF$11,IF($D113=1,1,0),IF($D113="",1,0))),IF(法术查询!$J$12="",1,SEARCH(法术查询!$J$12,$B113&amp;$C113&amp;$O113)),IF(法术查询!$J$13="",1,SEARCH(法术查询!$J$13,$B113&amp;$C113&amp;$O113)),IF(法术查询!$J$14="",1,SEARCH(法术查询!$J$14,$B113&amp;$C113&amp;$O113)),IF(法术查询!$J$16="",1,IF(法术查询!$J$16=$AF$11,IF($H113=1,1,0),IF($H113="",1,0))),IF(法术查询!$J$17="",1,IF(法术查询!$J$17=$AF$11,IF($I113=1,1,0),IF($I113="",1,0))),IF(法术查询!$J$18="",1,IF(法术查询!$J$18=$AF$11,IF($J113&lt;&gt;"",1,0),IF($J113="",1,0))),IF(法术查询!$J$19="",1,IF(法术查询!$J$19=$AF$11,IF($L113&lt;&gt;"",1,0),IF($L113="",1,0)))),$B113,""),"")</f>
        <v/>
      </c>
      <c r="AD112" s="192" t="str">
        <f t="array" ref="AD112">INDEX(AC:AC,SMALL(IF($AC$2:$AC$523&lt;&gt;"",ROW($2:$523),524),ROW(AC111)))&amp;""</f>
        <v/>
      </c>
      <c r="AE112" s="200" t="str">
        <f t="shared" si="5"/>
        <v/>
      </c>
      <c r="AJ112" s="192">
        <v>111</v>
      </c>
      <c r="AK112" s="193" t="str">
        <f>IF(法术书!AB18="","",法术书!AB18)</f>
        <v/>
      </c>
      <c r="AL112" s="224" t="str">
        <f t="array" ref="AL112">IFERROR(INDEX(AK$1:AK$301,SMALL(IF(MATCH(AK112,AK$1:AK$301,0)=ROW(AK112),ROW(AK$1:AK$301),999),ROW(AK112))),"")</f>
        <v/>
      </c>
      <c r="AM112" s="223" t="str">
        <f t="array" ref="AM112">INDEX(AL:AL,SMALL(IF($AL$2:$AL$301&lt;&gt;"",ROW($2:$301),302),ROW(AL111)))&amp;""</f>
        <v/>
      </c>
    </row>
    <row r="113" customHeight="1" spans="1:39">
      <c r="A113" s="192">
        <v>111</v>
      </c>
      <c r="B113" s="224" t="s">
        <v>7174</v>
      </c>
      <c r="C113" s="224" t="s">
        <v>7175</v>
      </c>
      <c r="E113" s="231" t="s">
        <v>6672</v>
      </c>
      <c r="F113" s="193" t="s">
        <v>6642</v>
      </c>
      <c r="G113" s="193" t="s">
        <v>6643</v>
      </c>
      <c r="I113" s="193">
        <v>1</v>
      </c>
      <c r="N113" s="193" t="s">
        <v>6644</v>
      </c>
      <c r="O113" s="224" t="s">
        <v>7176</v>
      </c>
      <c r="P113" s="224">
        <v>1</v>
      </c>
      <c r="Q113" s="245" t="str">
        <f>IF(综合数据!$B$7=TRUE,"XGE","")</f>
        <v>XGE</v>
      </c>
      <c r="W113" s="193">
        <v>6</v>
      </c>
      <c r="X113" s="193">
        <v>6</v>
      </c>
      <c r="Z113" s="193">
        <v>9</v>
      </c>
      <c r="AA113" s="200"/>
      <c r="AB113" s="200" t="str">
        <f t="array" ref="AB113">INDEX(B:B,SMALL(IF($Q$3:$Q$524&lt;&gt;"",ROW($3:$524),525),ROW(B112)))&amp;""</f>
        <v>造成恐惧</v>
      </c>
      <c r="AC113" s="225" t="str">
        <f>IFERROR(IF(AND($Q114&lt;&gt;"",IF(法术查询!$J$4="",1,INDEX($R114:$Z114,1,VLOOKUP(法术查询!$J$4,$AF$2:$AG$10,2,0)))&lt;&gt;"",IF(法术查询!$J$5="",1,$P114=VLOOKUP(法术查询!$J$5,$AH$2:$AI$11,2,0)),IF(法术查询!$J$6="",1,IF(法术查询!$J$6=$E114,1,0)),IF(法术查询!$J$7="",1,SEARCH(法术查询!$J$7,$F114)),IF(法术查询!$J$8="",1,SEARCH(法术查询!$J$8,G114)),IF(法术查询!$J$9="",1,SEARCH(法术查询!$J$9,N114)),IF(法术查询!$J$10="",1,IF(法术查询!$J$10=$AF$11,IF($M114=1,1,0),IF($M114="",1,0))),IF(法术查询!$J$11="",1,IF(法术查询!$J$11=$AF$11,IF($D114=1,1,0),IF($D114="",1,0))),IF(法术查询!$J$12="",1,SEARCH(法术查询!$J$12,$B114&amp;$C114&amp;$O114)),IF(法术查询!$J$13="",1,SEARCH(法术查询!$J$13,$B114&amp;$C114&amp;$O114)),IF(法术查询!$J$14="",1,SEARCH(法术查询!$J$14,$B114&amp;$C114&amp;$O114)),IF(法术查询!$J$16="",1,IF(法术查询!$J$16=$AF$11,IF($H114=1,1,0),IF($H114="",1,0))),IF(法术查询!$J$17="",1,IF(法术查询!$J$17=$AF$11,IF($I114=1,1,0),IF($I114="",1,0))),IF(法术查询!$J$18="",1,IF(法术查询!$J$18=$AF$11,IF($J114&lt;&gt;"",1,0),IF($J114="",1,0))),IF(法术查询!$J$19="",1,IF(法术查询!$J$19=$AF$11,IF($L114&lt;&gt;"",1,0),IF($L114="",1,0)))),$B114,""),"")</f>
        <v/>
      </c>
      <c r="AD113" s="192" t="str">
        <f t="array" ref="AD113">INDEX(AC:AC,SMALL(IF($AC$2:$AC$523&lt;&gt;"",ROW($2:$523),524),ROW(AC112)))&amp;""</f>
        <v/>
      </c>
      <c r="AE113" s="200" t="str">
        <f t="shared" si="5"/>
        <v/>
      </c>
      <c r="AJ113" s="192">
        <v>112</v>
      </c>
      <c r="AK113" s="193" t="str">
        <f>IF(法术书!AB19="","",法术书!AB19)</f>
        <v/>
      </c>
      <c r="AL113" s="224" t="str">
        <f t="array" ref="AL113">IFERROR(INDEX(AK$1:AK$301,SMALL(IF(MATCH(AK113,AK$1:AK$301,0)=ROW(AK113),ROW(AK$1:AK$301),999),ROW(AK113))),"")</f>
        <v/>
      </c>
      <c r="AM113" s="223" t="str">
        <f t="array" ref="AM113">INDEX(AL:AL,SMALL(IF($AL$2:$AL$301&lt;&gt;"",ROW($2:$301),302),ROW(AL112)))&amp;""</f>
        <v/>
      </c>
    </row>
    <row r="114" customHeight="1" spans="1:39">
      <c r="A114" s="192">
        <v>112</v>
      </c>
      <c r="B114" s="224" t="s">
        <v>7177</v>
      </c>
      <c r="C114" s="224" t="s">
        <v>7178</v>
      </c>
      <c r="E114" s="243" t="s">
        <v>6657</v>
      </c>
      <c r="F114" s="193" t="s">
        <v>6642</v>
      </c>
      <c r="G114" s="193" t="s">
        <v>6643</v>
      </c>
      <c r="H114" s="193">
        <v>1</v>
      </c>
      <c r="M114" s="193">
        <v>1</v>
      </c>
      <c r="N114" s="193" t="s">
        <v>6666</v>
      </c>
      <c r="O114" s="224" t="s">
        <v>7179</v>
      </c>
      <c r="P114" s="224">
        <v>1</v>
      </c>
      <c r="Q114" s="245" t="str">
        <f>IF(综合数据!$B$7=TRUE,"XGE","")</f>
        <v>XGE</v>
      </c>
      <c r="X114" s="193">
        <v>6</v>
      </c>
      <c r="Y114" s="193">
        <v>6</v>
      </c>
      <c r="AA114" s="200"/>
      <c r="AB114" s="200" t="str">
        <f t="array" ref="AB114">INDEX(B:B,SMALL(IF($Q$3:$Q$524&lt;&gt;"",ROW($3:$524),525),ROW(B113)))&amp;""</f>
        <v>典礼术</v>
      </c>
      <c r="AC114" s="225" t="str">
        <f>IFERROR(IF(AND($Q115&lt;&gt;"",IF(法术查询!$J$4="",1,INDEX($R115:$Z115,1,VLOOKUP(法术查询!$J$4,$AF$2:$AG$10,2,0)))&lt;&gt;"",IF(法术查询!$J$5="",1,$P115=VLOOKUP(法术查询!$J$5,$AH$2:$AI$11,2,0)),IF(法术查询!$J$6="",1,IF(法术查询!$J$6=$E115,1,0)),IF(法术查询!$J$7="",1,SEARCH(法术查询!$J$7,$F115)),IF(法术查询!$J$8="",1,SEARCH(法术查询!$J$8,G115)),IF(法术查询!$J$9="",1,SEARCH(法术查询!$J$9,N115)),IF(法术查询!$J$10="",1,IF(法术查询!$J$10=$AF$11,IF($M115=1,1,0),IF($M115="",1,0))),IF(法术查询!$J$11="",1,IF(法术查询!$J$11=$AF$11,IF($D115=1,1,0),IF($D115="",1,0))),IF(法术查询!$J$12="",1,SEARCH(法术查询!$J$12,$B115&amp;$C115&amp;$O115)),IF(法术查询!$J$13="",1,SEARCH(法术查询!$J$13,$B115&amp;$C115&amp;$O115)),IF(法术查询!$J$14="",1,SEARCH(法术查询!$J$14,$B115&amp;$C115&amp;$O115)),IF(法术查询!$J$16="",1,IF(法术查询!$J$16=$AF$11,IF($H115=1,1,0),IF($H115="",1,0))),IF(法术查询!$J$17="",1,IF(法术查询!$J$17=$AF$11,IF($I115=1,1,0),IF($I115="",1,0))),IF(法术查询!$J$18="",1,IF(法术查询!$J$18=$AF$11,IF($J115&lt;&gt;"",1,0),IF($J115="",1,0))),IF(法术查询!$J$19="",1,IF(法术查询!$J$19=$AF$11,IF($L115&lt;&gt;"",1,0),IF($L115="",1,0)))),$B115,""),"")</f>
        <v/>
      </c>
      <c r="AD114" s="192" t="str">
        <f t="array" ref="AD114">INDEX(AC:AC,SMALL(IF($AC$2:$AC$523&lt;&gt;"",ROW($2:$523),524),ROW(AC113)))&amp;""</f>
        <v/>
      </c>
      <c r="AE114" s="200" t="str">
        <f t="shared" si="5"/>
        <v/>
      </c>
      <c r="AJ114" s="192">
        <v>113</v>
      </c>
      <c r="AK114" s="193" t="str">
        <f>IF(法术书!AB20="","",法术书!AB20)</f>
        <v/>
      </c>
      <c r="AL114" s="224" t="str">
        <f t="array" ref="AL114">IFERROR(INDEX(AK$1:AK$301,SMALL(IF(MATCH(AK114,AK$1:AK$301,0)=ROW(AK114),ROW(AK$1:AK$301),999),ROW(AK114))),"")</f>
        <v/>
      </c>
      <c r="AM114" s="223" t="str">
        <f t="array" ref="AM114">INDEX(AL:AL,SMALL(IF($AL$2:$AL$301&lt;&gt;"",ROW($2:$301),302),ROW(AL113)))&amp;""</f>
        <v/>
      </c>
    </row>
    <row r="115" customHeight="1" spans="1:39">
      <c r="A115" s="192">
        <v>113</v>
      </c>
      <c r="B115" s="224" t="s">
        <v>7180</v>
      </c>
      <c r="C115" s="224" t="s">
        <v>7181</v>
      </c>
      <c r="D115" s="193">
        <v>1</v>
      </c>
      <c r="E115" s="242" t="s">
        <v>6650</v>
      </c>
      <c r="F115" s="193" t="s">
        <v>6704</v>
      </c>
      <c r="G115" s="193" t="s">
        <v>3760</v>
      </c>
      <c r="H115" s="193">
        <v>1</v>
      </c>
      <c r="I115" s="193">
        <v>1</v>
      </c>
      <c r="J115" s="193">
        <v>1</v>
      </c>
      <c r="L115" s="224" t="s">
        <v>7182</v>
      </c>
      <c r="N115" s="193" t="s">
        <v>6644</v>
      </c>
      <c r="O115" s="224" t="s">
        <v>7183</v>
      </c>
      <c r="P115" s="224">
        <v>1</v>
      </c>
      <c r="Q115" s="245" t="str">
        <f>IF(综合数据!$B$7=TRUE,"XGE","")</f>
        <v>XGE</v>
      </c>
      <c r="S115" s="193">
        <v>6</v>
      </c>
      <c r="U115" s="193">
        <v>6</v>
      </c>
      <c r="AA115" s="200"/>
      <c r="AB115" s="200" t="str">
        <f t="array" ref="AB115">INDEX(B:B,SMALL(IF($Q$3:$Q$524&lt;&gt;"",ROW($3:$524),525),ROW(B114)))&amp;""</f>
        <v>混乱箭</v>
      </c>
      <c r="AC115" s="225" t="str">
        <f>IFERROR(IF(AND($Q116&lt;&gt;"",IF(法术查询!$J$4="",1,INDEX($R116:$Z116,1,VLOOKUP(法术查询!$J$4,$AF$2:$AG$10,2,0)))&lt;&gt;"",IF(法术查询!$J$5="",1,$P116=VLOOKUP(法术查询!$J$5,$AH$2:$AI$11,2,0)),IF(法术查询!$J$6="",1,IF(法术查询!$J$6=$E116,1,0)),IF(法术查询!$J$7="",1,SEARCH(法术查询!$J$7,$F116)),IF(法术查询!$J$8="",1,SEARCH(法术查询!$J$8,G116)),IF(法术查询!$J$9="",1,SEARCH(法术查询!$J$9,N116)),IF(法术查询!$J$10="",1,IF(法术查询!$J$10=$AF$11,IF($M116=1,1,0),IF($M116="",1,0))),IF(法术查询!$J$11="",1,IF(法术查询!$J$11=$AF$11,IF($D116=1,1,0),IF($D116="",1,0))),IF(法术查询!$J$12="",1,SEARCH(法术查询!$J$12,$B116&amp;$C116&amp;$O116)),IF(法术查询!$J$13="",1,SEARCH(法术查询!$J$13,$B116&amp;$C116&amp;$O116)),IF(法术查询!$J$14="",1,SEARCH(法术查询!$J$14,$B116&amp;$C116&amp;$O116)),IF(法术查询!$J$16="",1,IF(法术查询!$J$16=$AF$11,IF($H116=1,1,0),IF($H116="",1,0))),IF(法术查询!$J$17="",1,IF(法术查询!$J$17=$AF$11,IF($I116=1,1,0),IF($I116="",1,0))),IF(法术查询!$J$18="",1,IF(法术查询!$J$18=$AF$11,IF($J116&lt;&gt;"",1,0),IF($J116="",1,0))),IF(法术查询!$J$19="",1,IF(法术查询!$J$19=$AF$11,IF($L116&lt;&gt;"",1,0),IF($L116="",1,0)))),$B116,""),"")</f>
        <v/>
      </c>
      <c r="AD115" s="192" t="str">
        <f t="array" ref="AD115">INDEX(AC:AC,SMALL(IF($AC$2:$AC$523&lt;&gt;"",ROW($2:$523),524),ROW(AC114)))&amp;""</f>
        <v/>
      </c>
      <c r="AE115" s="200" t="str">
        <f t="shared" si="5"/>
        <v/>
      </c>
      <c r="AJ115" s="192">
        <v>114</v>
      </c>
      <c r="AK115" s="193" t="str">
        <f>IF(法术书!AB21="","",法术书!AB21)</f>
        <v/>
      </c>
      <c r="AL115" s="224" t="str">
        <f t="array" ref="AL115">IFERROR(INDEX(AK$1:AK$301,SMALL(IF(MATCH(AK115,AK$1:AK$301,0)=ROW(AK115),ROW(AK$1:AK$301),999),ROW(AK115))),"")</f>
        <v/>
      </c>
      <c r="AM115" s="223" t="str">
        <f t="array" ref="AM115">INDEX(AL:AL,SMALL(IF($AL$2:$AL$301&lt;&gt;"",ROW($2:$301),302),ROW(AL114)))&amp;""</f>
        <v/>
      </c>
    </row>
    <row r="116" customHeight="1" spans="1:39">
      <c r="A116" s="192">
        <v>114</v>
      </c>
      <c r="B116" s="224" t="s">
        <v>7184</v>
      </c>
      <c r="C116" s="224" t="s">
        <v>7185</v>
      </c>
      <c r="E116" s="229" t="s">
        <v>6664</v>
      </c>
      <c r="F116" s="193" t="s">
        <v>6642</v>
      </c>
      <c r="G116" s="193" t="s">
        <v>6658</v>
      </c>
      <c r="H116" s="193">
        <v>1</v>
      </c>
      <c r="I116" s="193">
        <v>1</v>
      </c>
      <c r="N116" s="193" t="s">
        <v>6644</v>
      </c>
      <c r="O116" s="224" t="s">
        <v>7186</v>
      </c>
      <c r="P116" s="224">
        <v>1</v>
      </c>
      <c r="Q116" s="245" t="str">
        <f>IF(综合数据!$B$7=TRUE,"XGE","")</f>
        <v>XGE</v>
      </c>
      <c r="W116" s="193">
        <v>6</v>
      </c>
      <c r="AA116" s="200" t="s">
        <v>7187</v>
      </c>
      <c r="AB116" s="200" t="str">
        <f t="array" ref="AB116">INDEX(B:B,SMALL(IF($Q$3:$Q$524&lt;&gt;"",ROW($3:$524),525),ROW(B115)))&amp;""</f>
        <v>地动</v>
      </c>
      <c r="AC116" s="225" t="str">
        <f>IFERROR(IF(AND($Q117&lt;&gt;"",IF(法术查询!$J$4="",1,INDEX($R117:$Z117,1,VLOOKUP(法术查询!$J$4,$AF$2:$AG$10,2,0)))&lt;&gt;"",IF(法术查询!$J$5="",1,$P117=VLOOKUP(法术查询!$J$5,$AH$2:$AI$11,2,0)),IF(法术查询!$J$6="",1,IF(法术查询!$J$6=$E117,1,0)),IF(法术查询!$J$7="",1,SEARCH(法术查询!$J$7,$F117)),IF(法术查询!$J$8="",1,SEARCH(法术查询!$J$8,G117)),IF(法术查询!$J$9="",1,SEARCH(法术查询!$J$9,N117)),IF(法术查询!$J$10="",1,IF(法术查询!$J$10=$AF$11,IF($M117=1,1,0),IF($M117="",1,0))),IF(法术查询!$J$11="",1,IF(法术查询!$J$11=$AF$11,IF($D117=1,1,0),IF($D117="",1,0))),IF(法术查询!$J$12="",1,SEARCH(法术查询!$J$12,$B117&amp;$C117&amp;$O117)),IF(法术查询!$J$13="",1,SEARCH(法术查询!$J$13,$B117&amp;$C117&amp;$O117)),IF(法术查询!$J$14="",1,SEARCH(法术查询!$J$14,$B117&amp;$C117&amp;$O117)),IF(法术查询!$J$16="",1,IF(法术查询!$J$16=$AF$11,IF($H117=1,1,0),IF($H117="",1,0))),IF(法术查询!$J$17="",1,IF(法术查询!$J$17=$AF$11,IF($I117=1,1,0),IF($I117="",1,0))),IF(法术查询!$J$18="",1,IF(法术查询!$J$18=$AF$11,IF($J117&lt;&gt;"",1,0),IF($J117="",1,0))),IF(法术查询!$J$19="",1,IF(法术查询!$J$19=$AF$11,IF($L117&lt;&gt;"",1,0),IF($L117="",1,0)))),$B117,""),"")</f>
        <v/>
      </c>
      <c r="AD116" s="192" t="str">
        <f t="array" ref="AD116">INDEX(AC:AC,SMALL(IF($AC$2:$AC$523&lt;&gt;"",ROW($2:$523),524),ROW(AC115)))&amp;""</f>
        <v/>
      </c>
      <c r="AE116" s="200" t="str">
        <f t="shared" si="5"/>
        <v/>
      </c>
      <c r="AJ116" s="192">
        <v>115</v>
      </c>
      <c r="AK116" s="193" t="str">
        <f>IF(法术书!AB22="","",法术书!AB22)</f>
        <v/>
      </c>
      <c r="AL116" s="224" t="str">
        <f t="array" ref="AL116">IFERROR(INDEX(AK$1:AK$301,SMALL(IF(MATCH(AK116,AK$1:AK$301,0)=ROW(AK116),ROW(AK$1:AK$301),999),ROW(AK116))),"")</f>
        <v/>
      </c>
      <c r="AM116" s="223" t="str">
        <f t="array" ref="AM116">INDEX(AL:AL,SMALL(IF($AL$2:$AL$301&lt;&gt;"",ROW($2:$301),302),ROW(AL115)))&amp;""</f>
        <v/>
      </c>
    </row>
    <row r="117" customHeight="1" spans="1:39">
      <c r="A117" s="192">
        <v>115</v>
      </c>
      <c r="B117" s="224" t="s">
        <v>7188</v>
      </c>
      <c r="C117" s="224" t="s">
        <v>7189</v>
      </c>
      <c r="E117" s="229" t="s">
        <v>6664</v>
      </c>
      <c r="F117" s="193" t="s">
        <v>6642</v>
      </c>
      <c r="G117" s="193" t="s">
        <v>6730</v>
      </c>
      <c r="H117" s="193">
        <v>1</v>
      </c>
      <c r="I117" s="193">
        <v>1</v>
      </c>
      <c r="N117" s="193" t="s">
        <v>6644</v>
      </c>
      <c r="O117" s="224" t="s">
        <v>7190</v>
      </c>
      <c r="P117" s="224">
        <v>1</v>
      </c>
      <c r="Q117" s="245" t="str">
        <f>IF(综合数据!$B$7=TRUE,"XGE","")</f>
        <v>XGE</v>
      </c>
      <c r="R117" s="193">
        <v>6</v>
      </c>
      <c r="T117" s="193">
        <v>6</v>
      </c>
      <c r="W117" s="193">
        <v>6</v>
      </c>
      <c r="X117" s="193">
        <v>6</v>
      </c>
      <c r="AA117" s="200"/>
      <c r="AB117" s="200" t="str">
        <f t="array" ref="AB117">INDEX(B:B,SMALL(IF($Q$3:$Q$524&lt;&gt;"",ROW($3:$524),525),ROW(B116)))&amp;""</f>
        <v>冰刃</v>
      </c>
      <c r="AC117" s="225" t="str">
        <f>IFERROR(IF(AND($Q118&lt;&gt;"",IF(法术查询!$J$4="",1,INDEX($R118:$Z118,1,VLOOKUP(法术查询!$J$4,$AF$2:$AG$10,2,0)))&lt;&gt;"",IF(法术查询!$J$5="",1,$P118=VLOOKUP(法术查询!$J$5,$AH$2:$AI$11,2,0)),IF(法术查询!$J$6="",1,IF(法术查询!$J$6=$E118,1,0)),IF(法术查询!$J$7="",1,SEARCH(法术查询!$J$7,$F118)),IF(法术查询!$J$8="",1,SEARCH(法术查询!$J$8,G118)),IF(法术查询!$J$9="",1,SEARCH(法术查询!$J$9,N118)),IF(法术查询!$J$10="",1,IF(法术查询!$J$10=$AF$11,IF($M118=1,1,0),IF($M118="",1,0))),IF(法术查询!$J$11="",1,IF(法术查询!$J$11=$AF$11,IF($D118=1,1,0),IF($D118="",1,0))),IF(法术查询!$J$12="",1,SEARCH(法术查询!$J$12,$B118&amp;$C118&amp;$O118)),IF(法术查询!$J$13="",1,SEARCH(法术查询!$J$13,$B118&amp;$C118&amp;$O118)),IF(法术查询!$J$14="",1,SEARCH(法术查询!$J$14,$B118&amp;$C118&amp;$O118)),IF(法术查询!$J$16="",1,IF(法术查询!$J$16=$AF$11,IF($H118=1,1,0),IF($H118="",1,0))),IF(法术查询!$J$17="",1,IF(法术查询!$J$17=$AF$11,IF($I118=1,1,0),IF($I118="",1,0))),IF(法术查询!$J$18="",1,IF(法术查询!$J$18=$AF$11,IF($J118&lt;&gt;"",1,0),IF($J118="",1,0))),IF(法术查询!$J$19="",1,IF(法术查询!$J$19=$AF$11,IF($L118&lt;&gt;"",1,0),IF($L118="",1,0)))),$B118,""),"")</f>
        <v/>
      </c>
      <c r="AD117" s="192" t="str">
        <f t="array" ref="AD117">INDEX(AC:AC,SMALL(IF($AC$2:$AC$523&lt;&gt;"",ROW($2:$523),524),ROW(AC116)))&amp;""</f>
        <v/>
      </c>
      <c r="AE117" s="200" t="str">
        <f t="shared" si="5"/>
        <v/>
      </c>
      <c r="AJ117" s="192">
        <v>116</v>
      </c>
      <c r="AK117" s="193" t="str">
        <f>IF(法术书!AB23="","",法术书!AB23)</f>
        <v/>
      </c>
      <c r="AL117" s="224" t="str">
        <f t="array" ref="AL117">IFERROR(INDEX(AK$1:AK$301,SMALL(IF(MATCH(AK117,AK$1:AK$301,0)=ROW(AK117),ROW(AK$1:AK$301),999),ROW(AK117))),"")</f>
        <v/>
      </c>
      <c r="AM117" s="223" t="str">
        <f t="array" ref="AM117">INDEX(AL:AL,SMALL(IF($AL$2:$AL$301&lt;&gt;"",ROW($2:$301),302),ROW(AL116)))&amp;""</f>
        <v/>
      </c>
    </row>
    <row r="118" customHeight="1" spans="1:39">
      <c r="A118" s="192">
        <v>116</v>
      </c>
      <c r="B118" s="224" t="s">
        <v>7191</v>
      </c>
      <c r="C118" s="224" t="s">
        <v>7192</v>
      </c>
      <c r="E118" s="240" t="s">
        <v>6641</v>
      </c>
      <c r="F118" s="193" t="s">
        <v>6642</v>
      </c>
      <c r="G118" s="193" t="s">
        <v>6643</v>
      </c>
      <c r="I118" s="193">
        <v>1</v>
      </c>
      <c r="J118" s="193">
        <v>1</v>
      </c>
      <c r="K118" s="224" t="s">
        <v>7193</v>
      </c>
      <c r="N118" s="193" t="s">
        <v>6644</v>
      </c>
      <c r="O118" s="224" t="s">
        <v>7194</v>
      </c>
      <c r="P118" s="224">
        <v>1</v>
      </c>
      <c r="Q118" s="245" t="str">
        <f>IF(综合数据!$B$7=TRUE,"XGE","")</f>
        <v>XGE</v>
      </c>
      <c r="T118" s="193">
        <v>6</v>
      </c>
      <c r="W118" s="193">
        <v>6</v>
      </c>
      <c r="X118" s="193">
        <v>6</v>
      </c>
      <c r="AA118" s="200"/>
      <c r="AB118" s="200" t="str">
        <f t="array" ref="AB118">INDEX(B:B,SMALL(IF($Q$3:$Q$524&lt;&gt;"",ROW($3:$524),525),ROW(B117)))&amp;""</f>
        <v>魔法圈套</v>
      </c>
      <c r="AC118" s="225" t="str">
        <f>IFERROR(IF(AND($Q119&lt;&gt;"",IF(法术查询!$J$4="",1,INDEX($R119:$Z119,1,VLOOKUP(法术查询!$J$4,$AF$2:$AG$10,2,0)))&lt;&gt;"",IF(法术查询!$J$5="",1,$P119=VLOOKUP(法术查询!$J$5,$AH$2:$AI$11,2,0)),IF(法术查询!$J$6="",1,IF(法术查询!$J$6=$E119,1,0)),IF(法术查询!$J$7="",1,SEARCH(法术查询!$J$7,$F119)),IF(法术查询!$J$8="",1,SEARCH(法术查询!$J$8,G119)),IF(法术查询!$J$9="",1,SEARCH(法术查询!$J$9,N119)),IF(法术查询!$J$10="",1,IF(法术查询!$J$10=$AF$11,IF($M119=1,1,0),IF($M119="",1,0))),IF(法术查询!$J$11="",1,IF(法术查询!$J$11=$AF$11,IF($D119=1,1,0),IF($D119="",1,0))),IF(法术查询!$J$12="",1,SEARCH(法术查询!$J$12,$B119&amp;$C119&amp;$O119)),IF(法术查询!$J$13="",1,SEARCH(法术查询!$J$13,$B119&amp;$C119&amp;$O119)),IF(法术查询!$J$14="",1,SEARCH(法术查询!$J$14,$B119&amp;$C119&amp;$O119)),IF(法术查询!$J$16="",1,IF(法术查询!$J$16=$AF$11,IF($H119=1,1,0),IF($H119="",1,0))),IF(法术查询!$J$17="",1,IF(法术查询!$J$17=$AF$11,IF($I119=1,1,0),IF($I119="",1,0))),IF(法术查询!$J$18="",1,IF(法术查询!$J$18=$AF$11,IF($J119&lt;&gt;"",1,0),IF($J119="",1,0))),IF(法术查询!$J$19="",1,IF(法术查询!$J$19=$AF$11,IF($L119&lt;&gt;"",1,0),IF($L119="",1,0)))),$B119,""),"")</f>
        <v/>
      </c>
      <c r="AD118" s="192" t="str">
        <f t="array" ref="AD118">INDEX(AC:AC,SMALL(IF($AC$2:$AC$523&lt;&gt;"",ROW($2:$523),524),ROW(AC117)))&amp;""</f>
        <v/>
      </c>
      <c r="AE118" s="200" t="str">
        <f t="shared" si="5"/>
        <v/>
      </c>
      <c r="AJ118" s="192">
        <v>117</v>
      </c>
      <c r="AK118" s="193" t="str">
        <f>IF(法术书!AB24="","",法术书!AB24)</f>
        <v/>
      </c>
      <c r="AL118" s="224" t="str">
        <f t="array" ref="AL118">IFERROR(INDEX(AK$1:AK$301,SMALL(IF(MATCH(AK118,AK$1:AK$301,0)=ROW(AK118),ROW(AK$1:AK$301),999),ROW(AK118))),"")</f>
        <v/>
      </c>
      <c r="AM118" s="223" t="str">
        <f t="array" ref="AM118">INDEX(AL:AL,SMALL(IF($AL$2:$AL$301&lt;&gt;"",ROW($2:$301),302),ROW(AL117)))&amp;""</f>
        <v/>
      </c>
    </row>
    <row r="119" customHeight="1" spans="1:39">
      <c r="A119" s="192">
        <v>117</v>
      </c>
      <c r="B119" s="224" t="s">
        <v>7195</v>
      </c>
      <c r="C119" s="224" t="s">
        <v>7196</v>
      </c>
      <c r="E119" s="242" t="s">
        <v>6650</v>
      </c>
      <c r="F119" s="193" t="s">
        <v>6709</v>
      </c>
      <c r="G119" s="193" t="s">
        <v>3760</v>
      </c>
      <c r="I119" s="193">
        <v>1</v>
      </c>
      <c r="J119" s="193">
        <v>1</v>
      </c>
      <c r="L119" s="224" t="s">
        <v>7197</v>
      </c>
      <c r="N119" s="193" t="s">
        <v>6748</v>
      </c>
      <c r="O119" s="224" t="s">
        <v>7198</v>
      </c>
      <c r="P119" s="224">
        <v>1</v>
      </c>
      <c r="Q119" s="245" t="str">
        <f>IF(综合数据!$B$7=TRUE,"XGE","")</f>
        <v>XGE</v>
      </c>
      <c r="T119" s="193">
        <v>6</v>
      </c>
      <c r="V119" s="193">
        <v>6</v>
      </c>
      <c r="X119" s="193">
        <v>6</v>
      </c>
      <c r="Z119" s="193">
        <v>9</v>
      </c>
      <c r="AA119" s="200"/>
      <c r="AB119" s="200" t="str">
        <f t="array" ref="AB119">INDEX(B:B,SMALL(IF($Q$3:$Q$524&lt;&gt;"",ROW($3:$524),525),ROW(B118)))&amp;""</f>
        <v>西风打击</v>
      </c>
      <c r="AC119" s="225" t="str">
        <f>IFERROR(IF(AND($Q120&lt;&gt;"",IF(法术查询!$J$4="",1,INDEX($R120:$Z120,1,VLOOKUP(法术查询!$J$4,$AF$2:$AG$10,2,0)))&lt;&gt;"",IF(法术查询!$J$5="",1,$P120=VLOOKUP(法术查询!$J$5,$AH$2:$AI$11,2,0)),IF(法术查询!$J$6="",1,IF(法术查询!$J$6=$E120,1,0)),IF(法术查询!$J$7="",1,SEARCH(法术查询!$J$7,$F120)),IF(法术查询!$J$8="",1,SEARCH(法术查询!$J$8,G120)),IF(法术查询!$J$9="",1,SEARCH(法术查询!$J$9,N120)),IF(法术查询!$J$10="",1,IF(法术查询!$J$10=$AF$11,IF($M120=1,1,0),IF($M120="",1,0))),IF(法术查询!$J$11="",1,IF(法术查询!$J$11=$AF$11,IF($D120=1,1,0),IF($D120="",1,0))),IF(法术查询!$J$12="",1,SEARCH(法术查询!$J$12,$B120&amp;$C120&amp;$O120)),IF(法术查询!$J$13="",1,SEARCH(法术查询!$J$13,$B120&amp;$C120&amp;$O120)),IF(法术查询!$J$14="",1,SEARCH(法术查询!$J$14,$B120&amp;$C120&amp;$O120)),IF(法术查询!$J$16="",1,IF(法术查询!$J$16=$AF$11,IF($H120=1,1,0),IF($H120="",1,0))),IF(法术查询!$J$17="",1,IF(法术查询!$J$17=$AF$11,IF($I120=1,1,0),IF($I120="",1,0))),IF(法术查询!$J$18="",1,IF(法术查询!$J$18=$AF$11,IF($J120&lt;&gt;"",1,0),IF($J120="",1,0))),IF(法术查询!$J$19="",1,IF(法术查询!$J$19=$AF$11,IF($L120&lt;&gt;"",1,0),IF($L120="",1,0)))),$B120,""),"")</f>
        <v/>
      </c>
      <c r="AD119" s="192" t="str">
        <f t="array" ref="AD119">INDEX(AC:AC,SMALL(IF($AC$2:$AC$523&lt;&gt;"",ROW($2:$523),524),ROW(AC118)))&amp;""</f>
        <v/>
      </c>
      <c r="AE119" s="200" t="str">
        <f t="shared" si="5"/>
        <v/>
      </c>
      <c r="AJ119" s="192">
        <v>118</v>
      </c>
      <c r="AK119" s="193" t="str">
        <f>IF(法术书!AB25="","",法术书!AB25)</f>
        <v/>
      </c>
      <c r="AL119" s="224" t="str">
        <f t="array" ref="AL119">IFERROR(INDEX(AK$1:AK$301,SMALL(IF(MATCH(AK119,AK$1:AK$301,0)=ROW(AK119),ROW(AK$1:AK$301),999),ROW(AK119))),"")</f>
        <v/>
      </c>
      <c r="AM119" s="223" t="str">
        <f t="array" ref="AM119">INDEX(AL:AL,SMALL(IF($AL$2:$AL$301&lt;&gt;"",ROW($2:$301),302),ROW(AL118)))&amp;""</f>
        <v/>
      </c>
    </row>
    <row r="120" customHeight="1" spans="1:39">
      <c r="A120" s="192">
        <v>118</v>
      </c>
      <c r="B120" s="224" t="s">
        <v>7199</v>
      </c>
      <c r="C120" s="224" t="s">
        <v>7200</v>
      </c>
      <c r="E120" s="231" t="s">
        <v>6672</v>
      </c>
      <c r="F120" s="193" t="s">
        <v>6712</v>
      </c>
      <c r="G120" s="193" t="s">
        <v>6651</v>
      </c>
      <c r="H120" s="193">
        <v>1</v>
      </c>
      <c r="M120" s="193">
        <v>1</v>
      </c>
      <c r="N120" s="193" t="s">
        <v>6666</v>
      </c>
      <c r="O120" s="224" t="s">
        <v>7201</v>
      </c>
      <c r="P120" s="224">
        <v>1</v>
      </c>
      <c r="Q120" s="245" t="str">
        <f>IF(综合数据!$B$7=TRUE,"XGE","")</f>
        <v>XGE</v>
      </c>
      <c r="V120" s="193">
        <v>6</v>
      </c>
      <c r="AA120" s="200"/>
      <c r="AB120" s="200" t="str">
        <f t="array" ref="AB120">INDEX(B:B,SMALL(IF($Q$3:$Q$524&lt;&gt;"",ROW($3:$524),525),ROW(B119)))&amp;""</f>
        <v>灵敏之赐</v>
      </c>
      <c r="AC120" s="225" t="str">
        <f>IFERROR(IF(AND($Q121&lt;&gt;"",IF(法术查询!$J$4="",1,INDEX($R121:$Z121,1,VLOOKUP(法术查询!$J$4,$AF$2:$AG$10,2,0)))&lt;&gt;"",IF(法术查询!$J$5="",1,$P121=VLOOKUP(法术查询!$J$5,$AH$2:$AI$11,2,0)),IF(法术查询!$J$6="",1,IF(法术查询!$J$6=$E121,1,0)),IF(法术查询!$J$7="",1,SEARCH(法术查询!$J$7,$F121)),IF(法术查询!$J$8="",1,SEARCH(法术查询!$J$8,G121)),IF(法术查询!$J$9="",1,SEARCH(法术查询!$J$9,N121)),IF(法术查询!$J$10="",1,IF(法术查询!$J$10=$AF$11,IF($M121=1,1,0),IF($M121="",1,0))),IF(法术查询!$J$11="",1,IF(法术查询!$J$11=$AF$11,IF($D121=1,1,0),IF($D121="",1,0))),IF(法术查询!$J$12="",1,SEARCH(法术查询!$J$12,$B121&amp;$C121&amp;$O121)),IF(法术查询!$J$13="",1,SEARCH(法术查询!$J$13,$B121&amp;$C121&amp;$O121)),IF(法术查询!$J$14="",1,SEARCH(法术查询!$J$14,$B121&amp;$C121&amp;$O121)),IF(法术查询!$J$16="",1,IF(法术查询!$J$16=$AF$11,IF($H121=1,1,0),IF($H121="",1,0))),IF(法术查询!$J$17="",1,IF(法术查询!$J$17=$AF$11,IF($I121=1,1,0),IF($I121="",1,0))),IF(法术查询!$J$18="",1,IF(法术查询!$J$18=$AF$11,IF($J121&lt;&gt;"",1,0),IF($J121="",1,0))),IF(法术查询!$J$19="",1,IF(法术查询!$J$19=$AF$11,IF($L121&lt;&gt;"",1,0),IF($L121="",1,0)))),$B121,""),"")</f>
        <v/>
      </c>
      <c r="AD120" s="192" t="str">
        <f t="array" ref="AD120">INDEX(AC:AC,SMALL(IF($AC$2:$AC$523&lt;&gt;"",ROW($2:$523),524),ROW(AC119)))&amp;""</f>
        <v/>
      </c>
      <c r="AE120" s="200" t="str">
        <f t="shared" si="5"/>
        <v/>
      </c>
      <c r="AJ120" s="192">
        <v>119</v>
      </c>
      <c r="AK120" s="193" t="str">
        <f>IF(法术书!AB26="","",法术书!AB26)</f>
        <v/>
      </c>
      <c r="AL120" s="224" t="str">
        <f t="array" ref="AL120">IFERROR(INDEX(AK$1:AK$301,SMALL(IF(MATCH(AK120,AK$1:AK$301,0)=ROW(AK120),ROW(AK$1:AK$301),999),ROW(AK120))),"")</f>
        <v/>
      </c>
      <c r="AM120" s="223" t="str">
        <f t="array" ref="AM120">INDEX(AL:AL,SMALL(IF($AL$2:$AL$301&lt;&gt;"",ROW($2:$301),302),ROW(AL119)))&amp;""</f>
        <v/>
      </c>
    </row>
    <row r="121" customHeight="1" spans="1:39">
      <c r="A121" s="192">
        <v>119</v>
      </c>
      <c r="B121" s="224" t="s">
        <v>7202</v>
      </c>
      <c r="C121" s="224" t="s">
        <v>7203</v>
      </c>
      <c r="E121" s="238" t="s">
        <v>6695</v>
      </c>
      <c r="F121" s="193" t="s">
        <v>6709</v>
      </c>
      <c r="G121" s="193" t="s">
        <v>3760</v>
      </c>
      <c r="H121" s="193">
        <v>1</v>
      </c>
      <c r="I121" s="193">
        <v>1</v>
      </c>
      <c r="N121" s="193" t="s">
        <v>6748</v>
      </c>
      <c r="O121" s="224" t="s">
        <v>7204</v>
      </c>
      <c r="P121" s="224">
        <v>1</v>
      </c>
      <c r="Q121" s="247" t="str">
        <f>IF(综合数据!$B$11=TRUE,"EGW","")</f>
        <v>EGW</v>
      </c>
      <c r="AA121" s="223" t="s">
        <v>3635</v>
      </c>
      <c r="AB121" s="200" t="str">
        <f t="array" ref="AB121">INDEX(B:B,SMALL(IF($Q$3:$Q$524&lt;&gt;"",ROW($3:$524),525),ROW(B120)))&amp;""</f>
        <v>扩大重力</v>
      </c>
      <c r="AC121" s="225" t="str">
        <f>IFERROR(IF(AND($Q122&lt;&gt;"",IF(法术查询!$J$4="",1,INDEX($R122:$Z122,1,VLOOKUP(法术查询!$J$4,$AF$2:$AG$10,2,0)))&lt;&gt;"",IF(法术查询!$J$5="",1,$P122=VLOOKUP(法术查询!$J$5,$AH$2:$AI$11,2,0)),IF(法术查询!$J$6="",1,IF(法术查询!$J$6=$E122,1,0)),IF(法术查询!$J$7="",1,SEARCH(法术查询!$J$7,$F122)),IF(法术查询!$J$8="",1,SEARCH(法术查询!$J$8,G122)),IF(法术查询!$J$9="",1,SEARCH(法术查询!$J$9,N122)),IF(法术查询!$J$10="",1,IF(法术查询!$J$10=$AF$11,IF($M122=1,1,0),IF($M122="",1,0))),IF(法术查询!$J$11="",1,IF(法术查询!$J$11=$AF$11,IF($D122=1,1,0),IF($D122="",1,0))),IF(法术查询!$J$12="",1,SEARCH(法术查询!$J$12,$B122&amp;$C122&amp;$O122)),IF(法术查询!$J$13="",1,SEARCH(法术查询!$J$13,$B122&amp;$C122&amp;$O122)),IF(法术查询!$J$14="",1,SEARCH(法术查询!$J$14,$B122&amp;$C122&amp;$O122)),IF(法术查询!$J$16="",1,IF(法术查询!$J$16=$AF$11,IF($H122=1,1,0),IF($H122="",1,0))),IF(法术查询!$J$17="",1,IF(法术查询!$J$17=$AF$11,IF($I122=1,1,0),IF($I122="",1,0))),IF(法术查询!$J$18="",1,IF(法术查询!$J$18=$AF$11,IF($J122&lt;&gt;"",1,0),IF($J122="",1,0))),IF(法术查询!$J$19="",1,IF(法术查询!$J$19=$AF$11,IF($L122&lt;&gt;"",1,0),IF($L122="",1,0)))),$B122,""),"")</f>
        <v/>
      </c>
      <c r="AD121" s="192" t="str">
        <f t="array" ref="AD121">INDEX(AC:AC,SMALL(IF($AC$2:$AC$523&lt;&gt;"",ROW($2:$523),524),ROW(AC120)))&amp;""</f>
        <v/>
      </c>
      <c r="AE121" s="200" t="str">
        <f t="shared" si="5"/>
        <v/>
      </c>
      <c r="AJ121" s="192">
        <v>120</v>
      </c>
      <c r="AK121" s="193" t="str">
        <f>IF(法术书!AB27="","",法术书!AB27)</f>
        <v/>
      </c>
      <c r="AL121" s="224" t="str">
        <f t="array" ref="AL121">IFERROR(INDEX(AK$1:AK$301,SMALL(IF(MATCH(AK121,AK$1:AK$301,0)=ROW(AK121),ROW(AK$1:AK$301),999),ROW(AK121))),"")</f>
        <v/>
      </c>
      <c r="AM121" s="223" t="str">
        <f t="array" ref="AM121">INDEX(AL:AL,SMALL(IF($AL$2:$AL$301&lt;&gt;"",ROW($2:$301),302),ROW(AL120)))&amp;""</f>
        <v/>
      </c>
    </row>
    <row r="122" customHeight="1" spans="1:39">
      <c r="A122" s="192">
        <v>120</v>
      </c>
      <c r="B122" s="224" t="s">
        <v>7205</v>
      </c>
      <c r="C122" s="224" t="s">
        <v>7206</v>
      </c>
      <c r="E122" s="231" t="s">
        <v>6672</v>
      </c>
      <c r="F122" s="193" t="s">
        <v>6642</v>
      </c>
      <c r="G122" s="193" t="s">
        <v>6643</v>
      </c>
      <c r="H122" s="193">
        <v>1</v>
      </c>
      <c r="I122" s="193">
        <v>1</v>
      </c>
      <c r="N122" s="193" t="s">
        <v>6652</v>
      </c>
      <c r="O122" s="224" t="s">
        <v>7207</v>
      </c>
      <c r="P122" s="224">
        <v>1</v>
      </c>
      <c r="Q122" s="247" t="str">
        <f>IF(综合数据!$B$11=TRUE,"EGW","")</f>
        <v>EGW</v>
      </c>
      <c r="AA122" s="223" t="s">
        <v>3640</v>
      </c>
      <c r="AB122" s="200" t="str">
        <f t="array" ref="AB122">INDEX(B:B,SMALL(IF($Q$3:$Q$524&lt;&gt;"",ROW($3:$524),525),ROW(B121)))&amp;""</f>
        <v>扭曲价值</v>
      </c>
      <c r="AC122" s="225" t="str">
        <f>IFERROR(IF(AND($Q123&lt;&gt;"",IF(法术查询!$J$4="",1,INDEX($R123:$Z123,1,VLOOKUP(法术查询!$J$4,$AF$2:$AG$10,2,0)))&lt;&gt;"",IF(法术查询!$J$5="",1,$P123=VLOOKUP(法术查询!$J$5,$AH$2:$AI$11,2,0)),IF(法术查询!$J$6="",1,IF(法术查询!$J$6=$E123,1,0)),IF(法术查询!$J$7="",1,SEARCH(法术查询!$J$7,$F123)),IF(法术查询!$J$8="",1,SEARCH(法术查询!$J$8,G123)),IF(法术查询!$J$9="",1,SEARCH(法术查询!$J$9,N123)),IF(法术查询!$J$10="",1,IF(法术查询!$J$10=$AF$11,IF($M123=1,1,0),IF($M123="",1,0))),IF(法术查询!$J$11="",1,IF(法术查询!$J$11=$AF$11,IF($D123=1,1,0),IF($D123="",1,0))),IF(法术查询!$J$12="",1,SEARCH(法术查询!$J$12,$B123&amp;$C123&amp;$O123)),IF(法术查询!$J$13="",1,SEARCH(法术查询!$J$13,$B123&amp;$C123&amp;$O123)),IF(法术查询!$J$14="",1,SEARCH(法术查询!$J$14,$B123&amp;$C123&amp;$O123)),IF(法术查询!$J$16="",1,IF(法术查询!$J$16=$AF$11,IF($H123=1,1,0),IF($H123="",1,0))),IF(法术查询!$J$17="",1,IF(法术查询!$J$17=$AF$11,IF($I123=1,1,0),IF($I123="",1,0))),IF(法术查询!$J$18="",1,IF(法术查询!$J$18=$AF$11,IF($J123&lt;&gt;"",1,0),IF($J123="",1,0))),IF(法术查询!$J$19="",1,IF(法术查询!$J$19=$AF$11,IF($L123&lt;&gt;"",1,0),IF($L123="",1,0)))),$B123,""),"")</f>
        <v/>
      </c>
      <c r="AD122" s="192" t="str">
        <f t="array" ref="AD122">INDEX(AC:AC,SMALL(IF($AC$2:$AC$523&lt;&gt;"",ROW($2:$523),524),ROW(AC121)))&amp;""</f>
        <v/>
      </c>
      <c r="AE122" s="200" t="str">
        <f t="shared" si="5"/>
        <v/>
      </c>
      <c r="AJ122" s="192">
        <v>121</v>
      </c>
      <c r="AK122" s="193" t="str">
        <f>IF(法术书!AB28="","",法术书!AB28)</f>
        <v/>
      </c>
      <c r="AL122" s="224" t="str">
        <f t="array" ref="AL122">IFERROR(INDEX(AK$1:AK$301,SMALL(IF(MATCH(AK122,AK$1:AK$301,0)=ROW(AK122),ROW(AK$1:AK$301),999),ROW(AK122))),"")</f>
        <v/>
      </c>
      <c r="AM122" s="223" t="str">
        <f t="array" ref="AM122">INDEX(AL:AL,SMALL(IF($AL$2:$AL$301&lt;&gt;"",ROW($2:$301),302),ROW(AL121)))&amp;""</f>
        <v/>
      </c>
    </row>
    <row r="123" customHeight="1" spans="1:39">
      <c r="A123" s="192">
        <v>121</v>
      </c>
      <c r="B123" s="224" t="s">
        <v>7208</v>
      </c>
      <c r="C123" s="224" t="s">
        <v>7209</v>
      </c>
      <c r="E123" s="241" t="s">
        <v>6726</v>
      </c>
      <c r="F123" s="193" t="s">
        <v>6709</v>
      </c>
      <c r="G123" s="193" t="s">
        <v>3760</v>
      </c>
      <c r="H123" s="193">
        <v>1</v>
      </c>
      <c r="N123" s="193" t="s">
        <v>6748</v>
      </c>
      <c r="O123" s="224" t="s">
        <v>7210</v>
      </c>
      <c r="P123" s="224">
        <v>1</v>
      </c>
      <c r="Q123" s="250" t="str">
        <f>IF(综合数据!$B$12=TRUE,"AI","")</f>
        <v>AI</v>
      </c>
      <c r="R123" s="193">
        <v>11</v>
      </c>
      <c r="W123" s="193">
        <v>11</v>
      </c>
      <c r="X123" s="193">
        <v>11</v>
      </c>
      <c r="Y123" s="193">
        <v>11</v>
      </c>
      <c r="AA123" s="200"/>
      <c r="AB123" s="200" t="str">
        <f t="array" ref="AB123">INDEX(B:B,SMALL(IF($Q$3:$Q$524&lt;&gt;"",ROW($3:$524),525),ROW(B122)))&amp;""</f>
        <v>吉姆的魔法飞弹</v>
      </c>
      <c r="AC123" s="225" t="str">
        <f>IFERROR(IF(AND($Q124&lt;&gt;"",IF(法术查询!$J$4="",1,INDEX($R124:$Z124,1,VLOOKUP(法术查询!$J$4,$AF$2:$AG$10,2,0)))&lt;&gt;"",IF(法术查询!$J$5="",1,$P124=VLOOKUP(法术查询!$J$5,$AH$2:$AI$11,2,0)),IF(法术查询!$J$6="",1,IF(法术查询!$J$6=$E124,1,0)),IF(法术查询!$J$7="",1,SEARCH(法术查询!$J$7,$F124)),IF(法术查询!$J$8="",1,SEARCH(法术查询!$J$8,G124)),IF(法术查询!$J$9="",1,SEARCH(法术查询!$J$9,N124)),IF(法术查询!$J$10="",1,IF(法术查询!$J$10=$AF$11,IF($M124=1,1,0),IF($M124="",1,0))),IF(法术查询!$J$11="",1,IF(法术查询!$J$11=$AF$11,IF($D124=1,1,0),IF($D124="",1,0))),IF(法术查询!$J$12="",1,SEARCH(法术查询!$J$12,$B124&amp;$C124&amp;$O124)),IF(法术查询!$J$13="",1,SEARCH(法术查询!$J$13,$B124&amp;$C124&amp;$O124)),IF(法术查询!$J$14="",1,SEARCH(法术查询!$J$14,$B124&amp;$C124&amp;$O124)),IF(法术查询!$J$16="",1,IF(法术查询!$J$16=$AF$11,IF($H124=1,1,0),IF($H124="",1,0))),IF(法术查询!$J$17="",1,IF(法术查询!$J$17=$AF$11,IF($I124=1,1,0),IF($I124="",1,0))),IF(法术查询!$J$18="",1,IF(法术查询!$J$18=$AF$11,IF($J124&lt;&gt;"",1,0),IF($J124="",1,0))),IF(法术查询!$J$19="",1,IF(法术查询!$J$19=$AF$11,IF($L124&lt;&gt;"",1,0),IF($L124="",1,0)))),$B124,""),"")</f>
        <v/>
      </c>
      <c r="AD123" s="192" t="str">
        <f t="array" ref="AD123">INDEX(AC:AC,SMALL(IF($AC$2:$AC$523&lt;&gt;"",ROW($2:$523),524),ROW(AC122)))&amp;""</f>
        <v/>
      </c>
      <c r="AE123" s="200" t="str">
        <f t="shared" si="5"/>
        <v/>
      </c>
      <c r="AJ123" s="192">
        <v>122</v>
      </c>
      <c r="AK123" s="193" t="str">
        <f>IF(法术书!AB29="","",法术书!AB29)</f>
        <v/>
      </c>
      <c r="AL123" s="224" t="str">
        <f t="array" ref="AL123">IFERROR(INDEX(AK$1:AK$301,SMALL(IF(MATCH(AK123,AK$1:AK$301,0)=ROW(AK123),ROW(AK$1:AK$301),999),ROW(AK123))),"")</f>
        <v/>
      </c>
      <c r="AM123" s="223" t="str">
        <f t="array" ref="AM123">INDEX(AL:AL,SMALL(IF($AL$2:$AL$301&lt;&gt;"",ROW($2:$301),302),ROW(AL122)))&amp;""</f>
        <v/>
      </c>
    </row>
    <row r="124" customHeight="1" spans="1:39">
      <c r="A124" s="192">
        <v>122</v>
      </c>
      <c r="B124" s="224" t="s">
        <v>7211</v>
      </c>
      <c r="C124" s="224" t="s">
        <v>7212</v>
      </c>
      <c r="E124" s="229" t="s">
        <v>6664</v>
      </c>
      <c r="F124" s="193" t="s">
        <v>6642</v>
      </c>
      <c r="G124" s="193" t="s">
        <v>6658</v>
      </c>
      <c r="H124" s="193">
        <v>1</v>
      </c>
      <c r="I124" s="193">
        <v>1</v>
      </c>
      <c r="J124" s="193">
        <v>1</v>
      </c>
      <c r="L124" s="224" t="s">
        <v>7213</v>
      </c>
      <c r="N124" s="193" t="s">
        <v>6644</v>
      </c>
      <c r="O124" s="224" t="s">
        <v>7214</v>
      </c>
      <c r="P124" s="224">
        <v>1</v>
      </c>
      <c r="Q124" s="250" t="str">
        <f>IF(综合数据!$B$12=TRUE,"AI","")</f>
        <v>AI</v>
      </c>
      <c r="X124" s="193">
        <v>11</v>
      </c>
      <c r="AA124" s="200"/>
      <c r="AB124" s="200" t="str">
        <f t="array" ref="AB124">INDEX(B:B,SMALL(IF($Q$3:$Q$524&lt;&gt;"",ROW($3:$524),525),ROW(B123)))&amp;""</f>
        <v>塔莎酸蚀酿</v>
      </c>
      <c r="AC124" s="225" t="str">
        <f>IFERROR(IF(AND($Q125&lt;&gt;"",IF(法术查询!$J$4="",1,INDEX($R125:$Z125,1,VLOOKUP(法术查询!$J$4,$AF$2:$AG$10,2,0)))&lt;&gt;"",IF(法术查询!$J$5="",1,$P125=VLOOKUP(法术查询!$J$5,$AH$2:$AI$11,2,0)),IF(法术查询!$J$6="",1,IF(法术查询!$J$6=$E125,1,0)),IF(法术查询!$J$7="",1,SEARCH(法术查询!$J$7,$F125)),IF(法术查询!$J$8="",1,SEARCH(法术查询!$J$8,G125)),IF(法术查询!$J$9="",1,SEARCH(法术查询!$J$9,N125)),IF(法术查询!$J$10="",1,IF(法术查询!$J$10=$AF$11,IF($M125=1,1,0),IF($M125="",1,0))),IF(法术查询!$J$11="",1,IF(法术查询!$J$11=$AF$11,IF($D125=1,1,0),IF($D125="",1,0))),IF(法术查询!$J$12="",1,SEARCH(法术查询!$J$12,$B125&amp;$C125&amp;$O125)),IF(法术查询!$J$13="",1,SEARCH(法术查询!$J$13,$B125&amp;$C125&amp;$O125)),IF(法术查询!$J$14="",1,SEARCH(法术查询!$J$14,$B125&amp;$C125&amp;$O125)),IF(法术查询!$J$16="",1,IF(法术查询!$J$16=$AF$11,IF($H125=1,1,0),IF($H125="",1,0))),IF(法术查询!$J$17="",1,IF(法术查询!$J$17=$AF$11,IF($I125=1,1,0),IF($I125="",1,0))),IF(法术查询!$J$18="",1,IF(法术查询!$J$18=$AF$11,IF($J125&lt;&gt;"",1,0),IF($J125="",1,0))),IF(法术查询!$J$19="",1,IF(法术查询!$J$19=$AF$11,IF($L125&lt;&gt;"",1,0),IF($L125="",1,0)))),$B125,""),"")</f>
        <v/>
      </c>
      <c r="AD124" s="192" t="str">
        <f t="array" ref="AD124">INDEX(AC:AC,SMALL(IF($AC$2:$AC$523&lt;&gt;"",ROW($2:$523),524),ROW(AC123)))&amp;""</f>
        <v/>
      </c>
      <c r="AE124" s="200" t="str">
        <f t="shared" si="5"/>
        <v/>
      </c>
      <c r="AJ124" s="192">
        <v>123</v>
      </c>
      <c r="AK124" s="193" t="str">
        <f>IF(法术书!AB30="","",法术书!AB30)</f>
        <v/>
      </c>
      <c r="AL124" s="224" t="str">
        <f t="array" ref="AL124">IFERROR(INDEX(AK$1:AK$301,SMALL(IF(MATCH(AK124,AK$1:AK$301,0)=ROW(AK124),ROW(AK$1:AK$301),999),ROW(AK124))),"")</f>
        <v/>
      </c>
      <c r="AM124" s="223" t="str">
        <f t="array" ref="AM124">INDEX(AL:AL,SMALL(IF($AL$2:$AL$301&lt;&gt;"",ROW($2:$301),302),ROW(AL123)))&amp;""</f>
        <v/>
      </c>
    </row>
    <row r="125" customHeight="1" spans="1:39">
      <c r="A125" s="192">
        <v>123</v>
      </c>
      <c r="B125" s="224" t="s">
        <v>7215</v>
      </c>
      <c r="C125" s="224" t="s">
        <v>7216</v>
      </c>
      <c r="E125" s="229" t="s">
        <v>6664</v>
      </c>
      <c r="F125" s="193" t="s">
        <v>6642</v>
      </c>
      <c r="G125" s="193" t="s">
        <v>6871</v>
      </c>
      <c r="H125" s="193">
        <v>1</v>
      </c>
      <c r="I125" s="193">
        <v>1</v>
      </c>
      <c r="J125" s="193">
        <v>1</v>
      </c>
      <c r="K125" s="224" t="s">
        <v>7217</v>
      </c>
      <c r="L125" s="224"/>
      <c r="M125" s="193">
        <v>1</v>
      </c>
      <c r="N125" s="193" t="s">
        <v>6666</v>
      </c>
      <c r="O125" s="224" t="s">
        <v>7218</v>
      </c>
      <c r="P125" s="224">
        <v>1</v>
      </c>
      <c r="Q125" s="248" t="str">
        <f>IF(综合数据!$B$14=TRUE,"TCE","")</f>
        <v>TCE</v>
      </c>
      <c r="W125" s="193">
        <v>13</v>
      </c>
      <c r="X125" s="193">
        <v>13</v>
      </c>
      <c r="Z125" s="193">
        <v>13</v>
      </c>
      <c r="AA125" s="200"/>
      <c r="AB125" s="200" t="str">
        <f t="array" ref="AB125">INDEX(B:B,SMALL(IF($Q$3:$Q$524&lt;&gt;"",ROW($3:$524),525),ROW(B124)))&amp;""</f>
        <v>银光锐语</v>
      </c>
      <c r="AC125" s="225" t="str">
        <f>IFERROR(IF(AND($Q126&lt;&gt;"",IF(法术查询!$J$4="",1,INDEX($R126:$Z126,1,VLOOKUP(法术查询!$J$4,$AF$2:$AG$10,2,0)))&lt;&gt;"",IF(法术查询!$J$5="",1,$P126=VLOOKUP(法术查询!$J$5,$AH$2:$AI$11,2,0)),IF(法术查询!$J$6="",1,IF(法术查询!$J$6=$E126,1,0)),IF(法术查询!$J$7="",1,SEARCH(法术查询!$J$7,$F126)),IF(法术查询!$J$8="",1,SEARCH(法术查询!$J$8,G126)),IF(法术查询!$J$9="",1,SEARCH(法术查询!$J$9,N126)),IF(法术查询!$J$10="",1,IF(法术查询!$J$10=$AF$11,IF($M126=1,1,0),IF($M126="",1,0))),IF(法术查询!$J$11="",1,IF(法术查询!$J$11=$AF$11,IF($D126=1,1,0),IF($D126="",1,0))),IF(法术查询!$J$12="",1,SEARCH(法术查询!$J$12,$B126&amp;$C126&amp;$O126)),IF(法术查询!$J$13="",1,SEARCH(法术查询!$J$13,$B126&amp;$C126&amp;$O126)),IF(法术查询!$J$14="",1,SEARCH(法术查询!$J$14,$B126&amp;$C126&amp;$O126)),IF(法术查询!$J$16="",1,IF(法术查询!$J$16=$AF$11,IF($H126=1,1,0),IF($H126="",1,0))),IF(法术查询!$J$17="",1,IF(法术查询!$J$17=$AF$11,IF($I126=1,1,0),IF($I126="",1,0))),IF(法术查询!$J$18="",1,IF(法术查询!$J$18=$AF$11,IF($J126&lt;&gt;"",1,0),IF($J126="",1,0))),IF(法术查询!$J$19="",1,IF(法术查询!$J$19=$AF$11,IF($L126&lt;&gt;"",1,0),IF($L126="",1,0)))),$B126,""),"")</f>
        <v/>
      </c>
      <c r="AD125" s="192" t="str">
        <f t="array" ref="AD125">INDEX(AC:AC,SMALL(IF($AC$2:$AC$523&lt;&gt;"",ROW($2:$523),524),ROW(AC124)))&amp;""</f>
        <v/>
      </c>
      <c r="AE125" s="200" t="str">
        <f t="shared" si="5"/>
        <v/>
      </c>
      <c r="AJ125" s="192">
        <v>124</v>
      </c>
      <c r="AK125" s="193" t="str">
        <f>IF(法术书!AB31="","",法术书!AB31)</f>
        <v/>
      </c>
      <c r="AL125" s="224" t="str">
        <f t="array" ref="AL125">IFERROR(INDEX(AK$1:AK$301,SMALL(IF(MATCH(AK125,AK$1:AK$301,0)=ROW(AK125),ROW(AK$1:AK$301),999),ROW(AK125))),"")</f>
        <v/>
      </c>
      <c r="AM125" s="223" t="str">
        <f t="array" ref="AM125">INDEX(AL:AL,SMALL(IF($AL$2:$AL$301&lt;&gt;"",ROW($2:$301),302),ROW(AL124)))&amp;""</f>
        <v/>
      </c>
    </row>
    <row r="126" customHeight="1" spans="1:39">
      <c r="A126" s="192">
        <v>124</v>
      </c>
      <c r="B126" s="224" t="s">
        <v>7219</v>
      </c>
      <c r="C126" s="224" t="s">
        <v>7220</v>
      </c>
      <c r="E126" s="193" t="s">
        <v>6688</v>
      </c>
      <c r="F126" s="193" t="s">
        <v>6825</v>
      </c>
      <c r="G126" s="193" t="s">
        <v>6643</v>
      </c>
      <c r="H126" s="193">
        <v>1</v>
      </c>
      <c r="N126" s="193" t="s">
        <v>6644</v>
      </c>
      <c r="O126" s="224" t="s">
        <v>7221</v>
      </c>
      <c r="P126" s="224">
        <v>1</v>
      </c>
      <c r="Q126" s="251" t="str">
        <f>IF(综合数据!$B$17=TRUE,"SCC","")</f>
        <v>SCC</v>
      </c>
      <c r="R126" s="193">
        <v>16</v>
      </c>
      <c r="W126" s="193">
        <v>16</v>
      </c>
      <c r="X126" s="193">
        <v>16</v>
      </c>
      <c r="AA126" s="223" t="s">
        <v>7222</v>
      </c>
      <c r="AB126" s="200" t="str">
        <f t="array" ref="AB126">INDEX(B:B,SMALL(IF($Q$3:$Q$524&lt;&gt;"",ROW($3:$524),525),ROW(B125)))&amp;""</f>
        <v>援助术</v>
      </c>
      <c r="AC126" s="225" t="str">
        <f>IFERROR(IF(AND($Q127&lt;&gt;"",IF(法术查询!$J$4="",1,INDEX($R127:$Z127,1,VLOOKUP(法术查询!$J$4,$AF$2:$AG$10,2,0)))&lt;&gt;"",IF(法术查询!$J$5="",1,$P127=VLOOKUP(法术查询!$J$5,$AH$2:$AI$11,2,0)),IF(法术查询!$J$6="",1,IF(法术查询!$J$6=$E127,1,0)),IF(法术查询!$J$7="",1,SEARCH(法术查询!$J$7,$F127)),IF(法术查询!$J$8="",1,SEARCH(法术查询!$J$8,G127)),IF(法术查询!$J$9="",1,SEARCH(法术查询!$J$9,N127)),IF(法术查询!$J$10="",1,IF(法术查询!$J$10=$AF$11,IF($M127=1,1,0),IF($M127="",1,0))),IF(法术查询!$J$11="",1,IF(法术查询!$J$11=$AF$11,IF($D127=1,1,0),IF($D127="",1,0))),IF(法术查询!$J$12="",1,SEARCH(法术查询!$J$12,$B127&amp;$C127&amp;$O127)),IF(法术查询!$J$13="",1,SEARCH(法术查询!$J$13,$B127&amp;$C127&amp;$O127)),IF(法术查询!$J$14="",1,SEARCH(法术查询!$J$14,$B127&amp;$C127&amp;$O127)),IF(法术查询!$J$16="",1,IF(法术查询!$J$16=$AF$11,IF($H127=1,1,0),IF($H127="",1,0))),IF(法术查询!$J$17="",1,IF(法术查询!$J$17=$AF$11,IF($I127=1,1,0),IF($I127="",1,0))),IF(法术查询!$J$18="",1,IF(法术查询!$J$18=$AF$11,IF($J127&lt;&gt;"",1,0),IF($J127="",1,0))),IF(法术查询!$J$19="",1,IF(法术查询!$J$19=$AF$11,IF($L127&lt;&gt;"",1,0),IF($L127="",1,0)))),$B127,""),"")</f>
        <v>援助术</v>
      </c>
      <c r="AD126" s="192" t="str">
        <f t="array" ref="AD126">INDEX(AC:AC,SMALL(IF($AC$2:$AC$523&lt;&gt;"",ROW($2:$523),524),ROW(AC125)))&amp;""</f>
        <v/>
      </c>
      <c r="AE126" s="200" t="str">
        <f t="shared" si="5"/>
        <v/>
      </c>
      <c r="AJ126" s="192">
        <v>125</v>
      </c>
      <c r="AK126" s="193" t="str">
        <f>IF(法术书!AB32="","",法术书!AB32)</f>
        <v/>
      </c>
      <c r="AL126" s="224" t="str">
        <f t="array" ref="AL126">IFERROR(INDEX(AK$1:AK$301,SMALL(IF(MATCH(AK126,AK$1:AK$301,0)=ROW(AK126),ROW(AK$1:AK$301),999),ROW(AK126))),"")</f>
        <v/>
      </c>
      <c r="AM126" s="223" t="str">
        <f t="array" ref="AM126">INDEX(AL:AL,SMALL(IF($AL$2:$AL$301&lt;&gt;"",ROW($2:$301),302),ROW(AL125)))&amp;""</f>
        <v/>
      </c>
    </row>
    <row r="127" customHeight="1" spans="1:39">
      <c r="A127" s="192">
        <v>125</v>
      </c>
      <c r="B127" s="224" t="s">
        <v>7223</v>
      </c>
      <c r="C127" s="224" t="s">
        <v>7224</v>
      </c>
      <c r="E127" s="242" t="s">
        <v>6650</v>
      </c>
      <c r="F127" s="193" t="s">
        <v>6642</v>
      </c>
      <c r="G127" s="193" t="s">
        <v>6673</v>
      </c>
      <c r="H127" s="193">
        <v>1</v>
      </c>
      <c r="I127" s="193">
        <v>1</v>
      </c>
      <c r="J127" s="193">
        <v>1</v>
      </c>
      <c r="K127" s="224" t="s">
        <v>7225</v>
      </c>
      <c r="N127" s="193" t="s">
        <v>6748</v>
      </c>
      <c r="O127" s="224" t="s">
        <v>7226</v>
      </c>
      <c r="P127" s="224">
        <v>2</v>
      </c>
      <c r="Q127" s="224" t="s">
        <v>249</v>
      </c>
      <c r="R127" s="193" t="str">
        <f>IF(综合数据!$B$14=TRUE,"13","")</f>
        <v>13</v>
      </c>
      <c r="S127" s="193">
        <v>1</v>
      </c>
      <c r="U127" s="193">
        <v>1</v>
      </c>
      <c r="V127" s="193" t="str">
        <f>IF(综合数据!$B$14=TRUE,"13","")</f>
        <v>13</v>
      </c>
      <c r="Z127" s="193">
        <v>9</v>
      </c>
      <c r="AA127" s="223" t="s">
        <v>7227</v>
      </c>
      <c r="AB127" s="200" t="str">
        <f t="array" ref="AB127">INDEX(B:B,SMALL(IF($Q$3:$Q$524&lt;&gt;"",ROW($3:$524),525),ROW(B126)))&amp;""</f>
        <v>变身术</v>
      </c>
      <c r="AC127" s="225" t="str">
        <f>IFERROR(IF(AND($Q128&lt;&gt;"",IF(法术查询!$J$4="",1,INDEX($R128:$Z128,1,VLOOKUP(法术查询!$J$4,$AF$2:$AG$10,2,0)))&lt;&gt;"",IF(法术查询!$J$5="",1,$P128=VLOOKUP(法术查询!$J$5,$AH$2:$AI$11,2,0)),IF(法术查询!$J$6="",1,IF(法术查询!$J$6=$E128,1,0)),IF(法术查询!$J$7="",1,SEARCH(法术查询!$J$7,$F128)),IF(法术查询!$J$8="",1,SEARCH(法术查询!$J$8,G128)),IF(法术查询!$J$9="",1,SEARCH(法术查询!$J$9,N128)),IF(法术查询!$J$10="",1,IF(法术查询!$J$10=$AF$11,IF($M128=1,1,0),IF($M128="",1,0))),IF(法术查询!$J$11="",1,IF(法术查询!$J$11=$AF$11,IF($D128=1,1,0),IF($D128="",1,0))),IF(法术查询!$J$12="",1,SEARCH(法术查询!$J$12,$B128&amp;$C128&amp;$O128)),IF(法术查询!$J$13="",1,SEARCH(法术查询!$J$13,$B128&amp;$C128&amp;$O128)),IF(法术查询!$J$14="",1,SEARCH(法术查询!$J$14,$B128&amp;$C128&amp;$O128)),IF(法术查询!$J$16="",1,IF(法术查询!$J$16=$AF$11,IF($H128=1,1,0),IF($H128="",1,0))),IF(法术查询!$J$17="",1,IF(法术查询!$J$17=$AF$11,IF($I128=1,1,0),IF($I128="",1,0))),IF(法术查询!$J$18="",1,IF(法术查询!$J$18=$AF$11,IF($J128&lt;&gt;"",1,0),IF($J128="",1,0))),IF(法术查询!$J$19="",1,IF(法术查询!$J$19=$AF$11,IF($L128&lt;&gt;"",1,0),IF($L128="",1,0)))),$B128,""),"")</f>
        <v>变身术</v>
      </c>
      <c r="AD127" s="192" t="str">
        <f t="array" ref="AD127">INDEX(AC:AC,SMALL(IF($AC$2:$AC$523&lt;&gt;"",ROW($2:$523),524),ROW(AC126)))&amp;""</f>
        <v/>
      </c>
      <c r="AE127" s="200" t="str">
        <f t="shared" si="5"/>
        <v/>
      </c>
      <c r="AJ127" s="192">
        <v>126</v>
      </c>
      <c r="AK127" s="193" t="str">
        <f>IF(法术书!AB33="","",法术书!AB33)</f>
        <v/>
      </c>
      <c r="AL127" s="224" t="str">
        <f t="array" ref="AL127">IFERROR(INDEX(AK$1:AK$301,SMALL(IF(MATCH(AK127,AK$1:AK$301,0)=ROW(AK127),ROW(AK$1:AK$301),999),ROW(AK127))),"")</f>
        <v/>
      </c>
      <c r="AM127" s="223" t="str">
        <f t="array" ref="AM127">INDEX(AL:AL,SMALL(IF($AL$2:$AL$301&lt;&gt;"",ROW($2:$301),302),ROW(AL126)))&amp;""</f>
        <v/>
      </c>
    </row>
    <row r="128" customHeight="1" spans="1:39">
      <c r="A128" s="192">
        <v>126</v>
      </c>
      <c r="B128" s="224" t="s">
        <v>7228</v>
      </c>
      <c r="C128" s="224" t="s">
        <v>7229</v>
      </c>
      <c r="E128" s="231" t="s">
        <v>6672</v>
      </c>
      <c r="F128" s="193" t="s">
        <v>6642</v>
      </c>
      <c r="G128" s="193" t="s">
        <v>6651</v>
      </c>
      <c r="H128" s="193">
        <v>1</v>
      </c>
      <c r="I128" s="193">
        <v>1</v>
      </c>
      <c r="M128" s="193">
        <v>1</v>
      </c>
      <c r="N128" s="193" t="s">
        <v>6739</v>
      </c>
      <c r="O128" s="224" t="s">
        <v>7230</v>
      </c>
      <c r="P128" s="224">
        <v>2</v>
      </c>
      <c r="Q128" s="224" t="s">
        <v>249</v>
      </c>
      <c r="W128" s="193">
        <v>1</v>
      </c>
      <c r="X128" s="193">
        <v>1</v>
      </c>
      <c r="Z128" s="193">
        <v>9</v>
      </c>
      <c r="AA128" s="223" t="s">
        <v>7231</v>
      </c>
      <c r="AB128" s="200" t="str">
        <f t="array" ref="AB128">INDEX(B:B,SMALL(IF($Q$3:$Q$524&lt;&gt;"",ROW($3:$524),525),ROW(B127)))&amp;""</f>
        <v>动物信使</v>
      </c>
      <c r="AC128" s="225" t="str">
        <f>IFERROR(IF(AND($Q129&lt;&gt;"",IF(法术查询!$J$4="",1,INDEX($R129:$Z129,1,VLOOKUP(法术查询!$J$4,$AF$2:$AG$10,2,0)))&lt;&gt;"",IF(法术查询!$J$5="",1,$P129=VLOOKUP(法术查询!$J$5,$AH$2:$AI$11,2,0)),IF(法术查询!$J$6="",1,IF(法术查询!$J$6=$E129,1,0)),IF(法术查询!$J$7="",1,SEARCH(法术查询!$J$7,$F129)),IF(法术查询!$J$8="",1,SEARCH(法术查询!$J$8,G129)),IF(法术查询!$J$9="",1,SEARCH(法术查询!$J$9,N129)),IF(法术查询!$J$10="",1,IF(法术查询!$J$10=$AF$11,IF($M129=1,1,0),IF($M129="",1,0))),IF(法术查询!$J$11="",1,IF(法术查询!$J$11=$AF$11,IF($D129=1,1,0),IF($D129="",1,0))),IF(法术查询!$J$12="",1,SEARCH(法术查询!$J$12,$B129&amp;$C129&amp;$O129)),IF(法术查询!$J$13="",1,SEARCH(法术查询!$J$13,$B129&amp;$C129&amp;$O129)),IF(法术查询!$J$14="",1,SEARCH(法术查询!$J$14,$B129&amp;$C129&amp;$O129)),IF(法术查询!$J$16="",1,IF(法术查询!$J$16=$AF$11,IF($H129=1,1,0),IF($H129="",1,0))),IF(法术查询!$J$17="",1,IF(法术查询!$J$17=$AF$11,IF($I129=1,1,0),IF($I129="",1,0))),IF(法术查询!$J$18="",1,IF(法术查询!$J$18=$AF$11,IF($J129&lt;&gt;"",1,0),IF($J129="",1,0))),IF(法术查询!$J$19="",1,IF(法术查询!$J$19=$AF$11,IF($L129&lt;&gt;"",1,0),IF($L129="",1,0)))),$B129,""),"")</f>
        <v/>
      </c>
      <c r="AD128" s="192" t="str">
        <f t="array" ref="AD128">INDEX(AC:AC,SMALL(IF($AC$2:$AC$523&lt;&gt;"",ROW($2:$523),524),ROW(AC127)))&amp;""</f>
        <v/>
      </c>
      <c r="AE128" s="200" t="str">
        <f t="shared" si="5"/>
        <v/>
      </c>
      <c r="AJ128" s="192">
        <v>127</v>
      </c>
      <c r="AK128" s="193" t="str">
        <f>IF(法术书!AB34="","",法术书!AB34)</f>
        <v/>
      </c>
      <c r="AL128" s="224" t="str">
        <f t="array" ref="AL128">IFERROR(INDEX(AK$1:AK$301,SMALL(IF(MATCH(AK128,AK$1:AK$301,0)=ROW(AK128),ROW(AK$1:AK$301),999),ROW(AK128))),"")</f>
        <v/>
      </c>
      <c r="AM128" s="223" t="str">
        <f t="array" ref="AM128">INDEX(AL:AL,SMALL(IF($AL$2:$AL$301&lt;&gt;"",ROW($2:$301),302),ROW(AL127)))&amp;""</f>
        <v/>
      </c>
    </row>
    <row r="129" customHeight="1" spans="1:39">
      <c r="A129" s="192">
        <v>127</v>
      </c>
      <c r="B129" s="224" t="s">
        <v>7232</v>
      </c>
      <c r="C129" s="224" t="s">
        <v>7233</v>
      </c>
      <c r="D129" s="193">
        <v>1</v>
      </c>
      <c r="E129" s="233" t="s">
        <v>6688</v>
      </c>
      <c r="F129" s="193" t="s">
        <v>6642</v>
      </c>
      <c r="G129" s="193" t="s">
        <v>6673</v>
      </c>
      <c r="H129" s="193">
        <v>1</v>
      </c>
      <c r="I129" s="193">
        <v>1</v>
      </c>
      <c r="J129" s="193">
        <v>1</v>
      </c>
      <c r="K129" s="224" t="s">
        <v>6909</v>
      </c>
      <c r="N129" s="193" t="s">
        <v>6759</v>
      </c>
      <c r="O129" s="224" t="s">
        <v>7234</v>
      </c>
      <c r="P129" s="224">
        <v>2</v>
      </c>
      <c r="Q129" s="224" t="s">
        <v>249</v>
      </c>
      <c r="R129" s="193">
        <v>1</v>
      </c>
      <c r="T129" s="193">
        <v>1</v>
      </c>
      <c r="V129" s="193">
        <v>1</v>
      </c>
      <c r="AA129" s="223" t="s">
        <v>7235</v>
      </c>
      <c r="AB129" s="200" t="str">
        <f t="array" ref="AB129">INDEX(B:B,SMALL(IF($Q$3:$Q$524&lt;&gt;"",ROW($3:$524),525),ROW(B128)))&amp;""</f>
        <v>秘法锁</v>
      </c>
      <c r="AC129" s="225" t="str">
        <f>IFERROR(IF(AND($Q130&lt;&gt;"",IF(法术查询!$J$4="",1,INDEX($R130:$Z130,1,VLOOKUP(法术查询!$J$4,$AF$2:$AG$10,2,0)))&lt;&gt;"",IF(法术查询!$J$5="",1,$P130=VLOOKUP(法术查询!$J$5,$AH$2:$AI$11,2,0)),IF(法术查询!$J$6="",1,IF(法术查询!$J$6=$E130,1,0)),IF(法术查询!$J$7="",1,SEARCH(法术查询!$J$7,$F130)),IF(法术查询!$J$8="",1,SEARCH(法术查询!$J$8,G130)),IF(法术查询!$J$9="",1,SEARCH(法术查询!$J$9,N130)),IF(法术查询!$J$10="",1,IF(法术查询!$J$10=$AF$11,IF($M130=1,1,0),IF($M130="",1,0))),IF(法术查询!$J$11="",1,IF(法术查询!$J$11=$AF$11,IF($D130=1,1,0),IF($D130="",1,0))),IF(法术查询!$J$12="",1,SEARCH(法术查询!$J$12,$B130&amp;$C130&amp;$O130)),IF(法术查询!$J$13="",1,SEARCH(法术查询!$J$13,$B130&amp;$C130&amp;$O130)),IF(法术查询!$J$14="",1,SEARCH(法术查询!$J$14,$B130&amp;$C130&amp;$O130)),IF(法术查询!$J$16="",1,IF(法术查询!$J$16=$AF$11,IF($H130=1,1,0),IF($H130="",1,0))),IF(法术查询!$J$17="",1,IF(法术查询!$J$17=$AF$11,IF($I130=1,1,0),IF($I130="",1,0))),IF(法术查询!$J$18="",1,IF(法术查询!$J$18=$AF$11,IF($J130&lt;&gt;"",1,0),IF($J130="",1,0))),IF(法术查询!$J$19="",1,IF(法术查询!$J$19=$AF$11,IF($L130&lt;&gt;"",1,0),IF($L130="",1,0)))),$B130,""),"")</f>
        <v>秘法锁</v>
      </c>
      <c r="AD129" s="192" t="str">
        <f t="array" ref="AD129">INDEX(AC:AC,SMALL(IF($AC$2:$AC$523&lt;&gt;"",ROW($2:$523),524),ROW(AC128)))&amp;""</f>
        <v/>
      </c>
      <c r="AE129" s="200" t="str">
        <f t="shared" si="5"/>
        <v/>
      </c>
      <c r="AJ129" s="192">
        <v>128</v>
      </c>
      <c r="AK129" s="193" t="str">
        <f>IF(法术书!AB35="","",法术书!AB35)</f>
        <v/>
      </c>
      <c r="AL129" s="224" t="str">
        <f t="array" ref="AL129">IFERROR(INDEX(AK$1:AK$301,SMALL(IF(MATCH(AK129,AK$1:AK$301,0)=ROW(AK129),ROW(AK$1:AK$301),999),ROW(AK129))),"")</f>
        <v/>
      </c>
      <c r="AM129" s="223" t="str">
        <f t="array" ref="AM129">INDEX(AL:AL,SMALL(IF($AL$2:$AL$301&lt;&gt;"",ROW($2:$301),302),ROW(AL128)))&amp;""</f>
        <v/>
      </c>
    </row>
    <row r="130" customHeight="1" spans="1:39">
      <c r="A130" s="192">
        <v>128</v>
      </c>
      <c r="B130" s="224" t="s">
        <v>7236</v>
      </c>
      <c r="C130" s="224" t="s">
        <v>7237</v>
      </c>
      <c r="E130" s="242" t="s">
        <v>6650</v>
      </c>
      <c r="F130" s="193" t="s">
        <v>6642</v>
      </c>
      <c r="G130" s="193" t="s">
        <v>3760</v>
      </c>
      <c r="H130" s="193">
        <v>1</v>
      </c>
      <c r="I130" s="193">
        <v>1</v>
      </c>
      <c r="J130" s="193">
        <v>1</v>
      </c>
      <c r="L130" s="224" t="s">
        <v>7238</v>
      </c>
      <c r="N130" s="193" t="s">
        <v>6794</v>
      </c>
      <c r="O130" s="224" t="s">
        <v>7239</v>
      </c>
      <c r="P130" s="224">
        <v>2</v>
      </c>
      <c r="Q130" s="224" t="s">
        <v>249</v>
      </c>
      <c r="X130" s="193">
        <v>1</v>
      </c>
      <c r="Z130" s="193">
        <v>9</v>
      </c>
      <c r="AA130" s="223" t="s">
        <v>7240</v>
      </c>
      <c r="AB130" s="200" t="str">
        <f t="array" ref="AB130">INDEX(B:B,SMALL(IF($Q$3:$Q$524&lt;&gt;"",ROW($3:$524),525),ROW(B129)))&amp;""</f>
        <v>卜筮术</v>
      </c>
      <c r="AC130" s="225" t="str">
        <f>IFERROR(IF(AND($Q131&lt;&gt;"",IF(法术查询!$J$4="",1,INDEX($R131:$Z131,1,VLOOKUP(法术查询!$J$4,$AF$2:$AG$10,2,0)))&lt;&gt;"",IF(法术查询!$J$5="",1,$P131=VLOOKUP(法术查询!$J$5,$AH$2:$AI$11,2,0)),IF(法术查询!$J$6="",1,IF(法术查询!$J$6=$E131,1,0)),IF(法术查询!$J$7="",1,SEARCH(法术查询!$J$7,$F131)),IF(法术查询!$J$8="",1,SEARCH(法术查询!$J$8,G131)),IF(法术查询!$J$9="",1,SEARCH(法术查询!$J$9,N131)),IF(法术查询!$J$10="",1,IF(法术查询!$J$10=$AF$11,IF($M131=1,1,0),IF($M131="",1,0))),IF(法术查询!$J$11="",1,IF(法术查询!$J$11=$AF$11,IF($D131=1,1,0),IF($D131="",1,0))),IF(法术查询!$J$12="",1,SEARCH(法术查询!$J$12,$B131&amp;$C131&amp;$O131)),IF(法术查询!$J$13="",1,SEARCH(法术查询!$J$13,$B131&amp;$C131&amp;$O131)),IF(法术查询!$J$14="",1,SEARCH(法术查询!$J$14,$B131&amp;$C131&amp;$O131)),IF(法术查询!$J$16="",1,IF(法术查询!$J$16=$AF$11,IF($H131=1,1,0),IF($H131="",1,0))),IF(法术查询!$J$17="",1,IF(法术查询!$J$17=$AF$11,IF($I131=1,1,0),IF($I131="",1,0))),IF(法术查询!$J$18="",1,IF(法术查询!$J$18=$AF$11,IF($J131&lt;&gt;"",1,0),IF($J131="",1,0))),IF(法术查询!$J$19="",1,IF(法术查询!$J$19=$AF$11,IF($L131&lt;&gt;"",1,0),IF($L131="",1,0)))),$B131,""),"")</f>
        <v/>
      </c>
      <c r="AD130" s="192" t="str">
        <f t="array" ref="AD130">INDEX(AC:AC,SMALL(IF($AC$2:$AC$523&lt;&gt;"",ROW($2:$523),524),ROW(AC129)))&amp;""</f>
        <v/>
      </c>
      <c r="AE130" s="200" t="str">
        <f t="shared" si="5"/>
        <v/>
      </c>
      <c r="AJ130" s="192">
        <v>129</v>
      </c>
      <c r="AK130" s="193" t="str">
        <f>IF(法术书!AB36="","",法术书!AB36)</f>
        <v/>
      </c>
      <c r="AL130" s="224" t="str">
        <f t="array" ref="AL130">IFERROR(INDEX(AK$1:AK$301,SMALL(IF(MATCH(AK130,AK$1:AK$301,0)=ROW(AK130),ROW(AK$1:AK$301),999),ROW(AK130))),"")</f>
        <v/>
      </c>
      <c r="AM130" s="223" t="str">
        <f t="array" ref="AM130">INDEX(AL:AL,SMALL(IF($AL$2:$AL$301&lt;&gt;"",ROW($2:$301),302),ROW(AL129)))&amp;""</f>
        <v/>
      </c>
    </row>
    <row r="131" customHeight="1" spans="1:39">
      <c r="A131" s="192">
        <v>129</v>
      </c>
      <c r="B131" s="224" t="s">
        <v>7241</v>
      </c>
      <c r="C131" s="224" t="s">
        <v>7242</v>
      </c>
      <c r="D131" s="193">
        <v>1</v>
      </c>
      <c r="E131" s="238" t="s">
        <v>6695</v>
      </c>
      <c r="F131" s="193" t="s">
        <v>6709</v>
      </c>
      <c r="G131" s="193" t="s">
        <v>6651</v>
      </c>
      <c r="H131" s="193">
        <v>1</v>
      </c>
      <c r="I131" s="193">
        <v>1</v>
      </c>
      <c r="J131" s="193">
        <v>1</v>
      </c>
      <c r="K131" s="224" t="s">
        <v>7243</v>
      </c>
      <c r="N131" s="193" t="s">
        <v>6644</v>
      </c>
      <c r="O131" s="224" t="s">
        <v>7244</v>
      </c>
      <c r="P131" s="224">
        <v>2</v>
      </c>
      <c r="Q131" s="224" t="s">
        <v>249</v>
      </c>
      <c r="S131" s="193">
        <v>1</v>
      </c>
      <c r="T131" s="193" t="str">
        <f>IF(综合数据!$B$14=TRUE,"13","")</f>
        <v>13</v>
      </c>
      <c r="X131" s="193" t="str">
        <f>IF(综合数据!$B$14=TRUE,"13","")</f>
        <v>13</v>
      </c>
      <c r="AA131" s="223" t="s">
        <v>7245</v>
      </c>
      <c r="AB131" s="200" t="str">
        <f t="array" ref="AB131">INDEX(B:B,SMALL(IF($Q$3:$Q$524&lt;&gt;"",ROW($3:$524),525),ROW(B130)))&amp;""</f>
        <v>树肤术</v>
      </c>
      <c r="AC131" s="225" t="str">
        <f>IFERROR(IF(AND($Q132&lt;&gt;"",IF(法术查询!$J$4="",1,INDEX($R132:$Z132,1,VLOOKUP(法术查询!$J$4,$AF$2:$AG$10,2,0)))&lt;&gt;"",IF(法术查询!$J$5="",1,$P132=VLOOKUP(法术查询!$J$5,$AH$2:$AI$11,2,0)),IF(法术查询!$J$6="",1,IF(法术查询!$J$6=$E132,1,0)),IF(法术查询!$J$7="",1,SEARCH(法术查询!$J$7,$F132)),IF(法术查询!$J$8="",1,SEARCH(法术查询!$J$8,G132)),IF(法术查询!$J$9="",1,SEARCH(法术查询!$J$9,N132)),IF(法术查询!$J$10="",1,IF(法术查询!$J$10=$AF$11,IF($M132=1,1,0),IF($M132="",1,0))),IF(法术查询!$J$11="",1,IF(法术查询!$J$11=$AF$11,IF($D132=1,1,0),IF($D132="",1,0))),IF(法术查询!$J$12="",1,SEARCH(法术查询!$J$12,$B132&amp;$C132&amp;$O132)),IF(法术查询!$J$13="",1,SEARCH(法术查询!$J$13,$B132&amp;$C132&amp;$O132)),IF(法术查询!$J$14="",1,SEARCH(法术查询!$J$14,$B132&amp;$C132&amp;$O132)),IF(法术查询!$J$16="",1,IF(法术查询!$J$16=$AF$11,IF($H132=1,1,0),IF($H132="",1,0))),IF(法术查询!$J$17="",1,IF(法术查询!$J$17=$AF$11,IF($I132=1,1,0),IF($I132="",1,0))),IF(法术查询!$J$18="",1,IF(法术查询!$J$18=$AF$11,IF($J132&lt;&gt;"",1,0),IF($J132="",1,0))),IF(法术查询!$J$19="",1,IF(法术查询!$J$19=$AF$11,IF($L132&lt;&gt;"",1,0),IF($L132="",1,0)))),$B132,""),"")</f>
        <v/>
      </c>
      <c r="AD131" s="192" t="str">
        <f t="array" ref="AD131">INDEX(AC:AC,SMALL(IF($AC$2:$AC$523&lt;&gt;"",ROW($2:$523),524),ROW(AC130)))&amp;""</f>
        <v/>
      </c>
      <c r="AE131" s="200" t="str">
        <f t="shared" ref="AE131:AE194" si="6">IF(AD131="","",VLOOKUP(AD131,B:C,2,0))</f>
        <v/>
      </c>
      <c r="AJ131" s="192">
        <v>130</v>
      </c>
      <c r="AK131" s="193" t="str">
        <f>IF(法术书!AB37="","",法术书!AB37)</f>
        <v/>
      </c>
      <c r="AL131" s="224" t="str">
        <f t="array" ref="AL131">IFERROR(INDEX(AK$1:AK$301,SMALL(IF(MATCH(AK131,AK$1:AK$301,0)=ROW(AK131),ROW(AK$1:AK$301),999),ROW(AK131))),"")</f>
        <v/>
      </c>
      <c r="AM131" s="223" t="str">
        <f t="array" ref="AM131">INDEX(AL:AL,SMALL(IF($AL$2:$AL$301&lt;&gt;"",ROW($2:$301),302),ROW(AL130)))&amp;""</f>
        <v/>
      </c>
    </row>
    <row r="132" customHeight="1" spans="1:39">
      <c r="A132" s="192">
        <v>130</v>
      </c>
      <c r="B132" s="224" t="s">
        <v>7246</v>
      </c>
      <c r="C132" s="224" t="s">
        <v>7247</v>
      </c>
      <c r="E132" s="231" t="s">
        <v>6672</v>
      </c>
      <c r="F132" s="193" t="s">
        <v>6642</v>
      </c>
      <c r="G132" s="193" t="s">
        <v>3760</v>
      </c>
      <c r="H132" s="193">
        <v>1</v>
      </c>
      <c r="I132" s="193">
        <v>1</v>
      </c>
      <c r="J132" s="193">
        <v>1</v>
      </c>
      <c r="K132" s="224" t="s">
        <v>7248</v>
      </c>
      <c r="M132" s="193">
        <v>1</v>
      </c>
      <c r="N132" s="193" t="s">
        <v>6739</v>
      </c>
      <c r="O132" s="224" t="s">
        <v>7249</v>
      </c>
      <c r="P132" s="224">
        <v>2</v>
      </c>
      <c r="Q132" s="224" t="s">
        <v>249</v>
      </c>
      <c r="T132" s="193">
        <v>1</v>
      </c>
      <c r="V132" s="193">
        <v>1</v>
      </c>
      <c r="AA132" s="223" t="s">
        <v>7250</v>
      </c>
      <c r="AB132" s="200" t="str">
        <f t="array" ref="AB132">INDEX(B:B,SMALL(IF($Q$3:$Q$524&lt;&gt;"",ROW($3:$524),525),ROW(B131)))&amp;""</f>
        <v>野兽知觉</v>
      </c>
      <c r="AC132" s="225" t="str">
        <f>IFERROR(IF(AND($Q133&lt;&gt;"",IF(法术查询!$J$4="",1,INDEX($R133:$Z133,1,VLOOKUP(法术查询!$J$4,$AF$2:$AG$10,2,0)))&lt;&gt;"",IF(法术查询!$J$5="",1,$P133=VLOOKUP(法术查询!$J$5,$AH$2:$AI$11,2,0)),IF(法术查询!$J$6="",1,IF(法术查询!$J$6=$E133,1,0)),IF(法术查询!$J$7="",1,SEARCH(法术查询!$J$7,$F133)),IF(法术查询!$J$8="",1,SEARCH(法术查询!$J$8,G133)),IF(法术查询!$J$9="",1,SEARCH(法术查询!$J$9,N133)),IF(法术查询!$J$10="",1,IF(法术查询!$J$10=$AF$11,IF($M133=1,1,0),IF($M133="",1,0))),IF(法术查询!$J$11="",1,IF(法术查询!$J$11=$AF$11,IF($D133=1,1,0),IF($D133="",1,0))),IF(法术查询!$J$12="",1,SEARCH(法术查询!$J$12,$B133&amp;$C133&amp;$O133)),IF(法术查询!$J$13="",1,SEARCH(法术查询!$J$13,$B133&amp;$C133&amp;$O133)),IF(法术查询!$J$14="",1,SEARCH(法术查询!$J$14,$B133&amp;$C133&amp;$O133)),IF(法术查询!$J$16="",1,IF(法术查询!$J$16=$AF$11,IF($H133=1,1,0),IF($H133="",1,0))),IF(法术查询!$J$17="",1,IF(法术查询!$J$17=$AF$11,IF($I133=1,1,0),IF($I133="",1,0))),IF(法术查询!$J$18="",1,IF(法术查询!$J$18=$AF$11,IF($J133&lt;&gt;"",1,0),IF($J133="",1,0))),IF(法术查询!$J$19="",1,IF(法术查询!$J$19=$AF$11,IF($L133&lt;&gt;"",1,0),IF($L133="",1,0)))),$B133,""),"")</f>
        <v/>
      </c>
      <c r="AD132" s="192" t="str">
        <f t="array" ref="AD132">INDEX(AC:AC,SMALL(IF($AC$2:$AC$523&lt;&gt;"",ROW($2:$523),524),ROW(AC131)))&amp;""</f>
        <v/>
      </c>
      <c r="AE132" s="200" t="str">
        <f t="shared" si="6"/>
        <v/>
      </c>
      <c r="AJ132" s="192">
        <v>131</v>
      </c>
      <c r="AK132" s="193" t="str">
        <f>IF(法术书!AB38="","",法术书!AB38)</f>
        <v/>
      </c>
      <c r="AL132" s="224" t="str">
        <f t="array" ref="AL132">IFERROR(INDEX(AK$1:AK$301,SMALL(IF(MATCH(AK132,AK$1:AK$301,0)=ROW(AK132),ROW(AK$1:AK$301),999),ROW(AK132))),"")</f>
        <v/>
      </c>
      <c r="AM132" s="223" t="str">
        <f t="array" ref="AM132">INDEX(AL:AL,SMALL(IF($AL$2:$AL$301&lt;&gt;"",ROW($2:$301),302),ROW(AL131)))&amp;""</f>
        <v/>
      </c>
    </row>
    <row r="133" customHeight="1" spans="1:39">
      <c r="A133" s="192">
        <v>131</v>
      </c>
      <c r="B133" s="224" t="s">
        <v>7251</v>
      </c>
      <c r="C133" s="224" t="s">
        <v>7252</v>
      </c>
      <c r="D133" s="193">
        <v>1</v>
      </c>
      <c r="E133" s="238" t="s">
        <v>6695</v>
      </c>
      <c r="F133" s="193" t="s">
        <v>6642</v>
      </c>
      <c r="G133" s="193" t="s">
        <v>3760</v>
      </c>
      <c r="I133" s="193">
        <v>1</v>
      </c>
      <c r="M133" s="193">
        <v>1</v>
      </c>
      <c r="N133" s="193" t="s">
        <v>6739</v>
      </c>
      <c r="O133" s="224" t="s">
        <v>7253</v>
      </c>
      <c r="P133" s="224">
        <v>2</v>
      </c>
      <c r="Q133" s="224" t="s">
        <v>249</v>
      </c>
      <c r="T133" s="193">
        <v>1</v>
      </c>
      <c r="V133" s="193">
        <v>1</v>
      </c>
      <c r="AA133" s="223" t="s">
        <v>7254</v>
      </c>
      <c r="AB133" s="200" t="str">
        <f t="array" ref="AB133">INDEX(B:B,SMALL(IF($Q$3:$Q$524&lt;&gt;"",ROW($3:$524),525),ROW(B132)))&amp;""</f>
        <v>目盲/耳聋术</v>
      </c>
      <c r="AC133" s="225" t="str">
        <f>IFERROR(IF(AND($Q134&lt;&gt;"",IF(法术查询!$J$4="",1,INDEX($R134:$Z134,1,VLOOKUP(法术查询!$J$4,$AF$2:$AG$10,2,0)))&lt;&gt;"",IF(法术查询!$J$5="",1,$P134=VLOOKUP(法术查询!$J$5,$AH$2:$AI$11,2,0)),IF(法术查询!$J$6="",1,IF(法术查询!$J$6=$E134,1,0)),IF(法术查询!$J$7="",1,SEARCH(法术查询!$J$7,$F134)),IF(法术查询!$J$8="",1,SEARCH(法术查询!$J$8,G134)),IF(法术查询!$J$9="",1,SEARCH(法术查询!$J$9,N134)),IF(法术查询!$J$10="",1,IF(法术查询!$J$10=$AF$11,IF($M134=1,1,0),IF($M134="",1,0))),IF(法术查询!$J$11="",1,IF(法术查询!$J$11=$AF$11,IF($D134=1,1,0),IF($D134="",1,0))),IF(法术查询!$J$12="",1,SEARCH(法术查询!$J$12,$B134&amp;$C134&amp;$O134)),IF(法术查询!$J$13="",1,SEARCH(法术查询!$J$13,$B134&amp;$C134&amp;$O134)),IF(法术查询!$J$14="",1,SEARCH(法术查询!$J$14,$B134&amp;$C134&amp;$O134)),IF(法术查询!$J$16="",1,IF(法术查询!$J$16=$AF$11,IF($H134=1,1,0),IF($H134="",1,0))),IF(法术查询!$J$17="",1,IF(法术查询!$J$17=$AF$11,IF($I134=1,1,0),IF($I134="",1,0))),IF(法术查询!$J$18="",1,IF(法术查询!$J$18=$AF$11,IF($J134&lt;&gt;"",1,0),IF($J134="",1,0))),IF(法术查询!$J$19="",1,IF(法术查询!$J$19=$AF$11,IF($L134&lt;&gt;"",1,0),IF($L134="",1,0)))),$B134,""),"")</f>
        <v/>
      </c>
      <c r="AD133" s="192" t="str">
        <f t="array" ref="AD133">INDEX(AC:AC,SMALL(IF($AC$2:$AC$523&lt;&gt;"",ROW($2:$523),524),ROW(AC132)))&amp;""</f>
        <v/>
      </c>
      <c r="AE133" s="200" t="str">
        <f t="shared" si="6"/>
        <v/>
      </c>
      <c r="AJ133" s="192">
        <v>132</v>
      </c>
      <c r="AK133" s="193" t="str">
        <f>IF(法术书!AB39="","",法术书!AB39)</f>
        <v/>
      </c>
      <c r="AL133" s="224" t="str">
        <f t="array" ref="AL133">IFERROR(INDEX(AK$1:AK$301,SMALL(IF(MATCH(AK133,AK$1:AK$301,0)=ROW(AK133),ROW(AK$1:AK$301),999),ROW(AK133))),"")</f>
        <v/>
      </c>
      <c r="AM133" s="223" t="str">
        <f t="array" ref="AM133">INDEX(AL:AL,SMALL(IF($AL$2:$AL$301&lt;&gt;"",ROW($2:$301),302),ROW(AL132)))&amp;""</f>
        <v/>
      </c>
    </row>
    <row r="134" customHeight="1" spans="1:39">
      <c r="A134" s="192">
        <v>132</v>
      </c>
      <c r="B134" s="224" t="s">
        <v>7255</v>
      </c>
      <c r="C134" s="224" t="s">
        <v>7256</v>
      </c>
      <c r="E134" s="243" t="s">
        <v>6657</v>
      </c>
      <c r="F134" s="193" t="s">
        <v>6642</v>
      </c>
      <c r="G134" s="193" t="s">
        <v>6673</v>
      </c>
      <c r="H134" s="193">
        <v>1</v>
      </c>
      <c r="N134" s="193" t="s">
        <v>6709</v>
      </c>
      <c r="O134" s="224" t="s">
        <v>7257</v>
      </c>
      <c r="P134" s="224">
        <v>2</v>
      </c>
      <c r="Q134" s="224" t="s">
        <v>249</v>
      </c>
      <c r="R134" s="193">
        <v>1</v>
      </c>
      <c r="S134" s="193">
        <v>1</v>
      </c>
      <c r="W134" s="193">
        <v>1</v>
      </c>
      <c r="X134" s="193">
        <v>1</v>
      </c>
      <c r="AA134" s="223" t="s">
        <v>7258</v>
      </c>
      <c r="AB134" s="200" t="str">
        <f t="array" ref="AB134">INDEX(B:B,SMALL(IF($Q$3:$Q$524&lt;&gt;"",ROW($3:$524),525),ROW(B133)))&amp;""</f>
        <v>朦胧术</v>
      </c>
      <c r="AC134" s="225" t="str">
        <f>IFERROR(IF(AND($Q135&lt;&gt;"",IF(法术查询!$J$4="",1,INDEX($R135:$Z135,1,VLOOKUP(法术查询!$J$4,$AF$2:$AG$10,2,0)))&lt;&gt;"",IF(法术查询!$J$5="",1,$P135=VLOOKUP(法术查询!$J$5,$AH$2:$AI$11,2,0)),IF(法术查询!$J$6="",1,IF(法术查询!$J$6=$E135,1,0)),IF(法术查询!$J$7="",1,SEARCH(法术查询!$J$7,$F135)),IF(法术查询!$J$8="",1,SEARCH(法术查询!$J$8,G135)),IF(法术查询!$J$9="",1,SEARCH(法术查询!$J$9,N135)),IF(法术查询!$J$10="",1,IF(法术查询!$J$10=$AF$11,IF($M135=1,1,0),IF($M135="",1,0))),IF(法术查询!$J$11="",1,IF(法术查询!$J$11=$AF$11,IF($D135=1,1,0),IF($D135="",1,0))),IF(法术查询!$J$12="",1,SEARCH(法术查询!$J$12,$B135&amp;$C135&amp;$O135)),IF(法术查询!$J$13="",1,SEARCH(法术查询!$J$13,$B135&amp;$C135&amp;$O135)),IF(法术查询!$J$14="",1,SEARCH(法术查询!$J$14,$B135&amp;$C135&amp;$O135)),IF(法术查询!$J$16="",1,IF(法术查询!$J$16=$AF$11,IF($H135=1,1,0),IF($H135="",1,0))),IF(法术查询!$J$17="",1,IF(法术查询!$J$17=$AF$11,IF($I135=1,1,0),IF($I135="",1,0))),IF(法术查询!$J$18="",1,IF(法术查询!$J$18=$AF$11,IF($J135&lt;&gt;"",1,0),IF($J135="",1,0))),IF(法术查询!$J$19="",1,IF(法术查询!$J$19=$AF$11,IF($L135&lt;&gt;"",1,0),IF($L135="",1,0)))),$B135,""),"")</f>
        <v>朦胧术</v>
      </c>
      <c r="AD134" s="192" t="str">
        <f t="array" ref="AD134">INDEX(AC:AC,SMALL(IF($AC$2:$AC$523&lt;&gt;"",ROW($2:$523),524),ROW(AC133)))&amp;""</f>
        <v/>
      </c>
      <c r="AE134" s="200" t="str">
        <f t="shared" si="6"/>
        <v/>
      </c>
      <c r="AJ134" s="192">
        <v>133</v>
      </c>
      <c r="AK134" s="193" t="str">
        <f>IF(法术书!AB40="","",法术书!AB40)</f>
        <v/>
      </c>
      <c r="AL134" s="224" t="str">
        <f t="array" ref="AL134">IFERROR(INDEX(AK$1:AK$301,SMALL(IF(MATCH(AK134,AK$1:AK$301,0)=ROW(AK134),ROW(AK$1:AK$301),999),ROW(AK134))),"")</f>
        <v/>
      </c>
      <c r="AM134" s="223" t="str">
        <f t="array" ref="AM134">INDEX(AL:AL,SMALL(IF($AL$2:$AL$301&lt;&gt;"",ROW($2:$301),302),ROW(AL133)))&amp;""</f>
        <v/>
      </c>
    </row>
    <row r="135" customHeight="1" spans="1:39">
      <c r="A135" s="192">
        <v>133</v>
      </c>
      <c r="B135" s="224" t="s">
        <v>7259</v>
      </c>
      <c r="C135" s="224" t="s">
        <v>7260</v>
      </c>
      <c r="E135" s="241" t="s">
        <v>6726</v>
      </c>
      <c r="F135" s="193" t="s">
        <v>6642</v>
      </c>
      <c r="G135" s="193" t="s">
        <v>6651</v>
      </c>
      <c r="H135" s="193">
        <v>1</v>
      </c>
      <c r="M135" s="193">
        <v>1</v>
      </c>
      <c r="N135" s="193" t="s">
        <v>6666</v>
      </c>
      <c r="O135" s="224" t="s">
        <v>7261</v>
      </c>
      <c r="P135" s="224">
        <v>2</v>
      </c>
      <c r="Q135" s="224" t="s">
        <v>249</v>
      </c>
      <c r="W135" s="193">
        <v>1</v>
      </c>
      <c r="X135" s="193">
        <v>1</v>
      </c>
      <c r="Z135" s="193">
        <v>9</v>
      </c>
      <c r="AA135" s="223" t="s">
        <v>7262</v>
      </c>
      <c r="AB135" s="200" t="str">
        <f t="array" ref="AB135">INDEX(B:B,SMALL(IF($Q$3:$Q$524&lt;&gt;"",ROW($3:$524),525),ROW(B134)))&amp;""</f>
        <v>印记斩</v>
      </c>
      <c r="AC135" s="225" t="str">
        <f>IFERROR(IF(AND($Q136&lt;&gt;"",IF(法术查询!$J$4="",1,INDEX($R136:$Z136,1,VLOOKUP(法术查询!$J$4,$AF$2:$AG$10,2,0)))&lt;&gt;"",IF(法术查询!$J$5="",1,$P136=VLOOKUP(法术查询!$J$5,$AH$2:$AI$11,2,0)),IF(法术查询!$J$6="",1,IF(法术查询!$J$6=$E136,1,0)),IF(法术查询!$J$7="",1,SEARCH(法术查询!$J$7,$F136)),IF(法术查询!$J$8="",1,SEARCH(法术查询!$J$8,G136)),IF(法术查询!$J$9="",1,SEARCH(法术查询!$J$9,N136)),IF(法术查询!$J$10="",1,IF(法术查询!$J$10=$AF$11,IF($M136=1,1,0),IF($M136="",1,0))),IF(法术查询!$J$11="",1,IF(法术查询!$J$11=$AF$11,IF($D136=1,1,0),IF($D136="",1,0))),IF(法术查询!$J$12="",1,SEARCH(法术查询!$J$12,$B136&amp;$C136&amp;$O136)),IF(法术查询!$J$13="",1,SEARCH(法术查询!$J$13,$B136&amp;$C136&amp;$O136)),IF(法术查询!$J$14="",1,SEARCH(法术查询!$J$14,$B136&amp;$C136&amp;$O136)),IF(法术查询!$J$16="",1,IF(法术查询!$J$16=$AF$11,IF($H136=1,1,0),IF($H136="",1,0))),IF(法术查询!$J$17="",1,IF(法术查询!$J$17=$AF$11,IF($I136=1,1,0),IF($I136="",1,0))),IF(法术查询!$J$18="",1,IF(法术查询!$J$18=$AF$11,IF($J136&lt;&gt;"",1,0),IF($J136="",1,0))),IF(法术查询!$J$19="",1,IF(法术查询!$J$19=$AF$11,IF($L136&lt;&gt;"",1,0),IF($L136="",1,0)))),$B136,""),"")</f>
        <v/>
      </c>
      <c r="AD135" s="192" t="str">
        <f t="array" ref="AD135">INDEX(AC:AC,SMALL(IF($AC$2:$AC$523&lt;&gt;"",ROW($2:$523),524),ROW(AC134)))&amp;""</f>
        <v/>
      </c>
      <c r="AE135" s="200" t="str">
        <f t="shared" si="6"/>
        <v/>
      </c>
      <c r="AJ135" s="192">
        <v>134</v>
      </c>
      <c r="AK135" s="193" t="str">
        <f>IF(法术书!AB41="","",法术书!AB41)</f>
        <v/>
      </c>
      <c r="AL135" s="224" t="str">
        <f t="array" ref="AL135">IFERROR(INDEX(AK$1:AK$301,SMALL(IF(MATCH(AK135,AK$1:AK$301,0)=ROW(AK135),ROW(AK$1:AK$301),999),ROW(AK135))),"")</f>
        <v/>
      </c>
      <c r="AM135" s="223" t="str">
        <f t="array" ref="AM135">INDEX(AL:AL,SMALL(IF($AL$2:$AL$301&lt;&gt;"",ROW($2:$301),302),ROW(AL134)))&amp;""</f>
        <v/>
      </c>
    </row>
    <row r="136" customHeight="1" spans="1:39">
      <c r="A136" s="192">
        <v>134</v>
      </c>
      <c r="B136" s="224" t="s">
        <v>7263</v>
      </c>
      <c r="C136" s="224" t="s">
        <v>7264</v>
      </c>
      <c r="E136" s="229" t="s">
        <v>6664</v>
      </c>
      <c r="F136" s="193" t="s">
        <v>6712</v>
      </c>
      <c r="G136" s="193" t="s">
        <v>6651</v>
      </c>
      <c r="H136" s="193">
        <v>1</v>
      </c>
      <c r="M136" s="193">
        <v>1</v>
      </c>
      <c r="N136" s="193" t="s">
        <v>6666</v>
      </c>
      <c r="O136" s="224" t="s">
        <v>7265</v>
      </c>
      <c r="P136" s="224">
        <v>2</v>
      </c>
      <c r="Q136" s="224" t="s">
        <v>249</v>
      </c>
      <c r="U136" s="193">
        <v>1</v>
      </c>
      <c r="AA136" s="223" t="s">
        <v>7266</v>
      </c>
      <c r="AB136" s="200" t="str">
        <f t="array" ref="AB136">INDEX(B:B,SMALL(IF($Q$3:$Q$524&lt;&gt;"",ROW($3:$524),525),ROW(B135)))&amp;""</f>
        <v>安定心神</v>
      </c>
      <c r="AC136" s="225" t="str">
        <f>IFERROR(IF(AND($Q137&lt;&gt;"",IF(法术查询!$J$4="",1,INDEX($R137:$Z137,1,VLOOKUP(法术查询!$J$4,$AF$2:$AG$10,2,0)))&lt;&gt;"",IF(法术查询!$J$5="",1,$P137=VLOOKUP(法术查询!$J$5,$AH$2:$AI$11,2,0)),IF(法术查询!$J$6="",1,IF(法术查询!$J$6=$E137,1,0)),IF(法术查询!$J$7="",1,SEARCH(法术查询!$J$7,$F137)),IF(法术查询!$J$8="",1,SEARCH(法术查询!$J$8,G137)),IF(法术查询!$J$9="",1,SEARCH(法术查询!$J$9,N137)),IF(法术查询!$J$10="",1,IF(法术查询!$J$10=$AF$11,IF($M137=1,1,0),IF($M137="",1,0))),IF(法术查询!$J$11="",1,IF(法术查询!$J$11=$AF$11,IF($D137=1,1,0),IF($D137="",1,0))),IF(法术查询!$J$12="",1,SEARCH(法术查询!$J$12,$B137&amp;$C137&amp;$O137)),IF(法术查询!$J$13="",1,SEARCH(法术查询!$J$13,$B137&amp;$C137&amp;$O137)),IF(法术查询!$J$14="",1,SEARCH(法术查询!$J$14,$B137&amp;$C137&amp;$O137)),IF(法术查询!$J$16="",1,IF(法术查询!$J$16=$AF$11,IF($H137=1,1,0),IF($H137="",1,0))),IF(法术查询!$J$17="",1,IF(法术查询!$J$17=$AF$11,IF($I137=1,1,0),IF($I137="",1,0))),IF(法术查询!$J$18="",1,IF(法术查询!$J$18=$AF$11,IF($J137&lt;&gt;"",1,0),IF($J137="",1,0))),IF(法术查询!$J$19="",1,IF(法术查询!$J$19=$AF$11,IF($L137&lt;&gt;"",1,0),IF($L137="",1,0)))),$B137,""),"")</f>
        <v/>
      </c>
      <c r="AD136" s="192" t="str">
        <f t="array" ref="AD136">INDEX(AC:AC,SMALL(IF($AC$2:$AC$523&lt;&gt;"",ROW($2:$523),524),ROW(AC135)))&amp;""</f>
        <v/>
      </c>
      <c r="AE136" s="200" t="str">
        <f t="shared" si="6"/>
        <v/>
      </c>
      <c r="AJ136" s="192">
        <v>135</v>
      </c>
      <c r="AK136" s="193" t="str">
        <f>IF(法术书!AB42="","",法术书!AB42)</f>
        <v/>
      </c>
      <c r="AL136" s="224" t="str">
        <f t="array" ref="AL136">IFERROR(INDEX(AK$1:AK$301,SMALL(IF(MATCH(AK136,AK$1:AK$301,0)=ROW(AK136),ROW(AK$1:AK$301),999),ROW(AK136))),"")</f>
        <v/>
      </c>
      <c r="AM136" s="223" t="str">
        <f t="array" ref="AM136">INDEX(AL:AL,SMALL(IF($AL$2:$AL$301&lt;&gt;"",ROW($2:$301),302),ROW(AL135)))&amp;""</f>
        <v/>
      </c>
    </row>
    <row r="137" customHeight="1" spans="1:39">
      <c r="A137" s="192">
        <v>135</v>
      </c>
      <c r="B137" s="224" t="s">
        <v>7267</v>
      </c>
      <c r="C137" s="224" t="s">
        <v>7268</v>
      </c>
      <c r="E137" s="233" t="s">
        <v>6688</v>
      </c>
      <c r="F137" s="193" t="s">
        <v>6642</v>
      </c>
      <c r="G137" s="193" t="s">
        <v>6643</v>
      </c>
      <c r="H137" s="193">
        <v>1</v>
      </c>
      <c r="I137" s="193">
        <v>1</v>
      </c>
      <c r="M137" s="193">
        <v>1</v>
      </c>
      <c r="N137" s="193" t="s">
        <v>6666</v>
      </c>
      <c r="O137" s="224" t="s">
        <v>7269</v>
      </c>
      <c r="P137" s="224">
        <v>2</v>
      </c>
      <c r="Q137" s="224" t="s">
        <v>249</v>
      </c>
      <c r="R137" s="193">
        <v>1</v>
      </c>
      <c r="S137" s="193">
        <v>1</v>
      </c>
      <c r="AA137" s="223" t="s">
        <v>7270</v>
      </c>
      <c r="AB137" s="200" t="str">
        <f t="array" ref="AB137">INDEX(B:B,SMALL(IF($Q$3:$Q$524&lt;&gt;"",ROW($3:$524),525),ROW(B136)))&amp;""</f>
        <v>匕首之云</v>
      </c>
      <c r="AC137" s="225" t="str">
        <f>IFERROR(IF(AND($Q138&lt;&gt;"",IF(法术查询!$J$4="",1,INDEX($R138:$Z138,1,VLOOKUP(法术查询!$J$4,$AF$2:$AG$10,2,0)))&lt;&gt;"",IF(法术查询!$J$5="",1,$P138=VLOOKUP(法术查询!$J$5,$AH$2:$AI$11,2,0)),IF(法术查询!$J$6="",1,IF(法术查询!$J$6=$E138,1,0)),IF(法术查询!$J$7="",1,SEARCH(法术查询!$J$7,$F138)),IF(法术查询!$J$8="",1,SEARCH(法术查询!$J$8,G138)),IF(法术查询!$J$9="",1,SEARCH(法术查询!$J$9,N138)),IF(法术查询!$J$10="",1,IF(法术查询!$J$10=$AF$11,IF($M138=1,1,0),IF($M138="",1,0))),IF(法术查询!$J$11="",1,IF(法术查询!$J$11=$AF$11,IF($D138=1,1,0),IF($D138="",1,0))),IF(法术查询!$J$12="",1,SEARCH(法术查询!$J$12,$B138&amp;$C138&amp;$O138)),IF(法术查询!$J$13="",1,SEARCH(法术查询!$J$13,$B138&amp;$C138&amp;$O138)),IF(法术查询!$J$14="",1,SEARCH(法术查询!$J$14,$B138&amp;$C138&amp;$O138)),IF(法术查询!$J$16="",1,IF(法术查询!$J$16=$AF$11,IF($H138=1,1,0),IF($H138="",1,0))),IF(法术查询!$J$17="",1,IF(法术查询!$J$17=$AF$11,IF($I138=1,1,0),IF($I138="",1,0))),IF(法术查询!$J$18="",1,IF(法术查询!$J$18=$AF$11,IF($J138&lt;&gt;"",1,0),IF($J138="",1,0))),IF(法术查询!$J$19="",1,IF(法术查询!$J$19=$AF$11,IF($L138&lt;&gt;"",1,0),IF($L138="",1,0)))),$B138,""),"")</f>
        <v/>
      </c>
      <c r="AD137" s="192" t="str">
        <f t="array" ref="AD137">INDEX(AC:AC,SMALL(IF($AC$2:$AC$523&lt;&gt;"",ROW($2:$523),524),ROW(AC136)))&amp;""</f>
        <v/>
      </c>
      <c r="AE137" s="200" t="str">
        <f t="shared" si="6"/>
        <v/>
      </c>
      <c r="AJ137" s="192">
        <v>136</v>
      </c>
      <c r="AK137" s="193" t="str">
        <f>IF(法术书!AB43="","",法术书!AB43)</f>
        <v/>
      </c>
      <c r="AL137" s="224" t="str">
        <f t="array" ref="AL137">IFERROR(INDEX(AK$1:AK$301,SMALL(IF(MATCH(AK137,AK$1:AK$301,0)=ROW(AK137),ROW(AK$1:AK$301),999),ROW(AK137))),"")</f>
        <v/>
      </c>
      <c r="AM137" s="223" t="str">
        <f t="array" ref="AM137">INDEX(AL:AL,SMALL(IF($AL$2:$AL$301&lt;&gt;"",ROW($2:$301),302),ROW(AL136)))&amp;""</f>
        <v/>
      </c>
    </row>
    <row r="138" customHeight="1" spans="1:39">
      <c r="A138" s="192">
        <v>136</v>
      </c>
      <c r="B138" s="224" t="s">
        <v>7271</v>
      </c>
      <c r="C138" s="224" t="s">
        <v>7272</v>
      </c>
      <c r="E138" s="240" t="s">
        <v>6641</v>
      </c>
      <c r="F138" s="193" t="s">
        <v>6642</v>
      </c>
      <c r="G138" s="193" t="s">
        <v>6643</v>
      </c>
      <c r="H138" s="193">
        <v>1</v>
      </c>
      <c r="I138" s="193">
        <v>1</v>
      </c>
      <c r="J138" s="193">
        <v>1</v>
      </c>
      <c r="K138" s="224" t="s">
        <v>7273</v>
      </c>
      <c r="M138" s="193">
        <v>1</v>
      </c>
      <c r="N138" s="193" t="s">
        <v>6666</v>
      </c>
      <c r="O138" s="224" t="s">
        <v>7274</v>
      </c>
      <c r="P138" s="224">
        <v>2</v>
      </c>
      <c r="Q138" s="224" t="s">
        <v>249</v>
      </c>
      <c r="R138" s="193">
        <v>1</v>
      </c>
      <c r="W138" s="193">
        <v>1</v>
      </c>
      <c r="X138" s="193">
        <v>1</v>
      </c>
      <c r="Y138" s="193">
        <v>1</v>
      </c>
      <c r="AA138" s="200"/>
      <c r="AB138" s="200" t="str">
        <f t="array" ref="AB138">INDEX(B:B,SMALL(IF($Q$3:$Q$524&lt;&gt;"",ROW($3:$524),525),ROW(B137)))&amp;""</f>
        <v>不灭明焰</v>
      </c>
      <c r="AC138" s="225" t="str">
        <f>IFERROR(IF(AND($Q139&lt;&gt;"",IF(法术查询!$J$4="",1,INDEX($R139:$Z139,1,VLOOKUP(法术查询!$J$4,$AF$2:$AG$10,2,0)))&lt;&gt;"",IF(法术查询!$J$5="",1,$P139=VLOOKUP(法术查询!$J$5,$AH$2:$AI$11,2,0)),IF(法术查询!$J$6="",1,IF(法术查询!$J$6=$E139,1,0)),IF(法术查询!$J$7="",1,SEARCH(法术查询!$J$7,$F139)),IF(法术查询!$J$8="",1,SEARCH(法术查询!$J$8,G139)),IF(法术查询!$J$9="",1,SEARCH(法术查询!$J$9,N139)),IF(法术查询!$J$10="",1,IF(法术查询!$J$10=$AF$11,IF($M139=1,1,0),IF($M139="",1,0))),IF(法术查询!$J$11="",1,IF(法术查询!$J$11=$AF$11,IF($D139=1,1,0),IF($D139="",1,0))),IF(法术查询!$J$12="",1,SEARCH(法术查询!$J$12,$B139&amp;$C139&amp;$O139)),IF(法术查询!$J$13="",1,SEARCH(法术查询!$J$13,$B139&amp;$C139&amp;$O139)),IF(法术查询!$J$14="",1,SEARCH(法术查询!$J$14,$B139&amp;$C139&amp;$O139)),IF(法术查询!$J$16="",1,IF(法术查询!$J$16=$AF$11,IF($H139=1,1,0),IF($H139="",1,0))),IF(法术查询!$J$17="",1,IF(法术查询!$J$17=$AF$11,IF($I139=1,1,0),IF($I139="",1,0))),IF(法术查询!$J$18="",1,IF(法术查询!$J$18=$AF$11,IF($J139&lt;&gt;"",1,0),IF($J139="",1,0))),IF(法术查询!$J$19="",1,IF(法术查询!$J$19=$AF$11,IF($L139&lt;&gt;"",1,0),IF($L139="",1,0)))),$B139,""),"")</f>
        <v>不灭明焰</v>
      </c>
      <c r="AD138" s="192" t="str">
        <f t="array" ref="AD138">INDEX(AC:AC,SMALL(IF($AC$2:$AC$523&lt;&gt;"",ROW($2:$523),524),ROW(AC137)))&amp;""</f>
        <v/>
      </c>
      <c r="AE138" s="200" t="str">
        <f t="shared" si="6"/>
        <v/>
      </c>
      <c r="AJ138" s="192">
        <v>137</v>
      </c>
      <c r="AK138" s="193" t="str">
        <f>IF(法术书!AB44="","",法术书!AB44)</f>
        <v/>
      </c>
      <c r="AL138" s="224" t="str">
        <f t="array" ref="AL138">IFERROR(INDEX(AK$1:AK$301,SMALL(IF(MATCH(AK138,AK$1:AK$301,0)=ROW(AK138),ROW(AK$1:AK$301),999),ROW(AK138))),"")</f>
        <v/>
      </c>
      <c r="AM138" s="223" t="str">
        <f t="array" ref="AM138">INDEX(AL:AL,SMALL(IF($AL$2:$AL$301&lt;&gt;"",ROW($2:$301),302),ROW(AL137)))&amp;""</f>
        <v/>
      </c>
    </row>
    <row r="139" customHeight="1" spans="1:39">
      <c r="A139" s="192">
        <v>137</v>
      </c>
      <c r="B139" s="224" t="s">
        <v>7275</v>
      </c>
      <c r="C139" s="224" t="s">
        <v>7276</v>
      </c>
      <c r="E139" s="229" t="s">
        <v>6664</v>
      </c>
      <c r="F139" s="193" t="s">
        <v>6642</v>
      </c>
      <c r="G139" s="193" t="s">
        <v>3760</v>
      </c>
      <c r="H139" s="193">
        <v>1</v>
      </c>
      <c r="I139" s="193">
        <v>1</v>
      </c>
      <c r="J139" s="193">
        <v>1</v>
      </c>
      <c r="L139" s="224" t="s">
        <v>7277</v>
      </c>
      <c r="N139" s="193" t="s">
        <v>6794</v>
      </c>
      <c r="O139" s="224" t="s">
        <v>7278</v>
      </c>
      <c r="P139" s="224">
        <v>2</v>
      </c>
      <c r="Q139" s="224" t="s">
        <v>249</v>
      </c>
      <c r="S139" s="193">
        <v>1</v>
      </c>
      <c r="T139" s="193" t="str">
        <f>IF(综合数据!$B$14=TRUE,"13","")</f>
        <v>13</v>
      </c>
      <c r="X139" s="193">
        <v>1</v>
      </c>
      <c r="Z139" s="193">
        <v>9</v>
      </c>
      <c r="AA139" s="200" t="s">
        <v>793</v>
      </c>
      <c r="AB139" s="200" t="str">
        <f t="array" ref="AB139">INDEX(B:B,SMALL(IF($Q$3:$Q$524&lt;&gt;"",ROW($3:$524),525),ROW(B138)))&amp;""</f>
        <v>警戒之箭</v>
      </c>
      <c r="AC139" s="225" t="str">
        <f>IFERROR(IF(AND($Q140&lt;&gt;"",IF(法术查询!$J$4="",1,INDEX($R140:$Z140,1,VLOOKUP(法术查询!$J$4,$AF$2:$AG$10,2,0)))&lt;&gt;"",IF(法术查询!$J$5="",1,$P140=VLOOKUP(法术查询!$J$5,$AH$2:$AI$11,2,0)),IF(法术查询!$J$6="",1,IF(法术查询!$J$6=$E140,1,0)),IF(法术查询!$J$7="",1,SEARCH(法术查询!$J$7,$F140)),IF(法术查询!$J$8="",1,SEARCH(法术查询!$J$8,G140)),IF(法术查询!$J$9="",1,SEARCH(法术查询!$J$9,N140)),IF(法术查询!$J$10="",1,IF(法术查询!$J$10=$AF$11,IF($M140=1,1,0),IF($M140="",1,0))),IF(法术查询!$J$11="",1,IF(法术查询!$J$11=$AF$11,IF($D140=1,1,0),IF($D140="",1,0))),IF(法术查询!$J$12="",1,SEARCH(法术查询!$J$12,$B140&amp;$C140&amp;$O140)),IF(法术查询!$J$13="",1,SEARCH(法术查询!$J$13,$B140&amp;$C140&amp;$O140)),IF(法术查询!$J$14="",1,SEARCH(法术查询!$J$14,$B140&amp;$C140&amp;$O140)),IF(法术查询!$J$16="",1,IF(法术查询!$J$16=$AF$11,IF($H140=1,1,0),IF($H140="",1,0))),IF(法术查询!$J$17="",1,IF(法术查询!$J$17=$AF$11,IF($I140=1,1,0),IF($I140="",1,0))),IF(法术查询!$J$18="",1,IF(法术查询!$J$18=$AF$11,IF($J140&lt;&gt;"",1,0),IF($J140="",1,0))),IF(法术查询!$J$19="",1,IF(法术查询!$J$19=$AF$11,IF($L140&lt;&gt;"",1,0),IF($L140="",1,0)))),$B140,""),"")</f>
        <v/>
      </c>
      <c r="AD139" s="192" t="str">
        <f t="array" ref="AD139">INDEX(AC:AC,SMALL(IF($AC$2:$AC$523&lt;&gt;"",ROW($2:$523),524),ROW(AC138)))&amp;""</f>
        <v/>
      </c>
      <c r="AE139" s="200" t="str">
        <f t="shared" si="6"/>
        <v/>
      </c>
      <c r="AJ139" s="192">
        <v>138</v>
      </c>
      <c r="AK139" s="193" t="str">
        <f>IF(法术书!AB45="","",法术书!AB45)</f>
        <v/>
      </c>
      <c r="AL139" s="224" t="str">
        <f t="array" ref="AL139">IFERROR(INDEX(AK$1:AK$301,SMALL(IF(MATCH(AK139,AK$1:AK$301,0)=ROW(AK139),ROW(AK$1:AK$301),999),ROW(AK139))),"")</f>
        <v/>
      </c>
      <c r="AM139" s="223" t="str">
        <f t="array" ref="AM139">INDEX(AL:AL,SMALL(IF($AL$2:$AL$301&lt;&gt;"",ROW($2:$301),302),ROW(AL138)))&amp;""</f>
        <v/>
      </c>
    </row>
    <row r="140" customHeight="1" spans="1:39">
      <c r="A140" s="192">
        <v>138</v>
      </c>
      <c r="B140" s="224" t="s">
        <v>7279</v>
      </c>
      <c r="C140" s="224" t="s">
        <v>7280</v>
      </c>
      <c r="E140" s="231" t="s">
        <v>6672</v>
      </c>
      <c r="F140" s="193" t="s">
        <v>6642</v>
      </c>
      <c r="G140" s="193" t="s">
        <v>6723</v>
      </c>
      <c r="H140" s="193">
        <v>1</v>
      </c>
      <c r="I140" s="193">
        <v>1</v>
      </c>
      <c r="J140" s="193">
        <v>1</v>
      </c>
      <c r="K140" s="224" t="s">
        <v>7281</v>
      </c>
      <c r="N140" s="193" t="s">
        <v>6748</v>
      </c>
      <c r="O140" s="224" t="s">
        <v>7282</v>
      </c>
      <c r="P140" s="224">
        <v>2</v>
      </c>
      <c r="Q140" s="224" t="s">
        <v>249</v>
      </c>
      <c r="V140" s="193">
        <v>1</v>
      </c>
      <c r="AA140" s="200"/>
      <c r="AB140" s="200" t="str">
        <f t="array" ref="AB140">INDEX(B:B,SMALL(IF($Q$3:$Q$524&lt;&gt;"",ROW($3:$524),525),ROW(B139)))&amp;""</f>
        <v>疯狂冠冕</v>
      </c>
      <c r="AC140" s="225" t="str">
        <f>IFERROR(IF(AND($Q141&lt;&gt;"",IF(法术查询!$J$4="",1,INDEX($R141:$Z141,1,VLOOKUP(法术查询!$J$4,$AF$2:$AG$10,2,0)))&lt;&gt;"",IF(法术查询!$J$5="",1,$P141=VLOOKUP(法术查询!$J$5,$AH$2:$AI$11,2,0)),IF(法术查询!$J$6="",1,IF(法术查询!$J$6=$E141,1,0)),IF(法术查询!$J$7="",1,SEARCH(法术查询!$J$7,$F141)),IF(法术查询!$J$8="",1,SEARCH(法术查询!$J$8,G141)),IF(法术查询!$J$9="",1,SEARCH(法术查询!$J$9,N141)),IF(法术查询!$J$10="",1,IF(法术查询!$J$10=$AF$11,IF($M141=1,1,0),IF($M141="",1,0))),IF(法术查询!$J$11="",1,IF(法术查询!$J$11=$AF$11,IF($D141=1,1,0),IF($D141="",1,0))),IF(法术查询!$J$12="",1,SEARCH(法术查询!$J$12,$B141&amp;$C141&amp;$O141)),IF(法术查询!$J$13="",1,SEARCH(法术查询!$J$13,$B141&amp;$C141&amp;$O141)),IF(法术查询!$J$14="",1,SEARCH(法术查询!$J$14,$B141&amp;$C141&amp;$O141)),IF(法术查询!$J$16="",1,IF(法术查询!$J$16=$AF$11,IF($H141=1,1,0),IF($H141="",1,0))),IF(法术查询!$J$17="",1,IF(法术查询!$J$17=$AF$11,IF($I141=1,1,0),IF($I141="",1,0))),IF(法术查询!$J$18="",1,IF(法术查询!$J$18=$AF$11,IF($J141&lt;&gt;"",1,0),IF($J141="",1,0))),IF(法术查询!$J$19="",1,IF(法术查询!$J$19=$AF$11,IF($L141&lt;&gt;"",1,0),IF($L141="",1,0)))),$B141,""),"")</f>
        <v/>
      </c>
      <c r="AD140" s="192" t="str">
        <f t="array" ref="AD140">INDEX(AC:AC,SMALL(IF($AC$2:$AC$523&lt;&gt;"",ROW($2:$523),524),ROW(AC139)))&amp;""</f>
        <v/>
      </c>
      <c r="AE140" s="200" t="str">
        <f t="shared" si="6"/>
        <v/>
      </c>
      <c r="AJ140" s="192">
        <v>139</v>
      </c>
      <c r="AK140" s="193" t="str">
        <f>IF(法术书!AB46="","",法术书!AB46)</f>
        <v/>
      </c>
      <c r="AL140" s="224" t="str">
        <f t="array" ref="AL140">IFERROR(INDEX(AK$1:AK$301,SMALL(IF(MATCH(AK140,AK$1:AK$301,0)=ROW(AK140),ROW(AK$1:AK$301),999),ROW(AK140))),"")</f>
        <v/>
      </c>
      <c r="AM140" s="223" t="str">
        <f t="array" ref="AM140">INDEX(AL:AL,SMALL(IF($AL$2:$AL$301&lt;&gt;"",ROW($2:$301),302),ROW(AL139)))&amp;""</f>
        <v/>
      </c>
    </row>
    <row r="141" customHeight="1" spans="1:39">
      <c r="A141" s="192">
        <v>139</v>
      </c>
      <c r="B141" s="224" t="s">
        <v>7283</v>
      </c>
      <c r="C141" s="224" t="s">
        <v>7284</v>
      </c>
      <c r="E141" s="233" t="s">
        <v>6688</v>
      </c>
      <c r="F141" s="193" t="s">
        <v>6642</v>
      </c>
      <c r="G141" s="193" t="s">
        <v>6658</v>
      </c>
      <c r="H141" s="193">
        <v>1</v>
      </c>
      <c r="I141" s="193">
        <v>1</v>
      </c>
      <c r="M141" s="193">
        <v>1</v>
      </c>
      <c r="N141" s="193" t="s">
        <v>6666</v>
      </c>
      <c r="O141" s="224" t="s">
        <v>7285</v>
      </c>
      <c r="P141" s="224">
        <v>2</v>
      </c>
      <c r="Q141" s="224" t="s">
        <v>249</v>
      </c>
      <c r="R141" s="193">
        <v>1</v>
      </c>
      <c r="W141" s="193">
        <v>1</v>
      </c>
      <c r="X141" s="193">
        <v>1</v>
      </c>
      <c r="Y141" s="193">
        <v>1</v>
      </c>
      <c r="AA141" s="223" t="s">
        <v>7286</v>
      </c>
      <c r="AB141" s="200" t="str">
        <f t="array" ref="AB141">INDEX(B:B,SMALL(IF($Q$3:$Q$524&lt;&gt;"",ROW($3:$524),525),ROW(B140)))&amp;""</f>
        <v>黑暗术</v>
      </c>
      <c r="AC141" s="225" t="str">
        <f>IFERROR(IF(AND($Q142&lt;&gt;"",IF(法术查询!$J$4="",1,INDEX($R142:$Z142,1,VLOOKUP(法术查询!$J$4,$AF$2:$AG$10,2,0)))&lt;&gt;"",IF(法术查询!$J$5="",1,$P142=VLOOKUP(法术查询!$J$5,$AH$2:$AI$11,2,0)),IF(法术查询!$J$6="",1,IF(法术查询!$J$6=$E142,1,0)),IF(法术查询!$J$7="",1,SEARCH(法术查询!$J$7,$F142)),IF(法术查询!$J$8="",1,SEARCH(法术查询!$J$8,G142)),IF(法术查询!$J$9="",1,SEARCH(法术查询!$J$9,N142)),IF(法术查询!$J$10="",1,IF(法术查询!$J$10=$AF$11,IF($M142=1,1,0),IF($M142="",1,0))),IF(法术查询!$J$11="",1,IF(法术查询!$J$11=$AF$11,IF($D142=1,1,0),IF($D142="",1,0))),IF(法术查询!$J$12="",1,SEARCH(法术查询!$J$12,$B142&amp;$C142&amp;$O142)),IF(法术查询!$J$13="",1,SEARCH(法术查询!$J$13,$B142&amp;$C142&amp;$O142)),IF(法术查询!$J$14="",1,SEARCH(法术查询!$J$14,$B142&amp;$C142&amp;$O142)),IF(法术查询!$J$16="",1,IF(法术查询!$J$16=$AF$11,IF($H142=1,1,0),IF($H142="",1,0))),IF(法术查询!$J$17="",1,IF(法术查询!$J$17=$AF$11,IF($I142=1,1,0),IF($I142="",1,0))),IF(法术查询!$J$18="",1,IF(法术查询!$J$18=$AF$11,IF($J142&lt;&gt;"",1,0),IF($J142="",1,0))),IF(法术查询!$J$19="",1,IF(法术查询!$J$19=$AF$11,IF($L142&lt;&gt;"",1,0),IF($L142="",1,0)))),$B142,""),"")</f>
        <v/>
      </c>
      <c r="AD141" s="192" t="str">
        <f t="array" ref="AD141">INDEX(AC:AC,SMALL(IF($AC$2:$AC$523&lt;&gt;"",ROW($2:$523),524),ROW(AC140)))&amp;""</f>
        <v/>
      </c>
      <c r="AE141" s="200" t="str">
        <f t="shared" si="6"/>
        <v/>
      </c>
      <c r="AJ141" s="192">
        <v>140</v>
      </c>
      <c r="AK141" s="193" t="str">
        <f>IF(法术书!AB47="","",法术书!AB47)</f>
        <v/>
      </c>
      <c r="AL141" s="224" t="str">
        <f t="array" ref="AL141">IFERROR(INDEX(AK$1:AK$301,SMALL(IF(MATCH(AK141,AK$1:AK$301,0)=ROW(AK141),ROW(AK$1:AK$301),999),ROW(AK141))),"")</f>
        <v/>
      </c>
      <c r="AM141" s="223" t="str">
        <f t="array" ref="AM141">INDEX(AL:AL,SMALL(IF($AL$2:$AL$301&lt;&gt;"",ROW($2:$301),302),ROW(AL140)))&amp;""</f>
        <v/>
      </c>
    </row>
    <row r="142" customHeight="1" spans="1:39">
      <c r="A142" s="192">
        <v>140</v>
      </c>
      <c r="B142" s="224" t="s">
        <v>7287</v>
      </c>
      <c r="C142" s="224" t="s">
        <v>7288</v>
      </c>
      <c r="E142" s="229" t="s">
        <v>6664</v>
      </c>
      <c r="F142" s="193" t="s">
        <v>6642</v>
      </c>
      <c r="G142" s="193" t="s">
        <v>6643</v>
      </c>
      <c r="H142" s="193">
        <v>1</v>
      </c>
      <c r="J142" s="193">
        <v>1</v>
      </c>
      <c r="K142" s="224" t="s">
        <v>7289</v>
      </c>
      <c r="M142" s="193">
        <v>1</v>
      </c>
      <c r="N142" s="193" t="s">
        <v>6831</v>
      </c>
      <c r="O142" s="224" t="s">
        <v>7290</v>
      </c>
      <c r="P142" s="224">
        <v>2</v>
      </c>
      <c r="Q142" s="224" t="s">
        <v>249</v>
      </c>
      <c r="W142" s="193">
        <v>1</v>
      </c>
      <c r="X142" s="193">
        <v>1</v>
      </c>
      <c r="Y142" s="193">
        <v>1</v>
      </c>
      <c r="AA142" s="223" t="s">
        <v>7291</v>
      </c>
      <c r="AB142" s="200" t="str">
        <f t="array" ref="AB142">INDEX(B:B,SMALL(IF($Q$3:$Q$524&lt;&gt;"",ROW($3:$524),525),ROW(B141)))&amp;""</f>
        <v>黑暗视觉</v>
      </c>
      <c r="AC142" s="225" t="str">
        <f>IFERROR(IF(AND($Q143&lt;&gt;"",IF(法术查询!$J$4="",1,INDEX($R143:$Z143,1,VLOOKUP(法术查询!$J$4,$AF$2:$AG$10,2,0)))&lt;&gt;"",IF(法术查询!$J$5="",1,$P143=VLOOKUP(法术查询!$J$5,$AH$2:$AI$11,2,0)),IF(法术查询!$J$6="",1,IF(法术查询!$J$6=$E143,1,0)),IF(法术查询!$J$7="",1,SEARCH(法术查询!$J$7,$F143)),IF(法术查询!$J$8="",1,SEARCH(法术查询!$J$8,G143)),IF(法术查询!$J$9="",1,SEARCH(法术查询!$J$9,N143)),IF(法术查询!$J$10="",1,IF(法术查询!$J$10=$AF$11,IF($M143=1,1,0),IF($M143="",1,0))),IF(法术查询!$J$11="",1,IF(法术查询!$J$11=$AF$11,IF($D143=1,1,0),IF($D143="",1,0))),IF(法术查询!$J$12="",1,SEARCH(法术查询!$J$12,$B143&amp;$C143&amp;$O143)),IF(法术查询!$J$13="",1,SEARCH(法术查询!$J$13,$B143&amp;$C143&amp;$O143)),IF(法术查询!$J$14="",1,SEARCH(法术查询!$J$14,$B143&amp;$C143&amp;$O143)),IF(法术查询!$J$16="",1,IF(法术查询!$J$16=$AF$11,IF($H143=1,1,0),IF($H143="",1,0))),IF(法术查询!$J$17="",1,IF(法术查询!$J$17=$AF$11,IF($I143=1,1,0),IF($I143="",1,0))),IF(法术查询!$J$18="",1,IF(法术查询!$J$18=$AF$11,IF($J143&lt;&gt;"",1,0),IF($J143="",1,0))),IF(法术查询!$J$19="",1,IF(法术查询!$J$19=$AF$11,IF($L143&lt;&gt;"",1,0),IF($L143="",1,0)))),$B143,""),"")</f>
        <v>黑暗视觉</v>
      </c>
      <c r="AD142" s="192" t="str">
        <f t="array" ref="AD142">INDEX(AC:AC,SMALL(IF($AC$2:$AC$523&lt;&gt;"",ROW($2:$523),524),ROW(AC141)))&amp;""</f>
        <v/>
      </c>
      <c r="AE142" s="200" t="str">
        <f t="shared" si="6"/>
        <v/>
      </c>
      <c r="AJ142" s="192">
        <v>141</v>
      </c>
      <c r="AK142" s="193" t="str">
        <f>IF(法术书!AB48="","",法术书!AB48)</f>
        <v/>
      </c>
      <c r="AL142" s="224" t="str">
        <f t="array" ref="AL142">IFERROR(INDEX(AK$1:AK$301,SMALL(IF(MATCH(AK142,AK$1:AK$301,0)=ROW(AK142),ROW(AK$1:AK$301),999),ROW(AK142))),"")</f>
        <v/>
      </c>
      <c r="AM142" s="223" t="str">
        <f t="array" ref="AM142">INDEX(AL:AL,SMALL(IF($AL$2:$AL$301&lt;&gt;"",ROW($2:$301),302),ROW(AL141)))&amp;""</f>
        <v/>
      </c>
    </row>
    <row r="143" customHeight="1" spans="1:39">
      <c r="A143" s="192">
        <v>141</v>
      </c>
      <c r="B143" s="224" t="s">
        <v>841</v>
      </c>
      <c r="C143" s="224" t="s">
        <v>7292</v>
      </c>
      <c r="E143" s="231" t="s">
        <v>6672</v>
      </c>
      <c r="F143" s="193" t="s">
        <v>6642</v>
      </c>
      <c r="G143" s="193" t="s">
        <v>3760</v>
      </c>
      <c r="H143" s="193">
        <v>1</v>
      </c>
      <c r="I143" s="193">
        <v>1</v>
      </c>
      <c r="J143" s="193">
        <v>1</v>
      </c>
      <c r="K143" s="224" t="s">
        <v>7293</v>
      </c>
      <c r="N143" s="193" t="s">
        <v>6748</v>
      </c>
      <c r="O143" s="224" t="s">
        <v>7294</v>
      </c>
      <c r="P143" s="224">
        <v>2</v>
      </c>
      <c r="Q143" s="224" t="s">
        <v>249</v>
      </c>
      <c r="T143" s="193">
        <v>1</v>
      </c>
      <c r="V143" s="193">
        <v>1</v>
      </c>
      <c r="W143" s="193">
        <v>1</v>
      </c>
      <c r="X143" s="193">
        <v>1</v>
      </c>
      <c r="Z143" s="193">
        <v>9</v>
      </c>
      <c r="AA143" s="200" t="s">
        <v>1659</v>
      </c>
      <c r="AB143" s="200" t="str">
        <f t="array" ref="AB143">INDEX(B:B,SMALL(IF($Q$3:$Q$524&lt;&gt;"",ROW($3:$524),525),ROW(B142)))&amp;""</f>
        <v>侦测思想</v>
      </c>
      <c r="AC143" s="225" t="str">
        <f>IFERROR(IF(AND($Q144&lt;&gt;"",IF(法术查询!$J$4="",1,INDEX($R144:$Z144,1,VLOOKUP(法术查询!$J$4,$AF$2:$AG$10,2,0)))&lt;&gt;"",IF(法术查询!$J$5="",1,$P144=VLOOKUP(法术查询!$J$5,$AH$2:$AI$11,2,0)),IF(法术查询!$J$6="",1,IF(法术查询!$J$6=$E144,1,0)),IF(法术查询!$J$7="",1,SEARCH(法术查询!$J$7,$F144)),IF(法术查询!$J$8="",1,SEARCH(法术查询!$J$8,G144)),IF(法术查询!$J$9="",1,SEARCH(法术查询!$J$9,N144)),IF(法术查询!$J$10="",1,IF(法术查询!$J$10=$AF$11,IF($M144=1,1,0),IF($M144="",1,0))),IF(法术查询!$J$11="",1,IF(法术查询!$J$11=$AF$11,IF($D144=1,1,0),IF($D144="",1,0))),IF(法术查询!$J$12="",1,SEARCH(法术查询!$J$12,$B144&amp;$C144&amp;$O144)),IF(法术查询!$J$13="",1,SEARCH(法术查询!$J$13,$B144&amp;$C144&amp;$O144)),IF(法术查询!$J$14="",1,SEARCH(法术查询!$J$14,$B144&amp;$C144&amp;$O144)),IF(法术查询!$J$16="",1,IF(法术查询!$J$16=$AF$11,IF($H144=1,1,0),IF($H144="",1,0))),IF(法术查询!$J$17="",1,IF(法术查询!$J$17=$AF$11,IF($I144=1,1,0),IF($I144="",1,0))),IF(法术查询!$J$18="",1,IF(法术查询!$J$18=$AF$11,IF($J144&lt;&gt;"",1,0),IF($J144="",1,0))),IF(法术查询!$J$19="",1,IF(法术查询!$J$19=$AF$11,IF($L144&lt;&gt;"",1,0),IF($L144="",1,0)))),$B144,""),"")</f>
        <v/>
      </c>
      <c r="AD143" s="192" t="str">
        <f t="array" ref="AD143">INDEX(AC:AC,SMALL(IF($AC$2:$AC$523&lt;&gt;"",ROW($2:$523),524),ROW(AC142)))&amp;""</f>
        <v/>
      </c>
      <c r="AE143" s="200" t="str">
        <f t="shared" si="6"/>
        <v/>
      </c>
      <c r="AJ143" s="192">
        <v>142</v>
      </c>
      <c r="AK143" s="193" t="str">
        <f>IF(法术书!AB49="","",法术书!AB49)</f>
        <v/>
      </c>
      <c r="AL143" s="224" t="str">
        <f t="array" ref="AL143">IFERROR(INDEX(AK$1:AK$301,SMALL(IF(MATCH(AK143,AK$1:AK$301,0)=ROW(AK143),ROW(AK$1:AK$301),999),ROW(AK143))),"")</f>
        <v/>
      </c>
      <c r="AM143" s="223" t="str">
        <f t="array" ref="AM143">INDEX(AL:AL,SMALL(IF($AL$2:$AL$301&lt;&gt;"",ROW($2:$301),302),ROW(AL142)))&amp;""</f>
        <v/>
      </c>
    </row>
    <row r="144" customHeight="1" spans="1:39">
      <c r="A144" s="192">
        <v>142</v>
      </c>
      <c r="B144" s="224" t="s">
        <v>7295</v>
      </c>
      <c r="C144" s="224" t="s">
        <v>7296</v>
      </c>
      <c r="E144" s="238" t="s">
        <v>6695</v>
      </c>
      <c r="F144" s="193" t="s">
        <v>6642</v>
      </c>
      <c r="G144" s="193" t="s">
        <v>6651</v>
      </c>
      <c r="H144" s="193">
        <v>1</v>
      </c>
      <c r="I144" s="193">
        <v>1</v>
      </c>
      <c r="J144" s="193">
        <v>1</v>
      </c>
      <c r="K144" s="224" t="s">
        <v>7297</v>
      </c>
      <c r="M144" s="193">
        <v>1</v>
      </c>
      <c r="N144" s="193" t="s">
        <v>6666</v>
      </c>
      <c r="O144" s="224" t="s">
        <v>7298</v>
      </c>
      <c r="P144" s="224">
        <v>2</v>
      </c>
      <c r="Q144" s="224" t="s">
        <v>249</v>
      </c>
      <c r="R144" s="193">
        <v>1</v>
      </c>
      <c r="W144" s="193">
        <v>1</v>
      </c>
      <c r="X144" s="193">
        <v>1</v>
      </c>
      <c r="AA144" s="223" t="s">
        <v>7299</v>
      </c>
      <c r="AB144" s="200" t="str">
        <f t="array" ref="AB144">INDEX(B:B,SMALL(IF($Q$3:$Q$524&lt;&gt;"",ROW($3:$524),525),ROW(B143)))&amp;""</f>
        <v>强化属性</v>
      </c>
      <c r="AC144" s="225" t="str">
        <f>IFERROR(IF(AND($Q145&lt;&gt;"",IF(法术查询!$J$4="",1,INDEX($R145:$Z145,1,VLOOKUP(法术查询!$J$4,$AF$2:$AG$10,2,0)))&lt;&gt;"",IF(法术查询!$J$5="",1,$P145=VLOOKUP(法术查询!$J$5,$AH$2:$AI$11,2,0)),IF(法术查询!$J$6="",1,IF(法术查询!$J$6=$E145,1,0)),IF(法术查询!$J$7="",1,SEARCH(法术查询!$J$7,$F145)),IF(法术查询!$J$8="",1,SEARCH(法术查询!$J$8,G145)),IF(法术查询!$J$9="",1,SEARCH(法术查询!$J$9,N145)),IF(法术查询!$J$10="",1,IF(法术查询!$J$10=$AF$11,IF($M145=1,1,0),IF($M145="",1,0))),IF(法术查询!$J$11="",1,IF(法术查询!$J$11=$AF$11,IF($D145=1,1,0),IF($D145="",1,0))),IF(法术查询!$J$12="",1,SEARCH(法术查询!$J$12,$B145&amp;$C145&amp;$O145)),IF(法术查询!$J$13="",1,SEARCH(法术查询!$J$13,$B145&amp;$C145&amp;$O145)),IF(法术查询!$J$14="",1,SEARCH(法术查询!$J$14,$B145&amp;$C145&amp;$O145)),IF(法术查询!$J$16="",1,IF(法术查询!$J$16=$AF$11,IF($H145=1,1,0),IF($H145="",1,0))),IF(法术查询!$J$17="",1,IF(法术查询!$J$17=$AF$11,IF($I145=1,1,0),IF($I145="",1,0))),IF(法术查询!$J$18="",1,IF(法术查询!$J$18=$AF$11,IF($J145&lt;&gt;"",1,0),IF($J145="",1,0))),IF(法术查询!$J$19="",1,IF(法术查询!$J$19=$AF$11,IF($L145&lt;&gt;"",1,0),IF($L145="",1,0)))),$B145,""),"")</f>
        <v>强化属性</v>
      </c>
      <c r="AD144" s="192" t="str">
        <f t="array" ref="AD144">INDEX(AC:AC,SMALL(IF($AC$2:$AC$523&lt;&gt;"",ROW($2:$523),524),ROW(AC143)))&amp;""</f>
        <v/>
      </c>
      <c r="AE144" s="200" t="str">
        <f t="shared" si="6"/>
        <v/>
      </c>
      <c r="AJ144" s="192">
        <v>143</v>
      </c>
      <c r="AK144" s="193" t="str">
        <f>IF(法术书!AB50="","",法术书!AB50)</f>
        <v/>
      </c>
      <c r="AL144" s="224" t="str">
        <f t="array" ref="AL144">IFERROR(INDEX(AK$1:AK$301,SMALL(IF(MATCH(AK144,AK$1:AK$301,0)=ROW(AK144),ROW(AK$1:AK$301),999),ROW(AK144))),"")</f>
        <v/>
      </c>
      <c r="AM144" s="223" t="str">
        <f t="array" ref="AM144">INDEX(AL:AL,SMALL(IF($AL$2:$AL$301&lt;&gt;"",ROW($2:$301),302),ROW(AL143)))&amp;""</f>
        <v/>
      </c>
    </row>
    <row r="145" customHeight="1" spans="1:39">
      <c r="A145" s="192">
        <v>143</v>
      </c>
      <c r="B145" s="224" t="s">
        <v>7300</v>
      </c>
      <c r="C145" s="224" t="s">
        <v>7301</v>
      </c>
      <c r="E145" s="231" t="s">
        <v>6672</v>
      </c>
      <c r="F145" s="193" t="s">
        <v>6642</v>
      </c>
      <c r="G145" s="193" t="s">
        <v>3760</v>
      </c>
      <c r="H145" s="193">
        <v>1</v>
      </c>
      <c r="I145" s="193">
        <v>1</v>
      </c>
      <c r="J145" s="193">
        <v>1</v>
      </c>
      <c r="K145" s="224" t="s">
        <v>7302</v>
      </c>
      <c r="M145" s="193">
        <v>1</v>
      </c>
      <c r="N145" s="193" t="s">
        <v>6739</v>
      </c>
      <c r="O145" s="224" t="s">
        <v>7303</v>
      </c>
      <c r="P145" s="224">
        <v>2</v>
      </c>
      <c r="Q145" s="224" t="s">
        <v>249</v>
      </c>
      <c r="R145" s="193">
        <v>1</v>
      </c>
      <c r="S145" s="193">
        <v>1</v>
      </c>
      <c r="T145" s="193">
        <v>1</v>
      </c>
      <c r="V145" s="193" t="str">
        <f>IF(综合数据!$B$14=TRUE,"13","")</f>
        <v>13</v>
      </c>
      <c r="W145" s="193">
        <v>1</v>
      </c>
      <c r="X145" s="193" t="str">
        <f>IF(综合数据!$B$14=TRUE,"13","")</f>
        <v>13</v>
      </c>
      <c r="Z145" s="193">
        <v>9</v>
      </c>
      <c r="AA145" s="223" t="s">
        <v>7304</v>
      </c>
      <c r="AB145" s="200" t="str">
        <f t="array" ref="AB145">INDEX(B:B,SMALL(IF($Q$3:$Q$524&lt;&gt;"",ROW($3:$524),525),ROW(B144)))&amp;""</f>
        <v>变巨/缩小术</v>
      </c>
      <c r="AC145" s="225" t="str">
        <f>IFERROR(IF(AND($Q146&lt;&gt;"",IF(法术查询!$J$4="",1,INDEX($R146:$Z146,1,VLOOKUP(法术查询!$J$4,$AF$2:$AG$10,2,0)))&lt;&gt;"",IF(法术查询!$J$5="",1,$P146=VLOOKUP(法术查询!$J$5,$AH$2:$AI$11,2,0)),IF(法术查询!$J$6="",1,IF(法术查询!$J$6=$E146,1,0)),IF(法术查询!$J$7="",1,SEARCH(法术查询!$J$7,$F146)),IF(法术查询!$J$8="",1,SEARCH(法术查询!$J$8,G146)),IF(法术查询!$J$9="",1,SEARCH(法术查询!$J$9,N146)),IF(法术查询!$J$10="",1,IF(法术查询!$J$10=$AF$11,IF($M146=1,1,0),IF($M146="",1,0))),IF(法术查询!$J$11="",1,IF(法术查询!$J$11=$AF$11,IF($D146=1,1,0),IF($D146="",1,0))),IF(法术查询!$J$12="",1,SEARCH(法术查询!$J$12,$B146&amp;$C146&amp;$O146)),IF(法术查询!$J$13="",1,SEARCH(法术查询!$J$13,$B146&amp;$C146&amp;$O146)),IF(法术查询!$J$14="",1,SEARCH(法术查询!$J$14,$B146&amp;$C146&amp;$O146)),IF(法术查询!$J$16="",1,IF(法术查询!$J$16=$AF$11,IF($H146=1,1,0),IF($H146="",1,0))),IF(法术查询!$J$17="",1,IF(法术查询!$J$17=$AF$11,IF($I146=1,1,0),IF($I146="",1,0))),IF(法术查询!$J$18="",1,IF(法术查询!$J$18=$AF$11,IF($J146&lt;&gt;"",1,0),IF($J146="",1,0))),IF(法术查询!$J$19="",1,IF(法术查询!$J$19=$AF$11,IF($L146&lt;&gt;"",1,0),IF($L146="",1,0)))),$B146,""),"")</f>
        <v>变巨/缩小术</v>
      </c>
      <c r="AD145" s="192" t="str">
        <f t="array" ref="AD145">INDEX(AC:AC,SMALL(IF($AC$2:$AC$523&lt;&gt;"",ROW($2:$523),524),ROW(AC144)))&amp;""</f>
        <v/>
      </c>
      <c r="AE145" s="200" t="str">
        <f t="shared" si="6"/>
        <v/>
      </c>
      <c r="AJ145" s="192">
        <v>144</v>
      </c>
      <c r="AK145" s="193" t="str">
        <f>IF(法术书!AB51="","",法术书!AB51)</f>
        <v/>
      </c>
      <c r="AL145" s="224" t="str">
        <f t="array" ref="AL145">IFERROR(INDEX(AK$1:AK$301,SMALL(IF(MATCH(AK145,AK$1:AK$301,0)=ROW(AK145),ROW(AK$1:AK$301),999),ROW(AK145))),"")</f>
        <v/>
      </c>
      <c r="AM145" s="223" t="str">
        <f t="array" ref="AM145">INDEX(AL:AL,SMALL(IF($AL$2:$AL$301&lt;&gt;"",ROW($2:$301),302),ROW(AL144)))&amp;""</f>
        <v/>
      </c>
    </row>
    <row r="146" customHeight="1" spans="1:39">
      <c r="A146" s="192">
        <v>144</v>
      </c>
      <c r="B146" s="224" t="s">
        <v>7305</v>
      </c>
      <c r="C146" s="224" t="s">
        <v>7306</v>
      </c>
      <c r="E146" s="231" t="s">
        <v>6672</v>
      </c>
      <c r="F146" s="193" t="s">
        <v>6642</v>
      </c>
      <c r="G146" s="193" t="s">
        <v>6673</v>
      </c>
      <c r="H146" s="193">
        <v>1</v>
      </c>
      <c r="I146" s="193">
        <v>1</v>
      </c>
      <c r="J146" s="193">
        <v>1</v>
      </c>
      <c r="K146" s="224" t="s">
        <v>7307</v>
      </c>
      <c r="M146" s="193">
        <v>1</v>
      </c>
      <c r="N146" s="193" t="s">
        <v>6666</v>
      </c>
      <c r="O146" s="224" t="s">
        <v>7308</v>
      </c>
      <c r="P146" s="224">
        <v>2</v>
      </c>
      <c r="Q146" s="224" t="s">
        <v>249</v>
      </c>
      <c r="R146" s="193" t="str">
        <f>IF(综合数据!$B$14=TRUE,"13","")</f>
        <v>13</v>
      </c>
      <c r="T146" s="193" t="str">
        <f>IF(综合数据!$B$14=TRUE,"13","")</f>
        <v>13</v>
      </c>
      <c r="W146" s="193">
        <v>1</v>
      </c>
      <c r="X146" s="193">
        <v>1</v>
      </c>
      <c r="Z146" s="193">
        <v>9</v>
      </c>
      <c r="AA146" s="223" t="s">
        <v>7309</v>
      </c>
      <c r="AB146" s="200" t="str">
        <f t="array" ref="AB146">INDEX(B:B,SMALL(IF($Q$3:$Q$524&lt;&gt;"",ROW($3:$524),525),ROW(B145)))&amp;""</f>
        <v>注目术</v>
      </c>
      <c r="AC146" s="225" t="str">
        <f>IFERROR(IF(AND($Q147&lt;&gt;"",IF(法术查询!$J$4="",1,INDEX($R147:$Z147,1,VLOOKUP(法术查询!$J$4,$AF$2:$AG$10,2,0)))&lt;&gt;"",IF(法术查询!$J$5="",1,$P147=VLOOKUP(法术查询!$J$5,$AH$2:$AI$11,2,0)),IF(法术查询!$J$6="",1,IF(法术查询!$J$6=$E147,1,0)),IF(法术查询!$J$7="",1,SEARCH(法术查询!$J$7,$F147)),IF(法术查询!$J$8="",1,SEARCH(法术查询!$J$8,G147)),IF(法术查询!$J$9="",1,SEARCH(法术查询!$J$9,N147)),IF(法术查询!$J$10="",1,IF(法术查询!$J$10=$AF$11,IF($M147=1,1,0),IF($M147="",1,0))),IF(法术查询!$J$11="",1,IF(法术查询!$J$11=$AF$11,IF($D147=1,1,0),IF($D147="",1,0))),IF(法术查询!$J$12="",1,SEARCH(法术查询!$J$12,$B147&amp;$C147&amp;$O147)),IF(法术查询!$J$13="",1,SEARCH(法术查询!$J$13,$B147&amp;$C147&amp;$O147)),IF(法术查询!$J$14="",1,SEARCH(法术查询!$J$14,$B147&amp;$C147&amp;$O147)),IF(法术查询!$J$16="",1,IF(法术查询!$J$16=$AF$11,IF($H147=1,1,0),IF($H147="",1,0))),IF(法术查询!$J$17="",1,IF(法术查询!$J$17=$AF$11,IF($I147=1,1,0),IF($I147="",1,0))),IF(法术查询!$J$18="",1,IF(法术查询!$J$18=$AF$11,IF($J147&lt;&gt;"",1,0),IF($J147="",1,0))),IF(法术查询!$J$19="",1,IF(法术查询!$J$19=$AF$11,IF($L147&lt;&gt;"",1,0),IF($L147="",1,0)))),$B147,""),"")</f>
        <v/>
      </c>
      <c r="AD146" s="192" t="str">
        <f t="array" ref="AD146">INDEX(AC:AC,SMALL(IF($AC$2:$AC$523&lt;&gt;"",ROW($2:$523),524),ROW(AC145)))&amp;""</f>
        <v/>
      </c>
      <c r="AE146" s="200" t="str">
        <f t="shared" si="6"/>
        <v/>
      </c>
      <c r="AJ146" s="192">
        <v>145</v>
      </c>
      <c r="AK146" s="193" t="str">
        <f>IF(法术书!AB52="","",法术书!AB52)</f>
        <v/>
      </c>
      <c r="AL146" s="224" t="str">
        <f t="array" ref="AL146">IFERROR(INDEX(AK$1:AK$301,SMALL(IF(MATCH(AK146,AK$1:AK$301,0)=ROW(AK146),ROW(AK$1:AK$301),999),ROW(AK146))),"")</f>
        <v/>
      </c>
      <c r="AM146" s="223" t="str">
        <f t="array" ref="AM146">INDEX(AL:AL,SMALL(IF($AL$2:$AL$301&lt;&gt;"",ROW($2:$301),302),ROW(AL145)))&amp;""</f>
        <v/>
      </c>
    </row>
    <row r="147" customHeight="1" spans="1:39">
      <c r="A147" s="192">
        <v>145</v>
      </c>
      <c r="B147" s="224" t="s">
        <v>7310</v>
      </c>
      <c r="C147" s="224" t="s">
        <v>7311</v>
      </c>
      <c r="E147" s="233" t="s">
        <v>6688</v>
      </c>
      <c r="F147" s="193" t="s">
        <v>6642</v>
      </c>
      <c r="G147" s="193" t="s">
        <v>6643</v>
      </c>
      <c r="H147" s="193">
        <v>1</v>
      </c>
      <c r="I147" s="193">
        <v>1</v>
      </c>
      <c r="N147" s="193" t="s">
        <v>6709</v>
      </c>
      <c r="O147" s="224" t="s">
        <v>7312</v>
      </c>
      <c r="P147" s="224">
        <v>2</v>
      </c>
      <c r="Q147" s="224" t="s">
        <v>249</v>
      </c>
      <c r="R147" s="193">
        <v>1</v>
      </c>
      <c r="Y147" s="193">
        <v>1</v>
      </c>
      <c r="AA147" s="223" t="s">
        <v>7313</v>
      </c>
      <c r="AB147" s="200" t="str">
        <f t="array" ref="AB147">INDEX(B:B,SMALL(IF($Q$3:$Q$524&lt;&gt;"",ROW($3:$524),525),ROW(B146)))&amp;""</f>
        <v>召唤坐骑</v>
      </c>
      <c r="AC147" s="225" t="str">
        <f>IFERROR(IF(AND($Q148&lt;&gt;"",IF(法术查询!$J$4="",1,INDEX($R148:$Z148,1,VLOOKUP(法术查询!$J$4,$AF$2:$AG$10,2,0)))&lt;&gt;"",IF(法术查询!$J$5="",1,$P148=VLOOKUP(法术查询!$J$5,$AH$2:$AI$11,2,0)),IF(法术查询!$J$6="",1,IF(法术查询!$J$6=$E148,1,0)),IF(法术查询!$J$7="",1,SEARCH(法术查询!$J$7,$F148)),IF(法术查询!$J$8="",1,SEARCH(法术查询!$J$8,G148)),IF(法术查询!$J$9="",1,SEARCH(法术查询!$J$9,N148)),IF(法术查询!$J$10="",1,IF(法术查询!$J$10=$AF$11,IF($M148=1,1,0),IF($M148="",1,0))),IF(法术查询!$J$11="",1,IF(法术查询!$J$11=$AF$11,IF($D148=1,1,0),IF($D148="",1,0))),IF(法术查询!$J$12="",1,SEARCH(法术查询!$J$12,$B148&amp;$C148&amp;$O148)),IF(法术查询!$J$13="",1,SEARCH(法术查询!$J$13,$B148&amp;$C148&amp;$O148)),IF(法术查询!$J$14="",1,SEARCH(法术查询!$J$14,$B148&amp;$C148&amp;$O148)),IF(法术查询!$J$16="",1,IF(法术查询!$J$16=$AF$11,IF($H148=1,1,0),IF($H148="",1,0))),IF(法术查询!$J$17="",1,IF(法术查询!$J$17=$AF$11,IF($I148=1,1,0),IF($I148="",1,0))),IF(法术查询!$J$18="",1,IF(法术查询!$J$18=$AF$11,IF($J148&lt;&gt;"",1,0),IF($J148="",1,0))),IF(法术查询!$J$19="",1,IF(法术查询!$J$19=$AF$11,IF($L148&lt;&gt;"",1,0),IF($L148="",1,0)))),$B148,""),"")</f>
        <v/>
      </c>
      <c r="AD147" s="192" t="str">
        <f t="array" ref="AD147">INDEX(AC:AC,SMALL(IF($AC$2:$AC$523&lt;&gt;"",ROW($2:$523),524),ROW(AC146)))&amp;""</f>
        <v/>
      </c>
      <c r="AE147" s="200" t="str">
        <f t="shared" si="6"/>
        <v/>
      </c>
      <c r="AJ147" s="192">
        <v>146</v>
      </c>
      <c r="AK147" s="193" t="str">
        <f>IF(法术书!AB53="","",法术书!AB53)</f>
        <v/>
      </c>
      <c r="AL147" s="224" t="str">
        <f t="array" ref="AL147">IFERROR(INDEX(AK$1:AK$301,SMALL(IF(MATCH(AK147,AK$1:AK$301,0)=ROW(AK147),ROW(AK$1:AK$301),999),ROW(AK147))),"")</f>
        <v/>
      </c>
      <c r="AM147" s="223" t="str">
        <f t="array" ref="AM147">INDEX(AL:AL,SMALL(IF($AL$2:$AL$301&lt;&gt;"",ROW($2:$301),302),ROW(AL146)))&amp;""</f>
        <v/>
      </c>
    </row>
    <row r="148" customHeight="1" spans="1:39">
      <c r="A148" s="192">
        <v>146</v>
      </c>
      <c r="B148" s="224" t="s">
        <v>7314</v>
      </c>
      <c r="C148" s="224" t="s">
        <v>7315</v>
      </c>
      <c r="E148" s="240" t="s">
        <v>6641</v>
      </c>
      <c r="F148" s="193" t="s">
        <v>6731</v>
      </c>
      <c r="G148" s="193" t="s">
        <v>6673</v>
      </c>
      <c r="H148" s="193">
        <v>1</v>
      </c>
      <c r="I148" s="193">
        <v>1</v>
      </c>
      <c r="N148" s="193" t="s">
        <v>6644</v>
      </c>
      <c r="O148" s="224" t="s">
        <v>7316</v>
      </c>
      <c r="P148" s="224">
        <v>2</v>
      </c>
      <c r="Q148" s="224" t="s">
        <v>249</v>
      </c>
      <c r="U148" s="193">
        <v>1</v>
      </c>
      <c r="AA148" s="200"/>
      <c r="AB148" s="200" t="str">
        <f t="array" ref="AB148">INDEX(B:B,SMALL(IF($Q$3:$Q$524&lt;&gt;"",ROW($3:$524),525),ROW(B147)))&amp;""</f>
        <v>寻找陷阱</v>
      </c>
      <c r="AC148" s="225" t="str">
        <f>IFERROR(IF(AND($Q149&lt;&gt;"",IF(法术查询!$J$4="",1,INDEX($R149:$Z149,1,VLOOKUP(法术查询!$J$4,$AF$2:$AG$10,2,0)))&lt;&gt;"",IF(法术查询!$J$5="",1,$P149=VLOOKUP(法术查询!$J$5,$AH$2:$AI$11,2,0)),IF(法术查询!$J$6="",1,IF(法术查询!$J$6=$E149,1,0)),IF(法术查询!$J$7="",1,SEARCH(法术查询!$J$7,$F149)),IF(法术查询!$J$8="",1,SEARCH(法术查询!$J$8,G149)),IF(法术查询!$J$9="",1,SEARCH(法术查询!$J$9,N149)),IF(法术查询!$J$10="",1,IF(法术查询!$J$10=$AF$11,IF($M149=1,1,0),IF($M149="",1,0))),IF(法术查询!$J$11="",1,IF(法术查询!$J$11=$AF$11,IF($D149=1,1,0),IF($D149="",1,0))),IF(法术查询!$J$12="",1,SEARCH(法术查询!$J$12,$B149&amp;$C149&amp;$O149)),IF(法术查询!$J$13="",1,SEARCH(法术查询!$J$13,$B149&amp;$C149&amp;$O149)),IF(法术查询!$J$14="",1,SEARCH(法术查询!$J$14,$B149&amp;$C149&amp;$O149)),IF(法术查询!$J$16="",1,IF(法术查询!$J$16=$AF$11,IF($H149=1,1,0),IF($H149="",1,0))),IF(法术查询!$J$17="",1,IF(法术查询!$J$17=$AF$11,IF($I149=1,1,0),IF($I149="",1,0))),IF(法术查询!$J$18="",1,IF(法术查询!$J$18=$AF$11,IF($J149&lt;&gt;"",1,0),IF($J149="",1,0))),IF(法术查询!$J$19="",1,IF(法术查询!$J$19=$AF$11,IF($L149&lt;&gt;"",1,0),IF($L149="",1,0)))),$B149,""),"")</f>
        <v/>
      </c>
      <c r="AD148" s="192" t="str">
        <f t="array" ref="AD148">INDEX(AC:AC,SMALL(IF($AC$2:$AC$523&lt;&gt;"",ROW($2:$523),524),ROW(AC147)))&amp;""</f>
        <v/>
      </c>
      <c r="AE148" s="200" t="str">
        <f t="shared" si="6"/>
        <v/>
      </c>
      <c r="AJ148" s="192">
        <v>147</v>
      </c>
      <c r="AK148" s="193" t="str">
        <f>IF(法术书!AB54="","",法术书!AB54)</f>
        <v/>
      </c>
      <c r="AL148" s="224" t="str">
        <f t="array" ref="AL148">IFERROR(INDEX(AK$1:AK$301,SMALL(IF(MATCH(AK148,AK$1:AK$301,0)=ROW(AK148),ROW(AK$1:AK$301),999),ROW(AK148))),"")</f>
        <v/>
      </c>
      <c r="AM148" s="223" t="str">
        <f t="array" ref="AM148">INDEX(AL:AL,SMALL(IF($AL$2:$AL$301&lt;&gt;"",ROW($2:$301),302),ROW(AL147)))&amp;""</f>
        <v/>
      </c>
    </row>
    <row r="149" customHeight="1" spans="1:39">
      <c r="A149" s="192">
        <v>147</v>
      </c>
      <c r="B149" s="224" t="s">
        <v>7317</v>
      </c>
      <c r="C149" s="224" t="s">
        <v>7318</v>
      </c>
      <c r="E149" s="238" t="s">
        <v>6695</v>
      </c>
      <c r="F149" s="193" t="s">
        <v>6642</v>
      </c>
      <c r="G149" s="193" t="s">
        <v>6658</v>
      </c>
      <c r="H149" s="193">
        <v>1</v>
      </c>
      <c r="I149" s="193">
        <v>1</v>
      </c>
      <c r="N149" s="193" t="s">
        <v>6644</v>
      </c>
      <c r="O149" s="224" t="s">
        <v>7319</v>
      </c>
      <c r="P149" s="224">
        <v>2</v>
      </c>
      <c r="Q149" s="224" t="s">
        <v>249</v>
      </c>
      <c r="S149" s="193">
        <v>1</v>
      </c>
      <c r="T149" s="193">
        <v>1</v>
      </c>
      <c r="V149" s="193">
        <v>1</v>
      </c>
      <c r="AA149" s="200" t="s">
        <v>828</v>
      </c>
      <c r="AB149" s="200" t="str">
        <f t="array" ref="AB149">INDEX(B:B,SMALL(IF($Q$3:$Q$524&lt;&gt;"",ROW($3:$524),525),ROW(B148)))&amp;""</f>
        <v>火焰刀</v>
      </c>
      <c r="AC149" s="225" t="str">
        <f>IFERROR(IF(AND($Q150&lt;&gt;"",IF(法术查询!$J$4="",1,INDEX($R150:$Z150,1,VLOOKUP(法术查询!$J$4,$AF$2:$AG$10,2,0)))&lt;&gt;"",IF(法术查询!$J$5="",1,$P150=VLOOKUP(法术查询!$J$5,$AH$2:$AI$11,2,0)),IF(法术查询!$J$6="",1,IF(法术查询!$J$6=$E150,1,0)),IF(法术查询!$J$7="",1,SEARCH(法术查询!$J$7,$F150)),IF(法术查询!$J$8="",1,SEARCH(法术查询!$J$8,G150)),IF(法术查询!$J$9="",1,SEARCH(法术查询!$J$9,N150)),IF(法术查询!$J$10="",1,IF(法术查询!$J$10=$AF$11,IF($M150=1,1,0),IF($M150="",1,0))),IF(法术查询!$J$11="",1,IF(法术查询!$J$11=$AF$11,IF($D150=1,1,0),IF($D150="",1,0))),IF(法术查询!$J$12="",1,SEARCH(法术查询!$J$12,$B150&amp;$C150&amp;$O150)),IF(法术查询!$J$13="",1,SEARCH(法术查询!$J$13,$B150&amp;$C150&amp;$O150)),IF(法术查询!$J$14="",1,SEARCH(法术查询!$J$14,$B150&amp;$C150&amp;$O150)),IF(法术查询!$J$16="",1,IF(法术查询!$J$16=$AF$11,IF($H150=1,1,0),IF($H150="",1,0))),IF(法术查询!$J$17="",1,IF(法术查询!$J$17=$AF$11,IF($I150=1,1,0),IF($I150="",1,0))),IF(法术查询!$J$18="",1,IF(法术查询!$J$18=$AF$11,IF($J150&lt;&gt;"",1,0),IF($J150="",1,0))),IF(法术查询!$J$19="",1,IF(法术查询!$J$19=$AF$11,IF($L150&lt;&gt;"",1,0),IF($L150="",1,0)))),$B150,""),"")</f>
        <v/>
      </c>
      <c r="AD149" s="192" t="str">
        <f t="array" ref="AD149">INDEX(AC:AC,SMALL(IF($AC$2:$AC$523&lt;&gt;"",ROW($2:$523),524),ROW(AC148)))&amp;""</f>
        <v/>
      </c>
      <c r="AE149" s="200" t="str">
        <f t="shared" si="6"/>
        <v/>
      </c>
      <c r="AJ149" s="192">
        <v>148</v>
      </c>
      <c r="AK149" s="193" t="str">
        <f>IF(法术书!AB55="","",法术书!AB55)</f>
        <v/>
      </c>
      <c r="AL149" s="224" t="str">
        <f t="array" ref="AL149">IFERROR(INDEX(AK$1:AK$301,SMALL(IF(MATCH(AK149,AK$1:AK$301,0)=ROW(AK149),ROW(AK$1:AK$301),999),ROW(AK149))),"")</f>
        <v/>
      </c>
      <c r="AM149" s="223" t="str">
        <f t="array" ref="AM149">INDEX(AL:AL,SMALL(IF($AL$2:$AL$301&lt;&gt;"",ROW($2:$301),302),ROW(AL148)))&amp;""</f>
        <v/>
      </c>
    </row>
    <row r="150" customHeight="1" spans="1:39">
      <c r="A150" s="192">
        <v>148</v>
      </c>
      <c r="B150" s="224" t="s">
        <v>7320</v>
      </c>
      <c r="C150" s="224" t="s">
        <v>7321</v>
      </c>
      <c r="E150" s="229" t="s">
        <v>6664</v>
      </c>
      <c r="F150" s="193" t="s">
        <v>6712</v>
      </c>
      <c r="G150" s="193" t="s">
        <v>6651</v>
      </c>
      <c r="H150" s="193">
        <v>1</v>
      </c>
      <c r="I150" s="193">
        <v>1</v>
      </c>
      <c r="J150" s="193">
        <v>1</v>
      </c>
      <c r="K150" s="224" t="s">
        <v>7322</v>
      </c>
      <c r="M150" s="193">
        <v>1</v>
      </c>
      <c r="N150" s="193" t="s">
        <v>6831</v>
      </c>
      <c r="O150" s="224" t="s">
        <v>7323</v>
      </c>
      <c r="P150" s="224">
        <v>2</v>
      </c>
      <c r="Q150" s="224" t="s">
        <v>249</v>
      </c>
      <c r="T150" s="193">
        <v>1</v>
      </c>
      <c r="W150" s="193" t="str">
        <f>IF(综合数据!$B$14=TRUE,"13","")</f>
        <v>13</v>
      </c>
      <c r="AA150" s="223" t="s">
        <v>7324</v>
      </c>
      <c r="AB150" s="200" t="str">
        <f t="array" ref="AB150">INDEX(B:B,SMALL(IF($Q$3:$Q$524&lt;&gt;"",ROW($3:$524),525),ROW(B149)))&amp;""</f>
        <v>炽焰法球</v>
      </c>
      <c r="AC150" s="225" t="str">
        <f>IFERROR(IF(AND($Q151&lt;&gt;"",IF(法术查询!$J$4="",1,INDEX($R151:$Z151,1,VLOOKUP(法术查询!$J$4,$AF$2:$AG$10,2,0)))&lt;&gt;"",IF(法术查询!$J$5="",1,$P151=VLOOKUP(法术查询!$J$5,$AH$2:$AI$11,2,0)),IF(法术查询!$J$6="",1,IF(法术查询!$J$6=$E151,1,0)),IF(法术查询!$J$7="",1,SEARCH(法术查询!$J$7,$F151)),IF(法术查询!$J$8="",1,SEARCH(法术查询!$J$8,G151)),IF(法术查询!$J$9="",1,SEARCH(法术查询!$J$9,N151)),IF(法术查询!$J$10="",1,IF(法术查询!$J$10=$AF$11,IF($M151=1,1,0),IF($M151="",1,0))),IF(法术查询!$J$11="",1,IF(法术查询!$J$11=$AF$11,IF($D151=1,1,0),IF($D151="",1,0))),IF(法术查询!$J$12="",1,SEARCH(法术查询!$J$12,$B151&amp;$C151&amp;$O151)),IF(法术查询!$J$13="",1,SEARCH(法术查询!$J$13,$B151&amp;$C151&amp;$O151)),IF(法术查询!$J$14="",1,SEARCH(法术查询!$J$14,$B151&amp;$C151&amp;$O151)),IF(法术查询!$J$16="",1,IF(法术查询!$J$16=$AF$11,IF($H151=1,1,0),IF($H151="",1,0))),IF(法术查询!$J$17="",1,IF(法术查询!$J$17=$AF$11,IF($I151=1,1,0),IF($I151="",1,0))),IF(法术查询!$J$18="",1,IF(法术查询!$J$18=$AF$11,IF($J151&lt;&gt;"",1,0),IF($J151="",1,0))),IF(法术查询!$J$19="",1,IF(法术查询!$J$19=$AF$11,IF($L151&lt;&gt;"",1,0),IF($L151="",1,0)))),$B151,""),"")</f>
        <v/>
      </c>
      <c r="AD150" s="192" t="str">
        <f t="array" ref="AD150">INDEX(AC:AC,SMALL(IF($AC$2:$AC$523&lt;&gt;"",ROW($2:$523),524),ROW(AC149)))&amp;""</f>
        <v/>
      </c>
      <c r="AE150" s="200" t="str">
        <f t="shared" si="6"/>
        <v/>
      </c>
      <c r="AJ150" s="192">
        <v>149</v>
      </c>
      <c r="AK150" s="193" t="str">
        <f>IF(法术书!AB56="","",法术书!AB56)</f>
        <v/>
      </c>
      <c r="AL150" s="224" t="str">
        <f t="array" ref="AL150">IFERROR(INDEX(AK$1:AK$301,SMALL(IF(MATCH(AK150,AK$1:AK$301,0)=ROW(AK150),ROW(AK$1:AK$301),999),ROW(AK150))),"")</f>
        <v/>
      </c>
      <c r="AM150" s="223" t="str">
        <f t="array" ref="AM150">INDEX(AL:AL,SMALL(IF($AL$2:$AL$301&lt;&gt;"",ROW($2:$301),302),ROW(AL149)))&amp;""</f>
        <v/>
      </c>
    </row>
    <row r="151" customHeight="1" spans="1:39">
      <c r="A151" s="192">
        <v>149</v>
      </c>
      <c r="B151" s="224" t="s">
        <v>7325</v>
      </c>
      <c r="C151" s="224" t="s">
        <v>7326</v>
      </c>
      <c r="E151" s="240" t="s">
        <v>6641</v>
      </c>
      <c r="F151" s="193" t="s">
        <v>6642</v>
      </c>
      <c r="G151" s="193" t="s">
        <v>6643</v>
      </c>
      <c r="H151" s="193">
        <v>1</v>
      </c>
      <c r="I151" s="193">
        <v>1</v>
      </c>
      <c r="J151" s="193">
        <v>1</v>
      </c>
      <c r="K151" s="224" t="s">
        <v>7327</v>
      </c>
      <c r="M151" s="193">
        <v>1</v>
      </c>
      <c r="N151" s="193" t="s">
        <v>6666</v>
      </c>
      <c r="O151" s="224" t="s">
        <v>7328</v>
      </c>
      <c r="P151" s="224">
        <v>2</v>
      </c>
      <c r="Q151" s="224" t="s">
        <v>249</v>
      </c>
      <c r="T151" s="193">
        <v>1</v>
      </c>
      <c r="W151" s="193" t="str">
        <f>IF(综合数据!$B$14=TRUE,"13","")</f>
        <v>13</v>
      </c>
      <c r="X151" s="193">
        <v>1</v>
      </c>
      <c r="AA151" s="223" t="s">
        <v>7329</v>
      </c>
      <c r="AB151" s="200" t="str">
        <f t="array" ref="AB151">INDEX(B:B,SMALL(IF($Q$3:$Q$524&lt;&gt;"",ROW($3:$524),525),ROW(B150)))&amp;""</f>
        <v>遗体防腐</v>
      </c>
      <c r="AC151" s="225" t="str">
        <f>IFERROR(IF(AND($Q152&lt;&gt;"",IF(法术查询!$J$4="",1,INDEX($R152:$Z152,1,VLOOKUP(法术查询!$J$4,$AF$2:$AG$10,2,0)))&lt;&gt;"",IF(法术查询!$J$5="",1,$P152=VLOOKUP(法术查询!$J$5,$AH$2:$AI$11,2,0)),IF(法术查询!$J$6="",1,IF(法术查询!$J$6=$E152,1,0)),IF(法术查询!$J$7="",1,SEARCH(法术查询!$J$7,$F152)),IF(法术查询!$J$8="",1,SEARCH(法术查询!$J$8,G152)),IF(法术查询!$J$9="",1,SEARCH(法术查询!$J$9,N152)),IF(法术查询!$J$10="",1,IF(法术查询!$J$10=$AF$11,IF($M152=1,1,0),IF($M152="",1,0))),IF(法术查询!$J$11="",1,IF(法术查询!$J$11=$AF$11,IF($D152=1,1,0),IF($D152="",1,0))),IF(法术查询!$J$12="",1,SEARCH(法术查询!$J$12,$B152&amp;$C152&amp;$O152)),IF(法术查询!$J$13="",1,SEARCH(法术查询!$J$13,$B152&amp;$C152&amp;$O152)),IF(法术查询!$J$14="",1,SEARCH(法术查询!$J$14,$B152&amp;$C152&amp;$O152)),IF(法术查询!$J$16="",1,IF(法术查询!$J$16=$AF$11,IF($H152=1,1,0),IF($H152="",1,0))),IF(法术查询!$J$17="",1,IF(法术查询!$J$17=$AF$11,IF($I152=1,1,0),IF($I152="",1,0))),IF(法术查询!$J$18="",1,IF(法术查询!$J$18=$AF$11,IF($J152&lt;&gt;"",1,0),IF($J152="",1,0))),IF(法术查询!$J$19="",1,IF(法术查询!$J$19=$AF$11,IF($L152&lt;&gt;"",1,0),IF($L152="",1,0)))),$B152,""),"")</f>
        <v/>
      </c>
      <c r="AD151" s="192" t="str">
        <f t="array" ref="AD151">INDEX(AC:AC,SMALL(IF($AC$2:$AC$523&lt;&gt;"",ROW($2:$523),524),ROW(AC150)))&amp;""</f>
        <v/>
      </c>
      <c r="AE151" s="200" t="str">
        <f t="shared" si="6"/>
        <v/>
      </c>
      <c r="AJ151" s="192">
        <v>150</v>
      </c>
      <c r="AK151" s="193" t="str">
        <f>IF(法术书!AB57="","",法术书!AB57)</f>
        <v/>
      </c>
      <c r="AL151" s="224" t="str">
        <f t="array" ref="AL151">IFERROR(INDEX(AK$1:AK$301,SMALL(IF(MATCH(AK151,AK$1:AK$301,0)=ROW(AK151),ROW(AK$1:AK$301),999),ROW(AK151))),"")</f>
        <v/>
      </c>
      <c r="AM151" s="223" t="str">
        <f t="array" ref="AM151">INDEX(AL:AL,SMALL(IF($AL$2:$AL$301&lt;&gt;"",ROW($2:$301),302),ROW(AL150)))&amp;""</f>
        <v/>
      </c>
    </row>
    <row r="152" customHeight="1" spans="1:39">
      <c r="A152" s="192">
        <v>150</v>
      </c>
      <c r="B152" s="224" t="s">
        <v>7330</v>
      </c>
      <c r="C152" s="224" t="s">
        <v>7331</v>
      </c>
      <c r="D152" s="193">
        <v>1</v>
      </c>
      <c r="E152" s="243" t="s">
        <v>6657</v>
      </c>
      <c r="F152" s="193" t="s">
        <v>6642</v>
      </c>
      <c r="G152" s="193" t="s">
        <v>3760</v>
      </c>
      <c r="H152" s="193">
        <v>1</v>
      </c>
      <c r="I152" s="193">
        <v>1</v>
      </c>
      <c r="J152" s="193">
        <v>1</v>
      </c>
      <c r="K152" s="224" t="s">
        <v>7332</v>
      </c>
      <c r="N152" s="193" t="s">
        <v>6780</v>
      </c>
      <c r="O152" s="224" t="s">
        <v>7333</v>
      </c>
      <c r="P152" s="224">
        <v>2</v>
      </c>
      <c r="Q152" s="224" t="s">
        <v>249</v>
      </c>
      <c r="S152" s="193">
        <v>1</v>
      </c>
      <c r="U152" s="193" t="str">
        <f>IF(综合数据!$B$14=TRUE,"13","")</f>
        <v>13</v>
      </c>
      <c r="X152" s="193">
        <v>1</v>
      </c>
      <c r="AA152" s="223" t="s">
        <v>7334</v>
      </c>
      <c r="AB152" s="200" t="str">
        <f t="array" ref="AB152">INDEX(B:B,SMALL(IF($Q$3:$Q$524&lt;&gt;"",ROW($3:$524),525),ROW(B151)))&amp;""</f>
        <v>造风术</v>
      </c>
      <c r="AC152" s="225" t="str">
        <f>IFERROR(IF(AND($Q153&lt;&gt;"",IF(法术查询!$J$4="",1,INDEX($R153:$Z153,1,VLOOKUP(法术查询!$J$4,$AF$2:$AG$10,2,0)))&lt;&gt;"",IF(法术查询!$J$5="",1,$P153=VLOOKUP(法术查询!$J$5,$AH$2:$AI$11,2,0)),IF(法术查询!$J$6="",1,IF(法术查询!$J$6=$E153,1,0)),IF(法术查询!$J$7="",1,SEARCH(法术查询!$J$7,$F153)),IF(法术查询!$J$8="",1,SEARCH(法术查询!$J$8,G153)),IF(法术查询!$J$9="",1,SEARCH(法术查询!$J$9,N153)),IF(法术查询!$J$10="",1,IF(法术查询!$J$10=$AF$11,IF($M153=1,1,0),IF($M153="",1,0))),IF(法术查询!$J$11="",1,IF(法术查询!$J$11=$AF$11,IF($D153=1,1,0),IF($D153="",1,0))),IF(法术查询!$J$12="",1,SEARCH(法术查询!$J$12,$B153&amp;$C153&amp;$O153)),IF(法术查询!$J$13="",1,SEARCH(法术查询!$J$13,$B153&amp;$C153&amp;$O153)),IF(法术查询!$J$14="",1,SEARCH(法术查询!$J$14,$B153&amp;$C153&amp;$O153)),IF(法术查询!$J$16="",1,IF(法术查询!$J$16=$AF$11,IF($H153=1,1,0),IF($H153="",1,0))),IF(法术查询!$J$17="",1,IF(法术查询!$J$17=$AF$11,IF($I153=1,1,0),IF($I153="",1,0))),IF(法术查询!$J$18="",1,IF(法术查询!$J$18=$AF$11,IF($J153&lt;&gt;"",1,0),IF($J153="",1,0))),IF(法术查询!$J$19="",1,IF(法术查询!$J$19=$AF$11,IF($L153&lt;&gt;"",1,0),IF($L153="",1,0)))),$B153,""),"")</f>
        <v/>
      </c>
      <c r="AD152" s="192" t="str">
        <f t="array" ref="AD152">INDEX(AC:AC,SMALL(IF($AC$2:$AC$523&lt;&gt;"",ROW($2:$523),524),ROW(AC151)))&amp;""</f>
        <v/>
      </c>
      <c r="AE152" s="200" t="str">
        <f t="shared" si="6"/>
        <v/>
      </c>
      <c r="AJ152" s="192">
        <v>151</v>
      </c>
      <c r="AK152" s="193" t="str">
        <f>IF(法术书!AE8="","",法术书!AE8)</f>
        <v/>
      </c>
      <c r="AL152" s="224" t="str">
        <f t="array" ref="AL152">IFERROR(INDEX(AK$1:AK$301,SMALL(IF(MATCH(AK152,AK$1:AK$301,0)=ROW(AK152),ROW(AK$1:AK$301),999),ROW(AK152))),"")</f>
        <v/>
      </c>
      <c r="AM152" s="223" t="str">
        <f t="array" ref="AM152">INDEX(AL:AL,SMALL(IF($AL$2:$AL$301&lt;&gt;"",ROW($2:$301),302),ROW(AL151)))&amp;""</f>
        <v/>
      </c>
    </row>
    <row r="153" customHeight="1" spans="1:39">
      <c r="A153" s="192">
        <v>151</v>
      </c>
      <c r="B153" s="224" t="s">
        <v>7335</v>
      </c>
      <c r="C153" s="224" t="s">
        <v>7336</v>
      </c>
      <c r="E153" s="233" t="s">
        <v>6688</v>
      </c>
      <c r="F153" s="193" t="s">
        <v>6642</v>
      </c>
      <c r="G153" s="193" t="s">
        <v>6883</v>
      </c>
      <c r="H153" s="193">
        <v>1</v>
      </c>
      <c r="I153" s="193">
        <v>1</v>
      </c>
      <c r="J153" s="193">
        <v>1</v>
      </c>
      <c r="K153" s="224" t="s">
        <v>7337</v>
      </c>
      <c r="M153" s="193">
        <v>1</v>
      </c>
      <c r="N153" s="193" t="s">
        <v>6666</v>
      </c>
      <c r="O153" s="224" t="s">
        <v>7338</v>
      </c>
      <c r="P153" s="224">
        <v>2</v>
      </c>
      <c r="Q153" s="224" t="s">
        <v>249</v>
      </c>
      <c r="T153" s="193">
        <v>1</v>
      </c>
      <c r="V153" s="193" t="str">
        <f>IF(综合数据!$B$14=TRUE,"13","")</f>
        <v>13</v>
      </c>
      <c r="W153" s="193">
        <v>1</v>
      </c>
      <c r="X153" s="193">
        <v>1</v>
      </c>
      <c r="AA153" s="223" t="s">
        <v>7339</v>
      </c>
      <c r="AB153" s="200" t="str">
        <f t="array" ref="AB153">INDEX(B:B,SMALL(IF($Q$3:$Q$524&lt;&gt;"",ROW($3:$524),525),ROW(B152)))&amp;""</f>
        <v>灼热金属</v>
      </c>
      <c r="AC153" s="225" t="str">
        <f>IFERROR(IF(AND($Q154&lt;&gt;"",IF(法术查询!$J$4="",1,INDEX($R154:$Z154,1,VLOOKUP(法术查询!$J$4,$AF$2:$AG$10,2,0)))&lt;&gt;"",IF(法术查询!$J$5="",1,$P154=VLOOKUP(法术查询!$J$5,$AH$2:$AI$11,2,0)),IF(法术查询!$J$6="",1,IF(法术查询!$J$6=$E154,1,0)),IF(法术查询!$J$7="",1,SEARCH(法术查询!$J$7,$F154)),IF(法术查询!$J$8="",1,SEARCH(法术查询!$J$8,G154)),IF(法术查询!$J$9="",1,SEARCH(法术查询!$J$9,N154)),IF(法术查询!$J$10="",1,IF(法术查询!$J$10=$AF$11,IF($M154=1,1,0),IF($M154="",1,0))),IF(法术查询!$J$11="",1,IF(法术查询!$J$11=$AF$11,IF($D154=1,1,0),IF($D154="",1,0))),IF(法术查询!$J$12="",1,SEARCH(法术查询!$J$12,$B154&amp;$C154&amp;$O154)),IF(法术查询!$J$13="",1,SEARCH(法术查询!$J$13,$B154&amp;$C154&amp;$O154)),IF(法术查询!$J$14="",1,SEARCH(法术查询!$J$14,$B154&amp;$C154&amp;$O154)),IF(法术查询!$J$16="",1,IF(法术查询!$J$16=$AF$11,IF($H154=1,1,0),IF($H154="",1,0))),IF(法术查询!$J$17="",1,IF(法术查询!$J$17=$AF$11,IF($I154=1,1,0),IF($I154="",1,0))),IF(法术查询!$J$18="",1,IF(法术查询!$J$18=$AF$11,IF($J154&lt;&gt;"",1,0),IF($J154="",1,0))),IF(法术查询!$J$19="",1,IF(法术查询!$J$19=$AF$11,IF($L154&lt;&gt;"",1,0),IF($L154="",1,0)))),$B154,""),"")</f>
        <v>灼热金属</v>
      </c>
      <c r="AD153" s="192" t="str">
        <f t="array" ref="AD153">INDEX(AC:AC,SMALL(IF($AC$2:$AC$523&lt;&gt;"",ROW($2:$523),524),ROW(AC152)))&amp;""</f>
        <v/>
      </c>
      <c r="AE153" s="200" t="str">
        <f t="shared" si="6"/>
        <v/>
      </c>
      <c r="AJ153" s="192">
        <v>152</v>
      </c>
      <c r="AK153" s="193" t="str">
        <f>IF(法术书!AE9="","",法术书!AE9)</f>
        <v/>
      </c>
      <c r="AL153" s="224" t="str">
        <f t="array" ref="AL153">IFERROR(INDEX(AK$1:AK$301,SMALL(IF(MATCH(AK153,AK$1:AK$301,0)=ROW(AK153),ROW(AK$1:AK$301),999),ROW(AK153))),"")</f>
        <v/>
      </c>
      <c r="AM153" s="223" t="str">
        <f t="array" ref="AM153">INDEX(AL:AL,SMALL(IF($AL$2:$AL$301&lt;&gt;"",ROW($2:$301),302),ROW(AL152)))&amp;""</f>
        <v/>
      </c>
    </row>
    <row r="154" customHeight="1" spans="1:39">
      <c r="A154" s="192">
        <v>152</v>
      </c>
      <c r="B154" s="224" t="s">
        <v>7340</v>
      </c>
      <c r="C154" s="224" t="s">
        <v>7341</v>
      </c>
      <c r="E154" s="231" t="s">
        <v>6672</v>
      </c>
      <c r="F154" s="193" t="s">
        <v>6642</v>
      </c>
      <c r="G154" s="193" t="s">
        <v>6643</v>
      </c>
      <c r="H154" s="193">
        <v>1</v>
      </c>
      <c r="I154" s="193">
        <v>1</v>
      </c>
      <c r="J154" s="193">
        <v>1</v>
      </c>
      <c r="K154" s="224" t="s">
        <v>7342</v>
      </c>
      <c r="M154" s="193">
        <v>1</v>
      </c>
      <c r="N154" s="193" t="s">
        <v>6666</v>
      </c>
      <c r="O154" s="224" t="s">
        <v>7343</v>
      </c>
      <c r="P154" s="224">
        <v>2</v>
      </c>
      <c r="Q154" s="224" t="s">
        <v>249</v>
      </c>
      <c r="R154" s="193">
        <v>1</v>
      </c>
      <c r="T154" s="193">
        <v>1</v>
      </c>
      <c r="Z154" s="193">
        <v>9</v>
      </c>
      <c r="AA154" s="223" t="s">
        <v>7344</v>
      </c>
      <c r="AB154" s="200" t="str">
        <f t="array" ref="AB154">INDEX(B:B,SMALL(IF($Q$3:$Q$524&lt;&gt;"",ROW($3:$524),525),ROW(B153)))&amp;""</f>
        <v>人类定身术</v>
      </c>
      <c r="AC154" s="225" t="str">
        <f>IFERROR(IF(AND($Q155&lt;&gt;"",IF(法术查询!$J$4="",1,INDEX($R155:$Z155,1,VLOOKUP(法术查询!$J$4,$AF$2:$AG$10,2,0)))&lt;&gt;"",IF(法术查询!$J$5="",1,$P155=VLOOKUP(法术查询!$J$5,$AH$2:$AI$11,2,0)),IF(法术查询!$J$6="",1,IF(法术查询!$J$6=$E155,1,0)),IF(法术查询!$J$7="",1,SEARCH(法术查询!$J$7,$F155)),IF(法术查询!$J$8="",1,SEARCH(法术查询!$J$8,G155)),IF(法术查询!$J$9="",1,SEARCH(法术查询!$J$9,N155)),IF(法术查询!$J$10="",1,IF(法术查询!$J$10=$AF$11,IF($M155=1,1,0),IF($M155="",1,0))),IF(法术查询!$J$11="",1,IF(法术查询!$J$11=$AF$11,IF($D155=1,1,0),IF($D155="",1,0))),IF(法术查询!$J$12="",1,SEARCH(法术查询!$J$12,$B155&amp;$C155&amp;$O155)),IF(法术查询!$J$13="",1,SEARCH(法术查询!$J$13,$B155&amp;$C155&amp;$O155)),IF(法术查询!$J$14="",1,SEARCH(法术查询!$J$14,$B155&amp;$C155&amp;$O155)),IF(法术查询!$J$16="",1,IF(法术查询!$J$16=$AF$11,IF($H155=1,1,0),IF($H155="",1,0))),IF(法术查询!$J$17="",1,IF(法术查询!$J$17=$AF$11,IF($I155=1,1,0),IF($I155="",1,0))),IF(法术查询!$J$18="",1,IF(法术查询!$J$18=$AF$11,IF($J155&lt;&gt;"",1,0),IF($J155="",1,0))),IF(法术查询!$J$19="",1,IF(法术查询!$J$19=$AF$11,IF($L155&lt;&gt;"",1,0),IF($L155="",1,0)))),$B155,""),"")</f>
        <v/>
      </c>
      <c r="AD154" s="192" t="str">
        <f t="array" ref="AD154">INDEX(AC:AC,SMALL(IF($AC$2:$AC$523&lt;&gt;"",ROW($2:$523),524),ROW(AC153)))&amp;""</f>
        <v/>
      </c>
      <c r="AE154" s="200" t="str">
        <f t="shared" si="6"/>
        <v/>
      </c>
      <c r="AJ154" s="192">
        <v>153</v>
      </c>
      <c r="AK154" s="193" t="str">
        <f>IF(法术书!AE10="","",法术书!AE10)</f>
        <v/>
      </c>
      <c r="AL154" s="224" t="str">
        <f t="array" ref="AL154">IFERROR(INDEX(AK$1:AK$301,SMALL(IF(MATCH(AK154,AK$1:AK$301,0)=ROW(AK154),ROW(AK$1:AK$301),999),ROW(AK154))),"")</f>
        <v/>
      </c>
      <c r="AM154" s="223" t="str">
        <f t="array" ref="AM154">INDEX(AL:AL,SMALL(IF($AL$2:$AL$301&lt;&gt;"",ROW($2:$301),302),ROW(AL153)))&amp;""</f>
        <v/>
      </c>
    </row>
    <row r="155" customHeight="1" spans="1:39">
      <c r="A155" s="192">
        <v>153</v>
      </c>
      <c r="B155" s="224" t="s">
        <v>7345</v>
      </c>
      <c r="C155" s="224" t="s">
        <v>7346</v>
      </c>
      <c r="E155" s="233" t="s">
        <v>6688</v>
      </c>
      <c r="F155" s="193" t="s">
        <v>6642</v>
      </c>
      <c r="G155" s="193" t="s">
        <v>6643</v>
      </c>
      <c r="H155" s="193">
        <v>1</v>
      </c>
      <c r="I155" s="193">
        <v>1</v>
      </c>
      <c r="J155" s="193">
        <v>1</v>
      </c>
      <c r="K155" s="224" t="s">
        <v>7347</v>
      </c>
      <c r="M155" s="193">
        <v>1</v>
      </c>
      <c r="N155" s="193" t="s">
        <v>6666</v>
      </c>
      <c r="O155" s="224" t="s">
        <v>7348</v>
      </c>
      <c r="P155" s="224">
        <v>2</v>
      </c>
      <c r="Q155" s="224" t="s">
        <v>249</v>
      </c>
      <c r="R155" s="193">
        <v>1</v>
      </c>
      <c r="S155" s="193">
        <v>1</v>
      </c>
      <c r="T155" s="193">
        <v>1</v>
      </c>
      <c r="W155" s="193">
        <v>1</v>
      </c>
      <c r="X155" s="193">
        <v>1</v>
      </c>
      <c r="Y155" s="193">
        <v>1</v>
      </c>
      <c r="AA155" s="223" t="s">
        <v>7349</v>
      </c>
      <c r="AB155" s="200" t="str">
        <f t="array" ref="AB155">INDEX(B:B,SMALL(IF($Q$3:$Q$524&lt;&gt;"",ROW($3:$524),525),ROW(B154)))&amp;""</f>
        <v>隐形术</v>
      </c>
      <c r="AC155" s="225" t="str">
        <f>IFERROR(IF(AND($Q156&lt;&gt;"",IF(法术查询!$J$4="",1,INDEX($R156:$Z156,1,VLOOKUP(法术查询!$J$4,$AF$2:$AG$10,2,0)))&lt;&gt;"",IF(法术查询!$J$5="",1,$P156=VLOOKUP(法术查询!$J$5,$AH$2:$AI$11,2,0)),IF(法术查询!$J$6="",1,IF(法术查询!$J$6=$E156,1,0)),IF(法术查询!$J$7="",1,SEARCH(法术查询!$J$7,$F156)),IF(法术查询!$J$8="",1,SEARCH(法术查询!$J$8,G156)),IF(法术查询!$J$9="",1,SEARCH(法术查询!$J$9,N156)),IF(法术查询!$J$10="",1,IF(法术查询!$J$10=$AF$11,IF($M156=1,1,0),IF($M156="",1,0))),IF(法术查询!$J$11="",1,IF(法术查询!$J$11=$AF$11,IF($D156=1,1,0),IF($D156="",1,0))),IF(法术查询!$J$12="",1,SEARCH(法术查询!$J$12,$B156&amp;$C156&amp;$O156)),IF(法术查询!$J$13="",1,SEARCH(法术查询!$J$13,$B156&amp;$C156&amp;$O156)),IF(法术查询!$J$14="",1,SEARCH(法术查询!$J$14,$B156&amp;$C156&amp;$O156)),IF(法术查询!$J$16="",1,IF(法术查询!$J$16=$AF$11,IF($H156=1,1,0),IF($H156="",1,0))),IF(法术查询!$J$17="",1,IF(法术查询!$J$17=$AF$11,IF($I156=1,1,0),IF($I156="",1,0))),IF(法术查询!$J$18="",1,IF(法术查询!$J$18=$AF$11,IF($J156&lt;&gt;"",1,0),IF($J156="",1,0))),IF(法术查询!$J$19="",1,IF(法术查询!$J$19=$AF$11,IF($L156&lt;&gt;"",1,0),IF($L156="",1,0)))),$B156,""),"")</f>
        <v>隐形术</v>
      </c>
      <c r="AD155" s="192" t="str">
        <f t="array" ref="AD155">INDEX(AC:AC,SMALL(IF($AC$2:$AC$523&lt;&gt;"",ROW($2:$523),524),ROW(AC154)))&amp;""</f>
        <v/>
      </c>
      <c r="AE155" s="200" t="str">
        <f t="shared" si="6"/>
        <v/>
      </c>
      <c r="AJ155" s="192">
        <v>154</v>
      </c>
      <c r="AK155" s="193" t="str">
        <f>IF(法术书!AE11="","",法术书!AE11)</f>
        <v/>
      </c>
      <c r="AL155" s="224" t="str">
        <f t="array" ref="AL155">IFERROR(INDEX(AK$1:AK$301,SMALL(IF(MATCH(AK155,AK$1:AK$301,0)=ROW(AK155),ROW(AK$1:AK$301),999),ROW(AK155))),"")</f>
        <v/>
      </c>
      <c r="AM155" s="223" t="str">
        <f t="array" ref="AM155">INDEX(AL:AL,SMALL(IF($AL$2:$AL$301&lt;&gt;"",ROW($2:$301),302),ROW(AL154)))&amp;""</f>
        <v/>
      </c>
    </row>
    <row r="156" customHeight="1" spans="1:39">
      <c r="A156" s="192">
        <v>154</v>
      </c>
      <c r="B156" s="224" t="s">
        <v>7350</v>
      </c>
      <c r="C156" s="224" t="s">
        <v>7351</v>
      </c>
      <c r="E156" s="241" t="s">
        <v>6726</v>
      </c>
      <c r="F156" s="193" t="s">
        <v>6642</v>
      </c>
      <c r="G156" s="193" t="s">
        <v>3760</v>
      </c>
      <c r="H156" s="193">
        <v>1</v>
      </c>
      <c r="I156" s="193">
        <v>1</v>
      </c>
      <c r="J156" s="193">
        <v>1</v>
      </c>
      <c r="K156" s="224" t="s">
        <v>7352</v>
      </c>
      <c r="M156" s="193">
        <v>1</v>
      </c>
      <c r="N156" s="193" t="s">
        <v>6739</v>
      </c>
      <c r="O156" s="224" t="s">
        <v>7353</v>
      </c>
      <c r="P156" s="224">
        <v>2</v>
      </c>
      <c r="Q156" s="224" t="s">
        <v>249</v>
      </c>
      <c r="R156" s="193">
        <v>1</v>
      </c>
      <c r="W156" s="193">
        <v>1</v>
      </c>
      <c r="X156" s="193">
        <v>1</v>
      </c>
      <c r="Y156" s="193">
        <v>1</v>
      </c>
      <c r="Z156" s="193">
        <v>9</v>
      </c>
      <c r="AA156" s="223" t="s">
        <v>7354</v>
      </c>
      <c r="AB156" s="200" t="str">
        <f t="array" ref="AB156">INDEX(B:B,SMALL(IF($Q$3:$Q$524&lt;&gt;"",ROW($3:$524),525),ROW(B155)))&amp;""</f>
        <v>敲击术</v>
      </c>
      <c r="AC156" s="225" t="str">
        <f>IFERROR(IF(AND($Q157&lt;&gt;"",IF(法术查询!$J$4="",1,INDEX($R157:$Z157,1,VLOOKUP(法术查询!$J$4,$AF$2:$AG$10,2,0)))&lt;&gt;"",IF(法术查询!$J$5="",1,$P157=VLOOKUP(法术查询!$J$5,$AH$2:$AI$11,2,0)),IF(法术查询!$J$6="",1,IF(法术查询!$J$6=$E157,1,0)),IF(法术查询!$J$7="",1,SEARCH(法术查询!$J$7,$F157)),IF(法术查询!$J$8="",1,SEARCH(法术查询!$J$8,G157)),IF(法术查询!$J$9="",1,SEARCH(法术查询!$J$9,N157)),IF(法术查询!$J$10="",1,IF(法术查询!$J$10=$AF$11,IF($M157=1,1,0),IF($M157="",1,0))),IF(法术查询!$J$11="",1,IF(法术查询!$J$11=$AF$11,IF($D157=1,1,0),IF($D157="",1,0))),IF(法术查询!$J$12="",1,SEARCH(法术查询!$J$12,$B157&amp;$C157&amp;$O157)),IF(法术查询!$J$13="",1,SEARCH(法术查询!$J$13,$B157&amp;$C157&amp;$O157)),IF(法术查询!$J$14="",1,SEARCH(法术查询!$J$14,$B157&amp;$C157&amp;$O157)),IF(法术查询!$J$16="",1,IF(法术查询!$J$16=$AF$11,IF($H157=1,1,0),IF($H157="",1,0))),IF(法术查询!$J$17="",1,IF(法术查询!$J$17=$AF$11,IF($I157=1,1,0),IF($I157="",1,0))),IF(法术查询!$J$18="",1,IF(法术查询!$J$18=$AF$11,IF($J157&lt;&gt;"",1,0),IF($J157="",1,0))),IF(法术查询!$J$19="",1,IF(法术查询!$J$19=$AF$11,IF($L157&lt;&gt;"",1,0),IF($L157="",1,0)))),$B157,""),"")</f>
        <v/>
      </c>
      <c r="AD156" s="192" t="str">
        <f t="array" ref="AD156">INDEX(AC:AC,SMALL(IF($AC$2:$AC$523&lt;&gt;"",ROW($2:$523),524),ROW(AC155)))&amp;""</f>
        <v/>
      </c>
      <c r="AE156" s="200" t="str">
        <f t="shared" si="6"/>
        <v/>
      </c>
      <c r="AJ156" s="192">
        <v>155</v>
      </c>
      <c r="AK156" s="193" t="str">
        <f>IF(法术书!AE12="","",法术书!AE12)</f>
        <v/>
      </c>
      <c r="AL156" s="224" t="str">
        <f t="array" ref="AL156">IFERROR(INDEX(AK$1:AK$301,SMALL(IF(MATCH(AK156,AK$1:AK$301,0)=ROW(AK156),ROW(AK$1:AK$301),999),ROW(AK156))),"")</f>
        <v/>
      </c>
      <c r="AM156" s="223" t="str">
        <f t="array" ref="AM156">INDEX(AL:AL,SMALL(IF($AL$2:$AL$301&lt;&gt;"",ROW($2:$301),302),ROW(AL155)))&amp;""</f>
        <v/>
      </c>
    </row>
    <row r="157" customHeight="1" spans="1:39">
      <c r="A157" s="192">
        <v>155</v>
      </c>
      <c r="B157" s="224" t="s">
        <v>7355</v>
      </c>
      <c r="C157" s="224" t="s">
        <v>7356</v>
      </c>
      <c r="E157" s="231" t="s">
        <v>6672</v>
      </c>
      <c r="F157" s="193" t="s">
        <v>6642</v>
      </c>
      <c r="G157" s="193" t="s">
        <v>6643</v>
      </c>
      <c r="H157" s="193">
        <v>1</v>
      </c>
      <c r="N157" s="193" t="s">
        <v>6644</v>
      </c>
      <c r="O157" s="224" t="s">
        <v>7357</v>
      </c>
      <c r="P157" s="224">
        <v>2</v>
      </c>
      <c r="Q157" s="224" t="s">
        <v>249</v>
      </c>
      <c r="R157" s="193">
        <v>1</v>
      </c>
      <c r="W157" s="193">
        <v>1</v>
      </c>
      <c r="X157" s="193">
        <v>1</v>
      </c>
      <c r="AA157" s="200" t="s">
        <v>610</v>
      </c>
      <c r="AB157" s="200" t="str">
        <f t="array" ref="AB157">INDEX(B:B,SMALL(IF($Q$3:$Q$524&lt;&gt;"",ROW($3:$524),525),ROW(B156)))&amp;""</f>
        <v>次级复原术</v>
      </c>
      <c r="AC157" s="225" t="str">
        <f>IFERROR(IF(AND($Q158&lt;&gt;"",IF(法术查询!$J$4="",1,INDEX($R158:$Z158,1,VLOOKUP(法术查询!$J$4,$AF$2:$AG$10,2,0)))&lt;&gt;"",IF(法术查询!$J$5="",1,$P158=VLOOKUP(法术查询!$J$5,$AH$2:$AI$11,2,0)),IF(法术查询!$J$6="",1,IF(法术查询!$J$6=$E158,1,0)),IF(法术查询!$J$7="",1,SEARCH(法术查询!$J$7,$F158)),IF(法术查询!$J$8="",1,SEARCH(法术查询!$J$8,G158)),IF(法术查询!$J$9="",1,SEARCH(法术查询!$J$9,N158)),IF(法术查询!$J$10="",1,IF(法术查询!$J$10=$AF$11,IF($M158=1,1,0),IF($M158="",1,0))),IF(法术查询!$J$11="",1,IF(法术查询!$J$11=$AF$11,IF($D158=1,1,0),IF($D158="",1,0))),IF(法术查询!$J$12="",1,SEARCH(法术查询!$J$12,$B158&amp;$C158&amp;$O158)),IF(法术查询!$J$13="",1,SEARCH(法术查询!$J$13,$B158&amp;$C158&amp;$O158)),IF(法术查询!$J$14="",1,SEARCH(法术查询!$J$14,$B158&amp;$C158&amp;$O158)),IF(法术查询!$J$16="",1,IF(法术查询!$J$16=$AF$11,IF($H158=1,1,0),IF($H158="",1,0))),IF(法术查询!$J$17="",1,IF(法术查询!$J$17=$AF$11,IF($I158=1,1,0),IF($I158="",1,0))),IF(法术查询!$J$18="",1,IF(法术查询!$J$18=$AF$11,IF($J158&lt;&gt;"",1,0),IF($J158="",1,0))),IF(法术查询!$J$19="",1,IF(法术查询!$J$19=$AF$11,IF($L158&lt;&gt;"",1,0),IF($L158="",1,0)))),$B158,""),"")</f>
        <v>次级复原术</v>
      </c>
      <c r="AD157" s="192" t="str">
        <f t="array" ref="AD157">INDEX(AC:AC,SMALL(IF($AC$2:$AC$523&lt;&gt;"",ROW($2:$523),524),ROW(AC156)))&amp;""</f>
        <v/>
      </c>
      <c r="AE157" s="200" t="str">
        <f t="shared" si="6"/>
        <v/>
      </c>
      <c r="AJ157" s="192">
        <v>156</v>
      </c>
      <c r="AK157" s="193" t="str">
        <f>IF(法术书!AE13="","",法术书!AE13)</f>
        <v/>
      </c>
      <c r="AL157" s="224" t="str">
        <f t="array" ref="AL157">IFERROR(INDEX(AK$1:AK$301,SMALL(IF(MATCH(AK157,AK$1:AK$301,0)=ROW(AK157),ROW(AK$1:AK$301),999),ROW(AK157))),"")</f>
        <v/>
      </c>
      <c r="AM157" s="223" t="str">
        <f t="array" ref="AM157">INDEX(AL:AL,SMALL(IF($AL$2:$AL$301&lt;&gt;"",ROW($2:$301),302),ROW(AL156)))&amp;""</f>
        <v/>
      </c>
    </row>
    <row r="158" customHeight="1" spans="1:39">
      <c r="A158" s="192">
        <v>156</v>
      </c>
      <c r="B158" s="224" t="s">
        <v>7358</v>
      </c>
      <c r="C158" s="224" t="s">
        <v>7359</v>
      </c>
      <c r="E158" s="242" t="s">
        <v>6650</v>
      </c>
      <c r="F158" s="193" t="s">
        <v>6642</v>
      </c>
      <c r="G158" s="193" t="s">
        <v>3760</v>
      </c>
      <c r="H158" s="193">
        <v>1</v>
      </c>
      <c r="I158" s="193">
        <v>1</v>
      </c>
      <c r="N158" s="193" t="s">
        <v>6644</v>
      </c>
      <c r="O158" s="224" t="s">
        <v>7360</v>
      </c>
      <c r="P158" s="224">
        <v>2</v>
      </c>
      <c r="Q158" s="224" t="s">
        <v>249</v>
      </c>
      <c r="R158" s="193">
        <v>1</v>
      </c>
      <c r="S158" s="193">
        <v>1</v>
      </c>
      <c r="T158" s="193">
        <v>1</v>
      </c>
      <c r="U158" s="193">
        <v>1</v>
      </c>
      <c r="V158" s="193">
        <v>1</v>
      </c>
      <c r="Z158" s="193">
        <v>9</v>
      </c>
      <c r="AA158" s="223" t="s">
        <v>7361</v>
      </c>
      <c r="AB158" s="200" t="str">
        <f t="array" ref="AB158">INDEX(B:B,SMALL(IF($Q$3:$Q$524&lt;&gt;"",ROW($3:$524),525),ROW(B157)))&amp;""</f>
        <v>浮空术</v>
      </c>
      <c r="AC158" s="225" t="str">
        <f>IFERROR(IF(AND($Q159&lt;&gt;"",IF(法术查询!$J$4="",1,INDEX($R159:$Z159,1,VLOOKUP(法术查询!$J$4,$AF$2:$AG$10,2,0)))&lt;&gt;"",IF(法术查询!$J$5="",1,$P159=VLOOKUP(法术查询!$J$5,$AH$2:$AI$11,2,0)),IF(法术查询!$J$6="",1,IF(法术查询!$J$6=$E159,1,0)),IF(法术查询!$J$7="",1,SEARCH(法术查询!$J$7,$F159)),IF(法术查询!$J$8="",1,SEARCH(法术查询!$J$8,G159)),IF(法术查询!$J$9="",1,SEARCH(法术查询!$J$9,N159)),IF(法术查询!$J$10="",1,IF(法术查询!$J$10=$AF$11,IF($M159=1,1,0),IF($M159="",1,0))),IF(法术查询!$J$11="",1,IF(法术查询!$J$11=$AF$11,IF($D159=1,1,0),IF($D159="",1,0))),IF(法术查询!$J$12="",1,SEARCH(法术查询!$J$12,$B159&amp;$C159&amp;$O159)),IF(法术查询!$J$13="",1,SEARCH(法术查询!$J$13,$B159&amp;$C159&amp;$O159)),IF(法术查询!$J$14="",1,SEARCH(法术查询!$J$14,$B159&amp;$C159&amp;$O159)),IF(法术查询!$J$16="",1,IF(法术查询!$J$16=$AF$11,IF($H159=1,1,0),IF($H159="",1,0))),IF(法术查询!$J$17="",1,IF(法术查询!$J$17=$AF$11,IF($I159=1,1,0),IF($I159="",1,0))),IF(法术查询!$J$18="",1,IF(法术查询!$J$18=$AF$11,IF($J159&lt;&gt;"",1,0),IF($J159="",1,0))),IF(法术查询!$J$19="",1,IF(法术查询!$J$19=$AF$11,IF($L159&lt;&gt;"",1,0),IF($L159="",1,0)))),$B159,""),"")</f>
        <v>浮空术</v>
      </c>
      <c r="AD158" s="192" t="str">
        <f t="array" ref="AD158">INDEX(AC:AC,SMALL(IF($AC$2:$AC$523&lt;&gt;"",ROW($2:$523),524),ROW(AC157)))&amp;""</f>
        <v/>
      </c>
      <c r="AE158" s="200" t="str">
        <f t="shared" si="6"/>
        <v/>
      </c>
      <c r="AJ158" s="192">
        <v>157</v>
      </c>
      <c r="AK158" s="193" t="str">
        <f>IF(法术书!AE14="","",法术书!AE14)</f>
        <v/>
      </c>
      <c r="AL158" s="224" t="str">
        <f t="array" ref="AL158">IFERROR(INDEX(AK$1:AK$301,SMALL(IF(MATCH(AK158,AK$1:AK$301,0)=ROW(AK158),ROW(AK$1:AK$301),999),ROW(AK158))),"")</f>
        <v/>
      </c>
      <c r="AM158" s="223" t="str">
        <f t="array" ref="AM158">INDEX(AL:AL,SMALL(IF($AL$2:$AL$301&lt;&gt;"",ROW($2:$301),302),ROW(AL157)))&amp;""</f>
        <v/>
      </c>
    </row>
    <row r="159" customHeight="1" spans="1:39">
      <c r="A159" s="192">
        <v>157</v>
      </c>
      <c r="B159" s="224" t="s">
        <v>7362</v>
      </c>
      <c r="C159" s="224" t="s">
        <v>7363</v>
      </c>
      <c r="E159" s="231" t="s">
        <v>6672</v>
      </c>
      <c r="F159" s="193" t="s">
        <v>6642</v>
      </c>
      <c r="G159" s="193" t="s">
        <v>6643</v>
      </c>
      <c r="H159" s="193">
        <v>1</v>
      </c>
      <c r="I159" s="193">
        <v>1</v>
      </c>
      <c r="J159" s="193">
        <v>1</v>
      </c>
      <c r="K159" s="224" t="s">
        <v>7364</v>
      </c>
      <c r="M159" s="193">
        <v>1</v>
      </c>
      <c r="N159" s="193" t="s">
        <v>6831</v>
      </c>
      <c r="O159" s="224" t="s">
        <v>7365</v>
      </c>
      <c r="P159" s="224">
        <v>2</v>
      </c>
      <c r="Q159" s="224" t="s">
        <v>249</v>
      </c>
      <c r="W159" s="193">
        <v>1</v>
      </c>
      <c r="X159" s="193">
        <v>1</v>
      </c>
      <c r="Z159" s="193">
        <v>9</v>
      </c>
      <c r="AA159" s="223" t="s">
        <v>7366</v>
      </c>
      <c r="AB159" s="200" t="str">
        <f t="array" ref="AB159">INDEX(B:B,SMALL(IF($Q$3:$Q$524&lt;&gt;"",ROW($3:$524),525),ROW(B158)))&amp;""</f>
        <v>动植物定位术</v>
      </c>
      <c r="AC159" s="225" t="str">
        <f>IFERROR(IF(AND($Q160&lt;&gt;"",IF(法术查询!$J$4="",1,INDEX($R160:$Z160,1,VLOOKUP(法术查询!$J$4,$AF$2:$AG$10,2,0)))&lt;&gt;"",IF(法术查询!$J$5="",1,$P160=VLOOKUP(法术查询!$J$5,$AH$2:$AI$11,2,0)),IF(法术查询!$J$6="",1,IF(法术查询!$J$6=$E160,1,0)),IF(法术查询!$J$7="",1,SEARCH(法术查询!$J$7,$F160)),IF(法术查询!$J$8="",1,SEARCH(法术查询!$J$8,G160)),IF(法术查询!$J$9="",1,SEARCH(法术查询!$J$9,N160)),IF(法术查询!$J$10="",1,IF(法术查询!$J$10=$AF$11,IF($M160=1,1,0),IF($M160="",1,0))),IF(法术查询!$J$11="",1,IF(法术查询!$J$11=$AF$11,IF($D160=1,1,0),IF($D160="",1,0))),IF(法术查询!$J$12="",1,SEARCH(法术查询!$J$12,$B160&amp;$C160&amp;$O160)),IF(法术查询!$J$13="",1,SEARCH(法术查询!$J$13,$B160&amp;$C160&amp;$O160)),IF(法术查询!$J$14="",1,SEARCH(法术查询!$J$14,$B160&amp;$C160&amp;$O160)),IF(法术查询!$J$16="",1,IF(法术查询!$J$16=$AF$11,IF($H160=1,1,0),IF($H160="",1,0))),IF(法术查询!$J$17="",1,IF(法术查询!$J$17=$AF$11,IF($I160=1,1,0),IF($I160="",1,0))),IF(法术查询!$J$18="",1,IF(法术查询!$J$18=$AF$11,IF($J160&lt;&gt;"",1,0),IF($J160="",1,0))),IF(法术查询!$J$19="",1,IF(法术查询!$J$19=$AF$11,IF($L160&lt;&gt;"",1,0),IF($L160="",1,0)))),$B160,""),"")</f>
        <v/>
      </c>
      <c r="AD159" s="192" t="str">
        <f t="array" ref="AD159">INDEX(AC:AC,SMALL(IF($AC$2:$AC$523&lt;&gt;"",ROW($2:$523),524),ROW(AC158)))&amp;""</f>
        <v/>
      </c>
      <c r="AE159" s="200" t="str">
        <f t="shared" si="6"/>
        <v/>
      </c>
      <c r="AJ159" s="192">
        <v>158</v>
      </c>
      <c r="AK159" s="193" t="str">
        <f>IF(法术书!AE15="","",法术书!AE15)</f>
        <v/>
      </c>
      <c r="AL159" s="224" t="str">
        <f t="array" ref="AL159">IFERROR(INDEX(AK$1:AK$301,SMALL(IF(MATCH(AK159,AK$1:AK$301,0)=ROW(AK159),ROW(AK$1:AK$301),999),ROW(AK159))),"")</f>
        <v/>
      </c>
      <c r="AM159" s="223" t="str">
        <f t="array" ref="AM159">INDEX(AL:AL,SMALL(IF($AL$2:$AL$301&lt;&gt;"",ROW($2:$301),302),ROW(AL158)))&amp;""</f>
        <v/>
      </c>
    </row>
    <row r="160" customHeight="1" spans="1:39">
      <c r="A160" s="192">
        <v>158</v>
      </c>
      <c r="B160" s="224" t="s">
        <v>7367</v>
      </c>
      <c r="C160" s="224" t="s">
        <v>7368</v>
      </c>
      <c r="D160" s="193">
        <v>1</v>
      </c>
      <c r="E160" s="238" t="s">
        <v>6695</v>
      </c>
      <c r="F160" s="193" t="s">
        <v>6642</v>
      </c>
      <c r="G160" s="193" t="s">
        <v>6651</v>
      </c>
      <c r="H160" s="193">
        <v>1</v>
      </c>
      <c r="I160" s="193">
        <v>1</v>
      </c>
      <c r="J160" s="193">
        <v>1</v>
      </c>
      <c r="K160" s="224" t="s">
        <v>7369</v>
      </c>
      <c r="N160" s="193" t="s">
        <v>6644</v>
      </c>
      <c r="O160" s="224" t="s">
        <v>7370</v>
      </c>
      <c r="P160" s="224">
        <v>2</v>
      </c>
      <c r="Q160" s="224" t="s">
        <v>249</v>
      </c>
      <c r="R160" s="193">
        <v>1</v>
      </c>
      <c r="T160" s="193">
        <v>1</v>
      </c>
      <c r="V160" s="193">
        <v>1</v>
      </c>
      <c r="AA160" s="200" t="s">
        <v>787</v>
      </c>
      <c r="AB160" s="200" t="str">
        <f t="array" ref="AB160">INDEX(B:B,SMALL(IF($Q$3:$Q$524&lt;&gt;"",ROW($3:$524),525),ROW(B159)))&amp;""</f>
        <v>物件定位术</v>
      </c>
      <c r="AC160" s="225" t="str">
        <f>IFERROR(IF(AND($Q161&lt;&gt;"",IF(法术查询!$J$4="",1,INDEX($R161:$Z161,1,VLOOKUP(法术查询!$J$4,$AF$2:$AG$10,2,0)))&lt;&gt;"",IF(法术查询!$J$5="",1,$P161=VLOOKUP(法术查询!$J$5,$AH$2:$AI$11,2,0)),IF(法术查询!$J$6="",1,IF(法术查询!$J$6=$E161,1,0)),IF(法术查询!$J$7="",1,SEARCH(法术查询!$J$7,$F161)),IF(法术查询!$J$8="",1,SEARCH(法术查询!$J$8,G161)),IF(法术查询!$J$9="",1,SEARCH(法术查询!$J$9,N161)),IF(法术查询!$J$10="",1,IF(法术查询!$J$10=$AF$11,IF($M161=1,1,0),IF($M161="",1,0))),IF(法术查询!$J$11="",1,IF(法术查询!$J$11=$AF$11,IF($D161=1,1,0),IF($D161="",1,0))),IF(法术查询!$J$12="",1,SEARCH(法术查询!$J$12,$B161&amp;$C161&amp;$O161)),IF(法术查询!$J$13="",1,SEARCH(法术查询!$J$13,$B161&amp;$C161&amp;$O161)),IF(法术查询!$J$14="",1,SEARCH(法术查询!$J$14,$B161&amp;$C161&amp;$O161)),IF(法术查询!$J$16="",1,IF(法术查询!$J$16=$AF$11,IF($H161=1,1,0),IF($H161="",1,0))),IF(法术查询!$J$17="",1,IF(法术查询!$J$17=$AF$11,IF($I161=1,1,0),IF($I161="",1,0))),IF(法术查询!$J$18="",1,IF(法术查询!$J$18=$AF$11,IF($J161&lt;&gt;"",1,0),IF($J161="",1,0))),IF(法术查询!$J$19="",1,IF(法术查询!$J$19=$AF$11,IF($L161&lt;&gt;"",1,0),IF($L161="",1,0)))),$B161,""),"")</f>
        <v/>
      </c>
      <c r="AD160" s="192" t="str">
        <f t="array" ref="AD160">INDEX(AC:AC,SMALL(IF($AC$2:$AC$523&lt;&gt;"",ROW($2:$523),524),ROW(AC159)))&amp;""</f>
        <v/>
      </c>
      <c r="AE160" s="200" t="str">
        <f t="shared" si="6"/>
        <v/>
      </c>
      <c r="AJ160" s="192">
        <v>159</v>
      </c>
      <c r="AK160" s="193" t="str">
        <f>IF(法术书!AE16="","",法术书!AE16)</f>
        <v/>
      </c>
      <c r="AL160" s="224" t="str">
        <f t="array" ref="AL160">IFERROR(INDEX(AK$1:AK$301,SMALL(IF(MATCH(AK160,AK$1:AK$301,0)=ROW(AK160),ROW(AK$1:AK$301),999),ROW(AK160))),"")</f>
        <v/>
      </c>
      <c r="AM160" s="223" t="str">
        <f t="array" ref="AM160">INDEX(AL:AL,SMALL(IF($AL$2:$AL$301&lt;&gt;"",ROW($2:$301),302),ROW(AL159)))&amp;""</f>
        <v/>
      </c>
    </row>
    <row r="161" customHeight="1" spans="1:39">
      <c r="A161" s="192">
        <v>159</v>
      </c>
      <c r="B161" s="224" t="s">
        <v>7371</v>
      </c>
      <c r="C161" s="224" t="s">
        <v>7372</v>
      </c>
      <c r="E161" s="238" t="s">
        <v>6695</v>
      </c>
      <c r="F161" s="193" t="s">
        <v>6642</v>
      </c>
      <c r="G161" s="193" t="s">
        <v>6651</v>
      </c>
      <c r="H161" s="193">
        <v>1</v>
      </c>
      <c r="I161" s="193">
        <v>1</v>
      </c>
      <c r="J161" s="193">
        <v>1</v>
      </c>
      <c r="K161" s="224" t="s">
        <v>7373</v>
      </c>
      <c r="M161" s="193">
        <v>1</v>
      </c>
      <c r="N161" s="193" t="s">
        <v>6831</v>
      </c>
      <c r="O161" s="224" t="s">
        <v>7374</v>
      </c>
      <c r="P161" s="224">
        <v>2</v>
      </c>
      <c r="Q161" s="224" t="s">
        <v>249</v>
      </c>
      <c r="R161" s="193">
        <v>1</v>
      </c>
      <c r="S161" s="193">
        <v>1</v>
      </c>
      <c r="T161" s="193">
        <v>1</v>
      </c>
      <c r="U161" s="193">
        <v>1</v>
      </c>
      <c r="V161" s="193">
        <v>1</v>
      </c>
      <c r="X161" s="193">
        <v>1</v>
      </c>
      <c r="AA161" s="223" t="s">
        <v>7375</v>
      </c>
      <c r="AB161" s="200" t="str">
        <f t="array" ref="AB161">INDEX(B:B,SMALL(IF($Q$3:$Q$524&lt;&gt;"",ROW($3:$524),525),ROW(B160)))&amp;""</f>
        <v>魔嘴术</v>
      </c>
      <c r="AC161" s="225" t="str">
        <f>IFERROR(IF(AND($Q162&lt;&gt;"",IF(法术查询!$J$4="",1,INDEX($R162:$Z162,1,VLOOKUP(法术查询!$J$4,$AF$2:$AG$10,2,0)))&lt;&gt;"",IF(法术查询!$J$5="",1,$P162=VLOOKUP(法术查询!$J$5,$AH$2:$AI$11,2,0)),IF(法术查询!$J$6="",1,IF(法术查询!$J$6=$E162,1,0)),IF(法术查询!$J$7="",1,SEARCH(法术查询!$J$7,$F162)),IF(法术查询!$J$8="",1,SEARCH(法术查询!$J$8,G162)),IF(法术查询!$J$9="",1,SEARCH(法术查询!$J$9,N162)),IF(法术查询!$J$10="",1,IF(法术查询!$J$10=$AF$11,IF($M162=1,1,0),IF($M162="",1,0))),IF(法术查询!$J$11="",1,IF(法术查询!$J$11=$AF$11,IF($D162=1,1,0),IF($D162="",1,0))),IF(法术查询!$J$12="",1,SEARCH(法术查询!$J$12,$B162&amp;$C162&amp;$O162)),IF(法术查询!$J$13="",1,SEARCH(法术查询!$J$13,$B162&amp;$C162&amp;$O162)),IF(法术查询!$J$14="",1,SEARCH(法术查询!$J$14,$B162&amp;$C162&amp;$O162)),IF(法术查询!$J$16="",1,IF(法术查询!$J$16=$AF$11,IF($H162=1,1,0),IF($H162="",1,0))),IF(法术查询!$J$17="",1,IF(法术查询!$J$17=$AF$11,IF($I162=1,1,0),IF($I162="",1,0))),IF(法术查询!$J$18="",1,IF(法术查询!$J$18=$AF$11,IF($J162&lt;&gt;"",1,0),IF($J162="",1,0))),IF(法术查询!$J$19="",1,IF(法术查询!$J$19=$AF$11,IF($L162&lt;&gt;"",1,0),IF($L162="",1,0)))),$B162,""),"")</f>
        <v>魔嘴术</v>
      </c>
      <c r="AD161" s="192" t="str">
        <f t="array" ref="AD161">INDEX(AC:AC,SMALL(IF($AC$2:$AC$523&lt;&gt;"",ROW($2:$523),524),ROW(AC160)))&amp;""</f>
        <v/>
      </c>
      <c r="AE161" s="200" t="str">
        <f t="shared" si="6"/>
        <v/>
      </c>
      <c r="AJ161" s="192">
        <v>160</v>
      </c>
      <c r="AK161" s="193" t="str">
        <f>IF(法术书!AE17="","",法术书!AE17)</f>
        <v/>
      </c>
      <c r="AL161" s="224" t="str">
        <f t="array" ref="AL161">IFERROR(INDEX(AK$1:AK$301,SMALL(IF(MATCH(AK161,AK$1:AK$301,0)=ROW(AK161),ROW(AK$1:AK$301),999),ROW(AK161))),"")</f>
        <v/>
      </c>
      <c r="AM161" s="223" t="str">
        <f t="array" ref="AM161">INDEX(AL:AL,SMALL(IF($AL$2:$AL$301&lt;&gt;"",ROW($2:$301),302),ROW(AL160)))&amp;""</f>
        <v/>
      </c>
    </row>
    <row r="162" customHeight="1" spans="1:39">
      <c r="A162" s="192">
        <v>160</v>
      </c>
      <c r="B162" s="224" t="s">
        <v>7376</v>
      </c>
      <c r="C162" s="224" t="s">
        <v>7377</v>
      </c>
      <c r="D162" s="193">
        <v>1</v>
      </c>
      <c r="E162" s="241" t="s">
        <v>6726</v>
      </c>
      <c r="F162" s="193" t="s">
        <v>6709</v>
      </c>
      <c r="G162" s="193" t="s">
        <v>6673</v>
      </c>
      <c r="H162" s="193">
        <v>1</v>
      </c>
      <c r="I162" s="193">
        <v>1</v>
      </c>
      <c r="J162" s="193">
        <v>1</v>
      </c>
      <c r="K162" s="224"/>
      <c r="L162" s="224" t="s">
        <v>7378</v>
      </c>
      <c r="N162" s="193" t="s">
        <v>6794</v>
      </c>
      <c r="O162" s="224" t="s">
        <v>7379</v>
      </c>
      <c r="P162" s="224">
        <v>2</v>
      </c>
      <c r="Q162" s="224" t="s">
        <v>249</v>
      </c>
      <c r="R162" s="193">
        <v>1</v>
      </c>
      <c r="X162" s="193">
        <v>1</v>
      </c>
      <c r="Z162" s="193">
        <v>9</v>
      </c>
      <c r="AA162" s="200" t="s">
        <v>823</v>
      </c>
      <c r="AB162" s="200" t="str">
        <f t="array" ref="AB162">INDEX(B:B,SMALL(IF($Q$3:$Q$524&lt;&gt;"",ROW($3:$524),525),ROW(B161)))&amp;""</f>
        <v>魔化武器</v>
      </c>
      <c r="AC162" s="225" t="str">
        <f>IFERROR(IF(AND($Q163&lt;&gt;"",IF(法术查询!$J$4="",1,INDEX($R163:$Z163,1,VLOOKUP(法术查询!$J$4,$AF$2:$AG$10,2,0)))&lt;&gt;"",IF(法术查询!$J$5="",1,$P163=VLOOKUP(法术查询!$J$5,$AH$2:$AI$11,2,0)),IF(法术查询!$J$6="",1,IF(法术查询!$J$6=$E163,1,0)),IF(法术查询!$J$7="",1,SEARCH(法术查询!$J$7,$F163)),IF(法术查询!$J$8="",1,SEARCH(法术查询!$J$8,G163)),IF(法术查询!$J$9="",1,SEARCH(法术查询!$J$9,N163)),IF(法术查询!$J$10="",1,IF(法术查询!$J$10=$AF$11,IF($M163=1,1,0),IF($M163="",1,0))),IF(法术查询!$J$11="",1,IF(法术查询!$J$11=$AF$11,IF($D163=1,1,0),IF($D163="",1,0))),IF(法术查询!$J$12="",1,SEARCH(法术查询!$J$12,$B163&amp;$C163&amp;$O163)),IF(法术查询!$J$13="",1,SEARCH(法术查询!$J$13,$B163&amp;$C163&amp;$O163)),IF(法术查询!$J$14="",1,SEARCH(法术查询!$J$14,$B163&amp;$C163&amp;$O163)),IF(法术查询!$J$16="",1,IF(法术查询!$J$16=$AF$11,IF($H163=1,1,0),IF($H163="",1,0))),IF(法术查询!$J$17="",1,IF(法术查询!$J$17=$AF$11,IF($I163=1,1,0),IF($I163="",1,0))),IF(法术查询!$J$18="",1,IF(法术查询!$J$18=$AF$11,IF($J163&lt;&gt;"",1,0),IF($J163="",1,0))),IF(法术查询!$J$19="",1,IF(法术查询!$J$19=$AF$11,IF($L163&lt;&gt;"",1,0),IF($L163="",1,0)))),$B163,""),"")</f>
        <v>魔化武器</v>
      </c>
      <c r="AD162" s="192" t="str">
        <f t="array" ref="AD162">INDEX(AC:AC,SMALL(IF($AC$2:$AC$523&lt;&gt;"",ROW($2:$523),524),ROW(AC161)))&amp;""</f>
        <v/>
      </c>
      <c r="AE162" s="200" t="str">
        <f t="shared" si="6"/>
        <v/>
      </c>
      <c r="AJ162" s="192">
        <v>161</v>
      </c>
      <c r="AK162" s="193" t="str">
        <f>IF(法术书!AE18="","",法术书!AE18)</f>
        <v/>
      </c>
      <c r="AL162" s="224" t="str">
        <f t="array" ref="AL162">IFERROR(INDEX(AK$1:AK$301,SMALL(IF(MATCH(AK162,AK$1:AK$301,0)=ROW(AK162),ROW(AK$1:AK$301),999),ROW(AK162))),"")</f>
        <v/>
      </c>
      <c r="AM162" s="223" t="str">
        <f t="array" ref="AM162">INDEX(AL:AL,SMALL(IF($AL$2:$AL$301&lt;&gt;"",ROW($2:$301),302),ROW(AL161)))&amp;""</f>
        <v/>
      </c>
    </row>
    <row r="163" customHeight="1" spans="1:39">
      <c r="A163" s="192">
        <v>161</v>
      </c>
      <c r="B163" s="224" t="s">
        <v>7380</v>
      </c>
      <c r="C163" s="224" t="s">
        <v>7381</v>
      </c>
      <c r="E163" s="231" t="s">
        <v>6672</v>
      </c>
      <c r="F163" s="193" t="s">
        <v>6712</v>
      </c>
      <c r="G163" s="193" t="s">
        <v>3760</v>
      </c>
      <c r="H163" s="193">
        <v>1</v>
      </c>
      <c r="I163" s="193">
        <v>1</v>
      </c>
      <c r="M163" s="193">
        <v>1</v>
      </c>
      <c r="N163" s="193" t="s">
        <v>6739</v>
      </c>
      <c r="O163" s="224" t="s">
        <v>7382</v>
      </c>
      <c r="P163" s="224">
        <v>2</v>
      </c>
      <c r="Q163" s="224" t="s">
        <v>249</v>
      </c>
      <c r="U163" s="193">
        <v>1</v>
      </c>
      <c r="V163" s="193" t="str">
        <f>IF(综合数据!$B$14=TRUE,"13","")</f>
        <v>13</v>
      </c>
      <c r="W163" s="193" t="str">
        <f>IF(综合数据!$B$14=TRUE,"13","")</f>
        <v>13</v>
      </c>
      <c r="X163" s="193">
        <v>1</v>
      </c>
      <c r="Z163" s="193">
        <v>9</v>
      </c>
      <c r="AA163" s="223" t="s">
        <v>7383</v>
      </c>
      <c r="AB163" s="200" t="str">
        <f t="array" ref="AB163">INDEX(B:B,SMALL(IF($Q$3:$Q$524&lt;&gt;"",ROW($3:$524),525),ROW(B162)))&amp;""</f>
        <v>马友夫强酸箭</v>
      </c>
      <c r="AC163" s="225" t="str">
        <f>IFERROR(IF(AND($Q164&lt;&gt;"",IF(法术查询!$J$4="",1,INDEX($R164:$Z164,1,VLOOKUP(法术查询!$J$4,$AF$2:$AG$10,2,0)))&lt;&gt;"",IF(法术查询!$J$5="",1,$P164=VLOOKUP(法术查询!$J$5,$AH$2:$AI$11,2,0)),IF(法术查询!$J$6="",1,IF(法术查询!$J$6=$E164,1,0)),IF(法术查询!$J$7="",1,SEARCH(法术查询!$J$7,$F164)),IF(法术查询!$J$8="",1,SEARCH(法术查询!$J$8,G164)),IF(法术查询!$J$9="",1,SEARCH(法术查询!$J$9,N164)),IF(法术查询!$J$10="",1,IF(法术查询!$J$10=$AF$11,IF($M164=1,1,0),IF($M164="",1,0))),IF(法术查询!$J$11="",1,IF(法术查询!$J$11=$AF$11,IF($D164=1,1,0),IF($D164="",1,0))),IF(法术查询!$J$12="",1,SEARCH(法术查询!$J$12,$B164&amp;$C164&amp;$O164)),IF(法术查询!$J$13="",1,SEARCH(法术查询!$J$13,$B164&amp;$C164&amp;$O164)),IF(法术查询!$J$14="",1,SEARCH(法术查询!$J$14,$B164&amp;$C164&amp;$O164)),IF(法术查询!$J$16="",1,IF(法术查询!$J$16=$AF$11,IF($H164=1,1,0),IF($H164="",1,0))),IF(法术查询!$J$17="",1,IF(法术查询!$J$17=$AF$11,IF($I164=1,1,0),IF($I164="",1,0))),IF(法术查询!$J$18="",1,IF(法术查询!$J$18=$AF$11,IF($J164&lt;&gt;"",1,0),IF($J164="",1,0))),IF(法术查询!$J$19="",1,IF(法术查询!$J$19=$AF$11,IF($L164&lt;&gt;"",1,0),IF($L164="",1,0)))),$B164,""),"")</f>
        <v/>
      </c>
      <c r="AD163" s="192" t="str">
        <f t="array" ref="AD163">INDEX(AC:AC,SMALL(IF($AC$2:$AC$523&lt;&gt;"",ROW($2:$523),524),ROW(AC162)))&amp;""</f>
        <v/>
      </c>
      <c r="AE163" s="200" t="str">
        <f t="shared" si="6"/>
        <v/>
      </c>
      <c r="AJ163" s="192">
        <v>162</v>
      </c>
      <c r="AK163" s="193" t="str">
        <f>IF(法术书!AE19="","",法术书!AE19)</f>
        <v/>
      </c>
      <c r="AL163" s="224" t="str">
        <f t="array" ref="AL163">IFERROR(INDEX(AK$1:AK$301,SMALL(IF(MATCH(AK163,AK$1:AK$301,0)=ROW(AK163),ROW(AK$1:AK$301),999),ROW(AK163))),"")</f>
        <v/>
      </c>
      <c r="AM163" s="223" t="str">
        <f t="array" ref="AM163">INDEX(AL:AL,SMALL(IF($AL$2:$AL$301&lt;&gt;"",ROW($2:$301),302),ROW(AL162)))&amp;""</f>
        <v/>
      </c>
    </row>
    <row r="164" customHeight="1" spans="1:39">
      <c r="A164" s="192">
        <v>162</v>
      </c>
      <c r="B164" s="224" t="s">
        <v>7384</v>
      </c>
      <c r="C164" s="224" t="s">
        <v>7385</v>
      </c>
      <c r="E164" s="229" t="s">
        <v>6664</v>
      </c>
      <c r="F164" s="193" t="s">
        <v>6642</v>
      </c>
      <c r="G164" s="193" t="s">
        <v>6760</v>
      </c>
      <c r="H164" s="193">
        <v>1</v>
      </c>
      <c r="I164" s="193">
        <v>1</v>
      </c>
      <c r="J164" s="193">
        <v>1</v>
      </c>
      <c r="K164" s="224" t="s">
        <v>7386</v>
      </c>
      <c r="N164" s="193" t="s">
        <v>6644</v>
      </c>
      <c r="O164" s="224" t="s">
        <v>7387</v>
      </c>
      <c r="P164" s="224">
        <v>2</v>
      </c>
      <c r="Q164" s="224" t="s">
        <v>249</v>
      </c>
      <c r="X164" s="193">
        <v>1</v>
      </c>
      <c r="AA164" s="223" t="s">
        <v>7388</v>
      </c>
      <c r="AB164" s="200" t="str">
        <f t="array" ref="AB164">INDEX(B:B,SMALL(IF($Q$3:$Q$524&lt;&gt;"",ROW($3:$524),525),ROW(B163)))&amp;""</f>
        <v>镜影术</v>
      </c>
      <c r="AC164" s="225" t="str">
        <f>IFERROR(IF(AND($Q165&lt;&gt;"",IF(法术查询!$J$4="",1,INDEX($R165:$Z165,1,VLOOKUP(法术查询!$J$4,$AF$2:$AG$10,2,0)))&lt;&gt;"",IF(法术查询!$J$5="",1,$P165=VLOOKUP(法术查询!$J$5,$AH$2:$AI$11,2,0)),IF(法术查询!$J$6="",1,IF(法术查询!$J$6=$E165,1,0)),IF(法术查询!$J$7="",1,SEARCH(法术查询!$J$7,$F165)),IF(法术查询!$J$8="",1,SEARCH(法术查询!$J$8,G165)),IF(法术查询!$J$9="",1,SEARCH(法术查询!$J$9,N165)),IF(法术查询!$J$10="",1,IF(法术查询!$J$10=$AF$11,IF($M165=1,1,0),IF($M165="",1,0))),IF(法术查询!$J$11="",1,IF(法术查询!$J$11=$AF$11,IF($D165=1,1,0),IF($D165="",1,0))),IF(法术查询!$J$12="",1,SEARCH(法术查询!$J$12,$B165&amp;$C165&amp;$O165)),IF(法术查询!$J$13="",1,SEARCH(法术查询!$J$13,$B165&amp;$C165&amp;$O165)),IF(法术查询!$J$14="",1,SEARCH(法术查询!$J$14,$B165&amp;$C165&amp;$O165)),IF(法术查询!$J$16="",1,IF(法术查询!$J$16=$AF$11,IF($H165=1,1,0),IF($H165="",1,0))),IF(法术查询!$J$17="",1,IF(法术查询!$J$17=$AF$11,IF($I165=1,1,0),IF($I165="",1,0))),IF(法术查询!$J$18="",1,IF(法术查询!$J$18=$AF$11,IF($J165&lt;&gt;"",1,0),IF($J165="",1,0))),IF(法术查询!$J$19="",1,IF(法术查询!$J$19=$AF$11,IF($L165&lt;&gt;"",1,0),IF($L165="",1,0)))),$B165,""),"")</f>
        <v/>
      </c>
      <c r="AD164" s="192" t="str">
        <f t="array" ref="AD164">INDEX(AC:AC,SMALL(IF($AC$2:$AC$523&lt;&gt;"",ROW($2:$523),524),ROW(AC163)))&amp;""</f>
        <v/>
      </c>
      <c r="AE164" s="200" t="str">
        <f t="shared" si="6"/>
        <v/>
      </c>
      <c r="AJ164" s="192">
        <v>163</v>
      </c>
      <c r="AK164" s="193" t="str">
        <f>IF(法术书!AE20="","",法术书!AE20)</f>
        <v/>
      </c>
      <c r="AL164" s="224" t="str">
        <f t="array" ref="AL164">IFERROR(INDEX(AK$1:AK$301,SMALL(IF(MATCH(AK164,AK$1:AK$301,0)=ROW(AK164),ROW(AK$1:AK$301),999),ROW(AK164))),"")</f>
        <v/>
      </c>
      <c r="AM164" s="223" t="str">
        <f t="array" ref="AM164">INDEX(AL:AL,SMALL(IF($AL$2:$AL$301&lt;&gt;"",ROW($2:$301),302),ROW(AL163)))&amp;""</f>
        <v/>
      </c>
    </row>
    <row r="165" customHeight="1" spans="1:39">
      <c r="A165" s="192">
        <v>163</v>
      </c>
      <c r="B165" s="224" t="s">
        <v>7389</v>
      </c>
      <c r="C165" s="224" t="s">
        <v>7390</v>
      </c>
      <c r="E165" s="241" t="s">
        <v>6726</v>
      </c>
      <c r="F165" s="193" t="s">
        <v>6642</v>
      </c>
      <c r="G165" s="193" t="s">
        <v>6651</v>
      </c>
      <c r="H165" s="193">
        <v>1</v>
      </c>
      <c r="I165" s="193">
        <v>1</v>
      </c>
      <c r="N165" s="193" t="s">
        <v>6709</v>
      </c>
      <c r="O165" s="224" t="s">
        <v>7391</v>
      </c>
      <c r="P165" s="224">
        <v>2</v>
      </c>
      <c r="Q165" s="224" t="s">
        <v>249</v>
      </c>
      <c r="R165" s="193" t="str">
        <f>IF(综合数据!$B$14=TRUE,"13","")</f>
        <v>13</v>
      </c>
      <c r="W165" s="193">
        <v>1</v>
      </c>
      <c r="X165" s="193">
        <v>1</v>
      </c>
      <c r="Y165" s="193">
        <v>1</v>
      </c>
      <c r="AA165" s="223" t="s">
        <v>7392</v>
      </c>
      <c r="AB165" s="200" t="str">
        <f t="array" ref="AB165">INDEX(B:B,SMALL(IF($Q$3:$Q$524&lt;&gt;"",ROW($3:$524),525),ROW(B164)))&amp;""</f>
        <v>迷踪步</v>
      </c>
      <c r="AC165" s="225" t="str">
        <f>IFERROR(IF(AND($Q166&lt;&gt;"",IF(法术查询!$J$4="",1,INDEX($R166:$Z166,1,VLOOKUP(法术查询!$J$4,$AF$2:$AG$10,2,0)))&lt;&gt;"",IF(法术查询!$J$5="",1,$P166=VLOOKUP(法术查询!$J$5,$AH$2:$AI$11,2,0)),IF(法术查询!$J$6="",1,IF(法术查询!$J$6=$E166,1,0)),IF(法术查询!$J$7="",1,SEARCH(法术查询!$J$7,$F166)),IF(法术查询!$J$8="",1,SEARCH(法术查询!$J$8,G166)),IF(法术查询!$J$9="",1,SEARCH(法术查询!$J$9,N166)),IF(法术查询!$J$10="",1,IF(法术查询!$J$10=$AF$11,IF($M166=1,1,0),IF($M166="",1,0))),IF(法术查询!$J$11="",1,IF(法术查询!$J$11=$AF$11,IF($D166=1,1,0),IF($D166="",1,0))),IF(法术查询!$J$12="",1,SEARCH(法术查询!$J$12,$B166&amp;$C166&amp;$O166)),IF(法术查询!$J$13="",1,SEARCH(法术查询!$J$13,$B166&amp;$C166&amp;$O166)),IF(法术查询!$J$14="",1,SEARCH(法术查询!$J$14,$B166&amp;$C166&amp;$O166)),IF(法术查询!$J$16="",1,IF(法术查询!$J$16=$AF$11,IF($H166=1,1,0),IF($H166="",1,0))),IF(法术查询!$J$17="",1,IF(法术查询!$J$17=$AF$11,IF($I166=1,1,0),IF($I166="",1,0))),IF(法术查询!$J$18="",1,IF(法术查询!$J$18=$AF$11,IF($J166&lt;&gt;"",1,0),IF($J166="",1,0))),IF(法术查询!$J$19="",1,IF(法术查询!$J$19=$AF$11,IF($L166&lt;&gt;"",1,0),IF($L166="",1,0)))),$B166,""),"")</f>
        <v/>
      </c>
      <c r="AD165" s="192" t="str">
        <f t="array" ref="AD165">INDEX(AC:AC,SMALL(IF($AC$2:$AC$523&lt;&gt;"",ROW($2:$523),524),ROW(AC164)))&amp;""</f>
        <v/>
      </c>
      <c r="AE165" s="200" t="str">
        <f t="shared" si="6"/>
        <v/>
      </c>
      <c r="AJ165" s="192">
        <v>164</v>
      </c>
      <c r="AK165" s="193" t="str">
        <f>IF(法术书!AE21="","",法术书!AE21)</f>
        <v/>
      </c>
      <c r="AL165" s="224" t="str">
        <f t="array" ref="AL165">IFERROR(INDEX(AK$1:AK$301,SMALL(IF(MATCH(AK165,AK$1:AK$301,0)=ROW(AK165),ROW(AK$1:AK$301),999),ROW(AK165))),"")</f>
        <v/>
      </c>
      <c r="AM165" s="223" t="str">
        <f t="array" ref="AM165">INDEX(AL:AL,SMALL(IF($AL$2:$AL$301&lt;&gt;"",ROW($2:$301),302),ROW(AL164)))&amp;""</f>
        <v/>
      </c>
    </row>
    <row r="166" customHeight="1" spans="1:39">
      <c r="A166" s="192">
        <v>164</v>
      </c>
      <c r="B166" s="224" t="s">
        <v>7393</v>
      </c>
      <c r="C166" s="224" t="s">
        <v>7394</v>
      </c>
      <c r="E166" s="240" t="s">
        <v>6641</v>
      </c>
      <c r="F166" s="193" t="s">
        <v>6712</v>
      </c>
      <c r="G166" s="193" t="s">
        <v>6651</v>
      </c>
      <c r="H166" s="193">
        <v>1</v>
      </c>
      <c r="N166" s="193" t="s">
        <v>6644</v>
      </c>
      <c r="O166" s="224" t="s">
        <v>7395</v>
      </c>
      <c r="P166" s="224">
        <v>2</v>
      </c>
      <c r="Q166" s="224" t="s">
        <v>249</v>
      </c>
      <c r="W166" s="193">
        <v>1</v>
      </c>
      <c r="X166" s="193">
        <v>1</v>
      </c>
      <c r="Y166" s="193">
        <v>1</v>
      </c>
      <c r="AA166" s="223" t="s">
        <v>7396</v>
      </c>
      <c r="AB166" s="200" t="str">
        <f t="array" ref="AB166">INDEX(B:B,SMALL(IF($Q$3:$Q$524&lt;&gt;"",ROW($3:$524),525),ROW(B165)))&amp;""</f>
        <v>月华之光</v>
      </c>
      <c r="AC166" s="225" t="str">
        <f>IFERROR(IF(AND($Q167&lt;&gt;"",IF(法术查询!$J$4="",1,INDEX($R167:$Z167,1,VLOOKUP(法术查询!$J$4,$AF$2:$AG$10,2,0)))&lt;&gt;"",IF(法术查询!$J$5="",1,$P167=VLOOKUP(法术查询!$J$5,$AH$2:$AI$11,2,0)),IF(法术查询!$J$6="",1,IF(法术查询!$J$6=$E167,1,0)),IF(法术查询!$J$7="",1,SEARCH(法术查询!$J$7,$F167)),IF(法术查询!$J$8="",1,SEARCH(法术查询!$J$8,G167)),IF(法术查询!$J$9="",1,SEARCH(法术查询!$J$9,N167)),IF(法术查询!$J$10="",1,IF(法术查询!$J$10=$AF$11,IF($M167=1,1,0),IF($M167="",1,0))),IF(法术查询!$J$11="",1,IF(法术查询!$J$11=$AF$11,IF($D167=1,1,0),IF($D167="",1,0))),IF(法术查询!$J$12="",1,SEARCH(法术查询!$J$12,$B167&amp;$C167&amp;$O167)),IF(法术查询!$J$13="",1,SEARCH(法术查询!$J$13,$B167&amp;$C167&amp;$O167)),IF(法术查询!$J$14="",1,SEARCH(法术查询!$J$14,$B167&amp;$C167&amp;$O167)),IF(法术查询!$J$16="",1,IF(法术查询!$J$16=$AF$11,IF($H167=1,1,0),IF($H167="",1,0))),IF(法术查询!$J$17="",1,IF(法术查询!$J$17=$AF$11,IF($I167=1,1,0),IF($I167="",1,0))),IF(法术查询!$J$18="",1,IF(法术查询!$J$18=$AF$11,IF($J167&lt;&gt;"",1,0),IF($J167="",1,0))),IF(法术查询!$J$19="",1,IF(法术查询!$J$19=$AF$11,IF($L167&lt;&gt;"",1,0),IF($L167="",1,0)))),$B167,""),"")</f>
        <v/>
      </c>
      <c r="AD166" s="192" t="str">
        <f t="array" ref="AD166">INDEX(AC:AC,SMALL(IF($AC$2:$AC$523&lt;&gt;"",ROW($2:$523),524),ROW(AC165)))&amp;""</f>
        <v/>
      </c>
      <c r="AE166" s="200" t="str">
        <f t="shared" si="6"/>
        <v/>
      </c>
      <c r="AJ166" s="192">
        <v>165</v>
      </c>
      <c r="AK166" s="193" t="str">
        <f>IF(法术书!AE22="","",法术书!AE22)</f>
        <v/>
      </c>
      <c r="AL166" s="224" t="str">
        <f t="array" ref="AL166">IFERROR(INDEX(AK$1:AK$301,SMALL(IF(MATCH(AK166,AK$1:AK$301,0)=ROW(AK166),ROW(AK$1:AK$301),999),ROW(AK166))),"")</f>
        <v/>
      </c>
      <c r="AM166" s="223" t="str">
        <f t="array" ref="AM166">INDEX(AL:AL,SMALL(IF($AL$2:$AL$301&lt;&gt;"",ROW($2:$301),302),ROW(AL165)))&amp;""</f>
        <v/>
      </c>
    </row>
    <row r="167" customHeight="1" spans="1:39">
      <c r="A167" s="192">
        <v>165</v>
      </c>
      <c r="B167" s="224" t="s">
        <v>7397</v>
      </c>
      <c r="C167" s="224" t="s">
        <v>7398</v>
      </c>
      <c r="E167" s="229" t="s">
        <v>6664</v>
      </c>
      <c r="F167" s="193" t="s">
        <v>6642</v>
      </c>
      <c r="G167" s="193" t="s">
        <v>6658</v>
      </c>
      <c r="H167" s="193">
        <v>1</v>
      </c>
      <c r="I167" s="193">
        <v>1</v>
      </c>
      <c r="J167" s="193">
        <v>1</v>
      </c>
      <c r="K167" s="224" t="s">
        <v>7399</v>
      </c>
      <c r="M167" s="193">
        <v>1</v>
      </c>
      <c r="N167" s="193" t="s">
        <v>6666</v>
      </c>
      <c r="O167" s="224" t="s">
        <v>7400</v>
      </c>
      <c r="P167" s="224">
        <v>2</v>
      </c>
      <c r="Q167" s="224" t="s">
        <v>249</v>
      </c>
      <c r="T167" s="193">
        <v>1</v>
      </c>
      <c r="AA167" s="223" t="s">
        <v>7401</v>
      </c>
      <c r="AB167" s="200" t="str">
        <f t="array" ref="AB167">INDEX(B:B,SMALL(IF($Q$3:$Q$524&lt;&gt;"",ROW($3:$524),525),ROW(B166)))&amp;""</f>
        <v>涅斯图魔法灵光</v>
      </c>
      <c r="AC167" s="225" t="str">
        <f>IFERROR(IF(AND($Q168&lt;&gt;"",IF(法术查询!$J$4="",1,INDEX($R168:$Z168,1,VLOOKUP(法术查询!$J$4,$AF$2:$AG$10,2,0)))&lt;&gt;"",IF(法术查询!$J$5="",1,$P168=VLOOKUP(法术查询!$J$5,$AH$2:$AI$11,2,0)),IF(法术查询!$J$6="",1,IF(法术查询!$J$6=$E168,1,0)),IF(法术查询!$J$7="",1,SEARCH(法术查询!$J$7,$F168)),IF(法术查询!$J$8="",1,SEARCH(法术查询!$J$8,G168)),IF(法术查询!$J$9="",1,SEARCH(法术查询!$J$9,N168)),IF(法术查询!$J$10="",1,IF(法术查询!$J$10=$AF$11,IF($M168=1,1,0),IF($M168="",1,0))),IF(法术查询!$J$11="",1,IF(法术查询!$J$11=$AF$11,IF($D168=1,1,0),IF($D168="",1,0))),IF(法术查询!$J$12="",1,SEARCH(法术查询!$J$12,$B168&amp;$C168&amp;$O168)),IF(法术查询!$J$13="",1,SEARCH(法术查询!$J$13,$B168&amp;$C168&amp;$O168)),IF(法术查询!$J$14="",1,SEARCH(法术查询!$J$14,$B168&amp;$C168&amp;$O168)),IF(法术查询!$J$16="",1,IF(法术查询!$J$16=$AF$11,IF($H168=1,1,0),IF($H168="",1,0))),IF(法术查询!$J$17="",1,IF(法术查询!$J$17=$AF$11,IF($I168=1,1,0),IF($I168="",1,0))),IF(法术查询!$J$18="",1,IF(法术查询!$J$18=$AF$11,IF($J168&lt;&gt;"",1,0),IF($J168="",1,0))),IF(法术查询!$J$19="",1,IF(法术查询!$J$19=$AF$11,IF($L168&lt;&gt;"",1,0),IF($L168="",1,0)))),$B168,""),"")</f>
        <v/>
      </c>
      <c r="AD167" s="192" t="str">
        <f t="array" ref="AD167">INDEX(AC:AC,SMALL(IF($AC$2:$AC$523&lt;&gt;"",ROW($2:$523),524),ROW(AC166)))&amp;""</f>
        <v/>
      </c>
      <c r="AE167" s="200" t="str">
        <f t="shared" si="6"/>
        <v/>
      </c>
      <c r="AJ167" s="192">
        <v>166</v>
      </c>
      <c r="AK167" s="193" t="str">
        <f>IF(法术书!AE23="","",法术书!AE23)</f>
        <v/>
      </c>
      <c r="AL167" s="224" t="str">
        <f t="array" ref="AL167">IFERROR(INDEX(AK$1:AK$301,SMALL(IF(MATCH(AK167,AK$1:AK$301,0)=ROW(AK167),ROW(AK$1:AK$301),999),ROW(AK167))),"")</f>
        <v/>
      </c>
      <c r="AM167" s="223" t="str">
        <f t="array" ref="AM167">INDEX(AL:AL,SMALL(IF($AL$2:$AL$301&lt;&gt;"",ROW($2:$301),302),ROW(AL166)))&amp;""</f>
        <v/>
      </c>
    </row>
    <row r="168" customHeight="1" spans="1:39">
      <c r="A168" s="192">
        <v>166</v>
      </c>
      <c r="B168" s="224" t="s">
        <v>7402</v>
      </c>
      <c r="C168" s="224" t="s">
        <v>7403</v>
      </c>
      <c r="E168" s="241" t="s">
        <v>6726</v>
      </c>
      <c r="F168" s="193" t="s">
        <v>6642</v>
      </c>
      <c r="G168" s="193" t="s">
        <v>3760</v>
      </c>
      <c r="H168" s="193">
        <v>1</v>
      </c>
      <c r="I168" s="193">
        <v>1</v>
      </c>
      <c r="J168" s="193">
        <v>1</v>
      </c>
      <c r="K168" s="224" t="s">
        <v>7404</v>
      </c>
      <c r="N168" s="193" t="s">
        <v>6759</v>
      </c>
      <c r="O168" s="224" t="s">
        <v>7405</v>
      </c>
      <c r="P168" s="224">
        <v>2</v>
      </c>
      <c r="Q168" s="224" t="s">
        <v>249</v>
      </c>
      <c r="X168" s="193">
        <v>1</v>
      </c>
      <c r="AA168" s="200" t="s">
        <v>2053</v>
      </c>
      <c r="AB168" s="200" t="str">
        <f t="array" ref="AB168">INDEX(B:B,SMALL(IF($Q$3:$Q$524&lt;&gt;"",ROW($3:$524),525),ROW(B167)))&amp;""</f>
        <v>行动无踪</v>
      </c>
      <c r="AC168" s="225" t="str">
        <f>IFERROR(IF(AND($Q169&lt;&gt;"",IF(法术查询!$J$4="",1,INDEX($R169:$Z169,1,VLOOKUP(法术查询!$J$4,$AF$2:$AG$10,2,0)))&lt;&gt;"",IF(法术查询!$J$5="",1,$P169=VLOOKUP(法术查询!$J$5,$AH$2:$AI$11,2,0)),IF(法术查询!$J$6="",1,IF(法术查询!$J$6=$E169,1,0)),IF(法术查询!$J$7="",1,SEARCH(法术查询!$J$7,$F169)),IF(法术查询!$J$8="",1,SEARCH(法术查询!$J$8,G169)),IF(法术查询!$J$9="",1,SEARCH(法术查询!$J$9,N169)),IF(法术查询!$J$10="",1,IF(法术查询!$J$10=$AF$11,IF($M169=1,1,0),IF($M169="",1,0))),IF(法术查询!$J$11="",1,IF(法术查询!$J$11=$AF$11,IF($D169=1,1,0),IF($D169="",1,0))),IF(法术查询!$J$12="",1,SEARCH(法术查询!$J$12,$B169&amp;$C169&amp;$O169)),IF(法术查询!$J$13="",1,SEARCH(法术查询!$J$13,$B169&amp;$C169&amp;$O169)),IF(法术查询!$J$14="",1,SEARCH(法术查询!$J$14,$B169&amp;$C169&amp;$O169)),IF(法术查询!$J$16="",1,IF(法术查询!$J$16=$AF$11,IF($H169=1,1,0),IF($H169="",1,0))),IF(法术查询!$J$17="",1,IF(法术查询!$J$17=$AF$11,IF($I169=1,1,0),IF($I169="",1,0))),IF(法术查询!$J$18="",1,IF(法术查询!$J$18=$AF$11,IF($J169&lt;&gt;"",1,0),IF($J169="",1,0))),IF(法术查询!$J$19="",1,IF(法术查询!$J$19=$AF$11,IF($L169&lt;&gt;"",1,0),IF($L169="",1,0)))),$B169,""),"")</f>
        <v/>
      </c>
      <c r="AD168" s="192" t="str">
        <f t="array" ref="AD168">INDEX(AC:AC,SMALL(IF($AC$2:$AC$523&lt;&gt;"",ROW($2:$523),524),ROW(AC167)))&amp;""</f>
        <v/>
      </c>
      <c r="AE168" s="200" t="str">
        <f t="shared" si="6"/>
        <v/>
      </c>
      <c r="AJ168" s="192">
        <v>167</v>
      </c>
      <c r="AK168" s="193" t="str">
        <f>IF(法术书!AE24="","",法术书!AE24)</f>
        <v/>
      </c>
      <c r="AL168" s="224" t="str">
        <f t="array" ref="AL168">IFERROR(INDEX(AK$1:AK$301,SMALL(IF(MATCH(AK168,AK$1:AK$301,0)=ROW(AK168),ROW(AK$1:AK$301),999),ROW(AK168))),"")</f>
        <v/>
      </c>
      <c r="AM168" s="223" t="str">
        <f t="array" ref="AM168">INDEX(AL:AL,SMALL(IF($AL$2:$AL$301&lt;&gt;"",ROW($2:$301),302),ROW(AL167)))&amp;""</f>
        <v/>
      </c>
    </row>
    <row r="169" customHeight="1" spans="1:39">
      <c r="A169" s="192">
        <v>167</v>
      </c>
      <c r="B169" s="224" t="s">
        <v>7406</v>
      </c>
      <c r="C169" s="224" t="s">
        <v>7407</v>
      </c>
      <c r="E169" s="242" t="s">
        <v>6650</v>
      </c>
      <c r="F169" s="193" t="s">
        <v>6642</v>
      </c>
      <c r="G169" s="193" t="s">
        <v>6651</v>
      </c>
      <c r="H169" s="193">
        <v>1</v>
      </c>
      <c r="I169" s="193">
        <v>1</v>
      </c>
      <c r="J169" s="193">
        <v>1</v>
      </c>
      <c r="K169" s="224" t="s">
        <v>7408</v>
      </c>
      <c r="M169" s="193">
        <v>1</v>
      </c>
      <c r="N169" s="193" t="s">
        <v>6739</v>
      </c>
      <c r="O169" s="224" t="s">
        <v>7409</v>
      </c>
      <c r="P169" s="224">
        <v>2</v>
      </c>
      <c r="Q169" s="224" t="s">
        <v>249</v>
      </c>
      <c r="T169" s="193">
        <v>1</v>
      </c>
      <c r="V169" s="193">
        <v>1</v>
      </c>
      <c r="AA169" s="223" t="s">
        <v>7410</v>
      </c>
      <c r="AB169" s="200" t="str">
        <f t="array" ref="AB169">INDEX(B:B,SMALL(IF($Q$3:$Q$524&lt;&gt;"",ROW($3:$524),525),ROW(B168)))&amp;""</f>
        <v>魅影之力</v>
      </c>
      <c r="AC169" s="225" t="str">
        <f>IFERROR(IF(AND($Q170&lt;&gt;"",IF(法术查询!$J$4="",1,INDEX($R170:$Z170,1,VLOOKUP(法术查询!$J$4,$AF$2:$AG$10,2,0)))&lt;&gt;"",IF(法术查询!$J$5="",1,$P170=VLOOKUP(法术查询!$J$5,$AH$2:$AI$11,2,0)),IF(法术查询!$J$6="",1,IF(法术查询!$J$6=$E170,1,0)),IF(法术查询!$J$7="",1,SEARCH(法术查询!$J$7,$F170)),IF(法术查询!$J$8="",1,SEARCH(法术查询!$J$8,G170)),IF(法术查询!$J$9="",1,SEARCH(法术查询!$J$9,N170)),IF(法术查询!$J$10="",1,IF(法术查询!$J$10=$AF$11,IF($M170=1,1,0),IF($M170="",1,0))),IF(法术查询!$J$11="",1,IF(法术查询!$J$11=$AF$11,IF($D170=1,1,0),IF($D170="",1,0))),IF(法术查询!$J$12="",1,SEARCH(法术查询!$J$12,$B170&amp;$C170&amp;$O170)),IF(法术查询!$J$13="",1,SEARCH(法术查询!$J$13,$B170&amp;$C170&amp;$O170)),IF(法术查询!$J$14="",1,SEARCH(法术查询!$J$14,$B170&amp;$C170&amp;$O170)),IF(法术查询!$J$16="",1,IF(法术查询!$J$16=$AF$11,IF($H170=1,1,0),IF($H170="",1,0))),IF(法术查询!$J$17="",1,IF(法术查询!$J$17=$AF$11,IF($I170=1,1,0),IF($I170="",1,0))),IF(法术查询!$J$18="",1,IF(法术查询!$J$18=$AF$11,IF($J170&lt;&gt;"",1,0),IF($J170="",1,0))),IF(法术查询!$J$19="",1,IF(法术查询!$J$19=$AF$11,IF($L170&lt;&gt;"",1,0),IF($L170="",1,0)))),$B170,""),"")</f>
        <v/>
      </c>
      <c r="AD169" s="192" t="str">
        <f t="array" ref="AD169">INDEX(AC:AC,SMALL(IF($AC$2:$AC$523&lt;&gt;"",ROW($2:$523),524),ROW(AC168)))&amp;""</f>
        <v/>
      </c>
      <c r="AE169" s="200" t="str">
        <f t="shared" si="6"/>
        <v/>
      </c>
      <c r="AJ169" s="192">
        <v>168</v>
      </c>
      <c r="AK169" s="193" t="str">
        <f>IF(法术书!AE25="","",法术书!AE25)</f>
        <v/>
      </c>
      <c r="AL169" s="224" t="str">
        <f t="array" ref="AL169">IFERROR(INDEX(AK$1:AK$301,SMALL(IF(MATCH(AK169,AK$1:AK$301,0)=ROW(AK169),ROW(AK$1:AK$301),999),ROW(AK169))),"")</f>
        <v/>
      </c>
      <c r="AM169" s="223" t="str">
        <f t="array" ref="AM169">INDEX(AL:AL,SMALL(IF($AL$2:$AL$301&lt;&gt;"",ROW($2:$301),302),ROW(AL168)))&amp;""</f>
        <v/>
      </c>
    </row>
    <row r="170" customHeight="1" spans="1:39">
      <c r="A170" s="192">
        <v>168</v>
      </c>
      <c r="B170" s="224" t="s">
        <v>7411</v>
      </c>
      <c r="C170" s="224" t="s">
        <v>7412</v>
      </c>
      <c r="E170" s="241" t="s">
        <v>6726</v>
      </c>
      <c r="F170" s="193" t="s">
        <v>6642</v>
      </c>
      <c r="G170" s="193" t="s">
        <v>6643</v>
      </c>
      <c r="H170" s="193">
        <v>1</v>
      </c>
      <c r="I170" s="193">
        <v>1</v>
      </c>
      <c r="J170" s="193">
        <v>1</v>
      </c>
      <c r="K170" s="224" t="s">
        <v>7413</v>
      </c>
      <c r="M170" s="193">
        <v>1</v>
      </c>
      <c r="N170" s="193" t="s">
        <v>6666</v>
      </c>
      <c r="O170" s="224" t="s">
        <v>7414</v>
      </c>
      <c r="P170" s="224">
        <v>2</v>
      </c>
      <c r="Q170" s="224" t="s">
        <v>249</v>
      </c>
      <c r="R170" s="193">
        <v>1</v>
      </c>
      <c r="W170" s="193">
        <v>1</v>
      </c>
      <c r="X170" s="193">
        <v>1</v>
      </c>
      <c r="AA170" s="223" t="s">
        <v>7415</v>
      </c>
      <c r="AB170" s="200" t="str">
        <f t="array" ref="AB170">INDEX(B:B,SMALL(IF($Q$3:$Q$524&lt;&gt;"",ROW($3:$524),525),ROW(B169)))&amp;""</f>
        <v>治疗祷言</v>
      </c>
      <c r="AC170" s="225" t="str">
        <f>IFERROR(IF(AND($Q171&lt;&gt;"",IF(法术查询!$J$4="",1,INDEX($R171:$Z171,1,VLOOKUP(法术查询!$J$4,$AF$2:$AG$10,2,0)))&lt;&gt;"",IF(法术查询!$J$5="",1,$P171=VLOOKUP(法术查询!$J$5,$AH$2:$AI$11,2,0)),IF(法术查询!$J$6="",1,IF(法术查询!$J$6=$E171,1,0)),IF(法术查询!$J$7="",1,SEARCH(法术查询!$J$7,$F171)),IF(法术查询!$J$8="",1,SEARCH(法术查询!$J$8,G171)),IF(法术查询!$J$9="",1,SEARCH(法术查询!$J$9,N171)),IF(法术查询!$J$10="",1,IF(法术查询!$J$10=$AF$11,IF($M171=1,1,0),IF($M171="",1,0))),IF(法术查询!$J$11="",1,IF(法术查询!$J$11=$AF$11,IF($D171=1,1,0),IF($D171="",1,0))),IF(法术查询!$J$12="",1,SEARCH(法术查询!$J$12,$B171&amp;$C171&amp;$O171)),IF(法术查询!$J$13="",1,SEARCH(法术查询!$J$13,$B171&amp;$C171&amp;$O171)),IF(法术查询!$J$14="",1,SEARCH(法术查询!$J$14,$B171&amp;$C171&amp;$O171)),IF(法术查询!$J$16="",1,IF(法术查询!$J$16=$AF$11,IF($H171=1,1,0),IF($H171="",1,0))),IF(法术查询!$J$17="",1,IF(法术查询!$J$17=$AF$11,IF($I171=1,1,0),IF($I171="",1,0))),IF(法术查询!$J$18="",1,IF(法术查询!$J$18=$AF$11,IF($J171&lt;&gt;"",1,0),IF($J171="",1,0))),IF(法术查询!$J$19="",1,IF(法术查询!$J$19=$AF$11,IF($L171&lt;&gt;"",1,0),IF($L171="",1,0)))),$B171,""),"")</f>
        <v/>
      </c>
      <c r="AD170" s="192" t="str">
        <f t="array" ref="AD170">INDEX(AC:AC,SMALL(IF($AC$2:$AC$523&lt;&gt;"",ROW($2:$523),524),ROW(AC169)))&amp;""</f>
        <v/>
      </c>
      <c r="AE170" s="200" t="str">
        <f t="shared" si="6"/>
        <v/>
      </c>
      <c r="AJ170" s="192">
        <v>169</v>
      </c>
      <c r="AK170" s="193" t="str">
        <f>IF(法术书!AE26="","",法术书!AE26)</f>
        <v/>
      </c>
      <c r="AL170" s="224" t="str">
        <f t="array" ref="AL170">IFERROR(INDEX(AK$1:AK$301,SMALL(IF(MATCH(AK170,AK$1:AK$301,0)=ROW(AK170),ROW(AK$1:AK$301),999),ROW(AK170))),"")</f>
        <v/>
      </c>
      <c r="AM170" s="223" t="str">
        <f t="array" ref="AM170">INDEX(AL:AL,SMALL(IF($AL$2:$AL$301&lt;&gt;"",ROW($2:$301),302),ROW(AL169)))&amp;""</f>
        <v/>
      </c>
    </row>
    <row r="171" customHeight="1" spans="1:39">
      <c r="A171" s="192">
        <v>169</v>
      </c>
      <c r="B171" s="224" t="s">
        <v>7416</v>
      </c>
      <c r="C171" s="224" t="s">
        <v>7417</v>
      </c>
      <c r="E171" s="229" t="s">
        <v>6664</v>
      </c>
      <c r="F171" s="193" t="s">
        <v>6731</v>
      </c>
      <c r="G171" s="193" t="s">
        <v>6673</v>
      </c>
      <c r="H171" s="193">
        <v>1</v>
      </c>
      <c r="N171" s="193" t="s">
        <v>6644</v>
      </c>
      <c r="O171" s="224" t="s">
        <v>7418</v>
      </c>
      <c r="P171" s="224">
        <v>2</v>
      </c>
      <c r="Q171" s="224" t="s">
        <v>249</v>
      </c>
      <c r="S171" s="193">
        <v>1</v>
      </c>
      <c r="U171" s="193" t="str">
        <f>IF(综合数据!$B$14=TRUE,"13","")</f>
        <v>13</v>
      </c>
      <c r="AA171" s="200" t="s">
        <v>771</v>
      </c>
      <c r="AB171" s="200" t="str">
        <f t="array" ref="AB171">INDEX(B:B,SMALL(IF($Q$3:$Q$524&lt;&gt;"",ROW($3:$524),525),ROW(B170)))&amp;""</f>
        <v>防护毒素</v>
      </c>
      <c r="AC171" s="225" t="str">
        <f>IFERROR(IF(AND($Q172&lt;&gt;"",IF(法术查询!$J$4="",1,INDEX($R172:$Z172,1,VLOOKUP(法术查询!$J$4,$AF$2:$AG$10,2,0)))&lt;&gt;"",IF(法术查询!$J$5="",1,$P172=VLOOKUP(法术查询!$J$5,$AH$2:$AI$11,2,0)),IF(法术查询!$J$6="",1,IF(法术查询!$J$6=$E172,1,0)),IF(法术查询!$J$7="",1,SEARCH(法术查询!$J$7,$F172)),IF(法术查询!$J$8="",1,SEARCH(法术查询!$J$8,G172)),IF(法术查询!$J$9="",1,SEARCH(法术查询!$J$9,N172)),IF(法术查询!$J$10="",1,IF(法术查询!$J$10=$AF$11,IF($M172=1,1,0),IF($M172="",1,0))),IF(法术查询!$J$11="",1,IF(法术查询!$J$11=$AF$11,IF($D172=1,1,0),IF($D172="",1,0))),IF(法术查询!$J$12="",1,SEARCH(法术查询!$J$12,$B172&amp;$C172&amp;$O172)),IF(法术查询!$J$13="",1,SEARCH(法术查询!$J$13,$B172&amp;$C172&amp;$O172)),IF(法术查询!$J$14="",1,SEARCH(法术查询!$J$14,$B172&amp;$C172&amp;$O172)),IF(法术查询!$J$16="",1,IF(法术查询!$J$16=$AF$11,IF($H172=1,1,0),IF($H172="",1,0))),IF(法术查询!$J$17="",1,IF(法术查询!$J$17=$AF$11,IF($I172=1,1,0),IF($I172="",1,0))),IF(法术查询!$J$18="",1,IF(法术查询!$J$18=$AF$11,IF($J172&lt;&gt;"",1,0),IF($J172="",1,0))),IF(法术查询!$J$19="",1,IF(法术查询!$J$19=$AF$11,IF($L172&lt;&gt;"",1,0),IF($L172="",1,0)))),$B172,""),"")</f>
        <v>防护毒素</v>
      </c>
      <c r="AD171" s="192" t="str">
        <f t="array" ref="AD171">INDEX(AC:AC,SMALL(IF($AC$2:$AC$523&lt;&gt;"",ROW($2:$523),524),ROW(AC170)))&amp;""</f>
        <v/>
      </c>
      <c r="AE171" s="200" t="str">
        <f t="shared" si="6"/>
        <v/>
      </c>
      <c r="AJ171" s="192">
        <v>170</v>
      </c>
      <c r="AK171" s="193" t="str">
        <f>IF(法术书!AE27="","",法术书!AE27)</f>
        <v/>
      </c>
      <c r="AL171" s="224" t="str">
        <f t="array" ref="AL171">IFERROR(INDEX(AK$1:AK$301,SMALL(IF(MATCH(AK171,AK$1:AK$301,0)=ROW(AK171),ROW(AK$1:AK$301),999),ROW(AK171))),"")</f>
        <v/>
      </c>
      <c r="AM171" s="223" t="str">
        <f t="array" ref="AM171">INDEX(AL:AL,SMALL(IF($AL$2:$AL$301&lt;&gt;"",ROW($2:$301),302),ROW(AL170)))&amp;""</f>
        <v/>
      </c>
    </row>
    <row r="172" customHeight="1" spans="1:39">
      <c r="A172" s="192">
        <v>170</v>
      </c>
      <c r="B172" s="224" t="s">
        <v>7419</v>
      </c>
      <c r="C172" s="224" t="s">
        <v>7420</v>
      </c>
      <c r="E172" s="242" t="s">
        <v>6650</v>
      </c>
      <c r="F172" s="193" t="s">
        <v>6642</v>
      </c>
      <c r="G172" s="193" t="s">
        <v>3760</v>
      </c>
      <c r="H172" s="193">
        <v>1</v>
      </c>
      <c r="I172" s="193">
        <v>1</v>
      </c>
      <c r="N172" s="193" t="s">
        <v>6704</v>
      </c>
      <c r="O172" s="224" t="s">
        <v>7421</v>
      </c>
      <c r="P172" s="224">
        <v>2</v>
      </c>
      <c r="Q172" s="224" t="s">
        <v>249</v>
      </c>
      <c r="S172" s="193">
        <v>1</v>
      </c>
      <c r="T172" s="193">
        <v>1</v>
      </c>
      <c r="U172" s="193">
        <v>1</v>
      </c>
      <c r="V172" s="193">
        <v>1</v>
      </c>
      <c r="Z172" s="193">
        <v>9</v>
      </c>
      <c r="AA172" s="200" t="s">
        <v>7422</v>
      </c>
      <c r="AB172" s="200" t="str">
        <f t="array" ref="AB172">INDEX(B:B,SMALL(IF($Q$3:$Q$524&lt;&gt;"",ROW($3:$524),525),ROW(B171)))&amp;""</f>
        <v>衰弱射线</v>
      </c>
      <c r="AC172" s="225" t="str">
        <f>IFERROR(IF(AND($Q173&lt;&gt;"",IF(法术查询!$J$4="",1,INDEX($R173:$Z173,1,VLOOKUP(法术查询!$J$4,$AF$2:$AG$10,2,0)))&lt;&gt;"",IF(法术查询!$J$5="",1,$P173=VLOOKUP(法术查询!$J$5,$AH$2:$AI$11,2,0)),IF(法术查询!$J$6="",1,IF(法术查询!$J$6=$E173,1,0)),IF(法术查询!$J$7="",1,SEARCH(法术查询!$J$7,$F173)),IF(法术查询!$J$8="",1,SEARCH(法术查询!$J$8,G173)),IF(法术查询!$J$9="",1,SEARCH(法术查询!$J$9,N173)),IF(法术查询!$J$10="",1,IF(法术查询!$J$10=$AF$11,IF($M173=1,1,0),IF($M173="",1,0))),IF(法术查询!$J$11="",1,IF(法术查询!$J$11=$AF$11,IF($D173=1,1,0),IF($D173="",1,0))),IF(法术查询!$J$12="",1,SEARCH(法术查询!$J$12,$B173&amp;$C173&amp;$O173)),IF(法术查询!$J$13="",1,SEARCH(法术查询!$J$13,$B173&amp;$C173&amp;$O173)),IF(法术查询!$J$14="",1,SEARCH(法术查询!$J$14,$B173&amp;$C173&amp;$O173)),IF(法术查询!$J$16="",1,IF(法术查询!$J$16=$AF$11,IF($H173=1,1,0),IF($H173="",1,0))),IF(法术查询!$J$17="",1,IF(法术查询!$J$17=$AF$11,IF($I173=1,1,0),IF($I173="",1,0))),IF(法术查询!$J$18="",1,IF(法术查询!$J$18=$AF$11,IF($J173&lt;&gt;"",1,0),IF($J173="",1,0))),IF(法术查询!$J$19="",1,IF(法术查询!$J$19=$AF$11,IF($L173&lt;&gt;"",1,0),IF($L173="",1,0)))),$B173,""),"")</f>
        <v/>
      </c>
      <c r="AD172" s="192" t="str">
        <f t="array" ref="AD172">INDEX(AC:AC,SMALL(IF($AC$2:$AC$523&lt;&gt;"",ROW($2:$523),524),ROW(AC171)))&amp;""</f>
        <v/>
      </c>
      <c r="AE172" s="200" t="str">
        <f t="shared" si="6"/>
        <v/>
      </c>
      <c r="AJ172" s="192">
        <v>171</v>
      </c>
      <c r="AK172" s="193" t="str">
        <f>IF(法术书!AE28="","",法术书!AE28)</f>
        <v/>
      </c>
      <c r="AL172" s="224" t="str">
        <f t="array" ref="AL172">IFERROR(INDEX(AK$1:AK$301,SMALL(IF(MATCH(AK172,AK$1:AK$301,0)=ROW(AK172),ROW(AK$1:AK$301),999),ROW(AK172))),"")</f>
        <v/>
      </c>
      <c r="AM172" s="223" t="str">
        <f t="array" ref="AM172">INDEX(AL:AL,SMALL(IF($AL$2:$AL$301&lt;&gt;"",ROW($2:$301),302),ROW(AL171)))&amp;""</f>
        <v/>
      </c>
    </row>
    <row r="173" customHeight="1" spans="1:39">
      <c r="A173" s="192">
        <v>171</v>
      </c>
      <c r="B173" s="224" t="s">
        <v>7423</v>
      </c>
      <c r="C173" s="224" t="s">
        <v>7424</v>
      </c>
      <c r="E173" s="243" t="s">
        <v>6657</v>
      </c>
      <c r="F173" s="193" t="s">
        <v>6642</v>
      </c>
      <c r="G173" s="193" t="s">
        <v>6643</v>
      </c>
      <c r="H173" s="193">
        <v>1</v>
      </c>
      <c r="I173" s="193">
        <v>1</v>
      </c>
      <c r="M173" s="193">
        <v>1</v>
      </c>
      <c r="N173" s="193" t="s">
        <v>6666</v>
      </c>
      <c r="O173" s="224" t="s">
        <v>7425</v>
      </c>
      <c r="P173" s="224">
        <v>2</v>
      </c>
      <c r="Q173" s="224" t="s">
        <v>249</v>
      </c>
      <c r="X173" s="193">
        <v>1</v>
      </c>
      <c r="Y173" s="193">
        <v>1</v>
      </c>
      <c r="AA173" s="223" t="s">
        <v>7426</v>
      </c>
      <c r="AB173" s="200" t="str">
        <f t="array" ref="AB173">INDEX(B:B,SMALL(IF($Q$3:$Q$524&lt;&gt;"",ROW($3:$524),525),ROW(B172)))&amp;""</f>
        <v>魔绳术</v>
      </c>
      <c r="AC173" s="225" t="str">
        <f>IFERROR(IF(AND($Q174&lt;&gt;"",IF(法术查询!$J$4="",1,INDEX($R174:$Z174,1,VLOOKUP(法术查询!$J$4,$AF$2:$AG$10,2,0)))&lt;&gt;"",IF(法术查询!$J$5="",1,$P174=VLOOKUP(法术查询!$J$5,$AH$2:$AI$11,2,0)),IF(法术查询!$J$6="",1,IF(法术查询!$J$6=$E174,1,0)),IF(法术查询!$J$7="",1,SEARCH(法术查询!$J$7,$F174)),IF(法术查询!$J$8="",1,SEARCH(法术查询!$J$8,G174)),IF(法术查询!$J$9="",1,SEARCH(法术查询!$J$9,N174)),IF(法术查询!$J$10="",1,IF(法术查询!$J$10=$AF$11,IF($M174=1,1,0),IF($M174="",1,0))),IF(法术查询!$J$11="",1,IF(法术查询!$J$11=$AF$11,IF($D174=1,1,0),IF($D174="",1,0))),IF(法术查询!$J$12="",1,SEARCH(法术查询!$J$12,$B174&amp;$C174&amp;$O174)),IF(法术查询!$J$13="",1,SEARCH(法术查询!$J$13,$B174&amp;$C174&amp;$O174)),IF(法术查询!$J$14="",1,SEARCH(法术查询!$J$14,$B174&amp;$C174&amp;$O174)),IF(法术查询!$J$16="",1,IF(法术查询!$J$16=$AF$11,IF($H174=1,1,0),IF($H174="",1,0))),IF(法术查询!$J$17="",1,IF(法术查询!$J$17=$AF$11,IF($I174=1,1,0),IF($I174="",1,0))),IF(法术查询!$J$18="",1,IF(法术查询!$J$18=$AF$11,IF($J174&lt;&gt;"",1,0),IF($J174="",1,0))),IF(法术查询!$J$19="",1,IF(法术查询!$J$19=$AF$11,IF($L174&lt;&gt;"",1,0),IF($L174="",1,0)))),$B174,""),"")</f>
        <v>魔绳术</v>
      </c>
      <c r="AD173" s="192" t="str">
        <f t="array" ref="AD173">INDEX(AC:AC,SMALL(IF($AC$2:$AC$523&lt;&gt;"",ROW($2:$523),524),ROW(AC172)))&amp;""</f>
        <v/>
      </c>
      <c r="AE173" s="200" t="str">
        <f t="shared" si="6"/>
        <v/>
      </c>
      <c r="AJ173" s="192">
        <v>172</v>
      </c>
      <c r="AK173" s="193" t="str">
        <f>IF(法术书!AE29="","",法术书!AE29)</f>
        <v/>
      </c>
      <c r="AL173" s="224" t="str">
        <f t="array" ref="AL173">IFERROR(INDEX(AK$1:AK$301,SMALL(IF(MATCH(AK173,AK$1:AK$301,0)=ROW(AK173),ROW(AK$1:AK$301),999),ROW(AK173))),"")</f>
        <v/>
      </c>
      <c r="AM173" s="223" t="str">
        <f t="array" ref="AM173">INDEX(AL:AL,SMALL(IF($AL$2:$AL$301&lt;&gt;"",ROW($2:$301),302),ROW(AL172)))&amp;""</f>
        <v/>
      </c>
    </row>
    <row r="174" customHeight="1" spans="1:39">
      <c r="A174" s="192">
        <v>172</v>
      </c>
      <c r="B174" s="224" t="s">
        <v>7427</v>
      </c>
      <c r="C174" s="224" t="s">
        <v>7428</v>
      </c>
      <c r="E174" s="231" t="s">
        <v>6672</v>
      </c>
      <c r="F174" s="193" t="s">
        <v>6642</v>
      </c>
      <c r="G174" s="193" t="s">
        <v>3760</v>
      </c>
      <c r="H174" s="193">
        <v>1</v>
      </c>
      <c r="I174" s="193">
        <v>1</v>
      </c>
      <c r="J174" s="193">
        <v>1</v>
      </c>
      <c r="K174" s="224" t="s">
        <v>7429</v>
      </c>
      <c r="N174" s="193" t="s">
        <v>6704</v>
      </c>
      <c r="O174" s="224" t="s">
        <v>7430</v>
      </c>
      <c r="P174" s="224">
        <v>2</v>
      </c>
      <c r="Q174" s="224" t="s">
        <v>249</v>
      </c>
      <c r="X174" s="193">
        <v>1</v>
      </c>
      <c r="Z174" s="193">
        <v>9</v>
      </c>
      <c r="AA174" s="223" t="s">
        <v>7431</v>
      </c>
      <c r="AB174" s="200" t="str">
        <f t="array" ref="AB174">INDEX(B:B,SMALL(IF($Q$3:$Q$524&lt;&gt;"",ROW($3:$524),525),ROW(B173)))&amp;""</f>
        <v>灼热射线</v>
      </c>
      <c r="AC174" s="225" t="str">
        <f>IFERROR(IF(AND($Q175&lt;&gt;"",IF(法术查询!$J$4="",1,INDEX($R175:$Z175,1,VLOOKUP(法术查询!$J$4,$AF$2:$AG$10,2,0)))&lt;&gt;"",IF(法术查询!$J$5="",1,$P175=VLOOKUP(法术查询!$J$5,$AH$2:$AI$11,2,0)),IF(法术查询!$J$6="",1,IF(法术查询!$J$6=$E175,1,0)),IF(法术查询!$J$7="",1,SEARCH(法术查询!$J$7,$F175)),IF(法术查询!$J$8="",1,SEARCH(法术查询!$J$8,G175)),IF(法术查询!$J$9="",1,SEARCH(法术查询!$J$9,N175)),IF(法术查询!$J$10="",1,IF(法术查询!$J$10=$AF$11,IF($M175=1,1,0),IF($M175="",1,0))),IF(法术查询!$J$11="",1,IF(法术查询!$J$11=$AF$11,IF($D175=1,1,0),IF($D175="",1,0))),IF(法术查询!$J$12="",1,SEARCH(法术查询!$J$12,$B175&amp;$C175&amp;$O175)),IF(法术查询!$J$13="",1,SEARCH(法术查询!$J$13,$B175&amp;$C175&amp;$O175)),IF(法术查询!$J$14="",1,SEARCH(法术查询!$J$14,$B175&amp;$C175&amp;$O175)),IF(法术查询!$J$16="",1,IF(法术查询!$J$16=$AF$11,IF($H175=1,1,0),IF($H175="",1,0))),IF(法术查询!$J$17="",1,IF(法术查询!$J$17=$AF$11,IF($I175=1,1,0),IF($I175="",1,0))),IF(法术查询!$J$18="",1,IF(法术查询!$J$18=$AF$11,IF($J175&lt;&gt;"",1,0),IF($J175="",1,0))),IF(法术查询!$J$19="",1,IF(法术查询!$J$19=$AF$11,IF($L175&lt;&gt;"",1,0),IF($L175="",1,0)))),$B175,""),"")</f>
        <v/>
      </c>
      <c r="AD174" s="192" t="str">
        <f t="array" ref="AD174">INDEX(AC:AC,SMALL(IF($AC$2:$AC$523&lt;&gt;"",ROW($2:$523),524),ROW(AC173)))&amp;""</f>
        <v/>
      </c>
      <c r="AE174" s="200" t="str">
        <f t="shared" si="6"/>
        <v/>
      </c>
      <c r="AJ174" s="192">
        <v>173</v>
      </c>
      <c r="AK174" s="193" t="str">
        <f>IF(法术书!AE30="","",法术书!AE30)</f>
        <v/>
      </c>
      <c r="AL174" s="224" t="str">
        <f t="array" ref="AL174">IFERROR(INDEX(AK$1:AK$301,SMALL(IF(MATCH(AK174,AK$1:AK$301,0)=ROW(AK174),ROW(AK$1:AK$301),999),ROW(AK174))),"")</f>
        <v/>
      </c>
      <c r="AM174" s="223" t="str">
        <f t="array" ref="AM174">INDEX(AL:AL,SMALL(IF($AL$2:$AL$301&lt;&gt;"",ROW($2:$301),302),ROW(AL173)))&amp;""</f>
        <v/>
      </c>
    </row>
    <row r="175" customHeight="1" spans="1:39">
      <c r="A175" s="192">
        <v>173</v>
      </c>
      <c r="B175" s="224" t="s">
        <v>7432</v>
      </c>
      <c r="C175" s="224" t="s">
        <v>7433</v>
      </c>
      <c r="E175" s="229" t="s">
        <v>6664</v>
      </c>
      <c r="F175" s="193" t="s">
        <v>6642</v>
      </c>
      <c r="G175" s="193" t="s">
        <v>6658</v>
      </c>
      <c r="H175" s="193">
        <v>1</v>
      </c>
      <c r="I175" s="193">
        <v>1</v>
      </c>
      <c r="N175" s="193" t="s">
        <v>6644</v>
      </c>
      <c r="O175" s="224" t="s">
        <v>7434</v>
      </c>
      <c r="P175" s="224">
        <v>2</v>
      </c>
      <c r="Q175" s="224" t="s">
        <v>249</v>
      </c>
      <c r="W175" s="193">
        <v>1</v>
      </c>
      <c r="X175" s="193">
        <v>1</v>
      </c>
      <c r="AA175" s="223" t="s">
        <v>7435</v>
      </c>
      <c r="AB175" s="200" t="str">
        <f t="array" ref="AB175">INDEX(B:B,SMALL(IF($Q$3:$Q$524&lt;&gt;"",ROW($3:$524),525),ROW(B174)))&amp;""</f>
        <v>识破隐形</v>
      </c>
      <c r="AC175" s="225" t="str">
        <f>IFERROR(IF(AND($Q176&lt;&gt;"",IF(法术查询!$J$4="",1,INDEX($R176:$Z176,1,VLOOKUP(法术查询!$J$4,$AF$2:$AG$10,2,0)))&lt;&gt;"",IF(法术查询!$J$5="",1,$P176=VLOOKUP(法术查询!$J$5,$AH$2:$AI$11,2,0)),IF(法术查询!$J$6="",1,IF(法术查询!$J$6=$E176,1,0)),IF(法术查询!$J$7="",1,SEARCH(法术查询!$J$7,$F176)),IF(法术查询!$J$8="",1,SEARCH(法术查询!$J$8,G176)),IF(法术查询!$J$9="",1,SEARCH(法术查询!$J$9,N176)),IF(法术查询!$J$10="",1,IF(法术查询!$J$10=$AF$11,IF($M176=1,1,0),IF($M176="",1,0))),IF(法术查询!$J$11="",1,IF(法术查询!$J$11=$AF$11,IF($D176=1,1,0),IF($D176="",1,0))),IF(法术查询!$J$12="",1,SEARCH(法术查询!$J$12,$B176&amp;$C176&amp;$O176)),IF(法术查询!$J$13="",1,SEARCH(法术查询!$J$13,$B176&amp;$C176&amp;$O176)),IF(法术查询!$J$14="",1,SEARCH(法术查询!$J$14,$B176&amp;$C176&amp;$O176)),IF(法术查询!$J$16="",1,IF(法术查询!$J$16=$AF$11,IF($H176=1,1,0),IF($H176="",1,0))),IF(法术查询!$J$17="",1,IF(法术查询!$J$17=$AF$11,IF($I176=1,1,0),IF($I176="",1,0))),IF(法术查询!$J$18="",1,IF(法术查询!$J$18=$AF$11,IF($J176&lt;&gt;"",1,0),IF($J176="",1,0))),IF(法术查询!$J$19="",1,IF(法术查询!$J$19=$AF$11,IF($L176&lt;&gt;"",1,0),IF($L176="",1,0)))),$B176,""),"")</f>
        <v>识破隐形</v>
      </c>
      <c r="AD175" s="192" t="str">
        <f t="array" ref="AD175">INDEX(AC:AC,SMALL(IF($AC$2:$AC$523&lt;&gt;"",ROW($2:$523),524),ROW(AC174)))&amp;""</f>
        <v/>
      </c>
      <c r="AE175" s="200" t="str">
        <f t="shared" si="6"/>
        <v/>
      </c>
      <c r="AJ175" s="192">
        <v>174</v>
      </c>
      <c r="AK175" s="193" t="str">
        <f>IF(法术书!AE31="","",法术书!AE31)</f>
        <v/>
      </c>
      <c r="AL175" s="224" t="str">
        <f t="array" ref="AL175">IFERROR(INDEX(AK$1:AK$301,SMALL(IF(MATCH(AK175,AK$1:AK$301,0)=ROW(AK175),ROW(AK$1:AK$301),999),ROW(AK175))),"")</f>
        <v/>
      </c>
      <c r="AM175" s="223" t="str">
        <f t="array" ref="AM175">INDEX(AL:AL,SMALL(IF($AL$2:$AL$301&lt;&gt;"",ROW($2:$301),302),ROW(AL174)))&amp;""</f>
        <v/>
      </c>
    </row>
    <row r="176" customHeight="1" spans="1:39">
      <c r="A176" s="192">
        <v>174</v>
      </c>
      <c r="B176" s="224" t="s">
        <v>7436</v>
      </c>
      <c r="C176" s="224" t="s">
        <v>7437</v>
      </c>
      <c r="E176" s="238" t="s">
        <v>6695</v>
      </c>
      <c r="F176" s="193" t="s">
        <v>6642</v>
      </c>
      <c r="G176" s="193" t="s">
        <v>6651</v>
      </c>
      <c r="H176" s="193">
        <v>1</v>
      </c>
      <c r="I176" s="193">
        <v>1</v>
      </c>
      <c r="J176" s="193">
        <v>1</v>
      </c>
      <c r="K176" s="224" t="s">
        <v>7438</v>
      </c>
      <c r="N176" s="193" t="s">
        <v>6704</v>
      </c>
      <c r="O176" s="224" t="s">
        <v>7439</v>
      </c>
      <c r="P176" s="224">
        <v>2</v>
      </c>
      <c r="Q176" s="224" t="s">
        <v>249</v>
      </c>
      <c r="R176" s="193">
        <v>1</v>
      </c>
      <c r="W176" s="193">
        <v>1</v>
      </c>
      <c r="X176" s="193">
        <v>1</v>
      </c>
      <c r="Z176" s="193">
        <v>9</v>
      </c>
      <c r="AA176" s="223" t="s">
        <v>7440</v>
      </c>
      <c r="AB176" s="200" t="str">
        <f t="array" ref="AB176">INDEX(B:B,SMALL(IF($Q$3:$Q$524&lt;&gt;"",ROW($3:$524),525),ROW(B175)))&amp;""</f>
        <v>粉碎音波</v>
      </c>
      <c r="AC176" s="225" t="str">
        <f>IFERROR(IF(AND($Q177&lt;&gt;"",IF(法术查询!$J$4="",1,INDEX($R177:$Z177,1,VLOOKUP(法术查询!$J$4,$AF$2:$AG$10,2,0)))&lt;&gt;"",IF(法术查询!$J$5="",1,$P177=VLOOKUP(法术查询!$J$5,$AH$2:$AI$11,2,0)),IF(法术查询!$J$6="",1,IF(法术查询!$J$6=$E177,1,0)),IF(法术查询!$J$7="",1,SEARCH(法术查询!$J$7,$F177)),IF(法术查询!$J$8="",1,SEARCH(法术查询!$J$8,G177)),IF(法术查询!$J$9="",1,SEARCH(法术查询!$J$9,N177)),IF(法术查询!$J$10="",1,IF(法术查询!$J$10=$AF$11,IF($M177=1,1,0),IF($M177="",1,0))),IF(法术查询!$J$11="",1,IF(法术查询!$J$11=$AF$11,IF($D177=1,1,0),IF($D177="",1,0))),IF(法术查询!$J$12="",1,SEARCH(法术查询!$J$12,$B177&amp;$C177&amp;$O177)),IF(法术查询!$J$13="",1,SEARCH(法术查询!$J$13,$B177&amp;$C177&amp;$O177)),IF(法术查询!$J$14="",1,SEARCH(法术查询!$J$14,$B177&amp;$C177&amp;$O177)),IF(法术查询!$J$16="",1,IF(法术查询!$J$16=$AF$11,IF($H177=1,1,0),IF($H177="",1,0))),IF(法术查询!$J$17="",1,IF(法术查询!$J$17=$AF$11,IF($I177=1,1,0),IF($I177="",1,0))),IF(法术查询!$J$18="",1,IF(法术查询!$J$18=$AF$11,IF($J177&lt;&gt;"",1,0),IF($J177="",1,0))),IF(法术查询!$J$19="",1,IF(法术查询!$J$19=$AF$11,IF($L177&lt;&gt;"",1,0),IF($L177="",1,0)))),$B177,""),"")</f>
        <v/>
      </c>
      <c r="AD176" s="192" t="str">
        <f t="array" ref="AD176">INDEX(AC:AC,SMALL(IF($AC$2:$AC$523&lt;&gt;"",ROW($2:$523),524),ROW(AC175)))&amp;""</f>
        <v/>
      </c>
      <c r="AE176" s="200" t="str">
        <f t="shared" si="6"/>
        <v/>
      </c>
      <c r="AJ176" s="192">
        <v>175</v>
      </c>
      <c r="AK176" s="193" t="str">
        <f>IF(法术书!AE32="","",法术书!AE32)</f>
        <v/>
      </c>
      <c r="AL176" s="224" t="str">
        <f t="array" ref="AL176">IFERROR(INDEX(AK$1:AK$301,SMALL(IF(MATCH(AK176,AK$1:AK$301,0)=ROW(AK176),ROW(AK$1:AK$301),999),ROW(AK176))),"")</f>
        <v/>
      </c>
      <c r="AM176" s="223" t="str">
        <f t="array" ref="AM176">INDEX(AL:AL,SMALL(IF($AL$2:$AL$301&lt;&gt;"",ROW($2:$301),302),ROW(AL175)))&amp;""</f>
        <v/>
      </c>
    </row>
    <row r="177" customHeight="1" spans="1:39">
      <c r="A177" s="192">
        <v>175</v>
      </c>
      <c r="B177" s="224" t="s">
        <v>7441</v>
      </c>
      <c r="C177" s="224" t="s">
        <v>7442</v>
      </c>
      <c r="E177" s="229" t="s">
        <v>6664</v>
      </c>
      <c r="F177" s="193" t="s">
        <v>6642</v>
      </c>
      <c r="G177" s="193" t="s">
        <v>6643</v>
      </c>
      <c r="H177" s="193">
        <v>1</v>
      </c>
      <c r="I177" s="193">
        <v>1</v>
      </c>
      <c r="J177" s="193">
        <v>1</v>
      </c>
      <c r="K177" s="224" t="s">
        <v>7443</v>
      </c>
      <c r="N177" s="193" t="s">
        <v>6644</v>
      </c>
      <c r="O177" s="224" t="s">
        <v>7444</v>
      </c>
      <c r="P177" s="224">
        <v>2</v>
      </c>
      <c r="Q177" s="224" t="s">
        <v>249</v>
      </c>
      <c r="R177" s="193">
        <v>1</v>
      </c>
      <c r="W177" s="193">
        <v>1</v>
      </c>
      <c r="X177" s="193">
        <v>1</v>
      </c>
      <c r="Y177" s="193">
        <v>1</v>
      </c>
      <c r="AA177" s="223" t="s">
        <v>7445</v>
      </c>
      <c r="AB177" s="200" t="str">
        <f t="array" ref="AB177">INDEX(B:B,SMALL(IF($Q$3:$Q$524&lt;&gt;"",ROW($3:$524),525),ROW(B176)))&amp;""</f>
        <v>沉默术</v>
      </c>
      <c r="AC177" s="225" t="str">
        <f>IFERROR(IF(AND($Q178&lt;&gt;"",IF(法术查询!$J$4="",1,INDEX($R178:$Z178,1,VLOOKUP(法术查询!$J$4,$AF$2:$AG$10,2,0)))&lt;&gt;"",IF(法术查询!$J$5="",1,$P178=VLOOKUP(法术查询!$J$5,$AH$2:$AI$11,2,0)),IF(法术查询!$J$6="",1,IF(法术查询!$J$6=$E178,1,0)),IF(法术查询!$J$7="",1,SEARCH(法术查询!$J$7,$F178)),IF(法术查询!$J$8="",1,SEARCH(法术查询!$J$8,G178)),IF(法术查询!$J$9="",1,SEARCH(法术查询!$J$9,N178)),IF(法术查询!$J$10="",1,IF(法术查询!$J$10=$AF$11,IF($M178=1,1,0),IF($M178="",1,0))),IF(法术查询!$J$11="",1,IF(法术查询!$J$11=$AF$11,IF($D178=1,1,0),IF($D178="",1,0))),IF(法术查询!$J$12="",1,SEARCH(法术查询!$J$12,$B178&amp;$C178&amp;$O178)),IF(法术查询!$J$13="",1,SEARCH(法术查询!$J$13,$B178&amp;$C178&amp;$O178)),IF(法术查询!$J$14="",1,SEARCH(法术查询!$J$14,$B178&amp;$C178&amp;$O178)),IF(法术查询!$J$16="",1,IF(法术查询!$J$16=$AF$11,IF($H178=1,1,0),IF($H178="",1,0))),IF(法术查询!$J$17="",1,IF(法术查询!$J$17=$AF$11,IF($I178=1,1,0),IF($I178="",1,0))),IF(法术查询!$J$18="",1,IF(法术查询!$J$18=$AF$11,IF($J178&lt;&gt;"",1,0),IF($J178="",1,0))),IF(法术查询!$J$19="",1,IF(法术查询!$J$19=$AF$11,IF($L178&lt;&gt;"",1,0),IF($L178="",1,0)))),$B178,""),"")</f>
        <v/>
      </c>
      <c r="AD177" s="192" t="str">
        <f t="array" ref="AD177">INDEX(AC:AC,SMALL(IF($AC$2:$AC$523&lt;&gt;"",ROW($2:$523),524),ROW(AC176)))&amp;""</f>
        <v/>
      </c>
      <c r="AE177" s="200" t="str">
        <f t="shared" si="6"/>
        <v/>
      </c>
      <c r="AJ177" s="192">
        <v>176</v>
      </c>
      <c r="AK177" s="193" t="str">
        <f>IF(法术书!AE33="","",法术书!AE33)</f>
        <v/>
      </c>
      <c r="AL177" s="224" t="str">
        <f t="array" ref="AL177">IFERROR(INDEX(AK$1:AK$301,SMALL(IF(MATCH(AK177,AK$1:AK$301,0)=ROW(AK177),ROW(AK$1:AK$301),999),ROW(AK177))),"")</f>
        <v/>
      </c>
      <c r="AM177" s="223" t="str">
        <f t="array" ref="AM177">INDEX(AL:AL,SMALL(IF($AL$2:$AL$301&lt;&gt;"",ROW($2:$301),302),ROW(AL176)))&amp;""</f>
        <v/>
      </c>
    </row>
    <row r="178" customHeight="1" spans="1:39">
      <c r="A178" s="192">
        <v>176</v>
      </c>
      <c r="B178" s="224" t="s">
        <v>7446</v>
      </c>
      <c r="C178" s="224" t="s">
        <v>7447</v>
      </c>
      <c r="D178" s="193">
        <v>1</v>
      </c>
      <c r="E178" s="241" t="s">
        <v>6726</v>
      </c>
      <c r="F178" s="193" t="s">
        <v>6642</v>
      </c>
      <c r="G178" s="193" t="s">
        <v>6658</v>
      </c>
      <c r="H178" s="193">
        <v>1</v>
      </c>
      <c r="I178" s="193">
        <v>1</v>
      </c>
      <c r="M178" s="193">
        <v>1</v>
      </c>
      <c r="N178" s="193" t="s">
        <v>6831</v>
      </c>
      <c r="O178" s="224" t="s">
        <v>7448</v>
      </c>
      <c r="P178" s="224">
        <v>2</v>
      </c>
      <c r="Q178" s="224" t="s">
        <v>249</v>
      </c>
      <c r="R178" s="193">
        <v>1</v>
      </c>
      <c r="S178" s="193">
        <v>1</v>
      </c>
      <c r="V178" s="193">
        <v>1</v>
      </c>
      <c r="AA178" s="223" t="s">
        <v>7449</v>
      </c>
      <c r="AB178" s="200" t="str">
        <f t="array" ref="AB178">INDEX(B:B,SMALL(IF($Q$3:$Q$524&lt;&gt;"",ROW($3:$524),525),ROW(B177)))&amp;""</f>
        <v>蛛行术</v>
      </c>
      <c r="AC178" s="225" t="str">
        <f>IFERROR(IF(AND($Q179&lt;&gt;"",IF(法术查询!$J$4="",1,INDEX($R179:$Z179,1,VLOOKUP(法术查询!$J$4,$AF$2:$AG$10,2,0)))&lt;&gt;"",IF(法术查询!$J$5="",1,$P179=VLOOKUP(法术查询!$J$5,$AH$2:$AI$11,2,0)),IF(法术查询!$J$6="",1,IF(法术查询!$J$6=$E179,1,0)),IF(法术查询!$J$7="",1,SEARCH(法术查询!$J$7,$F179)),IF(法术查询!$J$8="",1,SEARCH(法术查询!$J$8,G179)),IF(法术查询!$J$9="",1,SEARCH(法术查询!$J$9,N179)),IF(法术查询!$J$10="",1,IF(法术查询!$J$10=$AF$11,IF($M179=1,1,0),IF($M179="",1,0))),IF(法术查询!$J$11="",1,IF(法术查询!$J$11=$AF$11,IF($D179=1,1,0),IF($D179="",1,0))),IF(法术查询!$J$12="",1,SEARCH(法术查询!$J$12,$B179&amp;$C179&amp;$O179)),IF(法术查询!$J$13="",1,SEARCH(法术查询!$J$13,$B179&amp;$C179&amp;$O179)),IF(法术查询!$J$14="",1,SEARCH(法术查询!$J$14,$B179&amp;$C179&amp;$O179)),IF(法术查询!$J$16="",1,IF(法术查询!$J$16=$AF$11,IF($H179=1,1,0),IF($H179="",1,0))),IF(法术查询!$J$17="",1,IF(法术查询!$J$17=$AF$11,IF($I179=1,1,0),IF($I179="",1,0))),IF(法术查询!$J$18="",1,IF(法术查询!$J$18=$AF$11,IF($J179&lt;&gt;"",1,0),IF($J179="",1,0))),IF(法术查询!$J$19="",1,IF(法术查询!$J$19=$AF$11,IF($L179&lt;&gt;"",1,0),IF($L179="",1,0)))),$B179,""),"")</f>
        <v>蛛行术</v>
      </c>
      <c r="AD178" s="192" t="str">
        <f t="array" ref="AD178">INDEX(AC:AC,SMALL(IF($AC$2:$AC$523&lt;&gt;"",ROW($2:$523),524),ROW(AC177)))&amp;""</f>
        <v/>
      </c>
      <c r="AE178" s="200" t="str">
        <f t="shared" si="6"/>
        <v/>
      </c>
      <c r="AJ178" s="192">
        <v>177</v>
      </c>
      <c r="AK178" s="193" t="str">
        <f>IF(法术书!AE34="","",法术书!AE34)</f>
        <v/>
      </c>
      <c r="AL178" s="224" t="str">
        <f t="array" ref="AL178">IFERROR(INDEX(AK$1:AK$301,SMALL(IF(MATCH(AK178,AK$1:AK$301,0)=ROW(AK178),ROW(AK$1:AK$301),999),ROW(AK178))),"")</f>
        <v/>
      </c>
      <c r="AM178" s="223" t="str">
        <f t="array" ref="AM178">INDEX(AL:AL,SMALL(IF($AL$2:$AL$301&lt;&gt;"",ROW($2:$301),302),ROW(AL177)))&amp;""</f>
        <v/>
      </c>
    </row>
    <row r="179" customHeight="1" spans="1:39">
      <c r="A179" s="192">
        <v>177</v>
      </c>
      <c r="B179" s="224" t="s">
        <v>7450</v>
      </c>
      <c r="C179" s="224" t="s">
        <v>7451</v>
      </c>
      <c r="E179" s="231" t="s">
        <v>6672</v>
      </c>
      <c r="F179" s="193" t="s">
        <v>6642</v>
      </c>
      <c r="G179" s="193" t="s">
        <v>3760</v>
      </c>
      <c r="H179" s="193">
        <v>1</v>
      </c>
      <c r="I179" s="193">
        <v>1</v>
      </c>
      <c r="J179" s="193">
        <v>1</v>
      </c>
      <c r="K179" s="224" t="s">
        <v>7452</v>
      </c>
      <c r="M179" s="193">
        <v>1</v>
      </c>
      <c r="N179" s="193" t="s">
        <v>6739</v>
      </c>
      <c r="O179" s="224" t="s">
        <v>7453</v>
      </c>
      <c r="P179" s="224">
        <v>2</v>
      </c>
      <c r="Q179" s="224" t="s">
        <v>249</v>
      </c>
      <c r="W179" s="193">
        <v>1</v>
      </c>
      <c r="X179" s="193">
        <v>1</v>
      </c>
      <c r="Y179" s="193">
        <v>1</v>
      </c>
      <c r="Z179" s="193">
        <v>9</v>
      </c>
      <c r="AA179" s="223" t="s">
        <v>7454</v>
      </c>
      <c r="AB179" s="200" t="str">
        <f t="array" ref="AB179">INDEX(B:B,SMALL(IF($Q$3:$Q$524&lt;&gt;"",ROW($3:$524),525),ROW(B178)))&amp;""</f>
        <v>荆棘丛生</v>
      </c>
      <c r="AC179" s="225" t="str">
        <f>IFERROR(IF(AND($Q180&lt;&gt;"",IF(法术查询!$J$4="",1,INDEX($R180:$Z180,1,VLOOKUP(法术查询!$J$4,$AF$2:$AG$10,2,0)))&lt;&gt;"",IF(法术查询!$J$5="",1,$P180=VLOOKUP(法术查询!$J$5,$AH$2:$AI$11,2,0)),IF(法术查询!$J$6="",1,IF(法术查询!$J$6=$E180,1,0)),IF(法术查询!$J$7="",1,SEARCH(法术查询!$J$7,$F180)),IF(法术查询!$J$8="",1,SEARCH(法术查询!$J$8,G180)),IF(法术查询!$J$9="",1,SEARCH(法术查询!$J$9,N180)),IF(法术查询!$J$10="",1,IF(法术查询!$J$10=$AF$11,IF($M180=1,1,0),IF($M180="",1,0))),IF(法术查询!$J$11="",1,IF(法术查询!$J$11=$AF$11,IF($D180=1,1,0),IF($D180="",1,0))),IF(法术查询!$J$12="",1,SEARCH(法术查询!$J$12,$B180&amp;$C180&amp;$O180)),IF(法术查询!$J$13="",1,SEARCH(法术查询!$J$13,$B180&amp;$C180&amp;$O180)),IF(法术查询!$J$14="",1,SEARCH(法术查询!$J$14,$B180&amp;$C180&amp;$O180)),IF(法术查询!$J$16="",1,IF(法术查询!$J$16=$AF$11,IF($H180=1,1,0),IF($H180="",1,0))),IF(法术查询!$J$17="",1,IF(法术查询!$J$17=$AF$11,IF($I180=1,1,0),IF($I180="",1,0))),IF(法术查询!$J$18="",1,IF(法术查询!$J$18=$AF$11,IF($J180&lt;&gt;"",1,0),IF($J180="",1,0))),IF(法术查询!$J$19="",1,IF(法术查询!$J$19=$AF$11,IF($L180&lt;&gt;"",1,0),IF($L180="",1,0)))),$B180,""),"")</f>
        <v/>
      </c>
      <c r="AD179" s="192" t="str">
        <f t="array" ref="AD179">INDEX(AC:AC,SMALL(IF($AC$2:$AC$523&lt;&gt;"",ROW($2:$523),524),ROW(AC178)))&amp;""</f>
        <v/>
      </c>
      <c r="AE179" s="200" t="str">
        <f t="shared" si="6"/>
        <v/>
      </c>
      <c r="AJ179" s="192">
        <v>178</v>
      </c>
      <c r="AK179" s="193" t="str">
        <f>IF(法术书!AE35="","",法术书!AE35)</f>
        <v/>
      </c>
      <c r="AL179" s="224" t="str">
        <f t="array" ref="AL179">IFERROR(INDEX(AK$1:AK$301,SMALL(IF(MATCH(AK179,AK$1:AK$301,0)=ROW(AK179),ROW(AK$1:AK$301),999),ROW(AK179))),"")</f>
        <v/>
      </c>
      <c r="AM179" s="223" t="str">
        <f t="array" ref="AM179">INDEX(AL:AL,SMALL(IF($AL$2:$AL$301&lt;&gt;"",ROW($2:$301),302),ROW(AL178)))&amp;""</f>
        <v/>
      </c>
    </row>
    <row r="180" customHeight="1" spans="1:39">
      <c r="A180" s="192">
        <v>178</v>
      </c>
      <c r="B180" s="224" t="s">
        <v>7455</v>
      </c>
      <c r="C180" s="224" t="s">
        <v>7456</v>
      </c>
      <c r="E180" s="231" t="s">
        <v>6672</v>
      </c>
      <c r="F180" s="193" t="s">
        <v>6642</v>
      </c>
      <c r="G180" s="193" t="s">
        <v>6779</v>
      </c>
      <c r="H180" s="193">
        <v>1</v>
      </c>
      <c r="I180" s="193">
        <v>1</v>
      </c>
      <c r="J180" s="193">
        <v>1</v>
      </c>
      <c r="K180" s="224" t="s">
        <v>7457</v>
      </c>
      <c r="M180" s="193">
        <v>1</v>
      </c>
      <c r="N180" s="193" t="s">
        <v>6831</v>
      </c>
      <c r="O180" s="224" t="s">
        <v>7458</v>
      </c>
      <c r="P180" s="224">
        <v>2</v>
      </c>
      <c r="Q180" s="224" t="s">
        <v>249</v>
      </c>
      <c r="T180" s="193">
        <v>1</v>
      </c>
      <c r="V180" s="193">
        <v>1</v>
      </c>
      <c r="AA180" s="223" t="s">
        <v>7459</v>
      </c>
      <c r="AB180" s="200" t="str">
        <f t="array" ref="AB180">INDEX(B:B,SMALL(IF($Q$3:$Q$524&lt;&gt;"",ROW($3:$524),525),ROW(B179)))&amp;""</f>
        <v>灵体武器</v>
      </c>
      <c r="AC180" s="225" t="str">
        <f>IFERROR(IF(AND($Q181&lt;&gt;"",IF(法术查询!$J$4="",1,INDEX($R181:$Z181,1,VLOOKUP(法术查询!$J$4,$AF$2:$AG$10,2,0)))&lt;&gt;"",IF(法术查询!$J$5="",1,$P181=VLOOKUP(法术查询!$J$5,$AH$2:$AI$11,2,0)),IF(法术查询!$J$6="",1,IF(法术查询!$J$6=$E181,1,0)),IF(法术查询!$J$7="",1,SEARCH(法术查询!$J$7,$F181)),IF(法术查询!$J$8="",1,SEARCH(法术查询!$J$8,G181)),IF(法术查询!$J$9="",1,SEARCH(法术查询!$J$9,N181)),IF(法术查询!$J$10="",1,IF(法术查询!$J$10=$AF$11,IF($M181=1,1,0),IF($M181="",1,0))),IF(法术查询!$J$11="",1,IF(法术查询!$J$11=$AF$11,IF($D181=1,1,0),IF($D181="",1,0))),IF(法术查询!$J$12="",1,SEARCH(法术查询!$J$12,$B181&amp;$C181&amp;$O181)),IF(法术查询!$J$13="",1,SEARCH(法术查询!$J$13,$B181&amp;$C181&amp;$O181)),IF(法术查询!$J$14="",1,SEARCH(法术查询!$J$14,$B181&amp;$C181&amp;$O181)),IF(法术查询!$J$16="",1,IF(法术查询!$J$16=$AF$11,IF($H181=1,1,0),IF($H181="",1,0))),IF(法术查询!$J$17="",1,IF(法术查询!$J$17=$AF$11,IF($I181=1,1,0),IF($I181="",1,0))),IF(法术查询!$J$18="",1,IF(法术查询!$J$18=$AF$11,IF($J181&lt;&gt;"",1,0),IF($J181="",1,0))),IF(法术查询!$J$19="",1,IF(法术查询!$J$19=$AF$11,IF($L181&lt;&gt;"",1,0),IF($L181="",1,0)))),$B181,""),"")</f>
        <v/>
      </c>
      <c r="AD180" s="192" t="str">
        <f t="array" ref="AD180">INDEX(AC:AC,SMALL(IF($AC$2:$AC$523&lt;&gt;"",ROW($2:$523),524),ROW(AC179)))&amp;""</f>
        <v/>
      </c>
      <c r="AE180" s="200" t="str">
        <f t="shared" si="6"/>
        <v/>
      </c>
      <c r="AJ180" s="192">
        <v>179</v>
      </c>
      <c r="AK180" s="193" t="str">
        <f>IF(法术书!AE36="","",法术书!AE36)</f>
        <v/>
      </c>
      <c r="AL180" s="224" t="str">
        <f t="array" ref="AL180">IFERROR(INDEX(AK$1:AK$301,SMALL(IF(MATCH(AK180,AK$1:AK$301,0)=ROW(AK180),ROW(AK$1:AK$301),999),ROW(AK180))),"")</f>
        <v/>
      </c>
      <c r="AM180" s="223" t="str">
        <f t="array" ref="AM180">INDEX(AL:AL,SMALL(IF($AL$2:$AL$301&lt;&gt;"",ROW($2:$301),302),ROW(AL179)))&amp;""</f>
        <v/>
      </c>
    </row>
    <row r="181" customHeight="1" spans="1:39">
      <c r="A181" s="192">
        <v>179</v>
      </c>
      <c r="B181" s="224" t="s">
        <v>7460</v>
      </c>
      <c r="C181" s="224" t="s">
        <v>7461</v>
      </c>
      <c r="E181" s="229" t="s">
        <v>6664</v>
      </c>
      <c r="F181" s="193" t="s">
        <v>6712</v>
      </c>
      <c r="G181" s="193" t="s">
        <v>6643</v>
      </c>
      <c r="H181" s="193">
        <v>1</v>
      </c>
      <c r="I181" s="193">
        <v>1</v>
      </c>
      <c r="N181" s="193" t="s">
        <v>6709</v>
      </c>
      <c r="O181" s="224" t="s">
        <v>7462</v>
      </c>
      <c r="P181" s="224">
        <v>2</v>
      </c>
      <c r="Q181" s="224" t="s">
        <v>249</v>
      </c>
      <c r="S181" s="193">
        <v>1</v>
      </c>
      <c r="AA181" s="223" t="s">
        <v>7463</v>
      </c>
      <c r="AB181" s="200" t="str">
        <f t="array" ref="AB181">INDEX(B:B,SMALL(IF($Q$3:$Q$524&lt;&gt;"",ROW($3:$524),525),ROW(B180)))&amp;""</f>
        <v>暗示术</v>
      </c>
      <c r="AC181" s="225" t="str">
        <f>IFERROR(IF(AND($Q182&lt;&gt;"",IF(法术查询!$J$4="",1,INDEX($R182:$Z182,1,VLOOKUP(法术查询!$J$4,$AF$2:$AG$10,2,0)))&lt;&gt;"",IF(法术查询!$J$5="",1,$P182=VLOOKUP(法术查询!$J$5,$AH$2:$AI$11,2,0)),IF(法术查询!$J$6="",1,IF(法术查询!$J$6=$E182,1,0)),IF(法术查询!$J$7="",1,SEARCH(法术查询!$J$7,$F182)),IF(法术查询!$J$8="",1,SEARCH(法术查询!$J$8,G182)),IF(法术查询!$J$9="",1,SEARCH(法术查询!$J$9,N182)),IF(法术查询!$J$10="",1,IF(法术查询!$J$10=$AF$11,IF($M182=1,1,0),IF($M182="",1,0))),IF(法术查询!$J$11="",1,IF(法术查询!$J$11=$AF$11,IF($D182=1,1,0),IF($D182="",1,0))),IF(法术查询!$J$12="",1,SEARCH(法术查询!$J$12,$B182&amp;$C182&amp;$O182)),IF(法术查询!$J$13="",1,SEARCH(法术查询!$J$13,$B182&amp;$C182&amp;$O182)),IF(法术查询!$J$14="",1,SEARCH(法术查询!$J$14,$B182&amp;$C182&amp;$O182)),IF(法术查询!$J$16="",1,IF(法术查询!$J$16=$AF$11,IF($H182=1,1,0),IF($H182="",1,0))),IF(法术查询!$J$17="",1,IF(法术查询!$J$17=$AF$11,IF($I182=1,1,0),IF($I182="",1,0))),IF(法术查询!$J$18="",1,IF(法术查询!$J$18=$AF$11,IF($J182&lt;&gt;"",1,0),IF($J182="",1,0))),IF(法术查询!$J$19="",1,IF(法术查询!$J$19=$AF$11,IF($L182&lt;&gt;"",1,0),IF($L182="",1,0)))),$B182,""),"")</f>
        <v/>
      </c>
      <c r="AD181" s="192" t="str">
        <f t="array" ref="AD181">INDEX(AC:AC,SMALL(IF($AC$2:$AC$523&lt;&gt;"",ROW($2:$523),524),ROW(AC180)))&amp;""</f>
        <v/>
      </c>
      <c r="AE181" s="200" t="str">
        <f t="shared" si="6"/>
        <v/>
      </c>
      <c r="AJ181" s="192">
        <v>180</v>
      </c>
      <c r="AK181" s="193" t="str">
        <f>IF(法术书!AE37="","",法术书!AE37)</f>
        <v/>
      </c>
      <c r="AL181" s="224" t="str">
        <f t="array" ref="AL181">IFERROR(INDEX(AK$1:AK$301,SMALL(IF(MATCH(AK181,AK$1:AK$301,0)=ROW(AK181),ROW(AK$1:AK$301),999),ROW(AK181))),"")</f>
        <v/>
      </c>
      <c r="AM181" s="223" t="str">
        <f t="array" ref="AM181">INDEX(AL:AL,SMALL(IF($AL$2:$AL$301&lt;&gt;"",ROW($2:$301),302),ROW(AL180)))&amp;""</f>
        <v/>
      </c>
    </row>
    <row r="182" customHeight="1" spans="1:39">
      <c r="A182" s="192">
        <v>180</v>
      </c>
      <c r="B182" s="224" t="s">
        <v>7464</v>
      </c>
      <c r="C182" s="224" t="s">
        <v>7465</v>
      </c>
      <c r="E182" s="233" t="s">
        <v>6688</v>
      </c>
      <c r="F182" s="193" t="s">
        <v>6642</v>
      </c>
      <c r="G182" s="193" t="s">
        <v>6673</v>
      </c>
      <c r="H182" s="193">
        <v>1</v>
      </c>
      <c r="J182" s="193">
        <v>1</v>
      </c>
      <c r="K182" s="224" t="s">
        <v>7466</v>
      </c>
      <c r="M182" s="193">
        <v>1</v>
      </c>
      <c r="N182" s="193" t="s">
        <v>6845</v>
      </c>
      <c r="O182" s="224" t="s">
        <v>7467</v>
      </c>
      <c r="P182" s="224">
        <v>2</v>
      </c>
      <c r="Q182" s="224" t="s">
        <v>249</v>
      </c>
      <c r="R182" s="193">
        <v>1</v>
      </c>
      <c r="W182" s="193">
        <v>1</v>
      </c>
      <c r="X182" s="193">
        <v>1</v>
      </c>
      <c r="Y182" s="193">
        <v>1</v>
      </c>
      <c r="AA182" s="223" t="s">
        <v>7468</v>
      </c>
      <c r="AB182" s="200" t="str">
        <f t="array" ref="AB182">INDEX(B:B,SMALL(IF($Q$3:$Q$524&lt;&gt;"",ROW($3:$524),525),ROW(B181)))&amp;""</f>
        <v>守护之链</v>
      </c>
      <c r="AC182" s="225" t="str">
        <f>IFERROR(IF(AND($Q183&lt;&gt;"",IF(法术查询!$J$4="",1,INDEX($R183:$Z183,1,VLOOKUP(法术查询!$J$4,$AF$2:$AG$10,2,0)))&lt;&gt;"",IF(法术查询!$J$5="",1,$P183=VLOOKUP(法术查询!$J$5,$AH$2:$AI$11,2,0)),IF(法术查询!$J$6="",1,IF(法术查询!$J$6=$E183,1,0)),IF(法术查询!$J$7="",1,SEARCH(法术查询!$J$7,$F183)),IF(法术查询!$J$8="",1,SEARCH(法术查询!$J$8,G183)),IF(法术查询!$J$9="",1,SEARCH(法术查询!$J$9,N183)),IF(法术查询!$J$10="",1,IF(法术查询!$J$10=$AF$11,IF($M183=1,1,0),IF($M183="",1,0))),IF(法术查询!$J$11="",1,IF(法术查询!$J$11=$AF$11,IF($D183=1,1,0),IF($D183="",1,0))),IF(法术查询!$J$12="",1,SEARCH(法术查询!$J$12,$B183&amp;$C183&amp;$O183)),IF(法术查询!$J$13="",1,SEARCH(法术查询!$J$13,$B183&amp;$C183&amp;$O183)),IF(法术查询!$J$14="",1,SEARCH(法术查询!$J$14,$B183&amp;$C183&amp;$O183)),IF(法术查询!$J$16="",1,IF(法术查询!$J$16=$AF$11,IF($H183=1,1,0),IF($H183="",1,0))),IF(法术查询!$J$17="",1,IF(法术查询!$J$17=$AF$11,IF($I183=1,1,0),IF($I183="",1,0))),IF(法术查询!$J$18="",1,IF(法术查询!$J$18=$AF$11,IF($J183&lt;&gt;"",1,0),IF($J183="",1,0))),IF(法术查询!$J$19="",1,IF(法术查询!$J$19=$AF$11,IF($L183&lt;&gt;"",1,0),IF($L183="",1,0)))),$B183,""),"")</f>
        <v/>
      </c>
      <c r="AD182" s="192" t="str">
        <f t="array" ref="AD182">INDEX(AC:AC,SMALL(IF($AC$2:$AC$523&lt;&gt;"",ROW($2:$523),524),ROW(AC181)))&amp;""</f>
        <v/>
      </c>
      <c r="AE182" s="200" t="str">
        <f t="shared" si="6"/>
        <v/>
      </c>
      <c r="AJ182" s="192">
        <v>181</v>
      </c>
      <c r="AK182" s="193" t="str">
        <f>IF(法术书!AE38="","",法术书!AE38)</f>
        <v/>
      </c>
      <c r="AL182" s="224" t="str">
        <f t="array" ref="AL182">IFERROR(INDEX(AK$1:AK$301,SMALL(IF(MATCH(AK182,AK$1:AK$301,0)=ROW(AK182),ROW(AK$1:AK$301),999),ROW(AK182))),"")</f>
        <v/>
      </c>
      <c r="AM182" s="223" t="str">
        <f t="array" ref="AM182">INDEX(AL:AL,SMALL(IF($AL$2:$AL$301&lt;&gt;"",ROW($2:$301),302),ROW(AL181)))&amp;""</f>
        <v/>
      </c>
    </row>
    <row r="183" customHeight="1" spans="1:39">
      <c r="A183" s="192">
        <v>181</v>
      </c>
      <c r="B183" s="224" t="s">
        <v>7469</v>
      </c>
      <c r="C183" s="224" t="s">
        <v>7470</v>
      </c>
      <c r="E183" s="242" t="s">
        <v>6650</v>
      </c>
      <c r="F183" s="193" t="s">
        <v>6642</v>
      </c>
      <c r="G183" s="193" t="s">
        <v>3760</v>
      </c>
      <c r="H183" s="193">
        <v>1</v>
      </c>
      <c r="I183" s="193">
        <v>1</v>
      </c>
      <c r="J183" s="193">
        <v>1</v>
      </c>
      <c r="K183" s="224" t="s">
        <v>7471</v>
      </c>
      <c r="N183" s="193" t="s">
        <v>6704</v>
      </c>
      <c r="O183" s="224" t="s">
        <v>7472</v>
      </c>
      <c r="P183" s="224">
        <v>2</v>
      </c>
      <c r="Q183" s="224" t="s">
        <v>249</v>
      </c>
      <c r="S183" s="193">
        <v>1</v>
      </c>
      <c r="U183" s="193" t="str">
        <f>IF(综合数据!$B$14=TRUE,"13","")</f>
        <v>13</v>
      </c>
      <c r="AA183" s="223" t="s">
        <v>7473</v>
      </c>
      <c r="AB183" s="200" t="str">
        <f t="array" ref="AB183">INDEX(B:B,SMALL(IF($Q$3:$Q$524&lt;&gt;"",ROW($3:$524),525),ROW(B182)))&amp;""</f>
        <v>蛛网术</v>
      </c>
      <c r="AC183" s="225" t="str">
        <f>IFERROR(IF(AND($Q184&lt;&gt;"",IF(法术查询!$J$4="",1,INDEX($R184:$Z184,1,VLOOKUP(法术查询!$J$4,$AF$2:$AG$10,2,0)))&lt;&gt;"",IF(法术查询!$J$5="",1,$P184=VLOOKUP(法术查询!$J$5,$AH$2:$AI$11,2,0)),IF(法术查询!$J$6="",1,IF(法术查询!$J$6=$E184,1,0)),IF(法术查询!$J$7="",1,SEARCH(法术查询!$J$7,$F184)),IF(法术查询!$J$8="",1,SEARCH(法术查询!$J$8,G184)),IF(法术查询!$J$9="",1,SEARCH(法术查询!$J$9,N184)),IF(法术查询!$J$10="",1,IF(法术查询!$J$10=$AF$11,IF($M184=1,1,0),IF($M184="",1,0))),IF(法术查询!$J$11="",1,IF(法术查询!$J$11=$AF$11,IF($D184=1,1,0),IF($D184="",1,0))),IF(法术查询!$J$12="",1,SEARCH(法术查询!$J$12,$B184&amp;$C184&amp;$O184)),IF(法术查询!$J$13="",1,SEARCH(法术查询!$J$13,$B184&amp;$C184&amp;$O184)),IF(法术查询!$J$14="",1,SEARCH(法术查询!$J$14,$B184&amp;$C184&amp;$O184)),IF(法术查询!$J$16="",1,IF(法术查询!$J$16=$AF$11,IF($H184=1,1,0),IF($H184="",1,0))),IF(法术查询!$J$17="",1,IF(法术查询!$J$17=$AF$11,IF($I184=1,1,0),IF($I184="",1,0))),IF(法术查询!$J$18="",1,IF(法术查询!$J$18=$AF$11,IF($J184&lt;&gt;"",1,0),IF($J184="",1,0))),IF(法术查询!$J$19="",1,IF(法术查询!$J$19=$AF$11,IF($L184&lt;&gt;"",1,0),IF($L184="",1,0)))),$B184,""),"")</f>
        <v>蛛网术</v>
      </c>
      <c r="AD183" s="192" t="str">
        <f t="array" ref="AD183">INDEX(AC:AC,SMALL(IF($AC$2:$AC$523&lt;&gt;"",ROW($2:$523),524),ROW(AC182)))&amp;""</f>
        <v/>
      </c>
      <c r="AE183" s="200" t="str">
        <f t="shared" si="6"/>
        <v/>
      </c>
      <c r="AJ183" s="192">
        <v>182</v>
      </c>
      <c r="AK183" s="193" t="str">
        <f>IF(法术书!AE39="","",法术书!AE39)</f>
        <v/>
      </c>
      <c r="AL183" s="224" t="str">
        <f t="array" ref="AL183">IFERROR(INDEX(AK$1:AK$301,SMALL(IF(MATCH(AK183,AK$1:AK$301,0)=ROW(AK183),ROW(AK$1:AK$301),999),ROW(AK183))),"")</f>
        <v/>
      </c>
      <c r="AM183" s="223" t="str">
        <f t="array" ref="AM183">INDEX(AL:AL,SMALL(IF($AL$2:$AL$301&lt;&gt;"",ROW($2:$301),302),ROW(AL182)))&amp;""</f>
        <v/>
      </c>
    </row>
    <row r="184" customHeight="1" spans="1:39">
      <c r="A184" s="192">
        <v>182</v>
      </c>
      <c r="B184" s="224" t="s">
        <v>7474</v>
      </c>
      <c r="C184" s="224" t="s">
        <v>7475</v>
      </c>
      <c r="E184" s="240" t="s">
        <v>6641</v>
      </c>
      <c r="F184" s="193" t="s">
        <v>6642</v>
      </c>
      <c r="G184" s="193" t="s">
        <v>6643</v>
      </c>
      <c r="H184" s="193">
        <v>1</v>
      </c>
      <c r="I184" s="193">
        <v>1</v>
      </c>
      <c r="J184" s="193">
        <v>1</v>
      </c>
      <c r="K184" s="224" t="s">
        <v>7476</v>
      </c>
      <c r="M184" s="193">
        <v>1</v>
      </c>
      <c r="N184" s="193" t="s">
        <v>6739</v>
      </c>
      <c r="O184" s="224" t="s">
        <v>7477</v>
      </c>
      <c r="P184" s="224">
        <v>2</v>
      </c>
      <c r="Q184" s="224" t="s">
        <v>249</v>
      </c>
      <c r="W184" s="193">
        <v>1</v>
      </c>
      <c r="X184" s="193">
        <v>1</v>
      </c>
      <c r="Z184" s="193">
        <v>9</v>
      </c>
      <c r="AA184" s="223" t="s">
        <v>7478</v>
      </c>
      <c r="AB184" s="200" t="str">
        <f t="array" ref="AB184">INDEX(B:B,SMALL(IF($Q$3:$Q$524&lt;&gt;"",ROW($3:$524),525),ROW(B183)))&amp;""</f>
        <v>诚实之域</v>
      </c>
      <c r="AC184" s="225" t="str">
        <f>IFERROR(IF(AND($Q185&lt;&gt;"",IF(法术查询!$J$4="",1,INDEX($R185:$Z185,1,VLOOKUP(法术查询!$J$4,$AF$2:$AG$10,2,0)))&lt;&gt;"",IF(法术查询!$J$5="",1,$P185=VLOOKUP(法术查询!$J$5,$AH$2:$AI$11,2,0)),IF(法术查询!$J$6="",1,IF(法术查询!$J$6=$E185,1,0)),IF(法术查询!$J$7="",1,SEARCH(法术查询!$J$7,$F185)),IF(法术查询!$J$8="",1,SEARCH(法术查询!$J$8,G185)),IF(法术查询!$J$9="",1,SEARCH(法术查询!$J$9,N185)),IF(法术查询!$J$10="",1,IF(法术查询!$J$10=$AF$11,IF($M185=1,1,0),IF($M185="",1,0))),IF(法术查询!$J$11="",1,IF(法术查询!$J$11=$AF$11,IF($D185=1,1,0),IF($D185="",1,0))),IF(法术查询!$J$12="",1,SEARCH(法术查询!$J$12,$B185&amp;$C185&amp;$O185)),IF(法术查询!$J$13="",1,SEARCH(法术查询!$J$13,$B185&amp;$C185&amp;$O185)),IF(法术查询!$J$14="",1,SEARCH(法术查询!$J$14,$B185&amp;$C185&amp;$O185)),IF(法术查询!$J$16="",1,IF(法术查询!$J$16=$AF$11,IF($H185=1,1,0),IF($H185="",1,0))),IF(法术查询!$J$17="",1,IF(法术查询!$J$17=$AF$11,IF($I185=1,1,0),IF($I185="",1,0))),IF(法术查询!$J$18="",1,IF(法术查询!$J$18=$AF$11,IF($J185&lt;&gt;"",1,0),IF($J185="",1,0))),IF(法术查询!$J$19="",1,IF(法术查询!$J$19=$AF$11,IF($L185&lt;&gt;"",1,0),IF($L185="",1,0)))),$B185,""),"")</f>
        <v/>
      </c>
      <c r="AD184" s="192" t="str">
        <f t="array" ref="AD184">INDEX(AC:AC,SMALL(IF($AC$2:$AC$523&lt;&gt;"",ROW($2:$523),524),ROW(AC183)))&amp;""</f>
        <v/>
      </c>
      <c r="AE184" s="200" t="str">
        <f t="shared" si="6"/>
        <v/>
      </c>
      <c r="AJ184" s="192">
        <v>183</v>
      </c>
      <c r="AK184" s="193" t="str">
        <f>IF(法术书!AE40="","",法术书!AE40)</f>
        <v/>
      </c>
      <c r="AL184" s="224" t="str">
        <f t="array" ref="AL184">IFERROR(INDEX(AK$1:AK$301,SMALL(IF(MATCH(AK184,AK$1:AK$301,0)=ROW(AK184),ROW(AK$1:AK$301),999),ROW(AK184))),"")</f>
        <v/>
      </c>
      <c r="AM184" s="223" t="str">
        <f t="array" ref="AM184">INDEX(AL:AL,SMALL(IF($AL$2:$AL$301&lt;&gt;"",ROW($2:$301),302),ROW(AL183)))&amp;""</f>
        <v/>
      </c>
    </row>
    <row r="185" customHeight="1" spans="1:39">
      <c r="A185" s="192">
        <v>183</v>
      </c>
      <c r="B185" s="224" t="s">
        <v>7479</v>
      </c>
      <c r="C185" s="224" t="s">
        <v>7480</v>
      </c>
      <c r="E185" s="233" t="s">
        <v>6688</v>
      </c>
      <c r="F185" s="193" t="s">
        <v>6642</v>
      </c>
      <c r="G185" s="193" t="s">
        <v>6643</v>
      </c>
      <c r="H185" s="193">
        <v>1</v>
      </c>
      <c r="I185" s="193">
        <v>1</v>
      </c>
      <c r="N185" s="193" t="s">
        <v>6731</v>
      </c>
      <c r="O185" s="224" t="s">
        <v>7481</v>
      </c>
      <c r="P185" s="224">
        <v>2</v>
      </c>
      <c r="Q185" s="224" t="s">
        <v>249</v>
      </c>
      <c r="R185" s="193">
        <v>1</v>
      </c>
      <c r="S185" s="193">
        <v>1</v>
      </c>
      <c r="U185" s="193">
        <v>1</v>
      </c>
      <c r="AA185" s="223" t="s">
        <v>7482</v>
      </c>
      <c r="AB185" s="200" t="str">
        <f t="array" ref="AB185">INDEX(B:B,SMALL(IF($Q$3:$Q$524&lt;&gt;"",ROW($3:$524),525),ROW(B184)))&amp;""</f>
        <v>阿迦纳萨喷火术</v>
      </c>
      <c r="AC185" s="225" t="str">
        <f>IFERROR(IF(AND($Q186&lt;&gt;"",IF(法术查询!$J$4="",1,INDEX($R186:$Z186,1,VLOOKUP(法术查询!$J$4,$AF$2:$AG$10,2,0)))&lt;&gt;"",IF(法术查询!$J$5="",1,$P186=VLOOKUP(法术查询!$J$5,$AH$2:$AI$11,2,0)),IF(法术查询!$J$6="",1,IF(法术查询!$J$6=$E186,1,0)),IF(法术查询!$J$7="",1,SEARCH(法术查询!$J$7,$F186)),IF(法术查询!$J$8="",1,SEARCH(法术查询!$J$8,G186)),IF(法术查询!$J$9="",1,SEARCH(法术查询!$J$9,N186)),IF(法术查询!$J$10="",1,IF(法术查询!$J$10=$AF$11,IF($M186=1,1,0),IF($M186="",1,0))),IF(法术查询!$J$11="",1,IF(法术查询!$J$11=$AF$11,IF($D186=1,1,0),IF($D186="",1,0))),IF(法术查询!$J$12="",1,SEARCH(法术查询!$J$12,$B186&amp;$C186&amp;$O186)),IF(法术查询!$J$13="",1,SEARCH(法术查询!$J$13,$B186&amp;$C186&amp;$O186)),IF(法术查询!$J$14="",1,SEARCH(法术查询!$J$14,$B186&amp;$C186&amp;$O186)),IF(法术查询!$J$16="",1,IF(法术查询!$J$16=$AF$11,IF($H186=1,1,0),IF($H186="",1,0))),IF(法术查询!$J$17="",1,IF(法术查询!$J$17=$AF$11,IF($I186=1,1,0),IF($I186="",1,0))),IF(法术查询!$J$18="",1,IF(法术查询!$J$18=$AF$11,IF($J186&lt;&gt;"",1,0),IF($J186="",1,0))),IF(法术查询!$J$19="",1,IF(法术查询!$J$19=$AF$11,IF($L186&lt;&gt;"",1,0),IF($L186="",1,0)))),$B186,""),"")</f>
        <v/>
      </c>
      <c r="AD185" s="192" t="str">
        <f t="array" ref="AD185">INDEX(AC:AC,SMALL(IF($AC$2:$AC$523&lt;&gt;"",ROW($2:$523),524),ROW(AC184)))&amp;""</f>
        <v/>
      </c>
      <c r="AE185" s="200" t="str">
        <f t="shared" si="6"/>
        <v/>
      </c>
      <c r="AJ185" s="192">
        <v>184</v>
      </c>
      <c r="AK185" s="193" t="str">
        <f>IF(法术书!AE41="","",法术书!AE41)</f>
        <v/>
      </c>
      <c r="AL185" s="224" t="str">
        <f t="array" ref="AL185">IFERROR(INDEX(AK$1:AK$301,SMALL(IF(MATCH(AK185,AK$1:AK$301,0)=ROW(AK185),ROW(AK$1:AK$301),999),ROW(AK185))),"")</f>
        <v/>
      </c>
      <c r="AM185" s="223" t="str">
        <f t="array" ref="AM185">INDEX(AL:AL,SMALL(IF($AL$2:$AL$301&lt;&gt;"",ROW($2:$301),302),ROW(AL184)))&amp;""</f>
        <v/>
      </c>
    </row>
    <row r="186" customHeight="1" spans="1:39">
      <c r="A186" s="192">
        <v>184</v>
      </c>
      <c r="B186" s="224" t="s">
        <v>7483</v>
      </c>
      <c r="C186" s="224" t="s">
        <v>7484</v>
      </c>
      <c r="E186" s="229" t="s">
        <v>6664</v>
      </c>
      <c r="F186" s="193" t="s">
        <v>6642</v>
      </c>
      <c r="G186" s="193" t="s">
        <v>6673</v>
      </c>
      <c r="H186" s="193">
        <v>1</v>
      </c>
      <c r="I186" s="193">
        <v>1</v>
      </c>
      <c r="J186" s="193">
        <v>1</v>
      </c>
      <c r="K186" s="224" t="s">
        <v>7485</v>
      </c>
      <c r="N186" s="193" t="s">
        <v>6644</v>
      </c>
      <c r="O186" s="224" t="s">
        <v>7486</v>
      </c>
      <c r="P186" s="224">
        <v>2</v>
      </c>
      <c r="Q186" s="245" t="str">
        <f>IF(综合数据!$B$7=TRUE,"XGE","")</f>
        <v>XGE</v>
      </c>
      <c r="W186" s="193">
        <v>6</v>
      </c>
      <c r="X186" s="193">
        <v>6</v>
      </c>
      <c r="AA186" s="200"/>
      <c r="AB186" s="200" t="str">
        <f t="array" ref="AB186">INDEX(B:B,SMALL(IF($Q$3:$Q$524&lt;&gt;"",ROW($3:$524),525),ROW(B185)))&amp;""</f>
        <v>龙息术</v>
      </c>
      <c r="AC186" s="225" t="str">
        <f>IFERROR(IF(AND($Q187&lt;&gt;"",IF(法术查询!$J$4="",1,INDEX($R187:$Z187,1,VLOOKUP(法术查询!$J$4,$AF$2:$AG$10,2,0)))&lt;&gt;"",IF(法术查询!$J$5="",1,$P187=VLOOKUP(法术查询!$J$5,$AH$2:$AI$11,2,0)),IF(法术查询!$J$6="",1,IF(法术查询!$J$6=$E187,1,0)),IF(法术查询!$J$7="",1,SEARCH(法术查询!$J$7,$F187)),IF(法术查询!$J$8="",1,SEARCH(法术查询!$J$8,G187)),IF(法术查询!$J$9="",1,SEARCH(法术查询!$J$9,N187)),IF(法术查询!$J$10="",1,IF(法术查询!$J$10=$AF$11,IF($M187=1,1,0),IF($M187="",1,0))),IF(法术查询!$J$11="",1,IF(法术查询!$J$11=$AF$11,IF($D187=1,1,0),IF($D187="",1,0))),IF(法术查询!$J$12="",1,SEARCH(法术查询!$J$12,$B187&amp;$C187&amp;$O187)),IF(法术查询!$J$13="",1,SEARCH(法术查询!$J$13,$B187&amp;$C187&amp;$O187)),IF(法术查询!$J$14="",1,SEARCH(法术查询!$J$14,$B187&amp;$C187&amp;$O187)),IF(法术查询!$J$16="",1,IF(法术查询!$J$16=$AF$11,IF($H187=1,1,0),IF($H187="",1,0))),IF(法术查询!$J$17="",1,IF(法术查询!$J$17=$AF$11,IF($I187=1,1,0),IF($I187="",1,0))),IF(法术查询!$J$18="",1,IF(法术查询!$J$18=$AF$11,IF($J187&lt;&gt;"",1,0),IF($J187="",1,0))),IF(法术查询!$J$19="",1,IF(法术查询!$J$19=$AF$11,IF($L187&lt;&gt;"",1,0),IF($L187="",1,0)))),$B187,""),"")</f>
        <v/>
      </c>
      <c r="AD186" s="192" t="str">
        <f t="array" ref="AD186">INDEX(AC:AC,SMALL(IF($AC$2:$AC$523&lt;&gt;"",ROW($2:$523),524),ROW(AC185)))&amp;""</f>
        <v/>
      </c>
      <c r="AE186" s="200" t="str">
        <f t="shared" si="6"/>
        <v/>
      </c>
      <c r="AJ186" s="192">
        <v>185</v>
      </c>
      <c r="AK186" s="193" t="str">
        <f>IF(法术书!AE42="","",法术书!AE42)</f>
        <v/>
      </c>
      <c r="AL186" s="224" t="str">
        <f t="array" ref="AL186">IFERROR(INDEX(AK$1:AK$301,SMALL(IF(MATCH(AK186,AK$1:AK$301,0)=ROW(AK186),ROW(AK$1:AK$301),999),ROW(AK186))),"")</f>
        <v/>
      </c>
      <c r="AM186" s="223" t="str">
        <f t="array" ref="AM186">INDEX(AL:AL,SMALL(IF($AL$2:$AL$301&lt;&gt;"",ROW($2:$301),302),ROW(AL185)))&amp;""</f>
        <v/>
      </c>
    </row>
    <row r="187" customHeight="1" spans="1:39">
      <c r="A187" s="192">
        <v>185</v>
      </c>
      <c r="B187" s="224" t="s">
        <v>7487</v>
      </c>
      <c r="C187" s="224" t="s">
        <v>7488</v>
      </c>
      <c r="E187" s="231" t="s">
        <v>6672</v>
      </c>
      <c r="F187" s="193" t="s">
        <v>6712</v>
      </c>
      <c r="G187" s="193" t="s">
        <v>3760</v>
      </c>
      <c r="H187" s="193">
        <v>1</v>
      </c>
      <c r="I187" s="193">
        <v>1</v>
      </c>
      <c r="J187" s="193">
        <v>1</v>
      </c>
      <c r="K187" s="224" t="s">
        <v>7489</v>
      </c>
      <c r="M187" s="193">
        <v>1</v>
      </c>
      <c r="N187" s="193" t="s">
        <v>6666</v>
      </c>
      <c r="O187" s="224" t="s">
        <v>7490</v>
      </c>
      <c r="P187" s="224">
        <v>2</v>
      </c>
      <c r="Q187" s="245" t="str">
        <f>IF(综合数据!$B$7=TRUE,"XGE","")</f>
        <v>XGE</v>
      </c>
      <c r="W187" s="193">
        <v>6</v>
      </c>
      <c r="X187" s="193">
        <v>6</v>
      </c>
      <c r="AA187" s="200"/>
      <c r="AB187" s="200" t="str">
        <f t="array" ref="AB187">INDEX(B:B,SMALL(IF($Q$3:$Q$524&lt;&gt;"",ROW($3:$524),525),ROW(B186)))&amp;""</f>
        <v>尘土恶魔</v>
      </c>
      <c r="AC187" s="225" t="str">
        <f>IFERROR(IF(AND($Q188&lt;&gt;"",IF(法术查询!$J$4="",1,INDEX($R188:$Z188,1,VLOOKUP(法术查询!$J$4,$AF$2:$AG$10,2,0)))&lt;&gt;"",IF(法术查询!$J$5="",1,$P188=VLOOKUP(法术查询!$J$5,$AH$2:$AI$11,2,0)),IF(法术查询!$J$6="",1,IF(法术查询!$J$6=$E188,1,0)),IF(法术查询!$J$7="",1,SEARCH(法术查询!$J$7,$F188)),IF(法术查询!$J$8="",1,SEARCH(法术查询!$J$8,G188)),IF(法术查询!$J$9="",1,SEARCH(法术查询!$J$9,N188)),IF(法术查询!$J$10="",1,IF(法术查询!$J$10=$AF$11,IF($M188=1,1,0),IF($M188="",1,0))),IF(法术查询!$J$11="",1,IF(法术查询!$J$11=$AF$11,IF($D188=1,1,0),IF($D188="",1,0))),IF(法术查询!$J$12="",1,SEARCH(法术查询!$J$12,$B188&amp;$C188&amp;$O188)),IF(法术查询!$J$13="",1,SEARCH(法术查询!$J$13,$B188&amp;$C188&amp;$O188)),IF(法术查询!$J$14="",1,SEARCH(法术查询!$J$14,$B188&amp;$C188&amp;$O188)),IF(法术查询!$J$16="",1,IF(法术查询!$J$16=$AF$11,IF($H188=1,1,0),IF($H188="",1,0))),IF(法术查询!$J$17="",1,IF(法术查询!$J$17=$AF$11,IF($I188=1,1,0),IF($I188="",1,0))),IF(法术查询!$J$18="",1,IF(法术查询!$J$18=$AF$11,IF($J188&lt;&gt;"",1,0),IF($J188="",1,0))),IF(法术查询!$J$19="",1,IF(法术查询!$J$19=$AF$11,IF($L188&lt;&gt;"",1,0),IF($L188="",1,0)))),$B188,""),"")</f>
        <v/>
      </c>
      <c r="AD187" s="192" t="str">
        <f t="array" ref="AD187">INDEX(AC:AC,SMALL(IF($AC$2:$AC$523&lt;&gt;"",ROW($2:$523),524),ROW(AC186)))&amp;""</f>
        <v/>
      </c>
      <c r="AE187" s="200" t="str">
        <f t="shared" si="6"/>
        <v/>
      </c>
      <c r="AJ187" s="192">
        <v>186</v>
      </c>
      <c r="AK187" s="193" t="str">
        <f>IF(法术书!AE43="","",法术书!AE43)</f>
        <v/>
      </c>
      <c r="AL187" s="224" t="str">
        <f t="array" ref="AL187">IFERROR(INDEX(AK$1:AK$301,SMALL(IF(MATCH(AK187,AK$1:AK$301,0)=ROW(AK187),ROW(AK$1:AK$301),999),ROW(AK187))),"")</f>
        <v/>
      </c>
      <c r="AM187" s="223" t="str">
        <f t="array" ref="AM187">INDEX(AL:AL,SMALL(IF($AL$2:$AL$301&lt;&gt;"",ROW($2:$301),302),ROW(AL186)))&amp;""</f>
        <v/>
      </c>
    </row>
    <row r="188" customHeight="1" spans="1:39">
      <c r="A188" s="192">
        <v>186</v>
      </c>
      <c r="B188" s="224" t="s">
        <v>7491</v>
      </c>
      <c r="C188" s="224" t="s">
        <v>7492</v>
      </c>
      <c r="E188" s="240" t="s">
        <v>6641</v>
      </c>
      <c r="F188" s="193" t="s">
        <v>6642</v>
      </c>
      <c r="G188" s="193" t="s">
        <v>6643</v>
      </c>
      <c r="H188" s="193">
        <v>1</v>
      </c>
      <c r="I188" s="193">
        <v>1</v>
      </c>
      <c r="J188" s="193">
        <v>1</v>
      </c>
      <c r="K188" s="224" t="s">
        <v>7493</v>
      </c>
      <c r="M188" s="193">
        <v>1</v>
      </c>
      <c r="N188" s="193" t="s">
        <v>6666</v>
      </c>
      <c r="O188" s="224" t="s">
        <v>7494</v>
      </c>
      <c r="P188" s="224">
        <v>2</v>
      </c>
      <c r="Q188" s="245" t="str">
        <f>IF(综合数据!$B$7=TRUE,"XGE","")</f>
        <v>XGE</v>
      </c>
      <c r="T188" s="193">
        <v>6</v>
      </c>
      <c r="W188" s="193">
        <v>6</v>
      </c>
      <c r="X188" s="193">
        <v>6</v>
      </c>
      <c r="AA188" s="200"/>
      <c r="AB188" s="200" t="str">
        <f t="array" ref="AB188">INDEX(B:B,SMALL(IF($Q$3:$Q$524&lt;&gt;"",ROW($3:$524),525),ROW(B187)))&amp;""</f>
        <v>地缚</v>
      </c>
      <c r="AC188" s="225" t="str">
        <f>IFERROR(IF(AND($Q189&lt;&gt;"",IF(法术查询!$J$4="",1,INDEX($R189:$Z189,1,VLOOKUP(法术查询!$J$4,$AF$2:$AG$10,2,0)))&lt;&gt;"",IF(法术查询!$J$5="",1,$P189=VLOOKUP(法术查询!$J$5,$AH$2:$AI$11,2,0)),IF(法术查询!$J$6="",1,IF(法术查询!$J$6=$E189,1,0)),IF(法术查询!$J$7="",1,SEARCH(法术查询!$J$7,$F189)),IF(法术查询!$J$8="",1,SEARCH(法术查询!$J$8,G189)),IF(法术查询!$J$9="",1,SEARCH(法术查询!$J$9,N189)),IF(法术查询!$J$10="",1,IF(法术查询!$J$10=$AF$11,IF($M189=1,1,0),IF($M189="",1,0))),IF(法术查询!$J$11="",1,IF(法术查询!$J$11=$AF$11,IF($D189=1,1,0),IF($D189="",1,0))),IF(法术查询!$J$12="",1,SEARCH(法术查询!$J$12,$B189&amp;$C189&amp;$O189)),IF(法术查询!$J$13="",1,SEARCH(法术查询!$J$13,$B189&amp;$C189&amp;$O189)),IF(法术查询!$J$14="",1,SEARCH(法术查询!$J$14,$B189&amp;$C189&amp;$O189)),IF(法术查询!$J$16="",1,IF(法术查询!$J$16=$AF$11,IF($H189=1,1,0),IF($H189="",1,0))),IF(法术查询!$J$17="",1,IF(法术查询!$J$17=$AF$11,IF($I189=1,1,0),IF($I189="",1,0))),IF(法术查询!$J$18="",1,IF(法术查询!$J$18=$AF$11,IF($J189&lt;&gt;"",1,0),IF($J189="",1,0))),IF(法术查询!$J$19="",1,IF(法术查询!$J$19=$AF$11,IF($L189&lt;&gt;"",1,0),IF($L189="",1,0)))),$B189,""),"")</f>
        <v/>
      </c>
      <c r="AD188" s="192" t="str">
        <f t="array" ref="AD188">INDEX(AC:AC,SMALL(IF($AC$2:$AC$523&lt;&gt;"",ROW($2:$523),524),ROW(AC187)))&amp;""</f>
        <v/>
      </c>
      <c r="AE188" s="200" t="str">
        <f t="shared" si="6"/>
        <v/>
      </c>
      <c r="AJ188" s="192">
        <v>187</v>
      </c>
      <c r="AK188" s="193" t="str">
        <f>IF(法术书!AE44="","",法术书!AE44)</f>
        <v/>
      </c>
      <c r="AL188" s="224" t="str">
        <f t="array" ref="AL188">IFERROR(INDEX(AK$1:AK$301,SMALL(IF(MATCH(AK188,AK$1:AK$301,0)=ROW(AK188),ROW(AK$1:AK$301),999),ROW(AK188))),"")</f>
        <v/>
      </c>
      <c r="AM188" s="223" t="str">
        <f t="array" ref="AM188">INDEX(AL:AL,SMALL(IF($AL$2:$AL$301&lt;&gt;"",ROW($2:$301),302),ROW(AL187)))&amp;""</f>
        <v/>
      </c>
    </row>
    <row r="189" customHeight="1" spans="1:39">
      <c r="A189" s="192">
        <v>187</v>
      </c>
      <c r="B189" s="224" t="s">
        <v>7495</v>
      </c>
      <c r="C189" s="224" t="s">
        <v>7496</v>
      </c>
      <c r="E189" s="231" t="s">
        <v>6672</v>
      </c>
      <c r="F189" s="193" t="s">
        <v>6642</v>
      </c>
      <c r="G189" s="193" t="s">
        <v>6786</v>
      </c>
      <c r="H189" s="193">
        <v>1</v>
      </c>
      <c r="M189" s="193">
        <v>1</v>
      </c>
      <c r="N189" s="193" t="s">
        <v>6666</v>
      </c>
      <c r="O189" s="224" t="s">
        <v>7497</v>
      </c>
      <c r="P189" s="224">
        <v>2</v>
      </c>
      <c r="Q189" s="245" t="str">
        <f>IF(综合数据!$B$7=TRUE,"XGE","")</f>
        <v>XGE</v>
      </c>
      <c r="T189" s="193">
        <v>6</v>
      </c>
      <c r="W189" s="193">
        <v>6</v>
      </c>
      <c r="X189" s="193">
        <v>6</v>
      </c>
      <c r="Y189" s="193">
        <v>6</v>
      </c>
      <c r="AA189" s="200"/>
      <c r="AB189" s="200" t="str">
        <f t="array" ref="AB189">INDEX(B:B,SMALL(IF($Q$3:$Q$524&lt;&gt;"",ROW($3:$524),525),ROW(B188)))&amp;""</f>
        <v>治愈之魂</v>
      </c>
      <c r="AC189" s="225" t="str">
        <f>IFERROR(IF(AND($Q190&lt;&gt;"",IF(法术查询!$J$4="",1,INDEX($R190:$Z190,1,VLOOKUP(法术查询!$J$4,$AF$2:$AG$10,2,0)))&lt;&gt;"",IF(法术查询!$J$5="",1,$P190=VLOOKUP(法术查询!$J$5,$AH$2:$AI$11,2,0)),IF(法术查询!$J$6="",1,IF(法术查询!$J$6=$E190,1,0)),IF(法术查询!$J$7="",1,SEARCH(法术查询!$J$7,$F190)),IF(法术查询!$J$8="",1,SEARCH(法术查询!$J$8,G190)),IF(法术查询!$J$9="",1,SEARCH(法术查询!$J$9,N190)),IF(法术查询!$J$10="",1,IF(法术查询!$J$10=$AF$11,IF($M190=1,1,0),IF($M190="",1,0))),IF(法术查询!$J$11="",1,IF(法术查询!$J$11=$AF$11,IF($D190=1,1,0),IF($D190="",1,0))),IF(法术查询!$J$12="",1,SEARCH(法术查询!$J$12,$B190&amp;$C190&amp;$O190)),IF(法术查询!$J$13="",1,SEARCH(法术查询!$J$13,$B190&amp;$C190&amp;$O190)),IF(法术查询!$J$14="",1,SEARCH(法术查询!$J$14,$B190&amp;$C190&amp;$O190)),IF(法术查询!$J$16="",1,IF(法术查询!$J$16=$AF$11,IF($H190=1,1,0),IF($H190="",1,0))),IF(法术查询!$J$17="",1,IF(法术查询!$J$17=$AF$11,IF($I190=1,1,0),IF($I190="",1,0))),IF(法术查询!$J$18="",1,IF(法术查询!$J$18=$AF$11,IF($J190&lt;&gt;"",1,0),IF($J190="",1,0))),IF(法术查询!$J$19="",1,IF(法术查询!$J$19=$AF$11,IF($L190&lt;&gt;"",1,0),IF($L190="",1,0)))),$B190,""),"")</f>
        <v/>
      </c>
      <c r="AD189" s="192" t="str">
        <f t="array" ref="AD189">INDEX(AC:AC,SMALL(IF($AC$2:$AC$523&lt;&gt;"",ROW($2:$523),524),ROW(AC188)))&amp;""</f>
        <v/>
      </c>
      <c r="AE189" s="200" t="str">
        <f t="shared" si="6"/>
        <v/>
      </c>
      <c r="AJ189" s="192">
        <v>188</v>
      </c>
      <c r="AK189" s="193" t="str">
        <f>IF(法术书!AE45="","",法术书!AE45)</f>
        <v/>
      </c>
      <c r="AL189" s="224" t="str">
        <f t="array" ref="AL189">IFERROR(INDEX(AK$1:AK$301,SMALL(IF(MATCH(AK189,AK$1:AK$301,0)=ROW(AK189),ROW(AK$1:AK$301),999),ROW(AK189))),"")</f>
        <v/>
      </c>
      <c r="AM189" s="223" t="str">
        <f t="array" ref="AM189">INDEX(AL:AL,SMALL(IF($AL$2:$AL$301&lt;&gt;"",ROW($2:$301),302),ROW(AL188)))&amp;""</f>
        <v/>
      </c>
    </row>
    <row r="190" customHeight="1" spans="1:39">
      <c r="A190" s="192">
        <v>188</v>
      </c>
      <c r="B190" s="224" t="s">
        <v>7498</v>
      </c>
      <c r="C190" s="224" t="s">
        <v>7499</v>
      </c>
      <c r="E190" s="240" t="s">
        <v>6641</v>
      </c>
      <c r="F190" s="193" t="s">
        <v>6712</v>
      </c>
      <c r="G190" s="193" t="s">
        <v>6643</v>
      </c>
      <c r="H190" s="193">
        <v>1</v>
      </c>
      <c r="I190" s="193">
        <v>1</v>
      </c>
      <c r="M190" s="193">
        <v>1</v>
      </c>
      <c r="N190" s="193" t="s">
        <v>6666</v>
      </c>
      <c r="O190" s="224" t="s">
        <v>7500</v>
      </c>
      <c r="P190" s="224">
        <v>2</v>
      </c>
      <c r="Q190" s="245" t="str">
        <f>IF(综合数据!$B$7=TRUE,"XGE","")</f>
        <v>XGE</v>
      </c>
      <c r="T190" s="193">
        <v>6</v>
      </c>
      <c r="AA190" s="200"/>
      <c r="AB190" s="200" t="str">
        <f t="array" ref="AB190">INDEX(B:B,SMALL(IF($Q$3:$Q$524&lt;&gt;"",ROW($3:$524),525),ROW(B189)))&amp;""</f>
        <v>麦克斯米利安的地之攫</v>
      </c>
      <c r="AC190" s="225" t="str">
        <f>IFERROR(IF(AND($Q191&lt;&gt;"",IF(法术查询!$J$4="",1,INDEX($R191:$Z191,1,VLOOKUP(法术查询!$J$4,$AF$2:$AG$10,2,0)))&lt;&gt;"",IF(法术查询!$J$5="",1,$P191=VLOOKUP(法术查询!$J$5,$AH$2:$AI$11,2,0)),IF(法术查询!$J$6="",1,IF(法术查询!$J$6=$E191,1,0)),IF(法术查询!$J$7="",1,SEARCH(法术查询!$J$7,$F191)),IF(法术查询!$J$8="",1,SEARCH(法术查询!$J$8,G191)),IF(法术查询!$J$9="",1,SEARCH(法术查询!$J$9,N191)),IF(法术查询!$J$10="",1,IF(法术查询!$J$10=$AF$11,IF($M191=1,1,0),IF($M191="",1,0))),IF(法术查询!$J$11="",1,IF(法术查询!$J$11=$AF$11,IF($D191=1,1,0),IF($D191="",1,0))),IF(法术查询!$J$12="",1,SEARCH(法术查询!$J$12,$B191&amp;$C191&amp;$O191)),IF(法术查询!$J$13="",1,SEARCH(法术查询!$J$13,$B191&amp;$C191&amp;$O191)),IF(法术查询!$J$14="",1,SEARCH(法术查询!$J$14,$B191&amp;$C191&amp;$O191)),IF(法术查询!$J$16="",1,IF(法术查询!$J$16=$AF$11,IF($H191=1,1,0),IF($H191="",1,0))),IF(法术查询!$J$17="",1,IF(法术查询!$J$17=$AF$11,IF($I191=1,1,0),IF($I191="",1,0))),IF(法术查询!$J$18="",1,IF(法术查询!$J$18=$AF$11,IF($J191&lt;&gt;"",1,0),IF($J191="",1,0))),IF(法术查询!$J$19="",1,IF(法术查询!$J$19=$AF$11,IF($L191&lt;&gt;"",1,0),IF($L191="",1,0)))),$B191,""),"")</f>
        <v/>
      </c>
      <c r="AD190" s="192" t="str">
        <f t="array" ref="AD190">INDEX(AC:AC,SMALL(IF($AC$2:$AC$523&lt;&gt;"",ROW($2:$523),524),ROW(AC189)))&amp;""</f>
        <v/>
      </c>
      <c r="AE190" s="200" t="str">
        <f t="shared" si="6"/>
        <v/>
      </c>
      <c r="AJ190" s="192">
        <v>189</v>
      </c>
      <c r="AK190" s="193" t="str">
        <f>IF(法术书!AE46="","",法术书!AE46)</f>
        <v/>
      </c>
      <c r="AL190" s="224" t="str">
        <f t="array" ref="AL190">IFERROR(INDEX(AK$1:AK$301,SMALL(IF(MATCH(AK190,AK$1:AK$301,0)=ROW(AK190),ROW(AK$1:AK$301),999),ROW(AK190))),"")</f>
        <v/>
      </c>
      <c r="AM190" s="223" t="str">
        <f t="array" ref="AM190">INDEX(AL:AL,SMALL(IF($AL$2:$AL$301&lt;&gt;"",ROW($2:$301),302),ROW(AL189)))&amp;""</f>
        <v/>
      </c>
    </row>
    <row r="191" customHeight="1" spans="1:39">
      <c r="A191" s="192">
        <v>189</v>
      </c>
      <c r="B191" s="224" t="s">
        <v>7501</v>
      </c>
      <c r="C191" s="224" t="s">
        <v>7502</v>
      </c>
      <c r="E191" s="231" t="s">
        <v>6672</v>
      </c>
      <c r="F191" s="193" t="s">
        <v>6642</v>
      </c>
      <c r="G191" s="193" t="s">
        <v>6673</v>
      </c>
      <c r="H191" s="193">
        <v>1</v>
      </c>
      <c r="I191" s="193">
        <v>1</v>
      </c>
      <c r="J191" s="193">
        <v>1</v>
      </c>
      <c r="K191" s="224" t="s">
        <v>7503</v>
      </c>
      <c r="M191" s="193">
        <v>1</v>
      </c>
      <c r="N191" s="193" t="s">
        <v>6666</v>
      </c>
      <c r="O191" s="224" t="s">
        <v>7504</v>
      </c>
      <c r="P191" s="224">
        <v>2</v>
      </c>
      <c r="Q191" s="245" t="str">
        <f>IF(综合数据!$B$7=TRUE,"XGE","")</f>
        <v>XGE</v>
      </c>
      <c r="W191" s="193">
        <v>6</v>
      </c>
      <c r="X191" s="193">
        <v>6</v>
      </c>
      <c r="AA191" s="200"/>
      <c r="AB191" s="200" t="str">
        <f t="array" ref="AB191">INDEX(B:B,SMALL(IF($Q$3:$Q$524&lt;&gt;"",ROW($3:$524),525),ROW(B190)))&amp;""</f>
        <v>心灵尖刺</v>
      </c>
      <c r="AC191" s="225" t="str">
        <f>IFERROR(IF(AND($Q192&lt;&gt;"",IF(法术查询!$J$4="",1,INDEX($R192:$Z192,1,VLOOKUP(法术查询!$J$4,$AF$2:$AG$10,2,0)))&lt;&gt;"",IF(法术查询!$J$5="",1,$P192=VLOOKUP(法术查询!$J$5,$AH$2:$AI$11,2,0)),IF(法术查询!$J$6="",1,IF(法术查询!$J$6=$E192,1,0)),IF(法术查询!$J$7="",1,SEARCH(法术查询!$J$7,$F192)),IF(法术查询!$J$8="",1,SEARCH(法术查询!$J$8,G192)),IF(法术查询!$J$9="",1,SEARCH(法术查询!$J$9,N192)),IF(法术查询!$J$10="",1,IF(法术查询!$J$10=$AF$11,IF($M192=1,1,0),IF($M192="",1,0))),IF(法术查询!$J$11="",1,IF(法术查询!$J$11=$AF$11,IF($D192=1,1,0),IF($D192="",1,0))),IF(法术查询!$J$12="",1,SEARCH(法术查询!$J$12,$B192&amp;$C192&amp;$O192)),IF(法术查询!$J$13="",1,SEARCH(法术查询!$J$13,$B192&amp;$C192&amp;$O192)),IF(法术查询!$J$14="",1,SEARCH(法术查询!$J$14,$B192&amp;$C192&amp;$O192)),IF(法术查询!$J$16="",1,IF(法术查询!$J$16=$AF$11,IF($H192=1,1,0),IF($H192="",1,0))),IF(法术查询!$J$17="",1,IF(法术查询!$J$17=$AF$11,IF($I192=1,1,0),IF($I192="",1,0))),IF(法术查询!$J$18="",1,IF(法术查询!$J$18=$AF$11,IF($J192&lt;&gt;"",1,0),IF($J192="",1,0))),IF(法术查询!$J$19="",1,IF(法术查询!$J$19=$AF$11,IF($L192&lt;&gt;"",1,0),IF($L192="",1,0)))),$B192,""),"")</f>
        <v/>
      </c>
      <c r="AD191" s="192" t="str">
        <f t="array" ref="AD191">INDEX(AC:AC,SMALL(IF($AC$2:$AC$523&lt;&gt;"",ROW($2:$523),524),ROW(AC190)))&amp;""</f>
        <v/>
      </c>
      <c r="AE191" s="200" t="str">
        <f t="shared" si="6"/>
        <v/>
      </c>
      <c r="AJ191" s="192">
        <v>190</v>
      </c>
      <c r="AK191" s="193" t="str">
        <f>IF(法术书!AE47="","",法术书!AE47)</f>
        <v/>
      </c>
      <c r="AL191" s="224" t="str">
        <f t="array" ref="AL191">IFERROR(INDEX(AK$1:AK$301,SMALL(IF(MATCH(AK191,AK$1:AK$301,0)=ROW(AK191),ROW(AK$1:AK$301),999),ROW(AK191))),"")</f>
        <v/>
      </c>
      <c r="AM191" s="223" t="str">
        <f t="array" ref="AM191">INDEX(AL:AL,SMALL(IF($AL$2:$AL$301&lt;&gt;"",ROW($2:$301),302),ROW(AL190)))&amp;""</f>
        <v/>
      </c>
    </row>
    <row r="192" customHeight="1" spans="1:39">
      <c r="A192" s="192">
        <v>190</v>
      </c>
      <c r="B192" s="224" t="s">
        <v>7505</v>
      </c>
      <c r="C192" s="224" t="s">
        <v>7506</v>
      </c>
      <c r="E192" s="238" t="s">
        <v>6695</v>
      </c>
      <c r="F192" s="193" t="s">
        <v>6642</v>
      </c>
      <c r="G192" s="193" t="s">
        <v>6643</v>
      </c>
      <c r="I192" s="193">
        <v>1</v>
      </c>
      <c r="M192" s="193">
        <v>1</v>
      </c>
      <c r="N192" s="193" t="s">
        <v>6739</v>
      </c>
      <c r="O192" s="224" t="s">
        <v>7507</v>
      </c>
      <c r="P192" s="224">
        <v>2</v>
      </c>
      <c r="Q192" s="245" t="str">
        <f>IF(综合数据!$B$7=TRUE,"XGE","")</f>
        <v>XGE</v>
      </c>
      <c r="W192" s="193">
        <v>6</v>
      </c>
      <c r="X192" s="193">
        <v>6</v>
      </c>
      <c r="Y192" s="193">
        <v>6</v>
      </c>
      <c r="AA192" s="200"/>
      <c r="AB192" s="200" t="str">
        <f t="array" ref="AB192">INDEX(B:B,SMALL(IF($Q$3:$Q$524&lt;&gt;"",ROW($3:$524),525),ROW(B191)))&amp;""</f>
        <v>烟火</v>
      </c>
      <c r="AC192" s="225" t="str">
        <f>IFERROR(IF(AND($Q193&lt;&gt;"",IF(法术查询!$J$4="",1,INDEX($R193:$Z193,1,VLOOKUP(法术查询!$J$4,$AF$2:$AG$10,2,0)))&lt;&gt;"",IF(法术查询!$J$5="",1,$P193=VLOOKUP(法术查询!$J$5,$AH$2:$AI$11,2,0)),IF(法术查询!$J$6="",1,IF(法术查询!$J$6=$E193,1,0)),IF(法术查询!$J$7="",1,SEARCH(法术查询!$J$7,$F193)),IF(法术查询!$J$8="",1,SEARCH(法术查询!$J$8,G193)),IF(法术查询!$J$9="",1,SEARCH(法术查询!$J$9,N193)),IF(法术查询!$J$10="",1,IF(法术查询!$J$10=$AF$11,IF($M193=1,1,0),IF($M193="",1,0))),IF(法术查询!$J$11="",1,IF(法术查询!$J$11=$AF$11,IF($D193=1,1,0),IF($D193="",1,0))),IF(法术查询!$J$12="",1,SEARCH(法术查询!$J$12,$B193&amp;$C193&amp;$O193)),IF(法术查询!$J$13="",1,SEARCH(法术查询!$J$13,$B193&amp;$C193&amp;$O193)),IF(法术查询!$J$14="",1,SEARCH(法术查询!$J$14,$B193&amp;$C193&amp;$O193)),IF(法术查询!$J$16="",1,IF(法术查询!$J$16=$AF$11,IF($H193=1,1,0),IF($H193="",1,0))),IF(法术查询!$J$17="",1,IF(法术查询!$J$17=$AF$11,IF($I193=1,1,0),IF($I193="",1,0))),IF(法术查询!$J$18="",1,IF(法术查询!$J$18=$AF$11,IF($J193&lt;&gt;"",1,0),IF($J193="",1,0))),IF(法术查询!$J$19="",1,IF(法术查询!$J$19=$AF$11,IF($L193&lt;&gt;"",1,0),IF($L193="",1,0)))),$B193,""),"")</f>
        <v>烟火</v>
      </c>
      <c r="AD192" s="192" t="str">
        <f t="array" ref="AD192">INDEX(AC:AC,SMALL(IF($AC$2:$AC$523&lt;&gt;"",ROW($2:$523),524),ROW(AC191)))&amp;""</f>
        <v/>
      </c>
      <c r="AE192" s="200" t="str">
        <f t="shared" si="6"/>
        <v/>
      </c>
      <c r="AJ192" s="192">
        <v>191</v>
      </c>
      <c r="AK192" s="193" t="str">
        <f>IF(法术书!AE48="","",法术书!AE48)</f>
        <v/>
      </c>
      <c r="AL192" s="224" t="str">
        <f t="array" ref="AL192">IFERROR(INDEX(AK$1:AK$301,SMALL(IF(MATCH(AK192,AK$1:AK$301,0)=ROW(AK192),ROW(AK$1:AK$301),999),ROW(AK192))),"")</f>
        <v/>
      </c>
      <c r="AM192" s="223" t="str">
        <f t="array" ref="AM192">INDEX(AL:AL,SMALL(IF($AL$2:$AL$301&lt;&gt;"",ROW($2:$301),302),ROW(AL191)))&amp;""</f>
        <v/>
      </c>
    </row>
    <row r="193" customHeight="1" spans="1:39">
      <c r="A193" s="192">
        <v>191</v>
      </c>
      <c r="B193" s="224" t="s">
        <v>7508</v>
      </c>
      <c r="C193" s="224" t="s">
        <v>7509</v>
      </c>
      <c r="E193" s="231" t="s">
        <v>6672</v>
      </c>
      <c r="F193" s="193" t="s">
        <v>6642</v>
      </c>
      <c r="G193" s="193" t="s">
        <v>6643</v>
      </c>
      <c r="H193" s="193">
        <v>1</v>
      </c>
      <c r="I193" s="193">
        <v>1</v>
      </c>
      <c r="N193" s="193" t="s">
        <v>6644</v>
      </c>
      <c r="O193" s="224" t="s">
        <v>7510</v>
      </c>
      <c r="P193" s="224">
        <v>2</v>
      </c>
      <c r="Q193" s="245" t="str">
        <f>IF(综合数据!$B$7=TRUE,"XGE","")</f>
        <v>XGE</v>
      </c>
      <c r="R193" s="193">
        <v>6</v>
      </c>
      <c r="W193" s="193">
        <v>6</v>
      </c>
      <c r="X193" s="193">
        <v>6</v>
      </c>
      <c r="Z193" s="193">
        <v>9</v>
      </c>
      <c r="AA193" s="200"/>
      <c r="AB193" s="200" t="str">
        <f t="array" ref="AB193">INDEX(B:B,SMALL(IF($Q$3:$Q$524&lt;&gt;"",ROW($3:$524),525),ROW(B192)))&amp;""</f>
        <v>幽影刃</v>
      </c>
      <c r="AC193" s="225" t="str">
        <f>IFERROR(IF(AND($Q194&lt;&gt;"",IF(法术查询!$J$4="",1,INDEX($R194:$Z194,1,VLOOKUP(法术查询!$J$4,$AF$2:$AG$10,2,0)))&lt;&gt;"",IF(法术查询!$J$5="",1,$P194=VLOOKUP(法术查询!$J$5,$AH$2:$AI$11,2,0)),IF(法术查询!$J$6="",1,IF(法术查询!$J$6=$E194,1,0)),IF(法术查询!$J$7="",1,SEARCH(法术查询!$J$7,$F194)),IF(法术查询!$J$8="",1,SEARCH(法术查询!$J$8,G194)),IF(法术查询!$J$9="",1,SEARCH(法术查询!$J$9,N194)),IF(法术查询!$J$10="",1,IF(法术查询!$J$10=$AF$11,IF($M194=1,1,0),IF($M194="",1,0))),IF(法术查询!$J$11="",1,IF(法术查询!$J$11=$AF$11,IF($D194=1,1,0),IF($D194="",1,0))),IF(法术查询!$J$12="",1,SEARCH(法术查询!$J$12,$B194&amp;$C194&amp;$O194)),IF(法术查询!$J$13="",1,SEARCH(法术查询!$J$13,$B194&amp;$C194&amp;$O194)),IF(法术查询!$J$14="",1,SEARCH(法术查询!$J$14,$B194&amp;$C194&amp;$O194)),IF(法术查询!$J$16="",1,IF(法术查询!$J$16=$AF$11,IF($H194=1,1,0),IF($H194="",1,0))),IF(法术查询!$J$17="",1,IF(法术查询!$J$17=$AF$11,IF($I194=1,1,0),IF($I194="",1,0))),IF(法术查询!$J$18="",1,IF(法术查询!$J$18=$AF$11,IF($J194&lt;&gt;"",1,0),IF($J194="",1,0))),IF(法术查询!$J$19="",1,IF(法术查询!$J$19=$AF$11,IF($L194&lt;&gt;"",1,0),IF($L194="",1,0)))),$B194,""),"")</f>
        <v/>
      </c>
      <c r="AD193" s="192" t="str">
        <f t="array" ref="AD193">INDEX(AC:AC,SMALL(IF($AC$2:$AC$523&lt;&gt;"",ROW($2:$523),524),ROW(AC192)))&amp;""</f>
        <v/>
      </c>
      <c r="AE193" s="200" t="str">
        <f t="shared" si="6"/>
        <v/>
      </c>
      <c r="AJ193" s="192">
        <v>192</v>
      </c>
      <c r="AK193" s="193" t="str">
        <f>IF(法术书!AE49="","",法术书!AE49)</f>
        <v/>
      </c>
      <c r="AL193" s="224" t="str">
        <f t="array" ref="AL193">IFERROR(INDEX(AK$1:AK$301,SMALL(IF(MATCH(AK193,AK$1:AK$301,0)=ROW(AK193),ROW(AK$1:AK$301),999),ROW(AK193))),"")</f>
        <v/>
      </c>
      <c r="AM193" s="223" t="str">
        <f t="array" ref="AM193">INDEX(AL:AL,SMALL(IF($AL$2:$AL$301&lt;&gt;"",ROW($2:$301),302),ROW(AL192)))&amp;""</f>
        <v/>
      </c>
    </row>
    <row r="194" customHeight="1" spans="1:39">
      <c r="A194" s="192">
        <v>192</v>
      </c>
      <c r="B194" s="224" t="s">
        <v>7511</v>
      </c>
      <c r="C194" s="224" t="s">
        <v>7512</v>
      </c>
      <c r="E194" s="241" t="s">
        <v>6726</v>
      </c>
      <c r="F194" s="193" t="s">
        <v>6712</v>
      </c>
      <c r="G194" s="193" t="s">
        <v>6651</v>
      </c>
      <c r="H194" s="193">
        <v>1</v>
      </c>
      <c r="I194" s="193">
        <v>1</v>
      </c>
      <c r="M194" s="193">
        <v>1</v>
      </c>
      <c r="N194" s="193" t="s">
        <v>6666</v>
      </c>
      <c r="O194" s="224" t="s">
        <v>7513</v>
      </c>
      <c r="P194" s="224">
        <v>2</v>
      </c>
      <c r="Q194" s="245" t="str">
        <f>IF(综合数据!$B$7=TRUE,"XGE","")</f>
        <v>XGE</v>
      </c>
      <c r="W194" s="193">
        <v>6</v>
      </c>
      <c r="X194" s="193">
        <v>6</v>
      </c>
      <c r="Y194" s="193">
        <v>6</v>
      </c>
      <c r="AA194" s="200"/>
      <c r="AB194" s="200" t="str">
        <f t="array" ref="AB194">INDEX(B:B,SMALL(IF($Q$3:$Q$524&lt;&gt;"",ROW($3:$524),525),ROW(B193)))&amp;""</f>
        <v>写入空中</v>
      </c>
      <c r="AC194" s="225" t="str">
        <f>IFERROR(IF(AND($Q195&lt;&gt;"",IF(法术查询!$J$4="",1,INDEX($R195:$Z195,1,VLOOKUP(法术查询!$J$4,$AF$2:$AG$10,2,0)))&lt;&gt;"",IF(法术查询!$J$5="",1,$P195=VLOOKUP(法术查询!$J$5,$AH$2:$AI$11,2,0)),IF(法术查询!$J$6="",1,IF(法术查询!$J$6=$E195,1,0)),IF(法术查询!$J$7="",1,SEARCH(法术查询!$J$7,$F195)),IF(法术查询!$J$8="",1,SEARCH(法术查询!$J$8,G195)),IF(法术查询!$J$9="",1,SEARCH(法术查询!$J$9,N195)),IF(法术查询!$J$10="",1,IF(法术查询!$J$10=$AF$11,IF($M195=1,1,0),IF($M195="",1,0))),IF(法术查询!$J$11="",1,IF(法术查询!$J$11=$AF$11,IF($D195=1,1,0),IF($D195="",1,0))),IF(法术查询!$J$12="",1,SEARCH(法术查询!$J$12,$B195&amp;$C195&amp;$O195)),IF(法术查询!$J$13="",1,SEARCH(法术查询!$J$13,$B195&amp;$C195&amp;$O195)),IF(法术查询!$J$14="",1,SEARCH(法术查询!$J$14,$B195&amp;$C195&amp;$O195)),IF(法术查询!$J$16="",1,IF(法术查询!$J$16=$AF$11,IF($H195=1,1,0),IF($H195="",1,0))),IF(法术查询!$J$17="",1,IF(法术查询!$J$17=$AF$11,IF($I195=1,1,0),IF($I195="",1,0))),IF(法术查询!$J$18="",1,IF(法术查询!$J$18=$AF$11,IF($J195&lt;&gt;"",1,0),IF($J195="",1,0))),IF(法术查询!$J$19="",1,IF(法术查询!$J$19=$AF$11,IF($L195&lt;&gt;"",1,0),IF($L195="",1,0)))),$B195,""),"")</f>
        <v>写入空中</v>
      </c>
      <c r="AD194" s="192" t="str">
        <f t="array" ref="AD194">INDEX(AC:AC,SMALL(IF($AC$2:$AC$523&lt;&gt;"",ROW($2:$523),524),ROW(AC193)))&amp;""</f>
        <v/>
      </c>
      <c r="AE194" s="200" t="str">
        <f t="shared" si="6"/>
        <v/>
      </c>
      <c r="AJ194" s="192">
        <v>193</v>
      </c>
      <c r="AK194" s="193" t="str">
        <f>IF(法术书!AE50="","",法术书!AE50)</f>
        <v/>
      </c>
      <c r="AL194" s="224" t="str">
        <f t="array" ref="AL194">IFERROR(INDEX(AK$1:AK$301,SMALL(IF(MATCH(AK194,AK$1:AK$301,0)=ROW(AK194),ROW(AK$1:AK$301),999),ROW(AK194))),"")</f>
        <v/>
      </c>
      <c r="AM194" s="223" t="str">
        <f t="array" ref="AM194">INDEX(AL:AL,SMALL(IF($AL$2:$AL$301&lt;&gt;"",ROW($2:$301),302),ROW(AL193)))&amp;""</f>
        <v/>
      </c>
    </row>
    <row r="195" customHeight="1" spans="1:39">
      <c r="A195" s="192">
        <v>193</v>
      </c>
      <c r="B195" s="224" t="s">
        <v>7514</v>
      </c>
      <c r="C195" s="224" t="s">
        <v>7515</v>
      </c>
      <c r="D195" s="193">
        <v>1</v>
      </c>
      <c r="E195" s="231" t="s">
        <v>6672</v>
      </c>
      <c r="F195" s="193" t="s">
        <v>6642</v>
      </c>
      <c r="G195" s="193" t="s">
        <v>6820</v>
      </c>
      <c r="H195" s="193">
        <v>1</v>
      </c>
      <c r="I195" s="193">
        <v>1</v>
      </c>
      <c r="M195" s="193">
        <v>1</v>
      </c>
      <c r="N195" s="193" t="s">
        <v>6739</v>
      </c>
      <c r="O195" s="224" t="s">
        <v>7516</v>
      </c>
      <c r="P195" s="224">
        <v>2</v>
      </c>
      <c r="Q195" s="245" t="str">
        <f>IF(综合数据!$B$7=TRUE,"XGE","")</f>
        <v>XGE</v>
      </c>
      <c r="R195" s="193">
        <v>6</v>
      </c>
      <c r="T195" s="193">
        <v>6</v>
      </c>
      <c r="X195" s="193">
        <v>6</v>
      </c>
      <c r="Z195" s="193">
        <v>9</v>
      </c>
      <c r="AA195" s="200"/>
      <c r="AB195" s="200" t="str">
        <f t="array" ref="AB195">INDEX(B:B,SMALL(IF($Q$3:$Q$524&lt;&gt;"",ROW($3:$524),525),ROW(B194)))&amp;""</f>
        <v>史尼洛雪球群</v>
      </c>
      <c r="AC195" s="225" t="str">
        <f>IFERROR(IF(AND($Q196&lt;&gt;"",IF(法术查询!$J$4="",1,INDEX($R196:$Z196,1,VLOOKUP(法术查询!$J$4,$AF$2:$AG$10,2,0)))&lt;&gt;"",IF(法术查询!$J$5="",1,$P196=VLOOKUP(法术查询!$J$5,$AH$2:$AI$11,2,0)),IF(法术查询!$J$6="",1,IF(法术查询!$J$6=$E196,1,0)),IF(法术查询!$J$7="",1,SEARCH(法术查询!$J$7,$F196)),IF(法术查询!$J$8="",1,SEARCH(法术查询!$J$8,G196)),IF(法术查询!$J$9="",1,SEARCH(法术查询!$J$9,N196)),IF(法术查询!$J$10="",1,IF(法术查询!$J$10=$AF$11,IF($M196=1,1,0),IF($M196="",1,0))),IF(法术查询!$J$11="",1,IF(法术查询!$J$11=$AF$11,IF($D196=1,1,0),IF($D196="",1,0))),IF(法术查询!$J$12="",1,SEARCH(法术查询!$J$12,$B196&amp;$C196&amp;$O196)),IF(法术查询!$J$13="",1,SEARCH(法术查询!$J$13,$B196&amp;$C196&amp;$O196)),IF(法术查询!$J$14="",1,SEARCH(法术查询!$J$14,$B196&amp;$C196&amp;$O196)),IF(法术查询!$J$16="",1,IF(法术查询!$J$16=$AF$11,IF($H196=1,1,0),IF($H196="",1,0))),IF(法术查询!$J$17="",1,IF(法术查询!$J$17=$AF$11,IF($I196=1,1,0),IF($I196="",1,0))),IF(法术查询!$J$18="",1,IF(法术查询!$J$18=$AF$11,IF($J196&lt;&gt;"",1,0),IF($J196="",1,0))),IF(法术查询!$J$19="",1,IF(法术查询!$J$19=$AF$11,IF($L196&lt;&gt;"",1,0),IF($L196="",1,0)))),$B196,""),"")</f>
        <v/>
      </c>
      <c r="AD195" s="192" t="str">
        <f t="array" ref="AD195">INDEX(AC:AC,SMALL(IF($AC$2:$AC$523&lt;&gt;"",ROW($2:$523),524),ROW(AC194)))&amp;""</f>
        <v/>
      </c>
      <c r="AE195" s="200" t="str">
        <f t="shared" ref="AE195:AE258" si="7">IF(AD195="","",VLOOKUP(AD195,B:C,2,0))</f>
        <v/>
      </c>
      <c r="AJ195" s="192">
        <v>194</v>
      </c>
      <c r="AK195" s="193" t="str">
        <f>IF(法术书!AE51="","",法术书!AE51)</f>
        <v/>
      </c>
      <c r="AL195" s="224" t="str">
        <f t="array" ref="AL195">IFERROR(INDEX(AK$1:AK$301,SMALL(IF(MATCH(AK195,AK$1:AK$301,0)=ROW(AK195),ROW(AK$1:AK$301),999),ROW(AK195))),"")</f>
        <v/>
      </c>
      <c r="AM195" s="223" t="str">
        <f t="array" ref="AM195">INDEX(AL:AL,SMALL(IF($AL$2:$AL$301&lt;&gt;"",ROW($2:$301),302),ROW(AL194)))&amp;""</f>
        <v/>
      </c>
    </row>
    <row r="196" customHeight="1" spans="1:39">
      <c r="A196" s="192">
        <v>194</v>
      </c>
      <c r="B196" s="224" t="s">
        <v>7517</v>
      </c>
      <c r="C196" s="224" t="s">
        <v>7518</v>
      </c>
      <c r="E196" s="229" t="s">
        <v>6664</v>
      </c>
      <c r="F196" s="193" t="s">
        <v>6642</v>
      </c>
      <c r="G196" s="193" t="s">
        <v>6760</v>
      </c>
      <c r="H196" s="193">
        <v>1</v>
      </c>
      <c r="I196" s="193">
        <v>1</v>
      </c>
      <c r="J196" s="193">
        <v>1</v>
      </c>
      <c r="K196" s="224" t="s">
        <v>7519</v>
      </c>
      <c r="N196" s="193" t="s">
        <v>6644</v>
      </c>
      <c r="O196" s="224" t="s">
        <v>7520</v>
      </c>
      <c r="P196" s="224">
        <v>2</v>
      </c>
      <c r="Q196" s="245" t="str">
        <f>IF(综合数据!$B$7=TRUE,"XGE","")</f>
        <v>XGE</v>
      </c>
      <c r="W196" s="193">
        <v>6</v>
      </c>
      <c r="X196" s="193">
        <v>6</v>
      </c>
      <c r="AA196" s="200"/>
      <c r="AB196" s="200" t="str">
        <f t="array" ref="AB196">INDEX(B:B,SMALL(IF($Q$3:$Q$524&lt;&gt;"",ROW($3:$524),525),ROW(B195)))&amp;""</f>
        <v>守护之风</v>
      </c>
      <c r="AC196" s="225" t="str">
        <f>IFERROR(IF(AND($Q197&lt;&gt;"",IF(法术查询!$J$4="",1,INDEX($R197:$Z197,1,VLOOKUP(法术查询!$J$4,$AF$2:$AG$10,2,0)))&lt;&gt;"",IF(法术查询!$J$5="",1,$P197=VLOOKUP(法术查询!$J$5,$AH$2:$AI$11,2,0)),IF(法术查询!$J$6="",1,IF(法术查询!$J$6=$E197,1,0)),IF(法术查询!$J$7="",1,SEARCH(法术查询!$J$7,$F197)),IF(法术查询!$J$8="",1,SEARCH(法术查询!$J$8,G197)),IF(法术查询!$J$9="",1,SEARCH(法术查询!$J$9,N197)),IF(法术查询!$J$10="",1,IF(法术查询!$J$10=$AF$11,IF($M197=1,1,0),IF($M197="",1,0))),IF(法术查询!$J$11="",1,IF(法术查询!$J$11=$AF$11,IF($D197=1,1,0),IF($D197="",1,0))),IF(法术查询!$J$12="",1,SEARCH(法术查询!$J$12,$B197&amp;$C197&amp;$O197)),IF(法术查询!$J$13="",1,SEARCH(法术查询!$J$13,$B197&amp;$C197&amp;$O197)),IF(法术查询!$J$14="",1,SEARCH(法术查询!$J$14,$B197&amp;$C197&amp;$O197)),IF(法术查询!$J$16="",1,IF(法术查询!$J$16=$AF$11,IF($H197=1,1,0),IF($H197="",1,0))),IF(法术查询!$J$17="",1,IF(法术查询!$J$17=$AF$11,IF($I197=1,1,0),IF($I197="",1,0))),IF(法术查询!$J$18="",1,IF(法术查询!$J$18=$AF$11,IF($J197&lt;&gt;"",1,0),IF($J197="",1,0))),IF(法术查询!$J$19="",1,IF(法术查询!$J$19=$AF$11,IF($L197&lt;&gt;"",1,0),IF($L197="",1,0)))),$B197,""),"")</f>
        <v/>
      </c>
      <c r="AD196" s="192" t="str">
        <f t="array" ref="AD196">INDEX(AC:AC,SMALL(IF($AC$2:$AC$523&lt;&gt;"",ROW($2:$523),524),ROW(AC195)))&amp;""</f>
        <v/>
      </c>
      <c r="AE196" s="200" t="str">
        <f t="shared" si="7"/>
        <v/>
      </c>
      <c r="AJ196" s="192">
        <v>195</v>
      </c>
      <c r="AK196" s="193" t="str">
        <f>IF(法术书!AE52="","",法术书!AE52)</f>
        <v/>
      </c>
      <c r="AL196" s="224" t="str">
        <f t="array" ref="AL196">IFERROR(INDEX(AK$1:AK$301,SMALL(IF(MATCH(AK196,AK$1:AK$301,0)=ROW(AK196),ROW(AK$1:AK$301),999),ROW(AK196))),"")</f>
        <v/>
      </c>
      <c r="AM196" s="223" t="str">
        <f t="array" ref="AM196">INDEX(AL:AL,SMALL(IF($AL$2:$AL$301&lt;&gt;"",ROW($2:$301),302),ROW(AL195)))&amp;""</f>
        <v/>
      </c>
    </row>
    <row r="197" customHeight="1" spans="1:39">
      <c r="A197" s="192">
        <v>195</v>
      </c>
      <c r="B197" s="224" t="s">
        <v>7521</v>
      </c>
      <c r="C197" s="224" t="s">
        <v>7522</v>
      </c>
      <c r="E197" s="229" t="s">
        <v>6664</v>
      </c>
      <c r="F197" s="193" t="s">
        <v>6642</v>
      </c>
      <c r="G197" s="193" t="s">
        <v>6651</v>
      </c>
      <c r="H197" s="193">
        <v>1</v>
      </c>
      <c r="M197" s="193">
        <v>1</v>
      </c>
      <c r="N197" s="193" t="s">
        <v>6831</v>
      </c>
      <c r="O197" s="224" t="s">
        <v>7523</v>
      </c>
      <c r="P197" s="224">
        <v>2</v>
      </c>
      <c r="Q197" s="245" t="str">
        <f>IF(综合数据!$B$7=TRUE,"XGE","")</f>
        <v>XGE</v>
      </c>
      <c r="R197" s="193">
        <v>6</v>
      </c>
      <c r="T197" s="193">
        <v>6</v>
      </c>
      <c r="W197" s="193">
        <v>6</v>
      </c>
      <c r="X197" s="193">
        <v>6</v>
      </c>
      <c r="AA197" s="200" t="s">
        <v>7524</v>
      </c>
      <c r="AB197" s="200" t="str">
        <f t="array" ref="AB197">INDEX(B:B,SMALL(IF($Q$3:$Q$524&lt;&gt;"",ROW($3:$524),525),ROW(B196)))&amp;""</f>
        <v>命运宠儿</v>
      </c>
      <c r="AC197" s="225" t="str">
        <f>IFERROR(IF(AND($Q198&lt;&gt;"",IF(法术查询!$J$4="",1,INDEX($R198:$Z198,1,VLOOKUP(法术查询!$J$4,$AF$2:$AG$10,2,0)))&lt;&gt;"",IF(法术查询!$J$5="",1,$P198=VLOOKUP(法术查询!$J$5,$AH$2:$AI$11,2,0)),IF(法术查询!$J$6="",1,IF(法术查询!$J$6=$E198,1,0)),IF(法术查询!$J$7="",1,SEARCH(法术查询!$J$7,$F198)),IF(法术查询!$J$8="",1,SEARCH(法术查询!$J$8,G198)),IF(法术查询!$J$9="",1,SEARCH(法术查询!$J$9,N198)),IF(法术查询!$J$10="",1,IF(法术查询!$J$10=$AF$11,IF($M198=1,1,0),IF($M198="",1,0))),IF(法术查询!$J$11="",1,IF(法术查询!$J$11=$AF$11,IF($D198=1,1,0),IF($D198="",1,0))),IF(法术查询!$J$12="",1,SEARCH(法术查询!$J$12,$B198&amp;$C198&amp;$O198)),IF(法术查询!$J$13="",1,SEARCH(法术查询!$J$13,$B198&amp;$C198&amp;$O198)),IF(法术查询!$J$14="",1,SEARCH(法术查询!$J$14,$B198&amp;$C198&amp;$O198)),IF(法术查询!$J$16="",1,IF(法术查询!$J$16=$AF$11,IF($H198=1,1,0),IF($H198="",1,0))),IF(法术查询!$J$17="",1,IF(法术查询!$J$17=$AF$11,IF($I198=1,1,0),IF($I198="",1,0))),IF(法术查询!$J$18="",1,IF(法术查询!$J$18=$AF$11,IF($J198&lt;&gt;"",1,0),IF($J198="",1,0))),IF(法术查询!$J$19="",1,IF(法术查询!$J$19=$AF$11,IF($L198&lt;&gt;"",1,0),IF($L198="",1,0)))),$B198,""),"")</f>
        <v/>
      </c>
      <c r="AD197" s="192" t="str">
        <f t="array" ref="AD197">INDEX(AC:AC,SMALL(IF($AC$2:$AC$523&lt;&gt;"",ROW($2:$523),524),ROW(AC196)))&amp;""</f>
        <v/>
      </c>
      <c r="AE197" s="200" t="str">
        <f t="shared" si="7"/>
        <v/>
      </c>
      <c r="AJ197" s="192">
        <v>196</v>
      </c>
      <c r="AK197" s="193" t="str">
        <f>IF(法术书!AE53="","",法术书!AE53)</f>
        <v/>
      </c>
      <c r="AL197" s="224" t="str">
        <f t="array" ref="AL197">IFERROR(INDEX(AK$1:AK$301,SMALL(IF(MATCH(AK197,AK$1:AK$301,0)=ROW(AK197),ROW(AK$1:AK$301),999),ROW(AK197))),"")</f>
        <v/>
      </c>
      <c r="AM197" s="223" t="str">
        <f t="array" ref="AM197">INDEX(AL:AL,SMALL(IF($AL$2:$AL$301&lt;&gt;"",ROW($2:$301),302),ROW(AL196)))&amp;""</f>
        <v/>
      </c>
    </row>
    <row r="198" customHeight="1" spans="1:39">
      <c r="A198" s="192">
        <v>196</v>
      </c>
      <c r="B198" s="224" t="s">
        <v>7525</v>
      </c>
      <c r="C198" s="224" t="s">
        <v>7526</v>
      </c>
      <c r="E198" s="238" t="s">
        <v>6695</v>
      </c>
      <c r="F198" s="193" t="s">
        <v>6709</v>
      </c>
      <c r="G198" s="193" t="s">
        <v>6643</v>
      </c>
      <c r="H198" s="193">
        <v>1</v>
      </c>
      <c r="I198" s="193">
        <v>1</v>
      </c>
      <c r="J198" s="193">
        <v>1</v>
      </c>
      <c r="L198" s="224" t="s">
        <v>7527</v>
      </c>
      <c r="N198" s="193" t="s">
        <v>6704</v>
      </c>
      <c r="O198" s="224" t="s">
        <v>7528</v>
      </c>
      <c r="P198" s="224">
        <v>2</v>
      </c>
      <c r="Q198" s="247" t="str">
        <f>IF(综合数据!$B$11=TRUE,"EGW","")</f>
        <v>EGW</v>
      </c>
      <c r="AA198" s="223" t="s">
        <v>6897</v>
      </c>
      <c r="AB198" s="200" t="str">
        <f t="array" ref="AB198">INDEX(B:B,SMALL(IF($Q$3:$Q$524&lt;&gt;"",ROW($3:$524),525),ROW(B197)))&amp;""</f>
        <v>不动物件</v>
      </c>
      <c r="AC198" s="225" t="str">
        <f>IFERROR(IF(AND($Q199&lt;&gt;"",IF(法术查询!$J$4="",1,INDEX($R199:$Z199,1,VLOOKUP(法术查询!$J$4,$AF$2:$AG$10,2,0)))&lt;&gt;"",IF(法术查询!$J$5="",1,$P199=VLOOKUP(法术查询!$J$5,$AH$2:$AI$11,2,0)),IF(法术查询!$J$6="",1,IF(法术查询!$J$6=$E199,1,0)),IF(法术查询!$J$7="",1,SEARCH(法术查询!$J$7,$F199)),IF(法术查询!$J$8="",1,SEARCH(法术查询!$J$8,G199)),IF(法术查询!$J$9="",1,SEARCH(法术查询!$J$9,N199)),IF(法术查询!$J$10="",1,IF(法术查询!$J$10=$AF$11,IF($M199=1,1,0),IF($M199="",1,0))),IF(法术查询!$J$11="",1,IF(法术查询!$J$11=$AF$11,IF($D199=1,1,0),IF($D199="",1,0))),IF(法术查询!$J$12="",1,SEARCH(法术查询!$J$12,$B199&amp;$C199&amp;$O199)),IF(法术查询!$J$13="",1,SEARCH(法术查询!$J$13,$B199&amp;$C199&amp;$O199)),IF(法术查询!$J$14="",1,SEARCH(法术查询!$J$14,$B199&amp;$C199&amp;$O199)),IF(法术查询!$J$16="",1,IF(法术查询!$J$16=$AF$11,IF($H199=1,1,0),IF($H199="",1,0))),IF(法术查询!$J$17="",1,IF(法术查询!$J$17=$AF$11,IF($I199=1,1,0),IF($I199="",1,0))),IF(法术查询!$J$18="",1,IF(法术查询!$J$18=$AF$11,IF($J199&lt;&gt;"",1,0),IF($J199="",1,0))),IF(法术查询!$J$19="",1,IF(法术查询!$J$19=$AF$11,IF($L199&lt;&gt;"",1,0),IF($L199="",1,0)))),$B199,""),"")</f>
        <v/>
      </c>
      <c r="AD198" s="192" t="str">
        <f t="array" ref="AD198">INDEX(AC:AC,SMALL(IF($AC$2:$AC$523&lt;&gt;"",ROW($2:$523),524),ROW(AC197)))&amp;""</f>
        <v/>
      </c>
      <c r="AE198" s="200" t="str">
        <f t="shared" si="7"/>
        <v/>
      </c>
      <c r="AJ198" s="192">
        <v>197</v>
      </c>
      <c r="AK198" s="193" t="str">
        <f>IF(法术书!AE54="","",法术书!AE54)</f>
        <v/>
      </c>
      <c r="AL198" s="224" t="str">
        <f t="array" ref="AL198">IFERROR(INDEX(AK$1:AK$301,SMALL(IF(MATCH(AK198,AK$1:AK$301,0)=ROW(AK198),ROW(AK$1:AK$301),999),ROW(AK198))),"")</f>
        <v/>
      </c>
      <c r="AM198" s="223" t="str">
        <f t="array" ref="AM198">INDEX(AL:AL,SMALL(IF($AL$2:$AL$301&lt;&gt;"",ROW($2:$301),302),ROW(AL197)))&amp;""</f>
        <v/>
      </c>
    </row>
    <row r="199" customHeight="1" spans="1:39">
      <c r="A199" s="192">
        <v>197</v>
      </c>
      <c r="B199" s="224" t="s">
        <v>7529</v>
      </c>
      <c r="C199" s="224" t="s">
        <v>7530</v>
      </c>
      <c r="E199" s="231" t="s">
        <v>6672</v>
      </c>
      <c r="F199" s="193" t="s">
        <v>6642</v>
      </c>
      <c r="G199" s="193" t="s">
        <v>3760</v>
      </c>
      <c r="H199" s="193">
        <v>1</v>
      </c>
      <c r="I199" s="193">
        <v>1</v>
      </c>
      <c r="J199" s="193">
        <v>1</v>
      </c>
      <c r="L199" s="224" t="s">
        <v>7531</v>
      </c>
      <c r="N199" s="193" t="s">
        <v>6704</v>
      </c>
      <c r="O199" s="224" t="s">
        <v>7532</v>
      </c>
      <c r="P199" s="224">
        <v>2</v>
      </c>
      <c r="Q199" s="247" t="str">
        <f>IF(综合数据!$B$11=TRUE,"EGW","")</f>
        <v>EGW</v>
      </c>
      <c r="AA199" s="223" t="s">
        <v>3640</v>
      </c>
      <c r="AB199" s="200" t="str">
        <f t="array" ref="AB199">INDEX(B:B,SMALL(IF($Q$3:$Q$524&lt;&gt;"",ROW($3:$524),525),ROW(B198)))&amp;""</f>
        <v>魔袋术</v>
      </c>
      <c r="AC199" s="225" t="str">
        <f>IFERROR(IF(AND($Q200&lt;&gt;"",IF(法术查询!$J$4="",1,INDEX($R200:$Z200,1,VLOOKUP(法术查询!$J$4,$AF$2:$AG$10,2,0)))&lt;&gt;"",IF(法术查询!$J$5="",1,$P200=VLOOKUP(法术查询!$J$5,$AH$2:$AI$11,2,0)),IF(法术查询!$J$6="",1,IF(法术查询!$J$6=$E200,1,0)),IF(法术查询!$J$7="",1,SEARCH(法术查询!$J$7,$F200)),IF(法术查询!$J$8="",1,SEARCH(法术查询!$J$8,G200)),IF(法术查询!$J$9="",1,SEARCH(法术查询!$J$9,N200)),IF(法术查询!$J$10="",1,IF(法术查询!$J$10=$AF$11,IF($M200=1,1,0),IF($M200="",1,0))),IF(法术查询!$J$11="",1,IF(法术查询!$J$11=$AF$11,IF($D200=1,1,0),IF($D200="",1,0))),IF(法术查询!$J$12="",1,SEARCH(法术查询!$J$12,$B200&amp;$C200&amp;$O200)),IF(法术查询!$J$13="",1,SEARCH(法术查询!$J$13,$B200&amp;$C200&amp;$O200)),IF(法术查询!$J$14="",1,SEARCH(法术查询!$J$14,$B200&amp;$C200&amp;$O200)),IF(法术查询!$J$16="",1,IF(法术查询!$J$16=$AF$11,IF($H200=1,1,0),IF($H200="",1,0))),IF(法术查询!$J$17="",1,IF(法术查询!$J$17=$AF$11,IF($I200=1,1,0),IF($I200="",1,0))),IF(法术查询!$J$18="",1,IF(法术查询!$J$18=$AF$11,IF($J200&lt;&gt;"",1,0),IF($J200="",1,0))),IF(法术查询!$J$19="",1,IF(法术查询!$J$19=$AF$11,IF($L200&lt;&gt;"",1,0),IF($L200="",1,0)))),$B200,""),"")</f>
        <v/>
      </c>
      <c r="AD199" s="192" t="str">
        <f t="array" ref="AD199">INDEX(AC:AC,SMALL(IF($AC$2:$AC$523&lt;&gt;"",ROW($2:$523),524),ROW(AC198)))&amp;""</f>
        <v/>
      </c>
      <c r="AE199" s="200" t="str">
        <f t="shared" si="7"/>
        <v/>
      </c>
      <c r="AJ199" s="192">
        <v>198</v>
      </c>
      <c r="AK199" s="193" t="str">
        <f>IF(法术书!AE55="","",法术书!AE55)</f>
        <v/>
      </c>
      <c r="AL199" s="224" t="str">
        <f t="array" ref="AL199">IFERROR(INDEX(AK$1:AK$301,SMALL(IF(MATCH(AK199,AK$1:AK$301,0)=ROW(AK199),ROW(AK$1:AK$301),999),ROW(AK199))),"")</f>
        <v/>
      </c>
      <c r="AM199" s="223" t="str">
        <f t="array" ref="AM199">INDEX(AL:AL,SMALL(IF($AL$2:$AL$301&lt;&gt;"",ROW($2:$301),302),ROW(AL198)))&amp;""</f>
        <v/>
      </c>
    </row>
    <row r="200" customHeight="1" spans="1:39">
      <c r="A200" s="192">
        <v>198</v>
      </c>
      <c r="B200" s="224" t="s">
        <v>7533</v>
      </c>
      <c r="C200" s="224" t="s">
        <v>7534</v>
      </c>
      <c r="D200" s="193">
        <v>1</v>
      </c>
      <c r="E200" s="240" t="s">
        <v>6641</v>
      </c>
      <c r="F200" s="193" t="s">
        <v>6642</v>
      </c>
      <c r="G200" s="193" t="s">
        <v>6651</v>
      </c>
      <c r="I200" s="193">
        <v>1</v>
      </c>
      <c r="M200" s="193">
        <v>1</v>
      </c>
      <c r="N200" s="193" t="s">
        <v>6739</v>
      </c>
      <c r="O200" s="224" t="s">
        <v>7535</v>
      </c>
      <c r="P200" s="224">
        <v>2</v>
      </c>
      <c r="Q200" s="247" t="str">
        <f>IF(综合数据!$B$11=TRUE,"EGW","")</f>
        <v>EGW</v>
      </c>
      <c r="AA200" s="223" t="s">
        <v>6897</v>
      </c>
      <c r="AB200" s="200" t="str">
        <f t="array" ref="AB200">INDEX(B:B,SMALL(IF($Q$3:$Q$524&lt;&gt;"",ROW($3:$524),525),ROW(B199)))&amp;""</f>
        <v>巧舌如簧</v>
      </c>
      <c r="AC200" s="225" t="str">
        <f>IFERROR(IF(AND($Q201&lt;&gt;"",IF(法术查询!$J$4="",1,INDEX($R201:$Z201,1,VLOOKUP(法术查询!$J$4,$AF$2:$AG$10,2,0)))&lt;&gt;"",IF(法术查询!$J$5="",1,$P201=VLOOKUP(法术查询!$J$5,$AH$2:$AI$11,2,0)),IF(法术查询!$J$6="",1,IF(法术查询!$J$6=$E201,1,0)),IF(法术查询!$J$7="",1,SEARCH(法术查询!$J$7,$F201)),IF(法术查询!$J$8="",1,SEARCH(法术查询!$J$8,G201)),IF(法术查询!$J$9="",1,SEARCH(法术查询!$J$9,N201)),IF(法术查询!$J$10="",1,IF(法术查询!$J$10=$AF$11,IF($M201=1,1,0),IF($M201="",1,0))),IF(法术查询!$J$11="",1,IF(法术查询!$J$11=$AF$11,IF($D201=1,1,0),IF($D201="",1,0))),IF(法术查询!$J$12="",1,SEARCH(法术查询!$J$12,$B201&amp;$C201&amp;$O201)),IF(法术查询!$J$13="",1,SEARCH(法术查询!$J$13,$B201&amp;$C201&amp;$O201)),IF(法术查询!$J$14="",1,SEARCH(法术查询!$J$14,$B201&amp;$C201&amp;$O201)),IF(法术查询!$J$16="",1,IF(法术查询!$J$16=$AF$11,IF($H201=1,1,0),IF($H201="",1,0))),IF(法术查询!$J$17="",1,IF(法术查询!$J$17=$AF$11,IF($I201=1,1,0),IF($I201="",1,0))),IF(法术查询!$J$18="",1,IF(法术查询!$J$18=$AF$11,IF($J201&lt;&gt;"",1,0),IF($J201="",1,0))),IF(法术查询!$J$19="",1,IF(法术查询!$J$19=$AF$11,IF($L201&lt;&gt;"",1,0),IF($L201="",1,0)))),$B201,""),"")</f>
        <v/>
      </c>
      <c r="AD200" s="192" t="str">
        <f t="array" ref="AD200">INDEX(AC:AC,SMALL(IF($AC$2:$AC$523&lt;&gt;"",ROW($2:$523),524),ROW(AC199)))&amp;""</f>
        <v/>
      </c>
      <c r="AE200" s="200" t="str">
        <f t="shared" si="7"/>
        <v/>
      </c>
      <c r="AJ200" s="192">
        <v>199</v>
      </c>
      <c r="AK200" s="193" t="str">
        <f>IF(法术书!AE56="","",法术书!AE56)</f>
        <v/>
      </c>
      <c r="AL200" s="224" t="str">
        <f t="array" ref="AL200">IFERROR(INDEX(AK$1:AK$301,SMALL(IF(MATCH(AK200,AK$1:AK$301,0)=ROW(AK200),ROW(AK$1:AK$301),999),ROW(AK200))),"")</f>
        <v/>
      </c>
      <c r="AM200" s="223" t="str">
        <f t="array" ref="AM200">INDEX(AL:AL,SMALL(IF($AL$2:$AL$301&lt;&gt;"",ROW($2:$301),302),ROW(AL199)))&amp;""</f>
        <v/>
      </c>
    </row>
    <row r="201" customHeight="1" spans="1:39">
      <c r="A201" s="192">
        <v>199</v>
      </c>
      <c r="B201" s="224" t="s">
        <v>2649</v>
      </c>
      <c r="C201" s="224" t="s">
        <v>7536</v>
      </c>
      <c r="E201" s="233" t="s">
        <v>6688</v>
      </c>
      <c r="F201" s="193" t="s">
        <v>6812</v>
      </c>
      <c r="G201" s="193" t="s">
        <v>6651</v>
      </c>
      <c r="H201" s="193">
        <v>1</v>
      </c>
      <c r="I201" s="193">
        <v>1</v>
      </c>
      <c r="J201" s="193">
        <v>1</v>
      </c>
      <c r="L201" s="224" t="s">
        <v>7537</v>
      </c>
      <c r="N201" s="193" t="s">
        <v>6644</v>
      </c>
      <c r="O201" s="224" t="s">
        <v>7538</v>
      </c>
      <c r="P201" s="224">
        <v>2</v>
      </c>
      <c r="Q201" s="250" t="str">
        <f>IF(综合数据!$B$12=TRUE,"AI","")</f>
        <v>AI</v>
      </c>
      <c r="R201" s="193">
        <v>11</v>
      </c>
      <c r="X201" s="193">
        <v>11</v>
      </c>
      <c r="AA201" s="200"/>
      <c r="AB201" s="200" t="str">
        <f t="array" ref="AB201">INDEX(B:B,SMALL(IF($Q$3:$Q$524&lt;&gt;"",ROW($3:$524),525),ROW(B200)))&amp;""</f>
        <v>吉姆的发光硬币</v>
      </c>
      <c r="AC201" s="225" t="str">
        <f>IFERROR(IF(AND($Q202&lt;&gt;"",IF(法术查询!$J$4="",1,INDEX($R202:$Z202,1,VLOOKUP(法术查询!$J$4,$AF$2:$AG$10,2,0)))&lt;&gt;"",IF(法术查询!$J$5="",1,$P202=VLOOKUP(法术查询!$J$5,$AH$2:$AI$11,2,0)),IF(法术查询!$J$6="",1,IF(法术查询!$J$6=$E202,1,0)),IF(法术查询!$J$7="",1,SEARCH(法术查询!$J$7,$F202)),IF(法术查询!$J$8="",1,SEARCH(法术查询!$J$8,G202)),IF(法术查询!$J$9="",1,SEARCH(法术查询!$J$9,N202)),IF(法术查询!$J$10="",1,IF(法术查询!$J$10=$AF$11,IF($M202=1,1,0),IF($M202="",1,0))),IF(法术查询!$J$11="",1,IF(法术查询!$J$11=$AF$11,IF($D202=1,1,0),IF($D202="",1,0))),IF(法术查询!$J$12="",1,SEARCH(法术查询!$J$12,$B202&amp;$C202&amp;$O202)),IF(法术查询!$J$13="",1,SEARCH(法术查询!$J$13,$B202&amp;$C202&amp;$O202)),IF(法术查询!$J$14="",1,SEARCH(法术查询!$J$14,$B202&amp;$C202&amp;$O202)),IF(法术查询!$J$16="",1,IF(法术查询!$J$16=$AF$11,IF($H202=1,1,0),IF($H202="",1,0))),IF(法术查询!$J$17="",1,IF(法术查询!$J$17=$AF$11,IF($I202=1,1,0),IF($I202="",1,0))),IF(法术查询!$J$18="",1,IF(法术查询!$J$18=$AF$11,IF($J202&lt;&gt;"",1,0),IF($J202="",1,0))),IF(法术查询!$J$19="",1,IF(法术查询!$J$19=$AF$11,IF($L202&lt;&gt;"",1,0),IF($L202="",1,0)))),$B202,""),"")</f>
        <v/>
      </c>
      <c r="AD201" s="192" t="str">
        <f t="array" ref="AD201">INDEX(AC:AC,SMALL(IF($AC$2:$AC$523&lt;&gt;"",ROW($2:$523),524),ROW(AC200)))&amp;""</f>
        <v/>
      </c>
      <c r="AE201" s="200" t="str">
        <f t="shared" si="7"/>
        <v/>
      </c>
      <c r="AJ201" s="192">
        <v>200</v>
      </c>
      <c r="AK201" s="193" t="str">
        <f>IF(法术书!AE57="","",法术书!AE57)</f>
        <v/>
      </c>
      <c r="AL201" s="224" t="str">
        <f t="array" ref="AL201">IFERROR(INDEX(AK$1:AK$301,SMALL(IF(MATCH(AK201,AK$1:AK$301,0)=ROW(AK201),ROW(AK$1:AK$301),999),ROW(AK201))),"")</f>
        <v/>
      </c>
      <c r="AM201" s="223" t="str">
        <f t="array" ref="AM201">INDEX(AL:AL,SMALL(IF($AL$2:$AL$301&lt;&gt;"",ROW($2:$301),302),ROW(AL200)))&amp;""</f>
        <v/>
      </c>
    </row>
    <row r="202" customHeight="1" spans="1:39">
      <c r="A202" s="192">
        <v>200</v>
      </c>
      <c r="B202" s="224" t="s">
        <v>7539</v>
      </c>
      <c r="C202" s="224" t="s">
        <v>7540</v>
      </c>
      <c r="E202" s="233" t="s">
        <v>6688</v>
      </c>
      <c r="F202" s="193" t="s">
        <v>6642</v>
      </c>
      <c r="G202" s="193" t="s">
        <v>6643</v>
      </c>
      <c r="I202" s="193">
        <v>1</v>
      </c>
      <c r="J202" s="193">
        <v>2</v>
      </c>
      <c r="K202" s="224" t="s">
        <v>7541</v>
      </c>
      <c r="L202" s="224" t="s">
        <v>7537</v>
      </c>
      <c r="N202" s="193" t="s">
        <v>6709</v>
      </c>
      <c r="O202" s="224" t="s">
        <v>7542</v>
      </c>
      <c r="P202" s="224">
        <v>2</v>
      </c>
      <c r="Q202" s="250" t="str">
        <f>IF(综合数据!$B$12=TRUE,"AI","")</f>
        <v>AI</v>
      </c>
      <c r="X202" s="193">
        <v>11</v>
      </c>
      <c r="AA202" s="200"/>
      <c r="AB202" s="200" t="str">
        <f t="array" ref="AB202">INDEX(B:B,SMALL(IF($Q$3:$Q$524&lt;&gt;"",ROW($3:$524),525),ROW(B201)))&amp;""</f>
        <v>野兽召唤术</v>
      </c>
      <c r="AC202" s="225" t="str">
        <f>IFERROR(IF(AND($Q203&lt;&gt;"",IF(法术查询!$J$4="",1,INDEX($R203:$Z203,1,VLOOKUP(法术查询!$J$4,$AF$2:$AG$10,2,0)))&lt;&gt;"",IF(法术查询!$J$5="",1,$P203=VLOOKUP(法术查询!$J$5,$AH$2:$AI$11,2,0)),IF(法术查询!$J$6="",1,IF(法术查询!$J$6=$E203,1,0)),IF(法术查询!$J$7="",1,SEARCH(法术查询!$J$7,$F203)),IF(法术查询!$J$8="",1,SEARCH(法术查询!$J$8,G203)),IF(法术查询!$J$9="",1,SEARCH(法术查询!$J$9,N203)),IF(法术查询!$J$10="",1,IF(法术查询!$J$10=$AF$11,IF($M203=1,1,0),IF($M203="",1,0))),IF(法术查询!$J$11="",1,IF(法术查询!$J$11=$AF$11,IF($D203=1,1,0),IF($D203="",1,0))),IF(法术查询!$J$12="",1,SEARCH(法术查询!$J$12,$B203&amp;$C203&amp;$O203)),IF(法术查询!$J$13="",1,SEARCH(法术查询!$J$13,$B203&amp;$C203&amp;$O203)),IF(法术查询!$J$14="",1,SEARCH(法术查询!$J$14,$B203&amp;$C203&amp;$O203)),IF(法术查询!$J$16="",1,IF(法术查询!$J$16=$AF$11,IF($H203=1,1,0),IF($H203="",1,0))),IF(法术查询!$J$17="",1,IF(法术查询!$J$17=$AF$11,IF($I203=1,1,0),IF($I203="",1,0))),IF(法术查询!$J$18="",1,IF(法术查询!$J$18=$AF$11,IF($J203&lt;&gt;"",1,0),IF($J203="",1,0))),IF(法术查询!$J$19="",1,IF(法术查询!$J$19=$AF$11,IF($L203&lt;&gt;"",1,0),IF($L203="",1,0)))),$B203,""),"")</f>
        <v/>
      </c>
      <c r="AD202" s="192" t="str">
        <f t="array" ref="AD202">INDEX(AC:AC,SMALL(IF($AC$2:$AC$523&lt;&gt;"",ROW($2:$523),524),ROW(AC201)))&amp;""</f>
        <v/>
      </c>
      <c r="AE202" s="200" t="str">
        <f t="shared" si="7"/>
        <v/>
      </c>
      <c r="AJ202" s="252">
        <v>201</v>
      </c>
      <c r="AK202" s="218" t="str">
        <f>IF(法术书!AH8="","",法术书!AH8)</f>
        <v/>
      </c>
      <c r="AL202" s="218" t="str">
        <f t="array" ref="AL202">IFERROR(INDEX(AK$1:AK$301,SMALL(IF(MATCH(AK202,AK$1:AK$301,0)=ROW(AK202),ROW(AK$1:AK$301),999),ROW(AK202))),"")</f>
        <v/>
      </c>
      <c r="AM202" s="220" t="str">
        <f t="array" ref="AM202">INDEX(AL:AL,SMALL(IF($AL$2:$AL$301&lt;&gt;"",ROW($2:$301),302),ROW(AL201)))&amp;""</f>
        <v/>
      </c>
    </row>
    <row r="203" customHeight="1" spans="1:39">
      <c r="A203" s="192">
        <v>201</v>
      </c>
      <c r="B203" s="224" t="s">
        <v>7543</v>
      </c>
      <c r="C203" s="224" t="s">
        <v>7544</v>
      </c>
      <c r="E203" s="240" t="s">
        <v>6641</v>
      </c>
      <c r="F203" s="193" t="s">
        <v>6642</v>
      </c>
      <c r="G203" s="193" t="s">
        <v>6760</v>
      </c>
      <c r="H203" s="193">
        <v>1</v>
      </c>
      <c r="I203" s="193">
        <v>1</v>
      </c>
      <c r="J203" s="193">
        <v>1</v>
      </c>
      <c r="K203" s="224" t="s">
        <v>7545</v>
      </c>
      <c r="L203" s="224"/>
      <c r="M203" s="193">
        <v>1</v>
      </c>
      <c r="N203" s="193" t="s">
        <v>6739</v>
      </c>
      <c r="O203" s="224" t="s">
        <v>7546</v>
      </c>
      <c r="P203" s="224">
        <v>2</v>
      </c>
      <c r="Q203" s="248" t="str">
        <f>IF(综合数据!$B$14=TRUE,"TCE","")</f>
        <v>TCE</v>
      </c>
      <c r="T203" s="193">
        <v>13</v>
      </c>
      <c r="V203" s="193">
        <v>13</v>
      </c>
      <c r="AA203" s="200"/>
      <c r="AB203" s="200" t="str">
        <f t="array" ref="AB203">INDEX(B:B,SMALL(IF($Q$3:$Q$524&lt;&gt;"",ROW($3:$524),525),ROW(B202)))&amp;""</f>
        <v>塔莎心灵鞭</v>
      </c>
      <c r="AC203" s="225" t="str">
        <f>IFERROR(IF(AND($Q204&lt;&gt;"",IF(法术查询!$J$4="",1,INDEX($R204:$Z204,1,VLOOKUP(法术查询!$J$4,$AF$2:$AG$10,2,0)))&lt;&gt;"",IF(法术查询!$J$5="",1,$P204=VLOOKUP(法术查询!$J$5,$AH$2:$AI$11,2,0)),IF(法术查询!$J$6="",1,IF(法术查询!$J$6=$E204,1,0)),IF(法术查询!$J$7="",1,SEARCH(法术查询!$J$7,$F204)),IF(法术查询!$J$8="",1,SEARCH(法术查询!$J$8,G204)),IF(法术查询!$J$9="",1,SEARCH(法术查询!$J$9,N204)),IF(法术查询!$J$10="",1,IF(法术查询!$J$10=$AF$11,IF($M204=1,1,0),IF($M204="",1,0))),IF(法术查询!$J$11="",1,IF(法术查询!$J$11=$AF$11,IF($D204=1,1,0),IF($D204="",1,0))),IF(法术查询!$J$12="",1,SEARCH(法术查询!$J$12,$B204&amp;$C204&amp;$O204)),IF(法术查询!$J$13="",1,SEARCH(法术查询!$J$13,$B204&amp;$C204&amp;$O204)),IF(法术查询!$J$14="",1,SEARCH(法术查询!$J$14,$B204&amp;$C204&amp;$O204)),IF(法术查询!$J$16="",1,IF(法术查询!$J$16=$AF$11,IF($H204=1,1,0),IF($H204="",1,0))),IF(法术查询!$J$17="",1,IF(法术查询!$J$17=$AF$11,IF($I204=1,1,0),IF($I204="",1,0))),IF(法术查询!$J$18="",1,IF(法术查询!$J$18=$AF$11,IF($J204&lt;&gt;"",1,0),IF($J204="",1,0))),IF(法术查询!$J$19="",1,IF(法术查询!$J$19=$AF$11,IF($L204&lt;&gt;"",1,0),IF($L204="",1,0)))),$B204,""),"")</f>
        <v/>
      </c>
      <c r="AD203" s="192" t="str">
        <f t="array" ref="AD203">INDEX(AC:AC,SMALL(IF($AC$2:$AC$523&lt;&gt;"",ROW($2:$523),524),ROW(AC202)))&amp;""</f>
        <v/>
      </c>
      <c r="AE203" s="200" t="str">
        <f t="shared" si="7"/>
        <v/>
      </c>
      <c r="AJ203" s="192">
        <v>202</v>
      </c>
      <c r="AK203" s="224" t="str">
        <f>IF(法术书!AH9="","",法术书!AH9)</f>
        <v/>
      </c>
      <c r="AL203" s="224" t="str">
        <f t="array" ref="AL203">IFERROR(INDEX(AK$1:AK$301,SMALL(IF(MATCH(AK203,AK$1:AK$301,0)=ROW(AK203),ROW(AK$1:AK$301),999),ROW(AK203))),"")</f>
        <v/>
      </c>
      <c r="AM203" s="223" t="str">
        <f t="array" ref="AM203">INDEX(AL:AL,SMALL(IF($AL$2:$AL$301&lt;&gt;"",ROW($2:$301),302),ROW(AL202)))&amp;""</f>
        <v/>
      </c>
    </row>
    <row r="204" customHeight="1" spans="1:39">
      <c r="A204" s="192">
        <v>202</v>
      </c>
      <c r="B204" s="224" t="s">
        <v>7547</v>
      </c>
      <c r="C204" s="224" t="s">
        <v>7548</v>
      </c>
      <c r="E204" s="233" t="s">
        <v>6688</v>
      </c>
      <c r="F204" s="193" t="s">
        <v>6642</v>
      </c>
      <c r="G204" s="193" t="s">
        <v>6760</v>
      </c>
      <c r="H204" s="193">
        <v>1</v>
      </c>
      <c r="K204" s="224"/>
      <c r="L204" s="224"/>
      <c r="N204" s="193" t="s">
        <v>6652</v>
      </c>
      <c r="O204" s="224" t="s">
        <v>7549</v>
      </c>
      <c r="P204" s="224">
        <v>2</v>
      </c>
      <c r="Q204" s="248" t="str">
        <f>IF(综合数据!$B$14=TRUE,"TCE","")</f>
        <v>TCE</v>
      </c>
      <c r="W204" s="193">
        <v>13</v>
      </c>
      <c r="X204" s="193">
        <v>13</v>
      </c>
      <c r="AA204" s="200"/>
      <c r="AB204" s="200" t="str">
        <f t="array" ref="AB204">INDEX(B:B,SMALL(IF($Q$3:$Q$524&lt;&gt;"",ROW($3:$524),525),ROW(B203)))&amp;""</f>
        <v>纳撒尔恶作剧</v>
      </c>
      <c r="AC204" s="225" t="str">
        <f>IFERROR(IF(AND($Q205&lt;&gt;"",IF(法术查询!$J$4="",1,INDEX($R205:$Z205,1,VLOOKUP(法术查询!$J$4,$AF$2:$AG$10,2,0)))&lt;&gt;"",IF(法术查询!$J$5="",1,$P205=VLOOKUP(法术查询!$J$5,$AH$2:$AI$11,2,0)),IF(法术查询!$J$6="",1,IF(法术查询!$J$6=$E205,1,0)),IF(法术查询!$J$7="",1,SEARCH(法术查询!$J$7,$F205)),IF(法术查询!$J$8="",1,SEARCH(法术查询!$J$8,G205)),IF(法术查询!$J$9="",1,SEARCH(法术查询!$J$9,N205)),IF(法术查询!$J$10="",1,IF(法术查询!$J$10=$AF$11,IF($M205=1,1,0),IF($M205="",1,0))),IF(法术查询!$J$11="",1,IF(法术查询!$J$11=$AF$11,IF($D205=1,1,0),IF($D205="",1,0))),IF(法术查询!$J$12="",1,SEARCH(法术查询!$J$12,$B205&amp;$C205&amp;$O205)),IF(法术查询!$J$13="",1,SEARCH(法术查询!$J$13,$B205&amp;$C205&amp;$O205)),IF(法术查询!$J$14="",1,SEARCH(法术查询!$J$14,$B205&amp;$C205&amp;$O205)),IF(法术查询!$J$16="",1,IF(法术查询!$J$16=$AF$11,IF($H205=1,1,0),IF($H205="",1,0))),IF(法术查询!$J$17="",1,IF(法术查询!$J$17=$AF$11,IF($I205=1,1,0),IF($I205="",1,0))),IF(法术查询!$J$18="",1,IF(法术查询!$J$18=$AF$11,IF($J205&lt;&gt;"",1,0),IF($J205="",1,0))),IF(法术查询!$J$19="",1,IF(法术查询!$J$19=$AF$11,IF($L205&lt;&gt;"",1,0),IF($L205="",1,0)))),$B205,""),"")</f>
        <v/>
      </c>
      <c r="AD204" s="192" t="str">
        <f t="array" ref="AD204">INDEX(AC:AC,SMALL(IF($AC$2:$AC$523&lt;&gt;"",ROW($2:$523),524),ROW(AC203)))&amp;""</f>
        <v/>
      </c>
      <c r="AE204" s="200" t="str">
        <f t="shared" si="7"/>
        <v/>
      </c>
      <c r="AJ204" s="192">
        <v>203</v>
      </c>
      <c r="AK204" s="224" t="str">
        <f>IF(法术书!AH10="","",法术书!AH10)</f>
        <v/>
      </c>
      <c r="AL204" s="224" t="str">
        <f t="array" ref="AL204">IFERROR(INDEX(AK$1:AK$301,SMALL(IF(MATCH(AK204,AK$1:AK$301,0)=ROW(AK204),ROW(AK$1:AK$301),999),ROW(AK204))),"")</f>
        <v/>
      </c>
      <c r="AM204" s="223" t="str">
        <f t="array" ref="AM204">INDEX(AL:AL,SMALL(IF($AL$2:$AL$301&lt;&gt;"",ROW($2:$301),302),ROW(AL203)))&amp;""</f>
        <v/>
      </c>
    </row>
    <row r="205" customHeight="1" spans="1:39">
      <c r="A205" s="192">
        <v>203</v>
      </c>
      <c r="B205" s="224" t="s">
        <v>7550</v>
      </c>
      <c r="C205" s="224" t="s">
        <v>7551</v>
      </c>
      <c r="E205" s="241" t="s">
        <v>6726</v>
      </c>
      <c r="F205" s="193" t="s">
        <v>6642</v>
      </c>
      <c r="G205" s="193" t="s">
        <v>6643</v>
      </c>
      <c r="I205" s="193">
        <v>1</v>
      </c>
      <c r="J205" s="193">
        <v>1</v>
      </c>
      <c r="K205" s="224" t="s">
        <v>7552</v>
      </c>
      <c r="M205" s="193">
        <v>1</v>
      </c>
      <c r="N205" s="193" t="s">
        <v>6666</v>
      </c>
      <c r="O205" s="224" t="s">
        <v>7553</v>
      </c>
      <c r="P205" s="193">
        <v>2</v>
      </c>
      <c r="Q205" s="253" t="str">
        <f>IF(综合数据!$B$16=TRUE,"FTD","")</f>
        <v>FTD</v>
      </c>
      <c r="R205" s="193">
        <v>15</v>
      </c>
      <c r="W205" s="193">
        <v>15</v>
      </c>
      <c r="X205" s="193">
        <v>15</v>
      </c>
      <c r="AA205" s="200"/>
      <c r="AB205" s="200" t="str">
        <f t="array" ref="AB205">INDEX(B:B,SMALL(IF($Q$3:$Q$524&lt;&gt;"",ROW($3:$524),525),ROW(B204)))&amp;""</f>
        <v>莱姆束缚之霜</v>
      </c>
      <c r="AC205" s="225" t="str">
        <f>IFERROR(IF(AND($Q206&lt;&gt;"",IF(法术查询!$J$4="",1,INDEX($R206:$Z206,1,VLOOKUP(法术查询!$J$4,$AF$2:$AG$10,2,0)))&lt;&gt;"",IF(法术查询!$J$5="",1,$P206=VLOOKUP(法术查询!$J$5,$AH$2:$AI$11,2,0)),IF(法术查询!$J$6="",1,IF(法术查询!$J$6=$E206,1,0)),IF(法术查询!$J$7="",1,SEARCH(法术查询!$J$7,$F206)),IF(法术查询!$J$8="",1,SEARCH(法术查询!$J$8,G206)),IF(法术查询!$J$9="",1,SEARCH(法术查询!$J$9,N206)),IF(法术查询!$J$10="",1,IF(法术查询!$J$10=$AF$11,IF($M206=1,1,0),IF($M206="",1,0))),IF(法术查询!$J$11="",1,IF(法术查询!$J$11=$AF$11,IF($D206=1,1,0),IF($D206="",1,0))),IF(法术查询!$J$12="",1,SEARCH(法术查询!$J$12,$B206&amp;$C206&amp;$O206)),IF(法术查询!$J$13="",1,SEARCH(法术查询!$J$13,$B206&amp;$C206&amp;$O206)),IF(法术查询!$J$14="",1,SEARCH(法术查询!$J$14,$B206&amp;$C206&amp;$O206)),IF(法术查询!$J$16="",1,IF(法术查询!$J$16=$AF$11,IF($H206=1,1,0),IF($H206="",1,0))),IF(法术查询!$J$17="",1,IF(法术查询!$J$17=$AF$11,IF($I206=1,1,0),IF($I206="",1,0))),IF(法术查询!$J$18="",1,IF(法术查询!$J$18=$AF$11,IF($J206&lt;&gt;"",1,0),IF($J206="",1,0))),IF(法术查询!$J$19="",1,IF(法术查询!$J$19=$AF$11,IF($L206&lt;&gt;"",1,0),IF($L206="",1,0)))),$B206,""),"")</f>
        <v/>
      </c>
      <c r="AD205" s="192" t="str">
        <f t="array" ref="AD205">INDEX(AC:AC,SMALL(IF($AC$2:$AC$523&lt;&gt;"",ROW($2:$523),524),ROW(AC204)))&amp;""</f>
        <v/>
      </c>
      <c r="AE205" s="200" t="str">
        <f t="shared" si="7"/>
        <v/>
      </c>
      <c r="AJ205" s="192">
        <v>204</v>
      </c>
      <c r="AK205" s="224" t="str">
        <f>IF(法术书!AH11="","",法术书!AH11)</f>
        <v/>
      </c>
      <c r="AL205" s="224" t="str">
        <f t="array" ref="AL205">IFERROR(INDEX(AK$1:AK$301,SMALL(IF(MATCH(AK205,AK$1:AK$301,0)=ROW(AK205),ROW(AK$1:AK$301),999),ROW(AK205))),"")</f>
        <v/>
      </c>
      <c r="AM205" s="223" t="str">
        <f t="array" ref="AM205">INDEX(AL:AL,SMALL(IF($AL$2:$AL$301&lt;&gt;"",ROW($2:$301),302),ROW(AL204)))&amp;""</f>
        <v/>
      </c>
    </row>
    <row r="206" customHeight="1" spans="1:39">
      <c r="A206" s="192">
        <v>204</v>
      </c>
      <c r="B206" s="224" t="s">
        <v>7554</v>
      </c>
      <c r="C206" s="224" t="s">
        <v>7555</v>
      </c>
      <c r="E206" s="229" t="s">
        <v>6664</v>
      </c>
      <c r="F206" s="193" t="s">
        <v>6642</v>
      </c>
      <c r="G206" s="193" t="s">
        <v>6875</v>
      </c>
      <c r="I206" s="193">
        <v>1</v>
      </c>
      <c r="J206" s="193">
        <v>1</v>
      </c>
      <c r="K206" s="224" t="s">
        <v>7556</v>
      </c>
      <c r="N206" s="193" t="s">
        <v>6644</v>
      </c>
      <c r="O206" s="224" t="s">
        <v>7557</v>
      </c>
      <c r="P206" s="193">
        <v>2</v>
      </c>
      <c r="Q206" s="253" t="str">
        <f>IF(综合数据!$B$16=TRUE,"FTD","")</f>
        <v>FTD</v>
      </c>
      <c r="W206" s="193">
        <v>15</v>
      </c>
      <c r="X206" s="193">
        <v>15</v>
      </c>
      <c r="AA206" s="200"/>
      <c r="AB206" s="200" t="str">
        <f t="array" ref="AB206">INDEX(B:B,SMALL(IF($Q$3:$Q$524&lt;&gt;"",ROW($3:$524),525),ROW(B205)))&amp;""</f>
        <v>借鉴才学</v>
      </c>
      <c r="AC206" s="225" t="str">
        <f>IFERROR(IF(AND($Q207&lt;&gt;"",IF(法术查询!$J$4="",1,INDEX($R207:$Z207,1,VLOOKUP(法术查询!$J$4,$AF$2:$AG$10,2,0)))&lt;&gt;"",IF(法术查询!$J$5="",1,$P207=VLOOKUP(法术查询!$J$5,$AH$2:$AI$11,2,0)),IF(法术查询!$J$6="",1,IF(法术查询!$J$6=$E207,1,0)),IF(法术查询!$J$7="",1,SEARCH(法术查询!$J$7,$F207)),IF(法术查询!$J$8="",1,SEARCH(法术查询!$J$8,G207)),IF(法术查询!$J$9="",1,SEARCH(法术查询!$J$9,N207)),IF(法术查询!$J$10="",1,IF(法术查询!$J$10=$AF$11,IF($M207=1,1,0),IF($M207="",1,0))),IF(法术查询!$J$11="",1,IF(法术查询!$J$11=$AF$11,IF($D207=1,1,0),IF($D207="",1,0))),IF(法术查询!$J$12="",1,SEARCH(法术查询!$J$12,$B207&amp;$C207&amp;$O207)),IF(法术查询!$J$13="",1,SEARCH(法术查询!$J$13,$B207&amp;$C207&amp;$O207)),IF(法术查询!$J$14="",1,SEARCH(法术查询!$J$14,$B207&amp;$C207&amp;$O207)),IF(法术查询!$J$16="",1,IF(法术查询!$J$16=$AF$11,IF($H207=1,1,0),IF($H207="",1,0))),IF(法术查询!$J$17="",1,IF(法术查询!$J$17=$AF$11,IF($I207=1,1,0),IF($I207="",1,0))),IF(法术查询!$J$18="",1,IF(法术查询!$J$18=$AF$11,IF($J207&lt;&gt;"",1,0),IF($J207="",1,0))),IF(法术查询!$J$19="",1,IF(法术查询!$J$19=$AF$11,IF($L207&lt;&gt;"",1,0),IF($L207="",1,0)))),$B207,""),"")</f>
        <v/>
      </c>
      <c r="AD206" s="192" t="str">
        <f t="array" ref="AD206">INDEX(AC:AC,SMALL(IF($AC$2:$AC$523&lt;&gt;"",ROW($2:$523),524),ROW(AC205)))&amp;""</f>
        <v/>
      </c>
      <c r="AE206" s="200" t="str">
        <f t="shared" si="7"/>
        <v/>
      </c>
      <c r="AJ206" s="192">
        <v>205</v>
      </c>
      <c r="AK206" s="224" t="str">
        <f>IF(法术书!AH12="","",法术书!AH12)</f>
        <v/>
      </c>
      <c r="AL206" s="224" t="str">
        <f t="array" ref="AL206">IFERROR(INDEX(AK$1:AK$301,SMALL(IF(MATCH(AK206,AK$1:AK$301,0)=ROW(AK206),ROW(AK$1:AK$301),999),ROW(AK206))),"")</f>
        <v/>
      </c>
      <c r="AM206" s="223" t="str">
        <f t="array" ref="AM206">INDEX(AL:AL,SMALL(IF($AL$2:$AL$301&lt;&gt;"",ROW($2:$301),302),ROW(AL205)))&amp;""</f>
        <v/>
      </c>
    </row>
    <row r="207" customHeight="1" spans="1:39">
      <c r="A207" s="192">
        <v>205</v>
      </c>
      <c r="B207" s="224" t="s">
        <v>7558</v>
      </c>
      <c r="C207" s="224" t="s">
        <v>7559</v>
      </c>
      <c r="E207" s="238" t="s">
        <v>6695</v>
      </c>
      <c r="F207" s="193" t="s">
        <v>6642</v>
      </c>
      <c r="G207" s="193" t="s">
        <v>6651</v>
      </c>
      <c r="H207" s="193">
        <v>1</v>
      </c>
      <c r="I207" s="193">
        <v>1</v>
      </c>
      <c r="J207" s="193">
        <v>1</v>
      </c>
      <c r="K207" s="224" t="s">
        <v>7560</v>
      </c>
      <c r="N207" s="193" t="s">
        <v>6704</v>
      </c>
      <c r="O207" s="224" t="s">
        <v>7561</v>
      </c>
      <c r="P207" s="224">
        <v>2</v>
      </c>
      <c r="Q207" s="251" t="str">
        <f>IF(综合数据!$B$17=TRUE,"SCC","")</f>
        <v>SCC</v>
      </c>
      <c r="R207" s="193">
        <v>16</v>
      </c>
      <c r="S207" s="193">
        <v>16</v>
      </c>
      <c r="X207" s="193">
        <v>16</v>
      </c>
      <c r="Y207" s="193">
        <v>16</v>
      </c>
      <c r="AA207" s="200" t="s">
        <v>7562</v>
      </c>
      <c r="AB207" s="200" t="str">
        <f t="array" ref="AB207">INDEX(B:B,SMALL(IF($Q$3:$Q$524&lt;&gt;"",ROW($3:$524),525),ROW(B206)))&amp;""</f>
        <v>动力短行</v>
      </c>
      <c r="AC207" s="225" t="str">
        <f>IFERROR(IF(AND($Q208&lt;&gt;"",IF(法术查询!$J$4="",1,INDEX($R208:$Z208,1,VLOOKUP(法术查询!$J$4,$AF$2:$AG$10,2,0)))&lt;&gt;"",IF(法术查询!$J$5="",1,$P208=VLOOKUP(法术查询!$J$5,$AH$2:$AI$11,2,0)),IF(法术查询!$J$6="",1,IF(法术查询!$J$6=$E208,1,0)),IF(法术查询!$J$7="",1,SEARCH(法术查询!$J$7,$F208)),IF(法术查询!$J$8="",1,SEARCH(法术查询!$J$8,G208)),IF(法术查询!$J$9="",1,SEARCH(法术查询!$J$9,N208)),IF(法术查询!$J$10="",1,IF(法术查询!$J$10=$AF$11,IF($M208=1,1,0),IF($M208="",1,0))),IF(法术查询!$J$11="",1,IF(法术查询!$J$11=$AF$11,IF($D208=1,1,0),IF($D208="",1,0))),IF(法术查询!$J$12="",1,SEARCH(法术查询!$J$12,$B208&amp;$C208&amp;$O208)),IF(法术查询!$J$13="",1,SEARCH(法术查询!$J$13,$B208&amp;$C208&amp;$O208)),IF(法术查询!$J$14="",1,SEARCH(法术查询!$J$14,$B208&amp;$C208&amp;$O208)),IF(法术查询!$J$16="",1,IF(法术查询!$J$16=$AF$11,IF($H208=1,1,0),IF($H208="",1,0))),IF(法术查询!$J$17="",1,IF(法术查询!$J$17=$AF$11,IF($I208=1,1,0),IF($I208="",1,0))),IF(法术查询!$J$18="",1,IF(法术查询!$J$18=$AF$11,IF($J208&lt;&gt;"",1,0),IF($J208="",1,0))),IF(法术查询!$J$19="",1,IF(法术查询!$J$19=$AF$11,IF($L208&lt;&gt;"",1,0),IF($L208="",1,0)))),$B208,""),"")</f>
        <v>动力短行</v>
      </c>
      <c r="AD207" s="192" t="str">
        <f t="array" ref="AD207">INDEX(AC:AC,SMALL(IF($AC$2:$AC$523&lt;&gt;"",ROW($2:$523),524),ROW(AC206)))&amp;""</f>
        <v/>
      </c>
      <c r="AE207" s="200" t="str">
        <f t="shared" si="7"/>
        <v/>
      </c>
      <c r="AJ207" s="192">
        <v>206</v>
      </c>
      <c r="AK207" s="224" t="str">
        <f>IF(法术书!AH13="","",法术书!AH13)</f>
        <v/>
      </c>
      <c r="AL207" s="224" t="str">
        <f t="array" ref="AL207">IFERROR(INDEX(AK$1:AK$301,SMALL(IF(MATCH(AK207,AK$1:AK$301,0)=ROW(AK207),ROW(AK$1:AK$301),999),ROW(AK207))),"")</f>
        <v/>
      </c>
      <c r="AM207" s="223" t="str">
        <f t="array" ref="AM207">INDEX(AL:AL,SMALL(IF($AL$2:$AL$301&lt;&gt;"",ROW($2:$301),302),ROW(AL206)))&amp;""</f>
        <v/>
      </c>
    </row>
    <row r="208" customHeight="1" spans="1:39">
      <c r="A208" s="192">
        <v>206</v>
      </c>
      <c r="B208" s="224" t="s">
        <v>7563</v>
      </c>
      <c r="C208" s="224" t="s">
        <v>7564</v>
      </c>
      <c r="E208" s="231" t="s">
        <v>6672</v>
      </c>
      <c r="F208" s="193" t="s">
        <v>6712</v>
      </c>
      <c r="G208" s="193" t="s">
        <v>6651</v>
      </c>
      <c r="I208" s="193">
        <v>1</v>
      </c>
      <c r="M208" s="193">
        <v>1</v>
      </c>
      <c r="N208" s="193" t="s">
        <v>6666</v>
      </c>
      <c r="O208" s="224" t="s">
        <v>7565</v>
      </c>
      <c r="P208" s="224">
        <v>2</v>
      </c>
      <c r="Q208" s="251" t="str">
        <f>IF(综合数据!$B$17=TRUE,"SCC","")</f>
        <v>SCC</v>
      </c>
      <c r="R208" s="193">
        <v>16</v>
      </c>
      <c r="W208" s="193">
        <v>16</v>
      </c>
      <c r="X208" s="193">
        <v>16</v>
      </c>
      <c r="Z208" s="193">
        <v>16</v>
      </c>
      <c r="AA208" s="223" t="s">
        <v>7566</v>
      </c>
      <c r="AB208" s="200" t="str">
        <f t="array" ref="AB208">INDEX(B:B,SMALL(IF($Q$3:$Q$524&lt;&gt;"",ROW($3:$524),525),ROW(B207)))&amp;""</f>
        <v>涡旋翘曲</v>
      </c>
      <c r="AC208" s="225" t="str">
        <f>IFERROR(IF(AND($Q209&lt;&gt;"",IF(法术查询!$J$4="",1,INDEX($R209:$Z209,1,VLOOKUP(法术查询!$J$4,$AF$2:$AG$10,2,0)))&lt;&gt;"",IF(法术查询!$J$5="",1,$P209=VLOOKUP(法术查询!$J$5,$AH$2:$AI$11,2,0)),IF(法术查询!$J$6="",1,IF(法术查询!$J$6=$E209,1,0)),IF(法术查询!$J$7="",1,SEARCH(法术查询!$J$7,$F209)),IF(法术查询!$J$8="",1,SEARCH(法术查询!$J$8,G209)),IF(法术查询!$J$9="",1,SEARCH(法术查询!$J$9,N209)),IF(法术查询!$J$10="",1,IF(法术查询!$J$10=$AF$11,IF($M209=1,1,0),IF($M209="",1,0))),IF(法术查询!$J$11="",1,IF(法术查询!$J$11=$AF$11,IF($D209=1,1,0),IF($D209="",1,0))),IF(法术查询!$J$12="",1,SEARCH(法术查询!$J$12,$B209&amp;$C209&amp;$O209)),IF(法术查询!$J$13="",1,SEARCH(法术查询!$J$13,$B209&amp;$C209&amp;$O209)),IF(法术查询!$J$14="",1,SEARCH(法术查询!$J$14,$B209&amp;$C209&amp;$O209)),IF(法术查询!$J$16="",1,IF(法术查询!$J$16=$AF$11,IF($H209=1,1,0),IF($H209="",1,0))),IF(法术查询!$J$17="",1,IF(法术查询!$J$17=$AF$11,IF($I209=1,1,0),IF($I209="",1,0))),IF(法术查询!$J$18="",1,IF(法术查询!$J$18=$AF$11,IF($J209&lt;&gt;"",1,0),IF($J209="",1,0))),IF(法术查询!$J$19="",1,IF(法术查询!$J$19=$AF$11,IF($L209&lt;&gt;"",1,0),IF($L209="",1,0)))),$B209,""),"")</f>
        <v>涡旋翘曲</v>
      </c>
      <c r="AD208" s="192" t="str">
        <f t="array" ref="AD208">INDEX(AC:AC,SMALL(IF($AC$2:$AC$523&lt;&gt;"",ROW($2:$523),524),ROW(AC207)))&amp;""</f>
        <v/>
      </c>
      <c r="AE208" s="200" t="str">
        <f t="shared" si="7"/>
        <v/>
      </c>
      <c r="AJ208" s="192">
        <v>207</v>
      </c>
      <c r="AK208" s="224" t="str">
        <f>IF(法术书!AH14="","",法术书!AH14)</f>
        <v/>
      </c>
      <c r="AL208" s="224" t="str">
        <f t="array" ref="AL208">IFERROR(INDEX(AK$1:AK$301,SMALL(IF(MATCH(AK208,AK$1:AK$301,0)=ROW(AK208),ROW(AK$1:AK$301),999),ROW(AK208))),"")</f>
        <v/>
      </c>
      <c r="AM208" s="223" t="str">
        <f t="array" ref="AM208">INDEX(AL:AL,SMALL(IF($AL$2:$AL$301&lt;&gt;"",ROW($2:$301),302),ROW(AL207)))&amp;""</f>
        <v/>
      </c>
    </row>
    <row r="209" customHeight="1" spans="1:39">
      <c r="A209" s="192">
        <v>207</v>
      </c>
      <c r="B209" s="224" t="s">
        <v>7567</v>
      </c>
      <c r="C209" s="224" t="s">
        <v>7568</v>
      </c>
      <c r="E209" s="240" t="s">
        <v>6641</v>
      </c>
      <c r="F209" s="193" t="s">
        <v>6642</v>
      </c>
      <c r="G209" s="193" t="s">
        <v>6760</v>
      </c>
      <c r="H209" s="193">
        <v>1</v>
      </c>
      <c r="I209" s="193">
        <v>1</v>
      </c>
      <c r="N209" s="193" t="s">
        <v>6644</v>
      </c>
      <c r="O209" s="224" t="s">
        <v>7569</v>
      </c>
      <c r="P209" s="224">
        <v>2</v>
      </c>
      <c r="Q209" s="251" t="str">
        <f>IF(综合数据!$B$17=TRUE,"SCC","")</f>
        <v>SCC</v>
      </c>
      <c r="W209" s="193">
        <v>16</v>
      </c>
      <c r="X209" s="193">
        <v>16</v>
      </c>
      <c r="Z209" s="193">
        <v>16</v>
      </c>
      <c r="AA209" s="223" t="s">
        <v>7570</v>
      </c>
      <c r="AB209" s="200" t="str">
        <f t="array" ref="AB209">INDEX(B:B,SMALL(IF($Q$3:$Q$524&lt;&gt;"",ROW($3:$524),525),ROW(B208)))&amp;""</f>
        <v>靡叶生华</v>
      </c>
      <c r="AC209" s="225" t="str">
        <f>IFERROR(IF(AND($Q210&lt;&gt;"",IF(法术查询!$J$4="",1,INDEX($R210:$Z210,1,VLOOKUP(法术查询!$J$4,$AF$2:$AG$10,2,0)))&lt;&gt;"",IF(法术查询!$J$5="",1,$P210=VLOOKUP(法术查询!$J$5,$AH$2:$AI$11,2,0)),IF(法术查询!$J$6="",1,IF(法术查询!$J$6=$E210,1,0)),IF(法术查询!$J$7="",1,SEARCH(法术查询!$J$7,$F210)),IF(法术查询!$J$8="",1,SEARCH(法术查询!$J$8,G210)),IF(法术查询!$J$9="",1,SEARCH(法术查询!$J$9,N210)),IF(法术查询!$J$10="",1,IF(法术查询!$J$10=$AF$11,IF($M210=1,1,0),IF($M210="",1,0))),IF(法术查询!$J$11="",1,IF(法术查询!$J$11=$AF$11,IF($D210=1,1,0),IF($D210="",1,0))),IF(法术查询!$J$12="",1,SEARCH(法术查询!$J$12,$B210&amp;$C210&amp;$O210)),IF(法术查询!$J$13="",1,SEARCH(法术查询!$J$13,$B210&amp;$C210&amp;$O210)),IF(法术查询!$J$14="",1,SEARCH(法术查询!$J$14,$B210&amp;$C210&amp;$O210)),IF(法术查询!$J$16="",1,IF(法术查询!$J$16=$AF$11,IF($H210=1,1,0),IF($H210="",1,0))),IF(法术查询!$J$17="",1,IF(法术查询!$J$17=$AF$11,IF($I210=1,1,0),IF($I210="",1,0))),IF(法术查询!$J$18="",1,IF(法术查询!$J$18=$AF$11,IF($J210&lt;&gt;"",1,0),IF($J210="",1,0))),IF(法术查询!$J$19="",1,IF(法术查询!$J$19=$AF$11,IF($L210&lt;&gt;"",1,0),IF($L210="",1,0)))),$B210,""),"")</f>
        <v/>
      </c>
      <c r="AD209" s="192" t="str">
        <f t="array" ref="AD209">INDEX(AC:AC,SMALL(IF($AC$2:$AC$523&lt;&gt;"",ROW($2:$523),524),ROW(AC208)))&amp;""</f>
        <v/>
      </c>
      <c r="AE209" s="200" t="str">
        <f t="shared" si="7"/>
        <v/>
      </c>
      <c r="AJ209" s="192">
        <v>208</v>
      </c>
      <c r="AK209" s="224" t="str">
        <f>IF(法术书!AH15="","",法术书!AH15)</f>
        <v/>
      </c>
      <c r="AL209" s="224" t="str">
        <f t="array" ref="AL209">IFERROR(INDEX(AK$1:AK$301,SMALL(IF(MATCH(AK209,AK$1:AK$301,0)=ROW(AK209),ROW(AK$1:AK$301),999),ROW(AK209))),"")</f>
        <v/>
      </c>
      <c r="AM209" s="223" t="str">
        <f t="array" ref="AM209">INDEX(AL:AL,SMALL(IF($AL$2:$AL$301&lt;&gt;"",ROW($2:$301),302),ROW(AL208)))&amp;""</f>
        <v/>
      </c>
    </row>
    <row r="210" customHeight="1" spans="1:39">
      <c r="A210" s="192">
        <v>208</v>
      </c>
      <c r="B210" s="224" t="s">
        <v>7571</v>
      </c>
      <c r="C210" s="224" t="s">
        <v>7572</v>
      </c>
      <c r="E210" s="243" t="s">
        <v>6657</v>
      </c>
      <c r="F210" s="193" t="s">
        <v>6642</v>
      </c>
      <c r="G210" s="193" t="s">
        <v>6643</v>
      </c>
      <c r="H210" s="193">
        <v>1</v>
      </c>
      <c r="I210" s="193">
        <v>1</v>
      </c>
      <c r="J210" s="193">
        <v>1</v>
      </c>
      <c r="K210" s="224" t="s">
        <v>7573</v>
      </c>
      <c r="N210" s="193" t="s">
        <v>6644</v>
      </c>
      <c r="O210" s="224" t="s">
        <v>7574</v>
      </c>
      <c r="P210" s="224">
        <v>2</v>
      </c>
      <c r="Q210" s="251" t="str">
        <f>IF(综合数据!$B$17=TRUE,"SCC","")</f>
        <v>SCC</v>
      </c>
      <c r="T210" s="193">
        <v>16</v>
      </c>
      <c r="W210" s="193">
        <v>16</v>
      </c>
      <c r="X210" s="193">
        <v>16</v>
      </c>
      <c r="AA210" s="223" t="s">
        <v>7575</v>
      </c>
      <c r="AB210" s="200" t="str">
        <f t="array" ref="AB210">INDEX(B:B,SMALL(IF($Q$3:$Q$524&lt;&gt;"",ROW($3:$524),525),ROW(B209)))&amp;""</f>
        <v>空气泡泡</v>
      </c>
      <c r="AC210" s="225" t="str">
        <f>IFERROR(IF(AND($Q211&lt;&gt;"",IF(法术查询!$J$4="",1,INDEX($R211:$Z211,1,VLOOKUP(法术查询!$J$4,$AF$2:$AG$10,2,0)))&lt;&gt;"",IF(法术查询!$J$5="",1,$P211=VLOOKUP(法术查询!$J$5,$AH$2:$AI$11,2,0)),IF(法术查询!$J$6="",1,IF(法术查询!$J$6=$E211,1,0)),IF(法术查询!$J$7="",1,SEARCH(法术查询!$J$7,$F211)),IF(法术查询!$J$8="",1,SEARCH(法术查询!$J$8,G211)),IF(法术查询!$J$9="",1,SEARCH(法术查询!$J$9,N211)),IF(法术查询!$J$10="",1,IF(法术查询!$J$10=$AF$11,IF($M211=1,1,0),IF($M211="",1,0))),IF(法术查询!$J$11="",1,IF(法术查询!$J$11=$AF$11,IF($D211=1,1,0),IF($D211="",1,0))),IF(法术查询!$J$12="",1,SEARCH(法术查询!$J$12,$B211&amp;$C211&amp;$O211)),IF(法术查询!$J$13="",1,SEARCH(法术查询!$J$13,$B211&amp;$C211&amp;$O211)),IF(法术查询!$J$14="",1,SEARCH(法术查询!$J$14,$B211&amp;$C211&amp;$O211)),IF(法术查询!$J$16="",1,IF(法术查询!$J$16=$AF$11,IF($H211=1,1,0),IF($H211="",1,0))),IF(法术查询!$J$17="",1,IF(法术查询!$J$17=$AF$11,IF($I211=1,1,0),IF($I211="",1,0))),IF(法术查询!$J$18="",1,IF(法术查询!$J$18=$AF$11,IF($J211&lt;&gt;"",1,0),IF($J211="",1,0))),IF(法术查询!$J$19="",1,IF(法术查询!$J$19=$AF$11,IF($L211&lt;&gt;"",1,0),IF($L211="",1,0)))),$B211,""),"")</f>
        <v>空气泡泡</v>
      </c>
      <c r="AD210" s="192" t="str">
        <f t="array" ref="AD210">INDEX(AC:AC,SMALL(IF($AC$2:$AC$523&lt;&gt;"",ROW($2:$523),524),ROW(AC209)))&amp;""</f>
        <v/>
      </c>
      <c r="AE210" s="200" t="str">
        <f t="shared" si="7"/>
        <v/>
      </c>
      <c r="AJ210" s="192">
        <v>209</v>
      </c>
      <c r="AK210" s="224" t="str">
        <f>IF(法术书!AH16="","",法术书!AH16)</f>
        <v/>
      </c>
      <c r="AL210" s="224" t="str">
        <f t="array" ref="AL210">IFERROR(INDEX(AK$1:AK$301,SMALL(IF(MATCH(AK210,AK$1:AK$301,0)=ROW(AK210),ROW(AK$1:AK$301),999),ROW(AK210))),"")</f>
        <v/>
      </c>
      <c r="AM210" s="223" t="str">
        <f t="array" ref="AM210">INDEX(AL:AL,SMALL(IF($AL$2:$AL$301&lt;&gt;"",ROW($2:$301),302),ROW(AL209)))&amp;""</f>
        <v/>
      </c>
    </row>
    <row r="211" customHeight="1" spans="1:39">
      <c r="A211" s="192">
        <v>209</v>
      </c>
      <c r="B211" s="224" t="s">
        <v>7576</v>
      </c>
      <c r="C211" s="224" t="s">
        <v>7577</v>
      </c>
      <c r="E211" s="240" t="s">
        <v>6641</v>
      </c>
      <c r="F211" s="193" t="s">
        <v>6642</v>
      </c>
      <c r="G211" s="193" t="s">
        <v>6643</v>
      </c>
      <c r="I211" s="193">
        <v>1</v>
      </c>
      <c r="N211" s="193" t="s">
        <v>6644</v>
      </c>
      <c r="O211" s="224" t="s">
        <v>7578</v>
      </c>
      <c r="P211" s="193">
        <v>2</v>
      </c>
      <c r="Q211" s="254" t="s">
        <v>266</v>
      </c>
      <c r="T211" s="193">
        <v>18</v>
      </c>
      <c r="V211" s="193">
        <v>18</v>
      </c>
      <c r="W211" s="193">
        <v>18</v>
      </c>
      <c r="X211" s="193">
        <v>18</v>
      </c>
      <c r="Z211" s="193">
        <v>18</v>
      </c>
      <c r="AA211" s="200"/>
      <c r="AB211" s="200" t="str">
        <f t="array" ref="AB211">INDEX(B:B,SMALL(IF($Q$3:$Q$524&lt;&gt;"",ROW($3:$524),525),ROW(B210)))&amp;""</f>
        <v>侦测扭曲</v>
      </c>
      <c r="AC211" s="225" t="str">
        <f>IFERROR(IF(AND($Q212&lt;&gt;"",IF(法术查询!$J$4="",1,INDEX($R212:$Z212,1,VLOOKUP(法术查询!$J$4,$AF$2:$AG$10,2,0)))&lt;&gt;"",IF(法术查询!$J$5="",1,$P212=VLOOKUP(法术查询!$J$5,$AH$2:$AI$11,2,0)),IF(法术查询!$J$6="",1,IF(法术查询!$J$6=$E212,1,0)),IF(法术查询!$J$7="",1,SEARCH(法术查询!$J$7,$F212)),IF(法术查询!$J$8="",1,SEARCH(法术查询!$J$8,G212)),IF(法术查询!$J$9="",1,SEARCH(法术查询!$J$9,N212)),IF(法术查询!$J$10="",1,IF(法术查询!$J$10=$AF$11,IF($M212=1,1,0),IF($M212="",1,0))),IF(法术查询!$J$11="",1,IF(法术查询!$J$11=$AF$11,IF($D212=1,1,0),IF($D212="",1,0))),IF(法术查询!$J$12="",1,SEARCH(法术查询!$J$12,$B212&amp;$C212&amp;$O212)),IF(法术查询!$J$13="",1,SEARCH(法术查询!$J$13,$B212&amp;$C212&amp;$O212)),IF(法术查询!$J$14="",1,SEARCH(法术查询!$J$14,$B212&amp;$C212&amp;$O212)),IF(法术查询!$J$16="",1,IF(法术查询!$J$16=$AF$11,IF($H212=1,1,0),IF($H212="",1,0))),IF(法术查询!$J$17="",1,IF(法术查询!$J$17=$AF$11,IF($I212=1,1,0),IF($I212="",1,0))),IF(法术查询!$J$18="",1,IF(法术查询!$J$18=$AF$11,IF($J212&lt;&gt;"",1,0),IF($J212="",1,0))),IF(法术查询!$J$19="",1,IF(法术查询!$J$19=$AF$11,IF($L212&lt;&gt;"",1,0),IF($L212="",1,0)))),$B212,""),"")</f>
        <v/>
      </c>
      <c r="AD211" s="192" t="str">
        <f t="array" ref="AD211">INDEX(AC:AC,SMALL(IF($AC$2:$AC$523&lt;&gt;"",ROW($2:$523),524),ROW(AC210)))&amp;""</f>
        <v/>
      </c>
      <c r="AE211" s="200" t="str">
        <f t="shared" si="7"/>
        <v/>
      </c>
      <c r="AJ211" s="192">
        <v>210</v>
      </c>
      <c r="AK211" s="224" t="str">
        <f>IF(法术书!AH17="","",法术书!AH17)</f>
        <v/>
      </c>
      <c r="AL211" s="224" t="str">
        <f t="array" ref="AL211">IFERROR(INDEX(AK$1:AK$301,SMALL(IF(MATCH(AK211,AK$1:AK$301,0)=ROW(AK211),ROW(AK$1:AK$301),999),ROW(AK211))),"")</f>
        <v/>
      </c>
      <c r="AM211" s="223" t="str">
        <f t="array" ref="AM211">INDEX(AL:AL,SMALL(IF($AL$2:$AL$301&lt;&gt;"",ROW($2:$301),302),ROW(AL210)))&amp;""</f>
        <v/>
      </c>
    </row>
    <row r="212" customHeight="1" spans="1:39">
      <c r="A212" s="192">
        <v>210</v>
      </c>
      <c r="B212" s="224" t="s">
        <v>7579</v>
      </c>
      <c r="C212" s="224" t="s">
        <v>7580</v>
      </c>
      <c r="E212" s="238" t="s">
        <v>6695</v>
      </c>
      <c r="F212" s="193" t="s">
        <v>6642</v>
      </c>
      <c r="G212" s="193" t="s">
        <v>6651</v>
      </c>
      <c r="H212" s="193">
        <v>1</v>
      </c>
      <c r="I212" s="193">
        <v>1</v>
      </c>
      <c r="J212" s="193">
        <v>1</v>
      </c>
      <c r="K212" s="224" t="s">
        <v>7581</v>
      </c>
      <c r="M212" s="193">
        <v>1</v>
      </c>
      <c r="N212" s="193" t="s">
        <v>6666</v>
      </c>
      <c r="O212" s="224" t="s">
        <v>7582</v>
      </c>
      <c r="P212" s="193">
        <v>2</v>
      </c>
      <c r="Q212" s="255" t="str">
        <f>IF(综合数据!$B$21=TRUE,"PAM","")</f>
        <v>PAM</v>
      </c>
      <c r="W212" s="193">
        <v>21</v>
      </c>
      <c r="X212" s="193">
        <v>21</v>
      </c>
      <c r="Y212" s="193">
        <v>21</v>
      </c>
      <c r="AA212" s="200"/>
      <c r="AB212" s="200" t="str">
        <f t="array" ref="AB212">INDEX(B:B,SMALL(IF($Q$3:$Q$524&lt;&gt;"",ROW($3:$524),525),ROW(B211)))&amp;""</f>
        <v>卡牌喷射</v>
      </c>
      <c r="AC212" s="225" t="str">
        <f>IFERROR(IF(AND($Q213&lt;&gt;"",IF(法术查询!$J$4="",1,INDEX($R213:$Z213,1,VLOOKUP(法术查询!$J$4,$AF$2:$AG$10,2,0)))&lt;&gt;"",IF(法术查询!$J$5="",1,$P213=VLOOKUP(法术查询!$J$5,$AH$2:$AI$11,2,0)),IF(法术查询!$J$6="",1,IF(法术查询!$J$6=$E213,1,0)),IF(法术查询!$J$7="",1,SEARCH(法术查询!$J$7,$F213)),IF(法术查询!$J$8="",1,SEARCH(法术查询!$J$8,G213)),IF(法术查询!$J$9="",1,SEARCH(法术查询!$J$9,N213)),IF(法术查询!$J$10="",1,IF(法术查询!$J$10=$AF$11,IF($M213=1,1,0),IF($M213="",1,0))),IF(法术查询!$J$11="",1,IF(法术查询!$J$11=$AF$11,IF($D213=1,1,0),IF($D213="",1,0))),IF(法术查询!$J$12="",1,SEARCH(法术查询!$J$12,$B213&amp;$C213&amp;$O213)),IF(法术查询!$J$13="",1,SEARCH(法术查询!$J$13,$B213&amp;$C213&amp;$O213)),IF(法术查询!$J$14="",1,SEARCH(法术查询!$J$14,$B213&amp;$C213&amp;$O213)),IF(法术查询!$J$16="",1,IF(法术查询!$J$16=$AF$11,IF($H213=1,1,0),IF($H213="",1,0))),IF(法术查询!$J$17="",1,IF(法术查询!$J$17=$AF$11,IF($I213=1,1,0),IF($I213="",1,0))),IF(法术查询!$J$18="",1,IF(法术查询!$J$18=$AF$11,IF($J213&lt;&gt;"",1,0),IF($J213="",1,0))),IF(法术查询!$J$19="",1,IF(法术查询!$J$19=$AF$11,IF($L213&lt;&gt;"",1,0),IF($L213="",1,0)))),$B213,""),"")</f>
        <v/>
      </c>
      <c r="AD212" s="192" t="str">
        <f t="array" ref="AD212">INDEX(AC:AC,SMALL(IF($AC$2:$AC$523&lt;&gt;"",ROW($2:$523),524),ROW(AC211)))&amp;""</f>
        <v/>
      </c>
      <c r="AE212" s="200" t="str">
        <f t="shared" si="7"/>
        <v/>
      </c>
      <c r="AJ212" s="192">
        <v>211</v>
      </c>
      <c r="AK212" s="224" t="str">
        <f>IF(法术书!AH18="","",法术书!AH18)</f>
        <v/>
      </c>
      <c r="AL212" s="224" t="str">
        <f t="array" ref="AL212">IFERROR(INDEX(AK$1:AK$301,SMALL(IF(MATCH(AK212,AK$1:AK$301,0)=ROW(AK212),ROW(AK$1:AK$301),999),ROW(AK212))),"")</f>
        <v/>
      </c>
      <c r="AM212" s="223" t="str">
        <f t="array" ref="AM212">INDEX(AL:AL,SMALL(IF($AL$2:$AL$301&lt;&gt;"",ROW($2:$301),302),ROW(AL211)))&amp;""</f>
        <v/>
      </c>
    </row>
    <row r="213" customHeight="1" spans="1:39">
      <c r="A213" s="192">
        <v>211</v>
      </c>
      <c r="B213" s="224" t="s">
        <v>7583</v>
      </c>
      <c r="C213" s="224" t="s">
        <v>7584</v>
      </c>
      <c r="E213" s="240" t="s">
        <v>6641</v>
      </c>
      <c r="F213" s="193" t="s">
        <v>6642</v>
      </c>
      <c r="G213" s="193" t="s">
        <v>6854</v>
      </c>
      <c r="H213" s="193">
        <v>1</v>
      </c>
      <c r="I213" s="193">
        <v>1</v>
      </c>
      <c r="J213" s="193">
        <v>1</v>
      </c>
      <c r="K213" s="224" t="s">
        <v>7585</v>
      </c>
      <c r="N213" s="193" t="s">
        <v>6644</v>
      </c>
      <c r="O213" s="224" t="s">
        <v>7586</v>
      </c>
      <c r="P213" s="193">
        <v>2</v>
      </c>
      <c r="Q213" s="256" t="s">
        <v>269</v>
      </c>
      <c r="W213" s="193">
        <v>22</v>
      </c>
      <c r="X213" s="193">
        <v>22</v>
      </c>
      <c r="Y213" s="193">
        <v>22</v>
      </c>
      <c r="AA213" s="200"/>
      <c r="AB213" s="200" t="str">
        <f t="array" ref="AB213">INDEX(B:B,SMALL(IF($Q$3:$Q$524&lt;&gt;"",ROW($3:$524),525),ROW(B212)))&amp;""</f>
        <v>操纵死尸</v>
      </c>
      <c r="AC213" s="225" t="str">
        <f>IFERROR(IF(AND($Q214&lt;&gt;"",IF(法术查询!$J$4="",1,INDEX($R214:$Z214,1,VLOOKUP(法术查询!$J$4,$AF$2:$AG$10,2,0)))&lt;&gt;"",IF(法术查询!$J$5="",1,$P214=VLOOKUP(法术查询!$J$5,$AH$2:$AI$11,2,0)),IF(法术查询!$J$6="",1,IF(法术查询!$J$6=$E214,1,0)),IF(法术查询!$J$7="",1,SEARCH(法术查询!$J$7,$F214)),IF(法术查询!$J$8="",1,SEARCH(法术查询!$J$8,G214)),IF(法术查询!$J$9="",1,SEARCH(法术查询!$J$9,N214)),IF(法术查询!$J$10="",1,IF(法术查询!$J$10=$AF$11,IF($M214=1,1,0),IF($M214="",1,0))),IF(法术查询!$J$11="",1,IF(法术查询!$J$11=$AF$11,IF($D214=1,1,0),IF($D214="",1,0))),IF(法术查询!$J$12="",1,SEARCH(法术查询!$J$12,$B214&amp;$C214&amp;$O214)),IF(法术查询!$J$13="",1,SEARCH(法术查询!$J$13,$B214&amp;$C214&amp;$O214)),IF(法术查询!$J$14="",1,SEARCH(法术查询!$J$14,$B214&amp;$C214&amp;$O214)),IF(法术查询!$J$16="",1,IF(法术查询!$J$16=$AF$11,IF($H214=1,1,0),IF($H214="",1,0))),IF(法术查询!$J$17="",1,IF(法术查询!$J$17=$AF$11,IF($I214=1,1,0),IF($I214="",1,0))),IF(法术查询!$J$18="",1,IF(法术查询!$J$18=$AF$11,IF($J214&lt;&gt;"",1,0),IF($J214="",1,0))),IF(法术查询!$J$19="",1,IF(法术查询!$J$19=$AF$11,IF($L214&lt;&gt;"",1,0),IF($L214="",1,0)))),$B214,""),"")</f>
        <v/>
      </c>
      <c r="AD213" s="192" t="str">
        <f t="array" ref="AD213">INDEX(AC:AC,SMALL(IF($AC$2:$AC$523&lt;&gt;"",ROW($2:$523),524),ROW(AC212)))&amp;""</f>
        <v/>
      </c>
      <c r="AE213" s="200" t="str">
        <f t="shared" si="7"/>
        <v/>
      </c>
      <c r="AJ213" s="192">
        <v>212</v>
      </c>
      <c r="AK213" s="224" t="str">
        <f>IF(法术书!AH19="","",法术书!AH19)</f>
        <v/>
      </c>
      <c r="AL213" s="224" t="str">
        <f t="array" ref="AL213">IFERROR(INDEX(AK$1:AK$301,SMALL(IF(MATCH(AK213,AK$1:AK$301,0)=ROW(AK213),ROW(AK$1:AK$301),999),ROW(AK213))),"")</f>
        <v/>
      </c>
      <c r="AM213" s="223" t="str">
        <f t="array" ref="AM213">INDEX(AL:AL,SMALL(IF($AL$2:$AL$301&lt;&gt;"",ROW($2:$301),302),ROW(AL212)))&amp;""</f>
        <v/>
      </c>
    </row>
    <row r="214" customHeight="1" spans="1:39">
      <c r="A214" s="192">
        <v>212</v>
      </c>
      <c r="B214" s="224" t="s">
        <v>7587</v>
      </c>
      <c r="C214" s="224" t="s">
        <v>7588</v>
      </c>
      <c r="E214" s="240" t="s">
        <v>6641</v>
      </c>
      <c r="F214" s="193" t="s">
        <v>6709</v>
      </c>
      <c r="G214" s="193" t="s">
        <v>3760</v>
      </c>
      <c r="H214" s="193">
        <v>1</v>
      </c>
      <c r="I214" s="193">
        <v>1</v>
      </c>
      <c r="K214" s="224"/>
      <c r="L214" s="224"/>
      <c r="M214" s="193">
        <v>1</v>
      </c>
      <c r="N214" s="193" t="s">
        <v>6739</v>
      </c>
      <c r="O214" s="224" t="s">
        <v>7589</v>
      </c>
      <c r="P214" s="224">
        <v>2</v>
      </c>
      <c r="Q214" s="257" t="str">
        <f>IF(综合数据!$B$23=TRUE,"MOD","")</f>
        <v/>
      </c>
      <c r="W214" s="193">
        <v>0</v>
      </c>
      <c r="X214" s="193">
        <v>0</v>
      </c>
      <c r="AA214" s="200"/>
      <c r="AB214" s="200" t="str">
        <f t="array" ref="AB214">INDEX(B:B,SMALL(IF($Q$3:$Q$524&lt;&gt;"",ROW($3:$524),525),ROW(B213)))&amp;""</f>
        <v>活力灵光</v>
      </c>
      <c r="AC214" s="225" t="str">
        <f>IFERROR(IF(AND($Q215&lt;&gt;"",IF(法术查询!$J$4="",1,INDEX($R215:$Z215,1,VLOOKUP(法术查询!$J$4,$AF$2:$AG$10,2,0)))&lt;&gt;"",IF(法术查询!$J$5="",1,$P215=VLOOKUP(法术查询!$J$5,$AH$2:$AI$11,2,0)),IF(法术查询!$J$6="",1,IF(法术查询!$J$6=$E215,1,0)),IF(法术查询!$J$7="",1,SEARCH(法术查询!$J$7,$F215)),IF(法术查询!$J$8="",1,SEARCH(法术查询!$J$8,G215)),IF(法术查询!$J$9="",1,SEARCH(法术查询!$J$9,N215)),IF(法术查询!$J$10="",1,IF(法术查询!$J$10=$AF$11,IF($M215=1,1,0),IF($M215="",1,0))),IF(法术查询!$J$11="",1,IF(法术查询!$J$11=$AF$11,IF($D215=1,1,0),IF($D215="",1,0))),IF(法术查询!$J$12="",1,SEARCH(法术查询!$J$12,$B215&amp;$C215&amp;$O215)),IF(法术查询!$J$13="",1,SEARCH(法术查询!$J$13,$B215&amp;$C215&amp;$O215)),IF(法术查询!$J$14="",1,SEARCH(法术查询!$J$14,$B215&amp;$C215&amp;$O215)),IF(法术查询!$J$16="",1,IF(法术查询!$J$16=$AF$11,IF($H215=1,1,0),IF($H215="",1,0))),IF(法术查询!$J$17="",1,IF(法术查询!$J$17=$AF$11,IF($I215=1,1,0),IF($I215="",1,0))),IF(法术查询!$J$18="",1,IF(法术查询!$J$18=$AF$11,IF($J215&lt;&gt;"",1,0),IF($J215="",1,0))),IF(法术查询!$J$19="",1,IF(法术查询!$J$19=$AF$11,IF($L215&lt;&gt;"",1,0),IF($L215="",1,0)))),$B215,""),"")</f>
        <v/>
      </c>
      <c r="AD214" s="192" t="str">
        <f t="array" ref="AD214">INDEX(AC:AC,SMALL(IF($AC$2:$AC$523&lt;&gt;"",ROW($2:$523),524),ROW(AC213)))&amp;""</f>
        <v/>
      </c>
      <c r="AE214" s="200" t="str">
        <f t="shared" si="7"/>
        <v/>
      </c>
      <c r="AJ214" s="192">
        <v>213</v>
      </c>
      <c r="AK214" s="224" t="str">
        <f>IF(法术书!AH20="","",法术书!AH20)</f>
        <v/>
      </c>
      <c r="AL214" s="224" t="str">
        <f t="array" ref="AL214">IFERROR(INDEX(AK$1:AK$301,SMALL(IF(MATCH(AK214,AK$1:AK$301,0)=ROW(AK214),ROW(AK$1:AK$301),999),ROW(AK214))),"")</f>
        <v/>
      </c>
      <c r="AM214" s="223" t="str">
        <f t="array" ref="AM214">INDEX(AL:AL,SMALL(IF($AL$2:$AL$301&lt;&gt;"",ROW($2:$301),302),ROW(AL213)))&amp;""</f>
        <v/>
      </c>
    </row>
    <row r="215" customHeight="1" spans="1:39">
      <c r="A215" s="192">
        <v>213</v>
      </c>
      <c r="B215" s="224" t="s">
        <v>7590</v>
      </c>
      <c r="C215" s="224" t="s">
        <v>7591</v>
      </c>
      <c r="E215" s="243" t="s">
        <v>6657</v>
      </c>
      <c r="F215" s="193" t="s">
        <v>6709</v>
      </c>
      <c r="G215" s="193" t="s">
        <v>6730</v>
      </c>
      <c r="H215" s="193">
        <v>1</v>
      </c>
      <c r="I215" s="193">
        <v>1</v>
      </c>
      <c r="J215" s="193">
        <v>1</v>
      </c>
      <c r="K215" s="224" t="s">
        <v>7592</v>
      </c>
      <c r="N215" s="193" t="s">
        <v>6644</v>
      </c>
      <c r="O215" s="224" t="s">
        <v>7593</v>
      </c>
      <c r="P215" s="224">
        <v>3</v>
      </c>
      <c r="Q215" s="224" t="s">
        <v>249</v>
      </c>
      <c r="S215" s="193">
        <v>1</v>
      </c>
      <c r="X215" s="193">
        <v>1</v>
      </c>
      <c r="AA215" s="223" t="s">
        <v>7594</v>
      </c>
      <c r="AB215" s="200" t="str">
        <f t="array" ref="AB215">INDEX(B:B,SMALL(IF($Q$3:$Q$524&lt;&gt;"",ROW($3:$524),525),ROW(B214)))&amp;""</f>
        <v>希望信标</v>
      </c>
      <c r="AC215" s="225" t="str">
        <f>IFERROR(IF(AND($Q216&lt;&gt;"",IF(法术查询!$J$4="",1,INDEX($R216:$Z216,1,VLOOKUP(法术查询!$J$4,$AF$2:$AG$10,2,0)))&lt;&gt;"",IF(法术查询!$J$5="",1,$P216=VLOOKUP(法术查询!$J$5,$AH$2:$AI$11,2,0)),IF(法术查询!$J$6="",1,IF(法术查询!$J$6=$E216,1,0)),IF(法术查询!$J$7="",1,SEARCH(法术查询!$J$7,$F216)),IF(法术查询!$J$8="",1,SEARCH(法术查询!$J$8,G216)),IF(法术查询!$J$9="",1,SEARCH(法术查询!$J$9,N216)),IF(法术查询!$J$10="",1,IF(法术查询!$J$10=$AF$11,IF($M216=1,1,0),IF($M216="",1,0))),IF(法术查询!$J$11="",1,IF(法术查询!$J$11=$AF$11,IF($D216=1,1,0),IF($D216="",1,0))),IF(法术查询!$J$12="",1,SEARCH(法术查询!$J$12,$B216&amp;$C216&amp;$O216)),IF(法术查询!$J$13="",1,SEARCH(法术查询!$J$13,$B216&amp;$C216&amp;$O216)),IF(法术查询!$J$14="",1,SEARCH(法术查询!$J$14,$B216&amp;$C216&amp;$O216)),IF(法术查询!$J$16="",1,IF(法术查询!$J$16=$AF$11,IF($H216=1,1,0),IF($H216="",1,0))),IF(法术查询!$J$17="",1,IF(法术查询!$J$17=$AF$11,IF($I216=1,1,0),IF($I216="",1,0))),IF(法术查询!$J$18="",1,IF(法术查询!$J$18=$AF$11,IF($J216&lt;&gt;"",1,0),IF($J216="",1,0))),IF(法术查询!$J$19="",1,IF(法术查询!$J$19=$AF$11,IF($L216&lt;&gt;"",1,0),IF($L216="",1,0)))),$B216,""),"")</f>
        <v/>
      </c>
      <c r="AD215" s="192" t="str">
        <f t="array" ref="AD215">INDEX(AC:AC,SMALL(IF($AC$2:$AC$523&lt;&gt;"",ROW($2:$523),524),ROW(AC214)))&amp;""</f>
        <v/>
      </c>
      <c r="AE215" s="200" t="str">
        <f t="shared" si="7"/>
        <v/>
      </c>
      <c r="AJ215" s="192">
        <v>214</v>
      </c>
      <c r="AK215" s="224" t="str">
        <f>IF(法术书!AH21="","",法术书!AH21)</f>
        <v/>
      </c>
      <c r="AL215" s="224" t="str">
        <f t="array" ref="AL215">IFERROR(INDEX(AK$1:AK$301,SMALL(IF(MATCH(AK215,AK$1:AK$301,0)=ROW(AK215),ROW(AK$1:AK$301),999),ROW(AK215))),"")</f>
        <v/>
      </c>
      <c r="AM215" s="223" t="str">
        <f t="array" ref="AM215">INDEX(AL:AL,SMALL(IF($AL$2:$AL$301&lt;&gt;"",ROW($2:$301),302),ROW(AL214)))&amp;""</f>
        <v/>
      </c>
    </row>
    <row r="216" customHeight="1" spans="1:39">
      <c r="A216" s="192">
        <v>214</v>
      </c>
      <c r="B216" s="224" t="s">
        <v>7595</v>
      </c>
      <c r="C216" s="224" t="s">
        <v>7596</v>
      </c>
      <c r="E216" s="229" t="s">
        <v>6664</v>
      </c>
      <c r="F216" s="193" t="s">
        <v>6642</v>
      </c>
      <c r="G216" s="193" t="s">
        <v>6867</v>
      </c>
      <c r="H216" s="193">
        <v>1</v>
      </c>
      <c r="M216" s="193">
        <v>1</v>
      </c>
      <c r="N216" s="193" t="s">
        <v>6666</v>
      </c>
      <c r="O216" s="224" t="s">
        <v>7597</v>
      </c>
      <c r="P216" s="224">
        <v>3</v>
      </c>
      <c r="Q216" s="224" t="s">
        <v>249</v>
      </c>
      <c r="S216" s="193" t="str">
        <f>IF(综合数据!$B$14=TRUE,"13","")</f>
        <v>13</v>
      </c>
      <c r="T216" s="193" t="str">
        <f>IF(综合数据!$B$14=TRUE,"13","")</f>
        <v>13</v>
      </c>
      <c r="U216" s="193">
        <v>1</v>
      </c>
      <c r="AA216" s="223" t="s">
        <v>7598</v>
      </c>
      <c r="AB216" s="200" t="str">
        <f t="array" ref="AB216">INDEX(B:B,SMALL(IF($Q$3:$Q$524&lt;&gt;"",ROW($3:$524),525),ROW(B215)))&amp;""</f>
        <v>降咒</v>
      </c>
      <c r="AC216" s="225" t="str">
        <f>IFERROR(IF(AND($Q217&lt;&gt;"",IF(法术查询!$J$4="",1,INDEX($R217:$Z217,1,VLOOKUP(法术查询!$J$4,$AF$2:$AG$10,2,0)))&lt;&gt;"",IF(法术查询!$J$5="",1,$P217=VLOOKUP(法术查询!$J$5,$AH$2:$AI$11,2,0)),IF(法术查询!$J$6="",1,IF(法术查询!$J$6=$E217,1,0)),IF(法术查询!$J$7="",1,SEARCH(法术查询!$J$7,$F217)),IF(法术查询!$J$8="",1,SEARCH(法术查询!$J$8,G217)),IF(法术查询!$J$9="",1,SEARCH(法术查询!$J$9,N217)),IF(法术查询!$J$10="",1,IF(法术查询!$J$10=$AF$11,IF($M217=1,1,0),IF($M217="",1,0))),IF(法术查询!$J$11="",1,IF(法术查询!$J$11=$AF$11,IF($D217=1,1,0),IF($D217="",1,0))),IF(法术查询!$J$12="",1,SEARCH(法术查询!$J$12,$B217&amp;$C217&amp;$O217)),IF(法术查询!$J$13="",1,SEARCH(法术查询!$J$13,$B217&amp;$C217&amp;$O217)),IF(法术查询!$J$14="",1,SEARCH(法术查询!$J$14,$B217&amp;$C217&amp;$O217)),IF(法术查询!$J$16="",1,IF(法术查询!$J$16=$AF$11,IF($H217=1,1,0),IF($H217="",1,0))),IF(法术查询!$J$17="",1,IF(法术查询!$J$17=$AF$11,IF($I217=1,1,0),IF($I217="",1,0))),IF(法术查询!$J$18="",1,IF(法术查询!$J$18=$AF$11,IF($J217&lt;&gt;"",1,0),IF($J217="",1,0))),IF(法术查询!$J$19="",1,IF(法术查询!$J$19=$AF$11,IF($L217&lt;&gt;"",1,0),IF($L217="",1,0)))),$B217,""),"")</f>
        <v/>
      </c>
      <c r="AD216" s="192" t="str">
        <f t="array" ref="AD216">INDEX(AC:AC,SMALL(IF($AC$2:$AC$523&lt;&gt;"",ROW($2:$523),524),ROW(AC215)))&amp;""</f>
        <v/>
      </c>
      <c r="AE216" s="200" t="str">
        <f t="shared" si="7"/>
        <v/>
      </c>
      <c r="AJ216" s="192">
        <v>215</v>
      </c>
      <c r="AK216" s="224" t="str">
        <f>IF(法术书!AH22="","",法术书!AH22)</f>
        <v/>
      </c>
      <c r="AL216" s="224" t="str">
        <f t="array" ref="AL216">IFERROR(INDEX(AK$1:AK$301,SMALL(IF(MATCH(AK216,AK$1:AK$301,0)=ROW(AK216),ROW(AK$1:AK$301),999),ROW(AK216))),"")</f>
        <v/>
      </c>
      <c r="AM216" s="223" t="str">
        <f t="array" ref="AM216">INDEX(AL:AL,SMALL(IF($AL$2:$AL$301&lt;&gt;"",ROW($2:$301),302),ROW(AL215)))&amp;""</f>
        <v/>
      </c>
    </row>
    <row r="217" customHeight="1" spans="1:39">
      <c r="A217" s="192">
        <v>215</v>
      </c>
      <c r="B217" s="224" t="s">
        <v>7599</v>
      </c>
      <c r="C217" s="224" t="s">
        <v>7600</v>
      </c>
      <c r="E217" s="242" t="s">
        <v>6650</v>
      </c>
      <c r="F217" s="193" t="s">
        <v>6642</v>
      </c>
      <c r="G217" s="193" t="s">
        <v>6673</v>
      </c>
      <c r="H217" s="193">
        <v>1</v>
      </c>
      <c r="I217" s="193">
        <v>1</v>
      </c>
      <c r="M217" s="193">
        <v>1</v>
      </c>
      <c r="N217" s="193" t="s">
        <v>6666</v>
      </c>
      <c r="O217" s="224" t="s">
        <v>7601</v>
      </c>
      <c r="P217" s="224">
        <v>3</v>
      </c>
      <c r="Q217" s="224" t="s">
        <v>249</v>
      </c>
      <c r="S217" s="193">
        <v>1</v>
      </c>
      <c r="AA217" s="223" t="s">
        <v>7602</v>
      </c>
      <c r="AB217" s="200" t="str">
        <f t="array" ref="AB217">INDEX(B:B,SMALL(IF($Q$3:$Q$524&lt;&gt;"",ROW($3:$524),525),ROW(B216)))&amp;""</f>
        <v>致盲斩</v>
      </c>
      <c r="AC217" s="225" t="str">
        <f>IFERROR(IF(AND($Q218&lt;&gt;"",IF(法术查询!$J$4="",1,INDEX($R218:$Z218,1,VLOOKUP(法术查询!$J$4,$AF$2:$AG$10,2,0)))&lt;&gt;"",IF(法术查询!$J$5="",1,$P218=VLOOKUP(法术查询!$J$5,$AH$2:$AI$11,2,0)),IF(法术查询!$J$6="",1,IF(法术查询!$J$6=$E218,1,0)),IF(法术查询!$J$7="",1,SEARCH(法术查询!$J$7,$F218)),IF(法术查询!$J$8="",1,SEARCH(法术查询!$J$8,G218)),IF(法术查询!$J$9="",1,SEARCH(法术查询!$J$9,N218)),IF(法术查询!$J$10="",1,IF(法术查询!$J$10=$AF$11,IF($M218=1,1,0),IF($M218="",1,0))),IF(法术查询!$J$11="",1,IF(法术查询!$J$11=$AF$11,IF($D218=1,1,0),IF($D218="",1,0))),IF(法术查询!$J$12="",1,SEARCH(法术查询!$J$12,$B218&amp;$C218&amp;$O218)),IF(法术查询!$J$13="",1,SEARCH(法术查询!$J$13,$B218&amp;$C218&amp;$O218)),IF(法术查询!$J$14="",1,SEARCH(法术查询!$J$14,$B218&amp;$C218&amp;$O218)),IF(法术查询!$J$16="",1,IF(法术查询!$J$16=$AF$11,IF($H218=1,1,0),IF($H218="",1,0))),IF(法术查询!$J$17="",1,IF(法术查询!$J$17=$AF$11,IF($I218=1,1,0),IF($I218="",1,0))),IF(法术查询!$J$18="",1,IF(法术查询!$J$18=$AF$11,IF($J218&lt;&gt;"",1,0),IF($J218="",1,0))),IF(法术查询!$J$19="",1,IF(法术查询!$J$19=$AF$11,IF($L218&lt;&gt;"",1,0),IF($L218="",1,0)))),$B218,""),"")</f>
        <v/>
      </c>
      <c r="AD217" s="192" t="str">
        <f t="array" ref="AD217">INDEX(AC:AC,SMALL(IF($AC$2:$AC$523&lt;&gt;"",ROW($2:$523),524),ROW(AC216)))&amp;""</f>
        <v/>
      </c>
      <c r="AE217" s="200" t="str">
        <f t="shared" si="7"/>
        <v/>
      </c>
      <c r="AJ217" s="192">
        <v>216</v>
      </c>
      <c r="AK217" s="224" t="str">
        <f>IF(法术书!AH23="","",法术书!AH23)</f>
        <v/>
      </c>
      <c r="AL217" s="224" t="str">
        <f t="array" ref="AL217">IFERROR(INDEX(AK$1:AK$301,SMALL(IF(MATCH(AK217,AK$1:AK$301,0)=ROW(AK217),ROW(AK$1:AK$301),999),ROW(AK217))),"")</f>
        <v/>
      </c>
      <c r="AM217" s="223" t="str">
        <f t="array" ref="AM217">INDEX(AL:AL,SMALL(IF($AL$2:$AL$301&lt;&gt;"",ROW($2:$301),302),ROW(AL216)))&amp;""</f>
        <v/>
      </c>
    </row>
    <row r="218" customHeight="1" spans="1:39">
      <c r="A218" s="192">
        <v>216</v>
      </c>
      <c r="B218" s="224" t="s">
        <v>7603</v>
      </c>
      <c r="C218" s="224" t="s">
        <v>7604</v>
      </c>
      <c r="E218" s="243" t="s">
        <v>6657</v>
      </c>
      <c r="F218" s="193" t="s">
        <v>6642</v>
      </c>
      <c r="G218" s="193" t="s">
        <v>3760</v>
      </c>
      <c r="H218" s="193">
        <v>1</v>
      </c>
      <c r="I218" s="193">
        <v>1</v>
      </c>
      <c r="M218" s="193">
        <v>1</v>
      </c>
      <c r="N218" s="193" t="s">
        <v>6666</v>
      </c>
      <c r="O218" s="224" t="s">
        <v>7605</v>
      </c>
      <c r="P218" s="224">
        <v>3</v>
      </c>
      <c r="Q218" s="224" t="s">
        <v>249</v>
      </c>
      <c r="R218" s="193">
        <v>1</v>
      </c>
      <c r="S218" s="193">
        <v>1</v>
      </c>
      <c r="X218" s="193">
        <v>1</v>
      </c>
      <c r="AA218" s="223" t="s">
        <v>7606</v>
      </c>
      <c r="AB218" s="200" t="str">
        <f t="array" ref="AB218">INDEX(B:B,SMALL(IF($Q$3:$Q$524&lt;&gt;"",ROW($3:$524),525),ROW(B217)))&amp;""</f>
        <v>闪现术</v>
      </c>
      <c r="AC218" s="225" t="str">
        <f>IFERROR(IF(AND($Q219&lt;&gt;"",IF(法术查询!$J$4="",1,INDEX($R219:$Z219,1,VLOOKUP(法术查询!$J$4,$AF$2:$AG$10,2,0)))&lt;&gt;"",IF(法术查询!$J$5="",1,$P219=VLOOKUP(法术查询!$J$5,$AH$2:$AI$11,2,0)),IF(法术查询!$J$6="",1,IF(法术查询!$J$6=$E219,1,0)),IF(法术查询!$J$7="",1,SEARCH(法术查询!$J$7,$F219)),IF(法术查询!$J$8="",1,SEARCH(法术查询!$J$8,G219)),IF(法术查询!$J$9="",1,SEARCH(法术查询!$J$9,N219)),IF(法术查询!$J$10="",1,IF(法术查询!$J$10=$AF$11,IF($M219=1,1,0),IF($M219="",1,0))),IF(法术查询!$J$11="",1,IF(法术查询!$J$11=$AF$11,IF($D219=1,1,0),IF($D219="",1,0))),IF(法术查询!$J$12="",1,SEARCH(法术查询!$J$12,$B219&amp;$C219&amp;$O219)),IF(法术查询!$J$13="",1,SEARCH(法术查询!$J$13,$B219&amp;$C219&amp;$O219)),IF(法术查询!$J$14="",1,SEARCH(法术查询!$J$14,$B219&amp;$C219&amp;$O219)),IF(法术查询!$J$16="",1,IF(法术查询!$J$16=$AF$11,IF($H219=1,1,0),IF($H219="",1,0))),IF(法术查询!$J$17="",1,IF(法术查询!$J$17=$AF$11,IF($I219=1,1,0),IF($I219="",1,0))),IF(法术查询!$J$18="",1,IF(法术查询!$J$18=$AF$11,IF($J219&lt;&gt;"",1,0),IF($J219="",1,0))),IF(法术查询!$J$19="",1,IF(法术查询!$J$19=$AF$11,IF($L219&lt;&gt;"",1,0),IF($L219="",1,0)))),$B219,""),"")</f>
        <v/>
      </c>
      <c r="AD218" s="192" t="str">
        <f t="array" ref="AD218">INDEX(AC:AC,SMALL(IF($AC$2:$AC$523&lt;&gt;"",ROW($2:$523),524),ROW(AC217)))&amp;""</f>
        <v/>
      </c>
      <c r="AE218" s="200" t="str">
        <f t="shared" si="7"/>
        <v/>
      </c>
      <c r="AJ218" s="192">
        <v>217</v>
      </c>
      <c r="AK218" s="224" t="str">
        <f>IF(法术书!AH24="","",法术书!AH24)</f>
        <v/>
      </c>
      <c r="AL218" s="224" t="str">
        <f t="array" ref="AL218">IFERROR(INDEX(AK$1:AK$301,SMALL(IF(MATCH(AK218,AK$1:AK$301,0)=ROW(AK218),ROW(AK$1:AK$301),999),ROW(AK218))),"")</f>
        <v/>
      </c>
      <c r="AM218" s="223" t="str">
        <f t="array" ref="AM218">INDEX(AL:AL,SMALL(IF($AL$2:$AL$301&lt;&gt;"",ROW($2:$301),302),ROW(AL217)))&amp;""</f>
        <v/>
      </c>
    </row>
    <row r="219" customHeight="1" spans="1:39">
      <c r="A219" s="192">
        <v>217</v>
      </c>
      <c r="B219" s="224" t="s">
        <v>7607</v>
      </c>
      <c r="C219" s="224" t="s">
        <v>7608</v>
      </c>
      <c r="E219" s="229" t="s">
        <v>6664</v>
      </c>
      <c r="F219" s="193" t="s">
        <v>6712</v>
      </c>
      <c r="G219" s="193" t="s">
        <v>6651</v>
      </c>
      <c r="H219" s="193">
        <v>1</v>
      </c>
      <c r="M219" s="193">
        <v>1</v>
      </c>
      <c r="N219" s="193" t="s">
        <v>6666</v>
      </c>
      <c r="O219" s="224" t="s">
        <v>7609</v>
      </c>
      <c r="P219" s="224">
        <v>3</v>
      </c>
      <c r="Q219" s="224" t="s">
        <v>249</v>
      </c>
      <c r="U219" s="193">
        <v>1</v>
      </c>
      <c r="AA219" s="200" t="s">
        <v>7610</v>
      </c>
      <c r="AB219" s="200" t="str">
        <f t="array" ref="AB219">INDEX(B:B,SMALL(IF($Q$3:$Q$524&lt;&gt;"",ROW($3:$524),525),ROW(B218)))&amp;""</f>
        <v>召雷术</v>
      </c>
      <c r="AC219" s="225" t="str">
        <f>IFERROR(IF(AND($Q220&lt;&gt;"",IF(法术查询!$J$4="",1,INDEX($R220:$Z220,1,VLOOKUP(法术查询!$J$4,$AF$2:$AG$10,2,0)))&lt;&gt;"",IF(法术查询!$J$5="",1,$P220=VLOOKUP(法术查询!$J$5,$AH$2:$AI$11,2,0)),IF(法术查询!$J$6="",1,IF(法术查询!$J$6=$E220,1,0)),IF(法术查询!$J$7="",1,SEARCH(法术查询!$J$7,$F220)),IF(法术查询!$J$8="",1,SEARCH(法术查询!$J$8,G220)),IF(法术查询!$J$9="",1,SEARCH(法术查询!$J$9,N220)),IF(法术查询!$J$10="",1,IF(法术查询!$J$10=$AF$11,IF($M220=1,1,0),IF($M220="",1,0))),IF(法术查询!$J$11="",1,IF(法术查询!$J$11=$AF$11,IF($D220=1,1,0),IF($D220="",1,0))),IF(法术查询!$J$12="",1,SEARCH(法术查询!$J$12,$B220&amp;$C220&amp;$O220)),IF(法术查询!$J$13="",1,SEARCH(法术查询!$J$13,$B220&amp;$C220&amp;$O220)),IF(法术查询!$J$14="",1,SEARCH(法术查询!$J$14,$B220&amp;$C220&amp;$O220)),IF(法术查询!$J$16="",1,IF(法术查询!$J$16=$AF$11,IF($H220=1,1,0),IF($H220="",1,0))),IF(法术查询!$J$17="",1,IF(法术查询!$J$17=$AF$11,IF($I220=1,1,0),IF($I220="",1,0))),IF(法术查询!$J$18="",1,IF(法术查询!$J$18=$AF$11,IF($J220&lt;&gt;"",1,0),IF($J220="",1,0))),IF(法术查询!$J$19="",1,IF(法术查询!$J$19=$AF$11,IF($L220&lt;&gt;"",1,0),IF($L220="",1,0)))),$B220,""),"")</f>
        <v/>
      </c>
      <c r="AD219" s="192" t="str">
        <f t="array" ref="AD219">INDEX(AC:AC,SMALL(IF($AC$2:$AC$523&lt;&gt;"",ROW($2:$523),524),ROW(AC218)))&amp;""</f>
        <v/>
      </c>
      <c r="AE219" s="200" t="str">
        <f t="shared" si="7"/>
        <v/>
      </c>
      <c r="AJ219" s="192">
        <v>218</v>
      </c>
      <c r="AK219" s="224" t="str">
        <f>IF(法术书!AH25="","",法术书!AH25)</f>
        <v/>
      </c>
      <c r="AL219" s="224" t="str">
        <f t="array" ref="AL219">IFERROR(INDEX(AK$1:AK$301,SMALL(IF(MATCH(AK219,AK$1:AK$301,0)=ROW(AK219),ROW(AK$1:AK$301),999),ROW(AK219))),"")</f>
        <v/>
      </c>
      <c r="AM219" s="223" t="str">
        <f t="array" ref="AM219">INDEX(AL:AL,SMALL(IF($AL$2:$AL$301&lt;&gt;"",ROW($2:$301),302),ROW(AL218)))&amp;""</f>
        <v/>
      </c>
    </row>
    <row r="220" customHeight="1" spans="1:39">
      <c r="A220" s="192">
        <v>218</v>
      </c>
      <c r="B220" s="224" t="s">
        <v>7611</v>
      </c>
      <c r="C220" s="224" t="s">
        <v>7612</v>
      </c>
      <c r="E220" s="231" t="s">
        <v>6672</v>
      </c>
      <c r="F220" s="193" t="s">
        <v>6642</v>
      </c>
      <c r="G220" s="193" t="s">
        <v>6651</v>
      </c>
      <c r="H220" s="193">
        <v>1</v>
      </c>
      <c r="I220" s="193">
        <v>1</v>
      </c>
      <c r="N220" s="193" t="s">
        <v>6709</v>
      </c>
      <c r="O220" s="224" t="s">
        <v>7613</v>
      </c>
      <c r="P220" s="224">
        <v>3</v>
      </c>
      <c r="Q220" s="224" t="s">
        <v>249</v>
      </c>
      <c r="W220" s="193">
        <v>1</v>
      </c>
      <c r="X220" s="193">
        <v>1</v>
      </c>
      <c r="Z220" s="193">
        <v>9</v>
      </c>
      <c r="AA220" s="223" t="s">
        <v>7614</v>
      </c>
      <c r="AB220" s="200" t="str">
        <f t="array" ref="AB220">INDEX(B:B,SMALL(IF($Q$3:$Q$524&lt;&gt;"",ROW($3:$524),525),ROW(B219)))&amp;""</f>
        <v>鹰眼术</v>
      </c>
      <c r="AC220" s="225" t="str">
        <f>IFERROR(IF(AND($Q221&lt;&gt;"",IF(法术查询!$J$4="",1,INDEX($R221:$Z221,1,VLOOKUP(法术查询!$J$4,$AF$2:$AG$10,2,0)))&lt;&gt;"",IF(法术查询!$J$5="",1,$P221=VLOOKUP(法术查询!$J$5,$AH$2:$AI$11,2,0)),IF(法术查询!$J$6="",1,IF(法术查询!$J$6=$E221,1,0)),IF(法术查询!$J$7="",1,SEARCH(法术查询!$J$7,$F221)),IF(法术查询!$J$8="",1,SEARCH(法术查询!$J$8,G221)),IF(法术查询!$J$9="",1,SEARCH(法术查询!$J$9,N221)),IF(法术查询!$J$10="",1,IF(法术查询!$J$10=$AF$11,IF($M221=1,1,0),IF($M221="",1,0))),IF(法术查询!$J$11="",1,IF(法术查询!$J$11=$AF$11,IF($D221=1,1,0),IF($D221="",1,0))),IF(法术查询!$J$12="",1,SEARCH(法术查询!$J$12,$B221&amp;$C221&amp;$O221)),IF(法术查询!$J$13="",1,SEARCH(法术查询!$J$13,$B221&amp;$C221&amp;$O221)),IF(法术查询!$J$14="",1,SEARCH(法术查询!$J$14,$B221&amp;$C221&amp;$O221)),IF(法术查询!$J$16="",1,IF(法术查询!$J$16=$AF$11,IF($H221=1,1,0),IF($H221="",1,0))),IF(法术查询!$J$17="",1,IF(法术查询!$J$17=$AF$11,IF($I221=1,1,0),IF($I221="",1,0))),IF(法术查询!$J$18="",1,IF(法术查询!$J$18=$AF$11,IF($J221&lt;&gt;"",1,0),IF($J221="",1,0))),IF(法术查询!$J$19="",1,IF(法术查询!$J$19=$AF$11,IF($L221&lt;&gt;"",1,0),IF($L221="",1,0)))),$B221,""),"")</f>
        <v/>
      </c>
      <c r="AD220" s="192" t="str">
        <f t="array" ref="AD220">INDEX(AC:AC,SMALL(IF($AC$2:$AC$523&lt;&gt;"",ROW($2:$523),524),ROW(AC219)))&amp;""</f>
        <v/>
      </c>
      <c r="AE220" s="200" t="str">
        <f t="shared" si="7"/>
        <v/>
      </c>
      <c r="AJ220" s="192">
        <v>219</v>
      </c>
      <c r="AK220" s="224" t="str">
        <f>IF(法术书!AH26="","",法术书!AH26)</f>
        <v/>
      </c>
      <c r="AL220" s="224" t="str">
        <f t="array" ref="AL220">IFERROR(INDEX(AK$1:AK$301,SMALL(IF(MATCH(AK220,AK$1:AK$301,0)=ROW(AK220),ROW(AK$1:AK$301),999),ROW(AK220))),"")</f>
        <v/>
      </c>
      <c r="AM220" s="223" t="str">
        <f t="array" ref="AM220">INDEX(AL:AL,SMALL(IF($AL$2:$AL$301&lt;&gt;"",ROW($2:$301),302),ROW(AL219)))&amp;""</f>
        <v/>
      </c>
    </row>
    <row r="221" customHeight="1" spans="1:39">
      <c r="A221" s="192">
        <v>219</v>
      </c>
      <c r="B221" s="224" t="s">
        <v>7615</v>
      </c>
      <c r="C221" s="224" t="s">
        <v>7616</v>
      </c>
      <c r="E221" s="240" t="s">
        <v>6641</v>
      </c>
      <c r="F221" s="193" t="s">
        <v>6642</v>
      </c>
      <c r="G221" s="193" t="s">
        <v>6658</v>
      </c>
      <c r="H221" s="193">
        <v>1</v>
      </c>
      <c r="I221" s="193">
        <v>1</v>
      </c>
      <c r="M221" s="193">
        <v>1</v>
      </c>
      <c r="N221" s="193" t="s">
        <v>6831</v>
      </c>
      <c r="O221" s="224" t="s">
        <v>7617</v>
      </c>
      <c r="P221" s="224">
        <v>3</v>
      </c>
      <c r="Q221" s="224" t="s">
        <v>249</v>
      </c>
      <c r="T221" s="193">
        <v>1</v>
      </c>
      <c r="AA221" s="223" t="s">
        <v>7618</v>
      </c>
      <c r="AB221" s="200" t="str">
        <f t="array" ref="AB221">INDEX(B:B,SMALL(IF($Q$3:$Q$524&lt;&gt;"",ROW($3:$524),525),ROW(B220)))&amp;""</f>
        <v>召唤动物</v>
      </c>
      <c r="AC221" s="225" t="str">
        <f>IFERROR(IF(AND($Q222&lt;&gt;"",IF(法术查询!$J$4="",1,INDEX($R222:$Z222,1,VLOOKUP(法术查询!$J$4,$AF$2:$AG$10,2,0)))&lt;&gt;"",IF(法术查询!$J$5="",1,$P222=VLOOKUP(法术查询!$J$5,$AH$2:$AI$11,2,0)),IF(法术查询!$J$6="",1,IF(法术查询!$J$6=$E222,1,0)),IF(法术查询!$J$7="",1,SEARCH(法术查询!$J$7,$F222)),IF(法术查询!$J$8="",1,SEARCH(法术查询!$J$8,G222)),IF(法术查询!$J$9="",1,SEARCH(法术查询!$J$9,N222)),IF(法术查询!$J$10="",1,IF(法术查询!$J$10=$AF$11,IF($M222=1,1,0),IF($M222="",1,0))),IF(法术查询!$J$11="",1,IF(法术查询!$J$11=$AF$11,IF($D222=1,1,0),IF($D222="",1,0))),IF(法术查询!$J$12="",1,SEARCH(法术查询!$J$12,$B222&amp;$C222&amp;$O222)),IF(法术查询!$J$13="",1,SEARCH(法术查询!$J$13,$B222&amp;$C222&amp;$O222)),IF(法术查询!$J$14="",1,SEARCH(法术查询!$J$14,$B222&amp;$C222&amp;$O222)),IF(法术查询!$J$16="",1,IF(法术查询!$J$16=$AF$11,IF($H222=1,1,0),IF($H222="",1,0))),IF(法术查询!$J$17="",1,IF(法术查询!$J$17=$AF$11,IF($I222=1,1,0),IF($I222="",1,0))),IF(法术查询!$J$18="",1,IF(法术查询!$J$18=$AF$11,IF($J222&lt;&gt;"",1,0),IF($J222="",1,0))),IF(法术查询!$J$19="",1,IF(法术查询!$J$19=$AF$11,IF($L222&lt;&gt;"",1,0),IF($L222="",1,0)))),$B222,""),"")</f>
        <v/>
      </c>
      <c r="AD221" s="192" t="str">
        <f t="array" ref="AD221">INDEX(AC:AC,SMALL(IF($AC$2:$AC$523&lt;&gt;"",ROW($2:$523),524),ROW(AC220)))&amp;""</f>
        <v/>
      </c>
      <c r="AE221" s="200" t="str">
        <f t="shared" si="7"/>
        <v/>
      </c>
      <c r="AJ221" s="192">
        <v>220</v>
      </c>
      <c r="AK221" s="224" t="str">
        <f>IF(法术书!AH27="","",法术书!AH27)</f>
        <v/>
      </c>
      <c r="AL221" s="224" t="str">
        <f t="array" ref="AL221">IFERROR(INDEX(AK$1:AK$301,SMALL(IF(MATCH(AK221,AK$1:AK$301,0)=ROW(AK221),ROW(AK$1:AK$301),999),ROW(AK221))),"")</f>
        <v/>
      </c>
      <c r="AM221" s="223" t="str">
        <f t="array" ref="AM221">INDEX(AL:AL,SMALL(IF($AL$2:$AL$301&lt;&gt;"",ROW($2:$301),302),ROW(AL220)))&amp;""</f>
        <v/>
      </c>
    </row>
    <row r="222" customHeight="1" spans="1:39">
      <c r="A222" s="192">
        <v>220</v>
      </c>
      <c r="B222" s="224" t="s">
        <v>7619</v>
      </c>
      <c r="C222" s="224" t="s">
        <v>7620</v>
      </c>
      <c r="E222" s="238" t="s">
        <v>6695</v>
      </c>
      <c r="F222" s="193" t="s">
        <v>6731</v>
      </c>
      <c r="G222" s="193" t="s">
        <v>6800</v>
      </c>
      <c r="H222" s="193">
        <v>1</v>
      </c>
      <c r="I222" s="193">
        <v>1</v>
      </c>
      <c r="J222" s="193">
        <v>1</v>
      </c>
      <c r="K222" s="224" t="s">
        <v>7621</v>
      </c>
      <c r="M222" s="193">
        <v>1</v>
      </c>
      <c r="N222" s="193" t="s">
        <v>6831</v>
      </c>
      <c r="O222" s="224" t="s">
        <v>7622</v>
      </c>
      <c r="P222" s="224">
        <v>3</v>
      </c>
      <c r="Q222" s="224" t="s">
        <v>249</v>
      </c>
      <c r="R222" s="193">
        <v>1</v>
      </c>
      <c r="S222" s="193">
        <v>1</v>
      </c>
      <c r="W222" s="193">
        <v>1</v>
      </c>
      <c r="X222" s="193">
        <v>1</v>
      </c>
      <c r="AA222" s="223" t="s">
        <v>7623</v>
      </c>
      <c r="AB222" s="200" t="str">
        <f t="array" ref="AB222">INDEX(B:B,SMALL(IF($Q$3:$Q$524&lt;&gt;"",ROW($3:$524),525),ROW(B221)))&amp;""</f>
        <v>召唤箭雨</v>
      </c>
      <c r="AC222" s="225" t="str">
        <f>IFERROR(IF(AND($Q223&lt;&gt;"",IF(法术查询!$J$4="",1,INDEX($R223:$Z223,1,VLOOKUP(法术查询!$J$4,$AF$2:$AG$10,2,0)))&lt;&gt;"",IF(法术查询!$J$5="",1,$P223=VLOOKUP(法术查询!$J$5,$AH$2:$AI$11,2,0)),IF(法术查询!$J$6="",1,IF(法术查询!$J$6=$E223,1,0)),IF(法术查询!$J$7="",1,SEARCH(法术查询!$J$7,$F223)),IF(法术查询!$J$8="",1,SEARCH(法术查询!$J$8,G223)),IF(法术查询!$J$9="",1,SEARCH(法术查询!$J$9,N223)),IF(法术查询!$J$10="",1,IF(法术查询!$J$10=$AF$11,IF($M223=1,1,0),IF($M223="",1,0))),IF(法术查询!$J$11="",1,IF(法术查询!$J$11=$AF$11,IF($D223=1,1,0),IF($D223="",1,0))),IF(法术查询!$J$12="",1,SEARCH(法术查询!$J$12,$B223&amp;$C223&amp;$O223)),IF(法术查询!$J$13="",1,SEARCH(法术查询!$J$13,$B223&amp;$C223&amp;$O223)),IF(法术查询!$J$14="",1,SEARCH(法术查询!$J$14,$B223&amp;$C223&amp;$O223)),IF(法术查询!$J$16="",1,IF(法术查询!$J$16=$AF$11,IF($H223=1,1,0),IF($H223="",1,0))),IF(法术查询!$J$17="",1,IF(法术查询!$J$17=$AF$11,IF($I223=1,1,0),IF($I223="",1,0))),IF(法术查询!$J$18="",1,IF(法术查询!$J$18=$AF$11,IF($J223&lt;&gt;"",1,0),IF($J223="",1,0))),IF(法术查询!$J$19="",1,IF(法术查询!$J$19=$AF$11,IF($L223&lt;&gt;"",1,0),IF($L223="",1,0)))),$B223,""),"")</f>
        <v/>
      </c>
      <c r="AD222" s="192" t="str">
        <f t="array" ref="AD222">INDEX(AC:AC,SMALL(IF($AC$2:$AC$523&lt;&gt;"",ROW($2:$523),524),ROW(AC221)))&amp;""</f>
        <v/>
      </c>
      <c r="AE222" s="200" t="str">
        <f t="shared" si="7"/>
        <v/>
      </c>
      <c r="AJ222" s="192">
        <v>221</v>
      </c>
      <c r="AK222" s="224" t="str">
        <f>IF(法术书!AH28="","",法术书!AH28)</f>
        <v/>
      </c>
      <c r="AL222" s="224" t="str">
        <f t="array" ref="AL222">IFERROR(INDEX(AK$1:AK$301,SMALL(IF(MATCH(AK222,AK$1:AK$301,0)=ROW(AK222),ROW(AK$1:AK$301),999),ROW(AK222))),"")</f>
        <v/>
      </c>
      <c r="AM222" s="223" t="str">
        <f t="array" ref="AM222">INDEX(AL:AL,SMALL(IF($AL$2:$AL$301&lt;&gt;"",ROW($2:$301),302),ROW(AL221)))&amp;""</f>
        <v/>
      </c>
    </row>
    <row r="223" customHeight="1" spans="1:39">
      <c r="A223" s="192">
        <v>221</v>
      </c>
      <c r="B223" s="224" t="s">
        <v>7624</v>
      </c>
      <c r="C223" s="224" t="s">
        <v>7625</v>
      </c>
      <c r="E223" s="240" t="s">
        <v>6641</v>
      </c>
      <c r="F223" s="193" t="s">
        <v>6642</v>
      </c>
      <c r="G223" s="193" t="s">
        <v>6643</v>
      </c>
      <c r="H223" s="193">
        <v>1</v>
      </c>
      <c r="I223" s="193">
        <v>1</v>
      </c>
      <c r="M223" s="193">
        <v>1</v>
      </c>
      <c r="N223" s="193" t="s">
        <v>6739</v>
      </c>
      <c r="O223" s="224" t="s">
        <v>7626</v>
      </c>
      <c r="P223" s="224">
        <v>3</v>
      </c>
      <c r="Q223" s="224" t="s">
        <v>249</v>
      </c>
      <c r="T223" s="193">
        <v>1</v>
      </c>
      <c r="V223" s="193">
        <v>1</v>
      </c>
      <c r="AA223" s="223" t="s">
        <v>7627</v>
      </c>
      <c r="AB223" s="200" t="str">
        <f t="array" ref="AB223">INDEX(B:B,SMALL(IF($Q$3:$Q$524&lt;&gt;"",ROW($3:$524),525),ROW(B222)))&amp;""</f>
        <v>法术反制</v>
      </c>
      <c r="AC223" s="225" t="str">
        <f>IFERROR(IF(AND($Q224&lt;&gt;"",IF(法术查询!$J$4="",1,INDEX($R224:$Z224,1,VLOOKUP(法术查询!$J$4,$AF$2:$AG$10,2,0)))&lt;&gt;"",IF(法术查询!$J$5="",1,$P224=VLOOKUP(法术查询!$J$5,$AH$2:$AI$11,2,0)),IF(法术查询!$J$6="",1,IF(法术查询!$J$6=$E224,1,0)),IF(法术查询!$J$7="",1,SEARCH(法术查询!$J$7,$F224)),IF(法术查询!$J$8="",1,SEARCH(法术查询!$J$8,G224)),IF(法术查询!$J$9="",1,SEARCH(法术查询!$J$9,N224)),IF(法术查询!$J$10="",1,IF(法术查询!$J$10=$AF$11,IF($M224=1,1,0),IF($M224="",1,0))),IF(法术查询!$J$11="",1,IF(法术查询!$J$11=$AF$11,IF($D224=1,1,0),IF($D224="",1,0))),IF(法术查询!$J$12="",1,SEARCH(法术查询!$J$12,$B224&amp;$C224&amp;$O224)),IF(法术查询!$J$13="",1,SEARCH(法术查询!$J$13,$B224&amp;$C224&amp;$O224)),IF(法术查询!$J$14="",1,SEARCH(法术查询!$J$14,$B224&amp;$C224&amp;$O224)),IF(法术查询!$J$16="",1,IF(法术查询!$J$16=$AF$11,IF($H224=1,1,0),IF($H224="",1,0))),IF(法术查询!$J$17="",1,IF(法术查询!$J$17=$AF$11,IF($I224=1,1,0),IF($I224="",1,0))),IF(法术查询!$J$18="",1,IF(法术查询!$J$18=$AF$11,IF($J224&lt;&gt;"",1,0),IF($J224="",1,0))),IF(法术查询!$J$19="",1,IF(法术查询!$J$19=$AF$11,IF($L224&lt;&gt;"",1,0),IF($L224="",1,0)))),$B224,""),"")</f>
        <v/>
      </c>
      <c r="AD223" s="192" t="str">
        <f t="array" ref="AD223">INDEX(AC:AC,SMALL(IF($AC$2:$AC$523&lt;&gt;"",ROW($2:$523),524),ROW(AC222)))&amp;""</f>
        <v/>
      </c>
      <c r="AE223" s="200" t="str">
        <f t="shared" si="7"/>
        <v/>
      </c>
      <c r="AJ223" s="192">
        <v>222</v>
      </c>
      <c r="AK223" s="224" t="str">
        <f>IF(法术书!AH29="","",法术书!AH29)</f>
        <v/>
      </c>
      <c r="AL223" s="224" t="str">
        <f t="array" ref="AL223">IFERROR(INDEX(AK$1:AK$301,SMALL(IF(MATCH(AK223,AK$1:AK$301,0)=ROW(AK223),ROW(AK$1:AK$301),999),ROW(AK223))),"")</f>
        <v/>
      </c>
      <c r="AM223" s="223" t="str">
        <f t="array" ref="AM223">INDEX(AL:AL,SMALL(IF($AL$2:$AL$301&lt;&gt;"",ROW($2:$301),302),ROW(AL222)))&amp;""</f>
        <v/>
      </c>
    </row>
    <row r="224" customHeight="1" spans="1:39">
      <c r="A224" s="192">
        <v>222</v>
      </c>
      <c r="B224" s="224" t="s">
        <v>7628</v>
      </c>
      <c r="C224" s="224" t="s">
        <v>7629</v>
      </c>
      <c r="E224" s="240" t="s">
        <v>6641</v>
      </c>
      <c r="F224" s="193" t="s">
        <v>6642</v>
      </c>
      <c r="G224" s="193" t="s">
        <v>6867</v>
      </c>
      <c r="H224" s="193">
        <v>1</v>
      </c>
      <c r="I224" s="193">
        <v>1</v>
      </c>
      <c r="J224" s="193">
        <v>1</v>
      </c>
      <c r="K224" s="224" t="s">
        <v>7630</v>
      </c>
      <c r="N224" s="193" t="s">
        <v>6644</v>
      </c>
      <c r="O224" s="224" t="s">
        <v>7631</v>
      </c>
      <c r="P224" s="224">
        <v>3</v>
      </c>
      <c r="Q224" s="224" t="s">
        <v>249</v>
      </c>
      <c r="V224" s="193">
        <v>1</v>
      </c>
      <c r="AA224" s="223" t="s">
        <v>7632</v>
      </c>
      <c r="AB224" s="200" t="str">
        <f t="array" ref="AB224">INDEX(B:B,SMALL(IF($Q$3:$Q$524&lt;&gt;"",ROW($3:$524),525),ROW(B223)))&amp;""</f>
        <v>造粮术</v>
      </c>
      <c r="AC224" s="225" t="str">
        <f>IFERROR(IF(AND($Q225&lt;&gt;"",IF(法术查询!$J$4="",1,INDEX($R225:$Z225,1,VLOOKUP(法术查询!$J$4,$AF$2:$AG$10,2,0)))&lt;&gt;"",IF(法术查询!$J$5="",1,$P225=VLOOKUP(法术查询!$J$5,$AH$2:$AI$11,2,0)),IF(法术查询!$J$6="",1,IF(法术查询!$J$6=$E225,1,0)),IF(法术查询!$J$7="",1,SEARCH(法术查询!$J$7,$F225)),IF(法术查询!$J$8="",1,SEARCH(法术查询!$J$8,G225)),IF(法术查询!$J$9="",1,SEARCH(法术查询!$J$9,N225)),IF(法术查询!$J$10="",1,IF(法术查询!$J$10=$AF$11,IF($M225=1,1,0),IF($M225="",1,0))),IF(法术查询!$J$11="",1,IF(法术查询!$J$11=$AF$11,IF($D225=1,1,0),IF($D225="",1,0))),IF(法术查询!$J$12="",1,SEARCH(法术查询!$J$12,$B225&amp;$C225&amp;$O225)),IF(法术查询!$J$13="",1,SEARCH(法术查询!$J$13,$B225&amp;$C225&amp;$O225)),IF(法术查询!$J$14="",1,SEARCH(法术查询!$J$14,$B225&amp;$C225&amp;$O225)),IF(法术查询!$J$16="",1,IF(法术查询!$J$16=$AF$11,IF($H225=1,1,0),IF($H225="",1,0))),IF(法术查询!$J$17="",1,IF(法术查询!$J$17=$AF$11,IF($I225=1,1,0),IF($I225="",1,0))),IF(法术查询!$J$18="",1,IF(法术查询!$J$18=$AF$11,IF($J225&lt;&gt;"",1,0),IF($J225="",1,0))),IF(法术查询!$J$19="",1,IF(法术查询!$J$19=$AF$11,IF($L225&lt;&gt;"",1,0),IF($L225="",1,0)))),$B225,""),"")</f>
        <v/>
      </c>
      <c r="AD224" s="192" t="str">
        <f t="array" ref="AD224">INDEX(AC:AC,SMALL(IF($AC$2:$AC$523&lt;&gt;"",ROW($2:$523),524),ROW(AC223)))&amp;""</f>
        <v/>
      </c>
      <c r="AE224" s="200" t="str">
        <f t="shared" si="7"/>
        <v/>
      </c>
      <c r="AJ224" s="192">
        <v>223</v>
      </c>
      <c r="AK224" s="224" t="str">
        <f>IF(法术书!AH30="","",法术书!AH30)</f>
        <v/>
      </c>
      <c r="AL224" s="224" t="str">
        <f t="array" ref="AL224">IFERROR(INDEX(AK$1:AK$301,SMALL(IF(MATCH(AK224,AK$1:AK$301,0)=ROW(AK224),ROW(AK$1:AK$301),999),ROW(AK224))),"")</f>
        <v/>
      </c>
      <c r="AM224" s="223" t="str">
        <f t="array" ref="AM224">INDEX(AL:AL,SMALL(IF($AL$2:$AL$301&lt;&gt;"",ROW($2:$301),302),ROW(AL223)))&amp;""</f>
        <v/>
      </c>
    </row>
    <row r="225" customHeight="1" spans="1:39">
      <c r="A225" s="192">
        <v>223</v>
      </c>
      <c r="B225" s="224" t="s">
        <v>7633</v>
      </c>
      <c r="C225" s="224" t="s">
        <v>7634</v>
      </c>
      <c r="E225" s="242" t="s">
        <v>6650</v>
      </c>
      <c r="F225" s="193" t="s">
        <v>6785</v>
      </c>
      <c r="G225" s="193" t="s">
        <v>6643</v>
      </c>
      <c r="I225" s="193">
        <v>1</v>
      </c>
      <c r="N225" s="193" t="s">
        <v>6644</v>
      </c>
      <c r="O225" s="224" t="s">
        <v>7635</v>
      </c>
      <c r="P225" s="224">
        <v>3</v>
      </c>
      <c r="Q225" s="224" t="s">
        <v>249</v>
      </c>
      <c r="W225" s="193">
        <v>1</v>
      </c>
      <c r="X225" s="193">
        <v>1</v>
      </c>
      <c r="Y225" s="193">
        <v>1</v>
      </c>
      <c r="AA225" s="223" t="s">
        <v>7636</v>
      </c>
      <c r="AB225" s="200" t="str">
        <f t="array" ref="AB225">INDEX(B:B,SMALL(IF($Q$3:$Q$524&lt;&gt;"",ROW($3:$524),525),ROW(B224)))&amp;""</f>
        <v>十字军披风</v>
      </c>
      <c r="AC225" s="225" t="str">
        <f>IFERROR(IF(AND($Q226&lt;&gt;"",IF(法术查询!$J$4="",1,INDEX($R226:$Z226,1,VLOOKUP(法术查询!$J$4,$AF$2:$AG$10,2,0)))&lt;&gt;"",IF(法术查询!$J$5="",1,$P226=VLOOKUP(法术查询!$J$5,$AH$2:$AI$11,2,0)),IF(法术查询!$J$6="",1,IF(法术查询!$J$6=$E226,1,0)),IF(法术查询!$J$7="",1,SEARCH(法术查询!$J$7,$F226)),IF(法术查询!$J$8="",1,SEARCH(法术查询!$J$8,G226)),IF(法术查询!$J$9="",1,SEARCH(法术查询!$J$9,N226)),IF(法术查询!$J$10="",1,IF(法术查询!$J$10=$AF$11,IF($M226=1,1,0),IF($M226="",1,0))),IF(法术查询!$J$11="",1,IF(法术查询!$J$11=$AF$11,IF($D226=1,1,0),IF($D226="",1,0))),IF(法术查询!$J$12="",1,SEARCH(法术查询!$J$12,$B226&amp;$C226&amp;$O226)),IF(法术查询!$J$13="",1,SEARCH(法术查询!$J$13,$B226&amp;$C226&amp;$O226)),IF(法术查询!$J$14="",1,SEARCH(法术查询!$J$14,$B226&amp;$C226&amp;$O226)),IF(法术查询!$J$16="",1,IF(法术查询!$J$16=$AF$11,IF($H226=1,1,0),IF($H226="",1,0))),IF(法术查询!$J$17="",1,IF(法术查询!$J$17=$AF$11,IF($I226=1,1,0),IF($I226="",1,0))),IF(法术查询!$J$18="",1,IF(法术查询!$J$18=$AF$11,IF($J226&lt;&gt;"",1,0),IF($J226="",1,0))),IF(法术查询!$J$19="",1,IF(法术查询!$J$19=$AF$11,IF($L226&lt;&gt;"",1,0),IF($L226="",1,0)))),$B226,""),"")</f>
        <v/>
      </c>
      <c r="AD225" s="192" t="str">
        <f t="array" ref="AD225">INDEX(AC:AC,SMALL(IF($AC$2:$AC$523&lt;&gt;"",ROW($2:$523),524),ROW(AC224)))&amp;""</f>
        <v/>
      </c>
      <c r="AE225" s="200" t="str">
        <f t="shared" si="7"/>
        <v/>
      </c>
      <c r="AJ225" s="192">
        <v>224</v>
      </c>
      <c r="AK225" s="224" t="str">
        <f>IF(法术书!AH31="","",法术书!AH31)</f>
        <v/>
      </c>
      <c r="AL225" s="224" t="str">
        <f t="array" ref="AL225">IFERROR(INDEX(AK$1:AK$301,SMALL(IF(MATCH(AK225,AK$1:AK$301,0)=ROW(AK225),ROW(AK$1:AK$301),999),ROW(AK225))),"")</f>
        <v/>
      </c>
      <c r="AM225" s="223" t="str">
        <f t="array" ref="AM225">INDEX(AL:AL,SMALL(IF($AL$2:$AL$301&lt;&gt;"",ROW($2:$301),302),ROW(AL224)))&amp;""</f>
        <v/>
      </c>
    </row>
    <row r="226" customHeight="1" spans="1:39">
      <c r="A226" s="192">
        <v>224</v>
      </c>
      <c r="B226" s="224" t="s">
        <v>7637</v>
      </c>
      <c r="C226" s="224" t="s">
        <v>7638</v>
      </c>
      <c r="E226" s="240" t="s">
        <v>6641</v>
      </c>
      <c r="F226" s="193" t="s">
        <v>6642</v>
      </c>
      <c r="G226" s="193" t="s">
        <v>6673</v>
      </c>
      <c r="H226" s="193">
        <v>1</v>
      </c>
      <c r="I226" s="193">
        <v>1</v>
      </c>
      <c r="N226" s="193" t="s">
        <v>6644</v>
      </c>
      <c r="O226" s="224" t="s">
        <v>7639</v>
      </c>
      <c r="P226" s="224">
        <v>3</v>
      </c>
      <c r="Q226" s="224" t="s">
        <v>249</v>
      </c>
      <c r="S226" s="193">
        <v>1</v>
      </c>
      <c r="U226" s="193">
        <v>1</v>
      </c>
      <c r="Z226" s="193">
        <v>9</v>
      </c>
      <c r="AA226" s="223" t="s">
        <v>7640</v>
      </c>
      <c r="AB226" s="200" t="str">
        <f t="array" ref="AB226">INDEX(B:B,SMALL(IF($Q$3:$Q$524&lt;&gt;"",ROW($3:$524),525),ROW(B225)))&amp;""</f>
        <v>昼明术</v>
      </c>
      <c r="AC226" s="225" t="str">
        <f>IFERROR(IF(AND($Q227&lt;&gt;"",IF(法术查询!$J$4="",1,INDEX($R227:$Z227,1,VLOOKUP(法术查询!$J$4,$AF$2:$AG$10,2,0)))&lt;&gt;"",IF(法术查询!$J$5="",1,$P227=VLOOKUP(法术查询!$J$5,$AH$2:$AI$11,2,0)),IF(法术查询!$J$6="",1,IF(法术查询!$J$6=$E227,1,0)),IF(法术查询!$J$7="",1,SEARCH(法术查询!$J$7,$F227)),IF(法术查询!$J$8="",1,SEARCH(法术查询!$J$8,G227)),IF(法术查询!$J$9="",1,SEARCH(法术查询!$J$9,N227)),IF(法术查询!$J$10="",1,IF(法术查询!$J$10=$AF$11,IF($M227=1,1,0),IF($M227="",1,0))),IF(法术查询!$J$11="",1,IF(法术查询!$J$11=$AF$11,IF($D227=1,1,0),IF($D227="",1,0))),IF(法术查询!$J$12="",1,SEARCH(法术查询!$J$12,$B227&amp;$C227&amp;$O227)),IF(法术查询!$J$13="",1,SEARCH(法术查询!$J$13,$B227&amp;$C227&amp;$O227)),IF(法术查询!$J$14="",1,SEARCH(法术查询!$J$14,$B227&amp;$C227&amp;$O227)),IF(法术查询!$J$16="",1,IF(法术查询!$J$16=$AF$11,IF($H227=1,1,0),IF($H227="",1,0))),IF(法术查询!$J$17="",1,IF(法术查询!$J$17=$AF$11,IF($I227=1,1,0),IF($I227="",1,0))),IF(法术查询!$J$18="",1,IF(法术查询!$J$18=$AF$11,IF($J227&lt;&gt;"",1,0),IF($J227="",1,0))),IF(法术查询!$J$19="",1,IF(法术查询!$J$19=$AF$11,IF($L227&lt;&gt;"",1,0),IF($L227="",1,0)))),$B227,""),"")</f>
        <v/>
      </c>
      <c r="AD226" s="192" t="str">
        <f t="array" ref="AD226">INDEX(AC:AC,SMALL(IF($AC$2:$AC$523&lt;&gt;"",ROW($2:$523),524),ROW(AC225)))&amp;""</f>
        <v/>
      </c>
      <c r="AE226" s="200" t="str">
        <f t="shared" si="7"/>
        <v/>
      </c>
      <c r="AJ226" s="192">
        <v>225</v>
      </c>
      <c r="AK226" s="224" t="str">
        <f>IF(法术书!AH32="","",法术书!AH32)</f>
        <v/>
      </c>
      <c r="AL226" s="224" t="str">
        <f t="array" ref="AL226">IFERROR(INDEX(AK$1:AK$301,SMALL(IF(MATCH(AK226,AK$1:AK$301,0)=ROW(AK226),ROW(AK$1:AK$301),999),ROW(AK226))),"")</f>
        <v/>
      </c>
      <c r="AM226" s="223" t="str">
        <f t="array" ref="AM226">INDEX(AL:AL,SMALL(IF($AL$2:$AL$301&lt;&gt;"",ROW($2:$301),302),ROW(AL225)))&amp;""</f>
        <v/>
      </c>
    </row>
    <row r="227" customHeight="1" spans="1:39">
      <c r="A227" s="192">
        <v>225</v>
      </c>
      <c r="B227" s="224" t="s">
        <v>7641</v>
      </c>
      <c r="C227" s="224" t="s">
        <v>7642</v>
      </c>
      <c r="E227" s="229" t="s">
        <v>6664</v>
      </c>
      <c r="F227" s="193" t="s">
        <v>6642</v>
      </c>
      <c r="G227" s="193" t="s">
        <v>6651</v>
      </c>
      <c r="H227" s="193">
        <v>1</v>
      </c>
      <c r="M227" s="193">
        <v>1</v>
      </c>
      <c r="N227" s="193" t="s">
        <v>6666</v>
      </c>
      <c r="O227" s="224" t="s">
        <v>7643</v>
      </c>
      <c r="P227" s="224">
        <v>3</v>
      </c>
      <c r="Q227" s="224" t="s">
        <v>249</v>
      </c>
      <c r="U227" s="193">
        <v>1</v>
      </c>
      <c r="AA227" s="223" t="s">
        <v>7644</v>
      </c>
      <c r="AB227" s="200" t="str">
        <f t="array" ref="AB227">INDEX(B:B,SMALL(IF($Q$3:$Q$524&lt;&gt;"",ROW($3:$524),525),ROW(B226)))&amp;""</f>
        <v>解除魔法</v>
      </c>
      <c r="AC227" s="225" t="str">
        <f>IFERROR(IF(AND($Q228&lt;&gt;"",IF(法术查询!$J$4="",1,INDEX($R228:$Z228,1,VLOOKUP(法术查询!$J$4,$AF$2:$AG$10,2,0)))&lt;&gt;"",IF(法术查询!$J$5="",1,$P228=VLOOKUP(法术查询!$J$5,$AH$2:$AI$11,2,0)),IF(法术查询!$J$6="",1,IF(法术查询!$J$6=$E228,1,0)),IF(法术查询!$J$7="",1,SEARCH(法术查询!$J$7,$F228)),IF(法术查询!$J$8="",1,SEARCH(法术查询!$J$8,G228)),IF(法术查询!$J$9="",1,SEARCH(法术查询!$J$9,N228)),IF(法术查询!$J$10="",1,IF(法术查询!$J$10=$AF$11,IF($M228=1,1,0),IF($M228="",1,0))),IF(法术查询!$J$11="",1,IF(法术查询!$J$11=$AF$11,IF($D228=1,1,0),IF($D228="",1,0))),IF(法术查询!$J$12="",1,SEARCH(法术查询!$J$12,$B228&amp;$C228&amp;$O228)),IF(法术查询!$J$13="",1,SEARCH(法术查询!$J$13,$B228&amp;$C228&amp;$O228)),IF(法术查询!$J$14="",1,SEARCH(法术查询!$J$14,$B228&amp;$C228&amp;$O228)),IF(法术查询!$J$16="",1,IF(法术查询!$J$16=$AF$11,IF($H228=1,1,0),IF($H228="",1,0))),IF(法术查询!$J$17="",1,IF(法术查询!$J$17=$AF$11,IF($I228=1,1,0),IF($I228="",1,0))),IF(法术查询!$J$18="",1,IF(法术查询!$J$18=$AF$11,IF($J228&lt;&gt;"",1,0),IF($J228="",1,0))),IF(法术查询!$J$19="",1,IF(法术查询!$J$19=$AF$11,IF($L228&lt;&gt;"",1,0),IF($L228="",1,0)))),$B228,""),"")</f>
        <v/>
      </c>
      <c r="AD227" s="192" t="str">
        <f t="array" ref="AD227">INDEX(AC:AC,SMALL(IF($AC$2:$AC$523&lt;&gt;"",ROW($2:$523),524),ROW(AC226)))&amp;""</f>
        <v/>
      </c>
      <c r="AE227" s="200" t="str">
        <f t="shared" si="7"/>
        <v/>
      </c>
      <c r="AJ227" s="192">
        <v>226</v>
      </c>
      <c r="AK227" s="224" t="str">
        <f>IF(法术书!AH33="","",法术书!AH33)</f>
        <v/>
      </c>
      <c r="AL227" s="224" t="str">
        <f t="array" ref="AL227">IFERROR(INDEX(AK$1:AK$301,SMALL(IF(MATCH(AK227,AK$1:AK$301,0)=ROW(AK227),ROW(AK$1:AK$301),999),ROW(AK227))),"")</f>
        <v/>
      </c>
      <c r="AM227" s="223" t="str">
        <f t="array" ref="AM227">INDEX(AL:AL,SMALL(IF($AL$2:$AL$301&lt;&gt;"",ROW($2:$301),302),ROW(AL226)))&amp;""</f>
        <v/>
      </c>
    </row>
    <row r="228" customHeight="1" spans="1:39">
      <c r="A228" s="192">
        <v>226</v>
      </c>
      <c r="B228" s="224" t="s">
        <v>7645</v>
      </c>
      <c r="C228" s="224" t="s">
        <v>7646</v>
      </c>
      <c r="E228" s="229" t="s">
        <v>6664</v>
      </c>
      <c r="F228" s="193" t="s">
        <v>6642</v>
      </c>
      <c r="G228" s="193" t="s">
        <v>6643</v>
      </c>
      <c r="H228" s="193">
        <v>1</v>
      </c>
      <c r="I228" s="193">
        <v>1</v>
      </c>
      <c r="N228" s="193" t="s">
        <v>6704</v>
      </c>
      <c r="O228" s="224" t="s">
        <v>7647</v>
      </c>
      <c r="P228" s="224">
        <v>3</v>
      </c>
      <c r="Q228" s="224" t="s">
        <v>249</v>
      </c>
      <c r="S228" s="193">
        <v>1</v>
      </c>
      <c r="T228" s="193">
        <v>1</v>
      </c>
      <c r="U228" s="193">
        <v>1</v>
      </c>
      <c r="V228" s="193">
        <v>1</v>
      </c>
      <c r="W228" s="193">
        <v>1</v>
      </c>
      <c r="AA228" s="223" t="s">
        <v>7648</v>
      </c>
      <c r="AB228" s="200" t="str">
        <f t="array" ref="AB228">INDEX(B:B,SMALL(IF($Q$3:$Q$524&lt;&gt;"",ROW($3:$524),525),ROW(B227)))&amp;""</f>
        <v>元素武器</v>
      </c>
      <c r="AC228" s="225" t="str">
        <f>IFERROR(IF(AND($Q229&lt;&gt;"",IF(法术查询!$J$4="",1,INDEX($R229:$Z229,1,VLOOKUP(法术查询!$J$4,$AF$2:$AG$10,2,0)))&lt;&gt;"",IF(法术查询!$J$5="",1,$P229=VLOOKUP(法术查询!$J$5,$AH$2:$AI$11,2,0)),IF(法术查询!$J$6="",1,IF(法术查询!$J$6=$E229,1,0)),IF(法术查询!$J$7="",1,SEARCH(法术查询!$J$7,$F229)),IF(法术查询!$J$8="",1,SEARCH(法术查询!$J$8,G229)),IF(法术查询!$J$9="",1,SEARCH(法术查询!$J$9,N229)),IF(法术查询!$J$10="",1,IF(法术查询!$J$10=$AF$11,IF($M229=1,1,0),IF($M229="",1,0))),IF(法术查询!$J$11="",1,IF(法术查询!$J$11=$AF$11,IF($D229=1,1,0),IF($D229="",1,0))),IF(法术查询!$J$12="",1,SEARCH(法术查询!$J$12,$B229&amp;$C229&amp;$O229)),IF(法术查询!$J$13="",1,SEARCH(法术查询!$J$13,$B229&amp;$C229&amp;$O229)),IF(法术查询!$J$14="",1,SEARCH(法术查询!$J$14,$B229&amp;$C229&amp;$O229)),IF(法术查询!$J$16="",1,IF(法术查询!$J$16=$AF$11,IF($H229=1,1,0),IF($H229="",1,0))),IF(法术查询!$J$17="",1,IF(法术查询!$J$17=$AF$11,IF($I229=1,1,0),IF($I229="",1,0))),IF(法术查询!$J$18="",1,IF(法术查询!$J$18=$AF$11,IF($J229&lt;&gt;"",1,0),IF($J229="",1,0))),IF(法术查询!$J$19="",1,IF(法术查询!$J$19=$AF$11,IF($L229&lt;&gt;"",1,0),IF($L229="",1,0)))),$B229,""),"")</f>
        <v/>
      </c>
      <c r="AD228" s="192" t="str">
        <f t="array" ref="AD228">INDEX(AC:AC,SMALL(IF($AC$2:$AC$523&lt;&gt;"",ROW($2:$523),524),ROW(AC227)))&amp;""</f>
        <v/>
      </c>
      <c r="AE228" s="200" t="str">
        <f t="shared" si="7"/>
        <v/>
      </c>
      <c r="AJ228" s="192">
        <v>227</v>
      </c>
      <c r="AK228" s="224" t="str">
        <f>IF(法术书!AH34="","",法术书!AH34)</f>
        <v/>
      </c>
      <c r="AL228" s="224" t="str">
        <f t="array" ref="AL228">IFERROR(INDEX(AK$1:AK$301,SMALL(IF(MATCH(AK228,AK$1:AK$301,0)=ROW(AK228),ROW(AK$1:AK$301),999),ROW(AK228))),"")</f>
        <v/>
      </c>
      <c r="AM228" s="223" t="str">
        <f t="array" ref="AM228">INDEX(AL:AL,SMALL(IF($AL$2:$AL$301&lt;&gt;"",ROW($2:$301),302),ROW(AL227)))&amp;""</f>
        <v/>
      </c>
    </row>
    <row r="229" customHeight="1" spans="1:39">
      <c r="A229" s="192">
        <v>227</v>
      </c>
      <c r="B229" s="224" t="s">
        <v>7649</v>
      </c>
      <c r="C229" s="224" t="s">
        <v>7650</v>
      </c>
      <c r="E229" s="242" t="s">
        <v>6650</v>
      </c>
      <c r="F229" s="193" t="s">
        <v>6642</v>
      </c>
      <c r="G229" s="193" t="s">
        <v>6658</v>
      </c>
      <c r="H229" s="193">
        <v>1</v>
      </c>
      <c r="I229" s="193">
        <v>1</v>
      </c>
      <c r="N229" s="193" t="s">
        <v>6644</v>
      </c>
      <c r="O229" s="224" t="s">
        <v>7651</v>
      </c>
      <c r="P229" s="224">
        <v>3</v>
      </c>
      <c r="Q229" s="224" t="s">
        <v>249</v>
      </c>
      <c r="R229" s="193">
        <v>1</v>
      </c>
      <c r="S229" s="193">
        <v>1</v>
      </c>
      <c r="T229" s="193">
        <v>1</v>
      </c>
      <c r="U229" s="193">
        <v>1</v>
      </c>
      <c r="W229" s="193">
        <v>1</v>
      </c>
      <c r="X229" s="193">
        <v>1</v>
      </c>
      <c r="Y229" s="193">
        <v>1</v>
      </c>
      <c r="Z229" s="193">
        <v>9</v>
      </c>
      <c r="AA229" s="223" t="s">
        <v>7652</v>
      </c>
      <c r="AB229" s="200" t="str">
        <f t="array" ref="AB229">INDEX(B:B,SMALL(IF($Q$3:$Q$524&lt;&gt;"",ROW($3:$524),525),ROW(B228)))&amp;""</f>
        <v>恐惧术</v>
      </c>
      <c r="AC229" s="225" t="str">
        <f>IFERROR(IF(AND($Q230&lt;&gt;"",IF(法术查询!$J$4="",1,INDEX($R230:$Z230,1,VLOOKUP(法术查询!$J$4,$AF$2:$AG$10,2,0)))&lt;&gt;"",IF(法术查询!$J$5="",1,$P230=VLOOKUP(法术查询!$J$5,$AH$2:$AI$11,2,0)),IF(法术查询!$J$6="",1,IF(法术查询!$J$6=$E230,1,0)),IF(法术查询!$J$7="",1,SEARCH(法术查询!$J$7,$F230)),IF(法术查询!$J$8="",1,SEARCH(法术查询!$J$8,G230)),IF(法术查询!$J$9="",1,SEARCH(法术查询!$J$9,N230)),IF(法术查询!$J$10="",1,IF(法术查询!$J$10=$AF$11,IF($M230=1,1,0),IF($M230="",1,0))),IF(法术查询!$J$11="",1,IF(法术查询!$J$11=$AF$11,IF($D230=1,1,0),IF($D230="",1,0))),IF(法术查询!$J$12="",1,SEARCH(法术查询!$J$12,$B230&amp;$C230&amp;$O230)),IF(法术查询!$J$13="",1,SEARCH(法术查询!$J$13,$B230&amp;$C230&amp;$O230)),IF(法术查询!$J$14="",1,SEARCH(法术查询!$J$14,$B230&amp;$C230&amp;$O230)),IF(法术查询!$J$16="",1,IF(法术查询!$J$16=$AF$11,IF($H230=1,1,0),IF($H230="",1,0))),IF(法术查询!$J$17="",1,IF(法术查询!$J$17=$AF$11,IF($I230=1,1,0),IF($I230="",1,0))),IF(法术查询!$J$18="",1,IF(法术查询!$J$18=$AF$11,IF($J230&lt;&gt;"",1,0),IF($J230="",1,0))),IF(法术查询!$J$19="",1,IF(法术查询!$J$19=$AF$11,IF($L230&lt;&gt;"",1,0),IF($L230="",1,0)))),$B230,""),"")</f>
        <v/>
      </c>
      <c r="AD229" s="192" t="str">
        <f t="array" ref="AD229">INDEX(AC:AC,SMALL(IF($AC$2:$AC$523&lt;&gt;"",ROW($2:$523),524),ROW(AC228)))&amp;""</f>
        <v/>
      </c>
      <c r="AE229" s="200" t="str">
        <f t="shared" si="7"/>
        <v/>
      </c>
      <c r="AJ229" s="192">
        <v>228</v>
      </c>
      <c r="AK229" s="224" t="str">
        <f>IF(法术书!AH35="","",法术书!AH35)</f>
        <v/>
      </c>
      <c r="AL229" s="224" t="str">
        <f t="array" ref="AL229">IFERROR(INDEX(AK$1:AK$301,SMALL(IF(MATCH(AK229,AK$1:AK$301,0)=ROW(AK229),ROW(AK$1:AK$301),999),ROW(AK229))),"")</f>
        <v/>
      </c>
      <c r="AM229" s="223" t="str">
        <f t="array" ref="AM229">INDEX(AL:AL,SMALL(IF($AL$2:$AL$301&lt;&gt;"",ROW($2:$301),302),ROW(AL228)))&amp;""</f>
        <v/>
      </c>
    </row>
    <row r="230" customHeight="1" spans="1:39">
      <c r="A230" s="192">
        <v>228</v>
      </c>
      <c r="B230" s="224" t="s">
        <v>7653</v>
      </c>
      <c r="C230" s="224" t="s">
        <v>7654</v>
      </c>
      <c r="E230" s="231" t="s">
        <v>6672</v>
      </c>
      <c r="F230" s="193" t="s">
        <v>6642</v>
      </c>
      <c r="G230" s="193" t="s">
        <v>3760</v>
      </c>
      <c r="H230" s="193">
        <v>1</v>
      </c>
      <c r="I230" s="193">
        <v>1</v>
      </c>
      <c r="M230" s="193">
        <v>1</v>
      </c>
      <c r="N230" s="193" t="s">
        <v>6739</v>
      </c>
      <c r="O230" s="224" t="s">
        <v>7655</v>
      </c>
      <c r="P230" s="224">
        <v>3</v>
      </c>
      <c r="Q230" s="224" t="s">
        <v>249</v>
      </c>
      <c r="T230" s="193" t="str">
        <f>IF(综合数据!$B$14=TRUE,"13","")</f>
        <v>13</v>
      </c>
      <c r="U230" s="193">
        <v>1</v>
      </c>
      <c r="V230" s="193" t="str">
        <f>IF(综合数据!$B$14=TRUE,"13","")</f>
        <v>13</v>
      </c>
      <c r="Z230" s="193">
        <v>9</v>
      </c>
      <c r="AA230" s="223" t="s">
        <v>7656</v>
      </c>
      <c r="AB230" s="200" t="str">
        <f t="array" ref="AB230">INDEX(B:B,SMALL(IF($Q$3:$Q$524&lt;&gt;"",ROW($3:$524),525),ROW(B229)))&amp;""</f>
        <v>假死术</v>
      </c>
      <c r="AC230" s="225" t="str">
        <f>IFERROR(IF(AND($Q231&lt;&gt;"",IF(法术查询!$J$4="",1,INDEX($R231:$Z231,1,VLOOKUP(法术查询!$J$4,$AF$2:$AG$10,2,0)))&lt;&gt;"",IF(法术查询!$J$5="",1,$P231=VLOOKUP(法术查询!$J$5,$AH$2:$AI$11,2,0)),IF(法术查询!$J$6="",1,IF(法术查询!$J$6=$E231,1,0)),IF(法术查询!$J$7="",1,SEARCH(法术查询!$J$7,$F231)),IF(法术查询!$J$8="",1,SEARCH(法术查询!$J$8,G231)),IF(法术查询!$J$9="",1,SEARCH(法术查询!$J$9,N231)),IF(法术查询!$J$10="",1,IF(法术查询!$J$10=$AF$11,IF($M231=1,1,0),IF($M231="",1,0))),IF(法术查询!$J$11="",1,IF(法术查询!$J$11=$AF$11,IF($D231=1,1,0),IF($D231="",1,0))),IF(法术查询!$J$12="",1,SEARCH(法术查询!$J$12,$B231&amp;$C231&amp;$O231)),IF(法术查询!$J$13="",1,SEARCH(法术查询!$J$13,$B231&amp;$C231&amp;$O231)),IF(法术查询!$J$14="",1,SEARCH(法术查询!$J$14,$B231&amp;$C231&amp;$O231)),IF(法术查询!$J$16="",1,IF(法术查询!$J$16=$AF$11,IF($H231=1,1,0),IF($H231="",1,0))),IF(法术查询!$J$17="",1,IF(法术查询!$J$17=$AF$11,IF($I231=1,1,0),IF($I231="",1,0))),IF(法术查询!$J$18="",1,IF(法术查询!$J$18=$AF$11,IF($J231&lt;&gt;"",1,0),IF($J231="",1,0))),IF(法术查询!$J$19="",1,IF(法术查询!$J$19=$AF$11,IF($L231&lt;&gt;"",1,0),IF($L231="",1,0)))),$B231,""),"")</f>
        <v/>
      </c>
      <c r="AD230" s="192" t="str">
        <f t="array" ref="AD230">INDEX(AC:AC,SMALL(IF($AC$2:$AC$523&lt;&gt;"",ROW($2:$523),524),ROW(AC229)))&amp;""</f>
        <v/>
      </c>
      <c r="AE230" s="200" t="str">
        <f t="shared" si="7"/>
        <v/>
      </c>
      <c r="AJ230" s="192">
        <v>229</v>
      </c>
      <c r="AK230" s="224" t="str">
        <f>IF(法术书!AH36="","",法术书!AH36)</f>
        <v/>
      </c>
      <c r="AL230" s="224" t="str">
        <f t="array" ref="AL230">IFERROR(INDEX(AK$1:AK$301,SMALL(IF(MATCH(AK230,AK$1:AK$301,0)=ROW(AK230),ROW(AK$1:AK$301),999),ROW(AK230))),"")</f>
        <v/>
      </c>
      <c r="AM230" s="223" t="str">
        <f t="array" ref="AM230">INDEX(AL:AL,SMALL(IF($AL$2:$AL$301&lt;&gt;"",ROW($2:$301),302),ROW(AL229)))&amp;""</f>
        <v/>
      </c>
    </row>
    <row r="231" customHeight="1" spans="1:39">
      <c r="A231" s="192">
        <v>229</v>
      </c>
      <c r="B231" s="224" t="s">
        <v>7657</v>
      </c>
      <c r="C231" s="224" t="s">
        <v>7658</v>
      </c>
      <c r="E231" s="241" t="s">
        <v>6726</v>
      </c>
      <c r="F231" s="193" t="s">
        <v>6642</v>
      </c>
      <c r="G231" s="193" t="s">
        <v>6875</v>
      </c>
      <c r="H231" s="193">
        <v>1</v>
      </c>
      <c r="I231" s="193">
        <v>1</v>
      </c>
      <c r="J231" s="193">
        <v>1</v>
      </c>
      <c r="K231" s="224" t="s">
        <v>7659</v>
      </c>
      <c r="M231" s="193">
        <v>1</v>
      </c>
      <c r="N231" s="193" t="s">
        <v>6666</v>
      </c>
      <c r="O231" s="224" t="s">
        <v>7660</v>
      </c>
      <c r="P231" s="224">
        <v>3</v>
      </c>
      <c r="Q231" s="224" t="s">
        <v>249</v>
      </c>
      <c r="R231" s="193">
        <v>1</v>
      </c>
      <c r="W231" s="193">
        <v>1</v>
      </c>
      <c r="X231" s="193">
        <v>1</v>
      </c>
      <c r="Y231" s="193">
        <v>1</v>
      </c>
      <c r="AA231" s="223" t="s">
        <v>7661</v>
      </c>
      <c r="AB231" s="200" t="str">
        <f t="array" ref="AB231">INDEX(B:B,SMALL(IF($Q$3:$Q$524&lt;&gt;"",ROW($3:$524),525),ROW(B230)))&amp;""</f>
        <v>火球术</v>
      </c>
      <c r="AC231" s="225" t="str">
        <f>IFERROR(IF(AND($Q232&lt;&gt;"",IF(法术查询!$J$4="",1,INDEX($R232:$Z232,1,VLOOKUP(法术查询!$J$4,$AF$2:$AG$10,2,0)))&lt;&gt;"",IF(法术查询!$J$5="",1,$P232=VLOOKUP(法术查询!$J$5,$AH$2:$AI$11,2,0)),IF(法术查询!$J$6="",1,IF(法术查询!$J$6=$E232,1,0)),IF(法术查询!$J$7="",1,SEARCH(法术查询!$J$7,$F232)),IF(法术查询!$J$8="",1,SEARCH(法术查询!$J$8,G232)),IF(法术查询!$J$9="",1,SEARCH(法术查询!$J$9,N232)),IF(法术查询!$J$10="",1,IF(法术查询!$J$10=$AF$11,IF($M232=1,1,0),IF($M232="",1,0))),IF(法术查询!$J$11="",1,IF(法术查询!$J$11=$AF$11,IF($D232=1,1,0),IF($D232="",1,0))),IF(法术查询!$J$12="",1,SEARCH(法术查询!$J$12,$B232&amp;$C232&amp;$O232)),IF(法术查询!$J$13="",1,SEARCH(法术查询!$J$13,$B232&amp;$C232&amp;$O232)),IF(法术查询!$J$14="",1,SEARCH(法术查询!$J$14,$B232&amp;$C232&amp;$O232)),IF(法术查询!$J$16="",1,IF(法术查询!$J$16=$AF$11,IF($H232=1,1,0),IF($H232="",1,0))),IF(法术查询!$J$17="",1,IF(法术查询!$J$17=$AF$11,IF($I232=1,1,0),IF($I232="",1,0))),IF(法术查询!$J$18="",1,IF(法术查询!$J$18=$AF$11,IF($J232&lt;&gt;"",1,0),IF($J232="",1,0))),IF(法术查询!$J$19="",1,IF(法术查询!$J$19=$AF$11,IF($L232&lt;&gt;"",1,0),IF($L232="",1,0)))),$B232,""),"")</f>
        <v/>
      </c>
      <c r="AD231" s="192" t="str">
        <f t="array" ref="AD231">INDEX(AC:AC,SMALL(IF($AC$2:$AC$523&lt;&gt;"",ROW($2:$523),524),ROW(AC230)))&amp;""</f>
        <v/>
      </c>
      <c r="AE231" s="200" t="str">
        <f t="shared" si="7"/>
        <v/>
      </c>
      <c r="AJ231" s="192">
        <v>230</v>
      </c>
      <c r="AK231" s="224" t="str">
        <f>IF(法术书!AH37="","",法术书!AH37)</f>
        <v/>
      </c>
      <c r="AL231" s="224" t="str">
        <f t="array" ref="AL231">IFERROR(INDEX(AK$1:AK$301,SMALL(IF(MATCH(AK231,AK$1:AK$301,0)=ROW(AK231),ROW(AK$1:AK$301),999),ROW(AK231))),"")</f>
        <v/>
      </c>
      <c r="AM231" s="223" t="str">
        <f t="array" ref="AM231">INDEX(AL:AL,SMALL(IF($AL$2:$AL$301&lt;&gt;"",ROW($2:$301),302),ROW(AL230)))&amp;""</f>
        <v/>
      </c>
    </row>
    <row r="232" customHeight="1" spans="1:39">
      <c r="A232" s="192">
        <v>230</v>
      </c>
      <c r="B232" s="224" t="s">
        <v>7662</v>
      </c>
      <c r="C232" s="224" t="s">
        <v>7663</v>
      </c>
      <c r="D232" s="193">
        <v>1</v>
      </c>
      <c r="E232" s="243" t="s">
        <v>6657</v>
      </c>
      <c r="F232" s="193" t="s">
        <v>6642</v>
      </c>
      <c r="G232" s="193" t="s">
        <v>3760</v>
      </c>
      <c r="H232" s="193">
        <v>1</v>
      </c>
      <c r="I232" s="193">
        <v>1</v>
      </c>
      <c r="J232" s="193">
        <v>1</v>
      </c>
      <c r="K232" s="224" t="s">
        <v>7664</v>
      </c>
      <c r="N232" s="193" t="s">
        <v>6704</v>
      </c>
      <c r="O232" s="224" t="s">
        <v>7665</v>
      </c>
      <c r="P232" s="224">
        <v>3</v>
      </c>
      <c r="Q232" s="224" t="s">
        <v>249</v>
      </c>
      <c r="R232" s="193">
        <v>1</v>
      </c>
      <c r="S232" s="193">
        <v>1</v>
      </c>
      <c r="T232" s="193">
        <v>1</v>
      </c>
      <c r="X232" s="193">
        <v>1</v>
      </c>
      <c r="AA232" s="200" t="s">
        <v>3542</v>
      </c>
      <c r="AB232" s="200" t="str">
        <f t="array" ref="AB232">INDEX(B:B,SMALL(IF($Q$3:$Q$524&lt;&gt;"",ROW($3:$524),525),ROW(B231)))&amp;""</f>
        <v>飞行术</v>
      </c>
      <c r="AC232" s="225" t="str">
        <f>IFERROR(IF(AND($Q233&lt;&gt;"",IF(法术查询!$J$4="",1,INDEX($R233:$Z233,1,VLOOKUP(法术查询!$J$4,$AF$2:$AG$10,2,0)))&lt;&gt;"",IF(法术查询!$J$5="",1,$P233=VLOOKUP(法术查询!$J$5,$AH$2:$AI$11,2,0)),IF(法术查询!$J$6="",1,IF(法术查询!$J$6=$E233,1,0)),IF(法术查询!$J$7="",1,SEARCH(法术查询!$J$7,$F233)),IF(法术查询!$J$8="",1,SEARCH(法术查询!$J$8,G233)),IF(法术查询!$J$9="",1,SEARCH(法术查询!$J$9,N233)),IF(法术查询!$J$10="",1,IF(法术查询!$J$10=$AF$11,IF($M233=1,1,0),IF($M233="",1,0))),IF(法术查询!$J$11="",1,IF(法术查询!$J$11=$AF$11,IF($D233=1,1,0),IF($D233="",1,0))),IF(法术查询!$J$12="",1,SEARCH(法术查询!$J$12,$B233&amp;$C233&amp;$O233)),IF(法术查询!$J$13="",1,SEARCH(法术查询!$J$13,$B233&amp;$C233&amp;$O233)),IF(法术查询!$J$14="",1,SEARCH(法术查询!$J$14,$B233&amp;$C233&amp;$O233)),IF(法术查询!$J$16="",1,IF(法术查询!$J$16=$AF$11,IF($H233=1,1,0),IF($H233="",1,0))),IF(法术查询!$J$17="",1,IF(法术查询!$J$17=$AF$11,IF($I233=1,1,0),IF($I233="",1,0))),IF(法术查询!$J$18="",1,IF(法术查询!$J$18=$AF$11,IF($J233&lt;&gt;"",1,0),IF($J233="",1,0))),IF(法术查询!$J$19="",1,IF(法术查询!$J$19=$AF$11,IF($L233&lt;&gt;"",1,0),IF($L233="",1,0)))),$B233,""),"")</f>
        <v/>
      </c>
      <c r="AD232" s="192" t="str">
        <f t="array" ref="AD232">INDEX(AC:AC,SMALL(IF($AC$2:$AC$523&lt;&gt;"",ROW($2:$523),524),ROW(AC231)))&amp;""</f>
        <v/>
      </c>
      <c r="AE232" s="200" t="str">
        <f t="shared" si="7"/>
        <v/>
      </c>
      <c r="AJ232" s="192">
        <v>231</v>
      </c>
      <c r="AK232" s="224" t="str">
        <f>IF(法术书!AH38="","",法术书!AH38)</f>
        <v/>
      </c>
      <c r="AL232" s="224" t="str">
        <f t="array" ref="AL232">IFERROR(INDEX(AK$1:AK$301,SMALL(IF(MATCH(AK232,AK$1:AK$301,0)=ROW(AK232),ROW(AK$1:AK$301),999),ROW(AK232))),"")</f>
        <v/>
      </c>
      <c r="AM232" s="223" t="str">
        <f t="array" ref="AM232">INDEX(AL:AL,SMALL(IF($AL$2:$AL$301&lt;&gt;"",ROW($2:$301),302),ROW(AL231)))&amp;""</f>
        <v/>
      </c>
    </row>
    <row r="233" customHeight="1" spans="1:39">
      <c r="A233" s="192">
        <v>231</v>
      </c>
      <c r="B233" s="224" t="s">
        <v>7666</v>
      </c>
      <c r="C233" s="224" t="s">
        <v>7667</v>
      </c>
      <c r="E233" s="229" t="s">
        <v>6664</v>
      </c>
      <c r="F233" s="193" t="s">
        <v>6642</v>
      </c>
      <c r="G233" s="193" t="s">
        <v>6779</v>
      </c>
      <c r="H233" s="193">
        <v>1</v>
      </c>
      <c r="I233" s="193">
        <v>1</v>
      </c>
      <c r="J233" s="193">
        <v>1</v>
      </c>
      <c r="K233" s="224" t="s">
        <v>7668</v>
      </c>
      <c r="N233" s="193" t="s">
        <v>6644</v>
      </c>
      <c r="O233" s="224" t="s">
        <v>7669</v>
      </c>
      <c r="P233" s="224">
        <v>3</v>
      </c>
      <c r="Q233" s="224" t="s">
        <v>249</v>
      </c>
      <c r="W233" s="193">
        <v>1</v>
      </c>
      <c r="X233" s="193">
        <v>1</v>
      </c>
      <c r="AA233" s="223" t="s">
        <v>7670</v>
      </c>
      <c r="AB233" s="200" t="str">
        <f t="array" ref="AB233">INDEX(B:B,SMALL(IF($Q$3:$Q$524&lt;&gt;"",ROW($3:$524),525),ROW(B232)))&amp;""</f>
        <v>气化形体</v>
      </c>
      <c r="AC233" s="225" t="str">
        <f>IFERROR(IF(AND($Q234&lt;&gt;"",IF(法术查询!$J$4="",1,INDEX($R234:$Z234,1,VLOOKUP(法术查询!$J$4,$AF$2:$AG$10,2,0)))&lt;&gt;"",IF(法术查询!$J$5="",1,$P234=VLOOKUP(法术查询!$J$5,$AH$2:$AI$11,2,0)),IF(法术查询!$J$6="",1,IF(法术查询!$J$6=$E234,1,0)),IF(法术查询!$J$7="",1,SEARCH(法术查询!$J$7,$F234)),IF(法术查询!$J$8="",1,SEARCH(法术查询!$J$8,G234)),IF(法术查询!$J$9="",1,SEARCH(法术查询!$J$9,N234)),IF(法术查询!$J$10="",1,IF(法术查询!$J$10=$AF$11,IF($M234=1,1,0),IF($M234="",1,0))),IF(法术查询!$J$11="",1,IF(法术查询!$J$11=$AF$11,IF($D234=1,1,0),IF($D234="",1,0))),IF(法术查询!$J$12="",1,SEARCH(法术查询!$J$12,$B234&amp;$C234&amp;$O234)),IF(法术查询!$J$13="",1,SEARCH(法术查询!$J$13,$B234&amp;$C234&amp;$O234)),IF(法术查询!$J$14="",1,SEARCH(法术查询!$J$14,$B234&amp;$C234&amp;$O234)),IF(法术查询!$J$16="",1,IF(法术查询!$J$16=$AF$11,IF($H234=1,1,0),IF($H234="",1,0))),IF(法术查询!$J$17="",1,IF(法术查询!$J$17=$AF$11,IF($I234=1,1,0),IF($I234="",1,0))),IF(法术查询!$J$18="",1,IF(法术查询!$J$18=$AF$11,IF($J234&lt;&gt;"",1,0),IF($J234="",1,0))),IF(法术查询!$J$19="",1,IF(法术查询!$J$19=$AF$11,IF($L234&lt;&gt;"",1,0),IF($L234="",1,0)))),$B234,""),"")</f>
        <v/>
      </c>
      <c r="AD233" s="192" t="str">
        <f t="array" ref="AD233">INDEX(AC:AC,SMALL(IF($AC$2:$AC$523&lt;&gt;"",ROW($2:$523),524),ROW(AC232)))&amp;""</f>
        <v/>
      </c>
      <c r="AE233" s="200" t="str">
        <f t="shared" si="7"/>
        <v/>
      </c>
      <c r="AJ233" s="192">
        <v>232</v>
      </c>
      <c r="AK233" s="224" t="str">
        <f>IF(法术书!AH39="","",法术书!AH39)</f>
        <v/>
      </c>
      <c r="AL233" s="224" t="str">
        <f t="array" ref="AL233">IFERROR(INDEX(AK$1:AK$301,SMALL(IF(MATCH(AK233,AK$1:AK$301,0)=ROW(AK233),ROW(AK$1:AK$301),999),ROW(AK233))),"")</f>
        <v/>
      </c>
      <c r="AM233" s="223" t="str">
        <f t="array" ref="AM233">INDEX(AL:AL,SMALL(IF($AL$2:$AL$301&lt;&gt;"",ROW($2:$301),302),ROW(AL232)))&amp;""</f>
        <v/>
      </c>
    </row>
    <row r="234" customHeight="1" spans="1:39">
      <c r="A234" s="192">
        <v>232</v>
      </c>
      <c r="B234" s="224" t="s">
        <v>7671</v>
      </c>
      <c r="C234" s="224" t="s">
        <v>7672</v>
      </c>
      <c r="E234" s="231" t="s">
        <v>6672</v>
      </c>
      <c r="F234" s="193" t="s">
        <v>6642</v>
      </c>
      <c r="G234" s="193" t="s">
        <v>3760</v>
      </c>
      <c r="H234" s="193">
        <v>1</v>
      </c>
      <c r="I234" s="193">
        <v>1</v>
      </c>
      <c r="J234" s="193">
        <v>1</v>
      </c>
      <c r="K234" s="224" t="s">
        <v>7673</v>
      </c>
      <c r="M234" s="193">
        <v>1</v>
      </c>
      <c r="N234" s="193" t="s">
        <v>6831</v>
      </c>
      <c r="O234" s="224" t="s">
        <v>7674</v>
      </c>
      <c r="P234" s="224">
        <v>3</v>
      </c>
      <c r="Q234" s="224" t="s">
        <v>249</v>
      </c>
      <c r="W234" s="193">
        <v>1</v>
      </c>
      <c r="X234" s="193">
        <v>1</v>
      </c>
      <c r="Y234" s="193">
        <v>1</v>
      </c>
      <c r="Z234" s="193">
        <v>9</v>
      </c>
      <c r="AA234" s="223" t="s">
        <v>7675</v>
      </c>
      <c r="AB234" s="200" t="str">
        <f t="array" ref="AB234">INDEX(B:B,SMALL(IF($Q$3:$Q$524&lt;&gt;"",ROW($3:$524),525),ROW(B233)))&amp;""</f>
        <v>守卫刻文</v>
      </c>
      <c r="AC234" s="225" t="str">
        <f>IFERROR(IF(AND($Q235&lt;&gt;"",IF(法术查询!$J$4="",1,INDEX($R235:$Z235,1,VLOOKUP(法术查询!$J$4,$AF$2:$AG$10,2,0)))&lt;&gt;"",IF(法术查询!$J$5="",1,$P235=VLOOKUP(法术查询!$J$5,$AH$2:$AI$11,2,0)),IF(法术查询!$J$6="",1,IF(法术查询!$J$6=$E235,1,0)),IF(法术查询!$J$7="",1,SEARCH(法术查询!$J$7,$F235)),IF(法术查询!$J$8="",1,SEARCH(法术查询!$J$8,G235)),IF(法术查询!$J$9="",1,SEARCH(法术查询!$J$9,N235)),IF(法术查询!$J$10="",1,IF(法术查询!$J$10=$AF$11,IF($M235=1,1,0),IF($M235="",1,0))),IF(法术查询!$J$11="",1,IF(法术查询!$J$11=$AF$11,IF($D235=1,1,0),IF($D235="",1,0))),IF(法术查询!$J$12="",1,SEARCH(法术查询!$J$12,$B235&amp;$C235&amp;$O235)),IF(法术查询!$J$13="",1,SEARCH(法术查询!$J$13,$B235&amp;$C235&amp;$O235)),IF(法术查询!$J$14="",1,SEARCH(法术查询!$J$14,$B235&amp;$C235&amp;$O235)),IF(法术查询!$J$16="",1,IF(法术查询!$J$16=$AF$11,IF($H235=1,1,0),IF($H235="",1,0))),IF(法术查询!$J$17="",1,IF(法术查询!$J$17=$AF$11,IF($I235=1,1,0),IF($I235="",1,0))),IF(法术查询!$J$18="",1,IF(法术查询!$J$18=$AF$11,IF($J235&lt;&gt;"",1,0),IF($J235="",1,0))),IF(法术查询!$J$19="",1,IF(法术查询!$J$19=$AF$11,IF($L235&lt;&gt;"",1,0),IF($L235="",1,0)))),$B235,""),"")</f>
        <v/>
      </c>
      <c r="AD234" s="192" t="str">
        <f t="array" ref="AD234">INDEX(AC:AC,SMALL(IF($AC$2:$AC$523&lt;&gt;"",ROW($2:$523),524),ROW(AC233)))&amp;""</f>
        <v/>
      </c>
      <c r="AE234" s="200" t="str">
        <f t="shared" si="7"/>
        <v/>
      </c>
      <c r="AJ234" s="192">
        <v>233</v>
      </c>
      <c r="AK234" s="224" t="str">
        <f>IF(法术书!AH40="","",法术书!AH40)</f>
        <v/>
      </c>
      <c r="AL234" s="224" t="str">
        <f t="array" ref="AL234">IFERROR(INDEX(AK$1:AK$301,SMALL(IF(MATCH(AK234,AK$1:AK$301,0)=ROW(AK234),ROW(AK$1:AK$301),999),ROW(AK234))),"")</f>
        <v/>
      </c>
      <c r="AM234" s="223" t="str">
        <f t="array" ref="AM234">INDEX(AL:AL,SMALL(IF($AL$2:$AL$301&lt;&gt;"",ROW($2:$301),302),ROW(AL233)))&amp;""</f>
        <v/>
      </c>
    </row>
    <row r="235" customHeight="1" spans="1:39">
      <c r="A235" s="192">
        <v>233</v>
      </c>
      <c r="B235" s="224" t="s">
        <v>7676</v>
      </c>
      <c r="C235" s="224" t="s">
        <v>7677</v>
      </c>
      <c r="E235" s="231" t="s">
        <v>6672</v>
      </c>
      <c r="F235" s="193" t="s">
        <v>6642</v>
      </c>
      <c r="G235" s="193" t="s">
        <v>3760</v>
      </c>
      <c r="H235" s="193">
        <v>1</v>
      </c>
      <c r="I235" s="193">
        <v>1</v>
      </c>
      <c r="J235" s="193">
        <v>1</v>
      </c>
      <c r="K235" s="224" t="s">
        <v>7678</v>
      </c>
      <c r="M235" s="193">
        <v>1</v>
      </c>
      <c r="N235" s="193" t="s">
        <v>6739</v>
      </c>
      <c r="O235" s="224" t="s">
        <v>7679</v>
      </c>
      <c r="P235" s="224">
        <v>3</v>
      </c>
      <c r="Q235" s="224" t="s">
        <v>249</v>
      </c>
      <c r="W235" s="193">
        <v>1</v>
      </c>
      <c r="X235" s="193">
        <v>1</v>
      </c>
      <c r="Y235" s="193">
        <v>1</v>
      </c>
      <c r="AA235" s="223" t="s">
        <v>7680</v>
      </c>
      <c r="AB235" s="200" t="str">
        <f t="array" ref="AB235">INDEX(B:B,SMALL(IF($Q$3:$Q$524&lt;&gt;"",ROW($3:$524),525),ROW(B234)))&amp;""</f>
        <v>加速术</v>
      </c>
      <c r="AC235" s="225" t="str">
        <f>IFERROR(IF(AND($Q236&lt;&gt;"",IF(法术查询!$J$4="",1,INDEX($R236:$Z236,1,VLOOKUP(法术查询!$J$4,$AF$2:$AG$10,2,0)))&lt;&gt;"",IF(法术查询!$J$5="",1,$P236=VLOOKUP(法术查询!$J$5,$AH$2:$AI$11,2,0)),IF(法术查询!$J$6="",1,IF(法术查询!$J$6=$E236,1,0)),IF(法术查询!$J$7="",1,SEARCH(法术查询!$J$7,$F236)),IF(法术查询!$J$8="",1,SEARCH(法术查询!$J$8,G236)),IF(法术查询!$J$9="",1,SEARCH(法术查询!$J$9,N236)),IF(法术查询!$J$10="",1,IF(法术查询!$J$10=$AF$11,IF($M236=1,1,0),IF($M236="",1,0))),IF(法术查询!$J$11="",1,IF(法术查询!$J$11=$AF$11,IF($D236=1,1,0),IF($D236="",1,0))),IF(法术查询!$J$12="",1,SEARCH(法术查询!$J$12,$B236&amp;$C236&amp;$O236)),IF(法术查询!$J$13="",1,SEARCH(法术查询!$J$13,$B236&amp;$C236&amp;$O236)),IF(法术查询!$J$14="",1,SEARCH(法术查询!$J$14,$B236&amp;$C236&amp;$O236)),IF(法术查询!$J$16="",1,IF(法术查询!$J$16=$AF$11,IF($H236=1,1,0),IF($H236="",1,0))),IF(法术查询!$J$17="",1,IF(法术查询!$J$17=$AF$11,IF($I236=1,1,0),IF($I236="",1,0))),IF(法术查询!$J$18="",1,IF(法术查询!$J$18=$AF$11,IF($J236&lt;&gt;"",1,0),IF($J236="",1,0))),IF(法术查询!$J$19="",1,IF(法术查询!$J$19=$AF$11,IF($L236&lt;&gt;"",1,0),IF($L236="",1,0)))),$B236,""),"")</f>
        <v/>
      </c>
      <c r="AD235" s="192" t="str">
        <f t="array" ref="AD235">INDEX(AC:AC,SMALL(IF($AC$2:$AC$523&lt;&gt;"",ROW($2:$523),524),ROW(AC234)))&amp;""</f>
        <v/>
      </c>
      <c r="AE235" s="200" t="str">
        <f t="shared" si="7"/>
        <v/>
      </c>
      <c r="AJ235" s="192">
        <v>234</v>
      </c>
      <c r="AK235" s="224" t="str">
        <f>IF(法术书!AH41="","",法术书!AH41)</f>
        <v/>
      </c>
      <c r="AL235" s="224" t="str">
        <f t="array" ref="AL235">IFERROR(INDEX(AK$1:AK$301,SMALL(IF(MATCH(AK235,AK$1:AK$301,0)=ROW(AK235),ROW(AK$1:AK$301),999),ROW(AK235))),"")</f>
        <v/>
      </c>
      <c r="AM235" s="223" t="str">
        <f t="array" ref="AM235">INDEX(AL:AL,SMALL(IF($AL$2:$AL$301&lt;&gt;"",ROW($2:$301),302),ROW(AL234)))&amp;""</f>
        <v/>
      </c>
    </row>
    <row r="236" customHeight="1" spans="1:39">
      <c r="A236" s="192">
        <v>234</v>
      </c>
      <c r="B236" s="224" t="s">
        <v>7681</v>
      </c>
      <c r="C236" s="224" t="s">
        <v>7682</v>
      </c>
      <c r="E236" s="242" t="s">
        <v>6650</v>
      </c>
      <c r="F236" s="193" t="s">
        <v>6704</v>
      </c>
      <c r="G236" s="193" t="s">
        <v>3760</v>
      </c>
      <c r="H236" s="193">
        <v>1</v>
      </c>
      <c r="I236" s="193">
        <v>1</v>
      </c>
      <c r="J236" s="193">
        <v>1</v>
      </c>
      <c r="L236" s="224" t="s">
        <v>7683</v>
      </c>
      <c r="N236" s="193" t="s">
        <v>6801</v>
      </c>
      <c r="O236" s="224" t="s">
        <v>7684</v>
      </c>
      <c r="P236" s="224">
        <v>3</v>
      </c>
      <c r="Q236" s="224" t="s">
        <v>249</v>
      </c>
      <c r="R236" s="193">
        <v>1</v>
      </c>
      <c r="S236" s="193">
        <v>1</v>
      </c>
      <c r="X236" s="193">
        <v>1</v>
      </c>
      <c r="Z236" s="193">
        <v>9</v>
      </c>
      <c r="AA236" s="223" t="s">
        <v>7685</v>
      </c>
      <c r="AB236" s="200" t="str">
        <f t="array" ref="AB236">INDEX(B:B,SMALL(IF($Q$3:$Q$524&lt;&gt;"",ROW($3:$524),525),ROW(B235)))&amp;""</f>
        <v>哈达之欲</v>
      </c>
      <c r="AC236" s="225" t="str">
        <f>IFERROR(IF(AND($Q237&lt;&gt;"",IF(法术查询!$J$4="",1,INDEX($R237:$Z237,1,VLOOKUP(法术查询!$J$4,$AF$2:$AG$10,2,0)))&lt;&gt;"",IF(法术查询!$J$5="",1,$P237=VLOOKUP(法术查询!$J$5,$AH$2:$AI$11,2,0)),IF(法术查询!$J$6="",1,IF(法术查询!$J$6=$E237,1,0)),IF(法术查询!$J$7="",1,SEARCH(法术查询!$J$7,$F237)),IF(法术查询!$J$8="",1,SEARCH(法术查询!$J$8,G237)),IF(法术查询!$J$9="",1,SEARCH(法术查询!$J$9,N237)),IF(法术查询!$J$10="",1,IF(法术查询!$J$10=$AF$11,IF($M237=1,1,0),IF($M237="",1,0))),IF(法术查询!$J$11="",1,IF(法术查询!$J$11=$AF$11,IF($D237=1,1,0),IF($D237="",1,0))),IF(法术查询!$J$12="",1,SEARCH(法术查询!$J$12,$B237&amp;$C237&amp;$O237)),IF(法术查询!$J$13="",1,SEARCH(法术查询!$J$13,$B237&amp;$C237&amp;$O237)),IF(法术查询!$J$14="",1,SEARCH(法术查询!$J$14,$B237&amp;$C237&amp;$O237)),IF(法术查询!$J$16="",1,IF(法术查询!$J$16=$AF$11,IF($H237=1,1,0),IF($H237="",1,0))),IF(法术查询!$J$17="",1,IF(法术查询!$J$17=$AF$11,IF($I237=1,1,0),IF($I237="",1,0))),IF(法术查询!$J$18="",1,IF(法术查询!$J$18=$AF$11,IF($J237&lt;&gt;"",1,0),IF($J237="",1,0))),IF(法术查询!$J$19="",1,IF(法术查询!$J$19=$AF$11,IF($L237&lt;&gt;"",1,0),IF($L237="",1,0)))),$B237,""),"")</f>
        <v/>
      </c>
      <c r="AD236" s="192" t="str">
        <f t="array" ref="AD236">INDEX(AC:AC,SMALL(IF($AC$2:$AC$523&lt;&gt;"",ROW($2:$523),524),ROW(AC235)))&amp;""</f>
        <v/>
      </c>
      <c r="AE236" s="200" t="str">
        <f t="shared" si="7"/>
        <v/>
      </c>
      <c r="AJ236" s="192">
        <v>235</v>
      </c>
      <c r="AK236" s="224" t="str">
        <f>IF(法术书!AH42="","",法术书!AH42)</f>
        <v/>
      </c>
      <c r="AL236" s="224" t="str">
        <f t="array" ref="AL236">IFERROR(INDEX(AK$1:AK$301,SMALL(IF(MATCH(AK236,AK$1:AK$301,0)=ROW(AK236),ROW(AK$1:AK$301),999),ROW(AK236))),"")</f>
        <v/>
      </c>
      <c r="AM236" s="223" t="str">
        <f t="array" ref="AM236">INDEX(AL:AL,SMALL(IF($AL$2:$AL$301&lt;&gt;"",ROW($2:$301),302),ROW(AL235)))&amp;""</f>
        <v/>
      </c>
    </row>
    <row r="237" customHeight="1" spans="1:39">
      <c r="A237" s="192">
        <v>235</v>
      </c>
      <c r="B237" s="224" t="s">
        <v>7686</v>
      </c>
      <c r="C237" s="224" t="s">
        <v>7687</v>
      </c>
      <c r="E237" s="231" t="s">
        <v>6672</v>
      </c>
      <c r="F237" s="193" t="s">
        <v>6642</v>
      </c>
      <c r="G237" s="193" t="s">
        <v>6673</v>
      </c>
      <c r="H237" s="193">
        <v>1</v>
      </c>
      <c r="I237" s="193">
        <v>1</v>
      </c>
      <c r="J237" s="193">
        <v>1</v>
      </c>
      <c r="K237" s="224" t="s">
        <v>7688</v>
      </c>
      <c r="M237" s="193">
        <v>1</v>
      </c>
      <c r="N237" s="193" t="s">
        <v>6666</v>
      </c>
      <c r="O237" s="224" t="s">
        <v>7689</v>
      </c>
      <c r="P237" s="224">
        <v>3</v>
      </c>
      <c r="Q237" s="224" t="s">
        <v>249</v>
      </c>
      <c r="W237" s="193">
        <v>1</v>
      </c>
      <c r="X237" s="193">
        <v>1</v>
      </c>
      <c r="Z237" s="193">
        <v>9</v>
      </c>
      <c r="AA237" s="223" t="s">
        <v>7690</v>
      </c>
      <c r="AB237" s="200" t="str">
        <f t="array" ref="AB237">INDEX(B:B,SMALL(IF($Q$3:$Q$524&lt;&gt;"",ROW($3:$524),525),ROW(B236)))&amp;""</f>
        <v>催眠图纹</v>
      </c>
      <c r="AC237" s="225" t="str">
        <f>IFERROR(IF(AND($Q238&lt;&gt;"",IF(法术查询!$J$4="",1,INDEX($R238:$Z238,1,VLOOKUP(法术查询!$J$4,$AF$2:$AG$10,2,0)))&lt;&gt;"",IF(法术查询!$J$5="",1,$P238=VLOOKUP(法术查询!$J$5,$AH$2:$AI$11,2,0)),IF(法术查询!$J$6="",1,IF(法术查询!$J$6=$E238,1,0)),IF(法术查询!$J$7="",1,SEARCH(法术查询!$J$7,$F238)),IF(法术查询!$J$8="",1,SEARCH(法术查询!$J$8,G238)),IF(法术查询!$J$9="",1,SEARCH(法术查询!$J$9,N238)),IF(法术查询!$J$10="",1,IF(法术查询!$J$10=$AF$11,IF($M238=1,1,0),IF($M238="",1,0))),IF(法术查询!$J$11="",1,IF(法术查询!$J$11=$AF$11,IF($D238=1,1,0),IF($D238="",1,0))),IF(法术查询!$J$12="",1,SEARCH(法术查询!$J$12,$B238&amp;$C238&amp;$O238)),IF(法术查询!$J$13="",1,SEARCH(法术查询!$J$13,$B238&amp;$C238&amp;$O238)),IF(法术查询!$J$14="",1,SEARCH(法术查询!$J$14,$B238&amp;$C238&amp;$O238)),IF(法术查询!$J$16="",1,IF(法术查询!$J$16=$AF$11,IF($H238=1,1,0),IF($H238="",1,0))),IF(法术查询!$J$17="",1,IF(法术查询!$J$17=$AF$11,IF($I238=1,1,0),IF($I238="",1,0))),IF(法术查询!$J$18="",1,IF(法术查询!$J$18=$AF$11,IF($J238&lt;&gt;"",1,0),IF($J238="",1,0))),IF(法术查询!$J$19="",1,IF(法术查询!$J$19=$AF$11,IF($L238&lt;&gt;"",1,0),IF($L238="",1,0)))),$B238,""),"")</f>
        <v/>
      </c>
      <c r="AD237" s="192" t="str">
        <f t="array" ref="AD237">INDEX(AC:AC,SMALL(IF($AC$2:$AC$523&lt;&gt;"",ROW($2:$523),524),ROW(AC236)))&amp;""</f>
        <v/>
      </c>
      <c r="AE237" s="200" t="str">
        <f t="shared" si="7"/>
        <v/>
      </c>
      <c r="AJ237" s="192">
        <v>236</v>
      </c>
      <c r="AK237" s="224" t="str">
        <f>IF(法术书!AH43="","",法术书!AH43)</f>
        <v/>
      </c>
      <c r="AL237" s="224" t="str">
        <f t="array" ref="AL237">IFERROR(INDEX(AK$1:AK$301,SMALL(IF(MATCH(AK237,AK$1:AK$301,0)=ROW(AK237),ROW(AK$1:AK$301),999),ROW(AK237))),"")</f>
        <v/>
      </c>
      <c r="AM237" s="223" t="str">
        <f t="array" ref="AM237">INDEX(AL:AL,SMALL(IF($AL$2:$AL$301&lt;&gt;"",ROW($2:$301),302),ROW(AL236)))&amp;""</f>
        <v/>
      </c>
    </row>
    <row r="238" customHeight="1" spans="1:39">
      <c r="A238" s="192">
        <v>236</v>
      </c>
      <c r="B238" s="224" t="s">
        <v>7691</v>
      </c>
      <c r="C238" s="224" t="s">
        <v>7692</v>
      </c>
      <c r="E238" s="240" t="s">
        <v>6641</v>
      </c>
      <c r="F238" s="193" t="s">
        <v>6642</v>
      </c>
      <c r="G238" s="193" t="s">
        <v>6779</v>
      </c>
      <c r="H238" s="193">
        <v>1</v>
      </c>
      <c r="I238" s="193">
        <v>1</v>
      </c>
      <c r="J238" s="193">
        <v>1</v>
      </c>
      <c r="K238" s="224" t="s">
        <v>7693</v>
      </c>
      <c r="M238" s="193">
        <v>1</v>
      </c>
      <c r="N238" s="193" t="s">
        <v>6666</v>
      </c>
      <c r="O238" s="224" t="s">
        <v>7694</v>
      </c>
      <c r="P238" s="224">
        <v>3</v>
      </c>
      <c r="Q238" s="224" t="s">
        <v>249</v>
      </c>
      <c r="Y238" s="193">
        <v>1</v>
      </c>
      <c r="AA238" s="200" t="s">
        <v>3496</v>
      </c>
      <c r="AB238" s="200" t="str">
        <f t="array" ref="AB238">INDEX(B:B,SMALL(IF($Q$3:$Q$524&lt;&gt;"",ROW($3:$524),525),ROW(B237)))&amp;""</f>
        <v>李欧蒙小屋</v>
      </c>
      <c r="AC238" s="225" t="str">
        <f>IFERROR(IF(AND($Q239&lt;&gt;"",IF(法术查询!$J$4="",1,INDEX($R239:$Z239,1,VLOOKUP(法术查询!$J$4,$AF$2:$AG$10,2,0)))&lt;&gt;"",IF(法术查询!$J$5="",1,$P239=VLOOKUP(法术查询!$J$5,$AH$2:$AI$11,2,0)),IF(法术查询!$J$6="",1,IF(法术查询!$J$6=$E239,1,0)),IF(法术查询!$J$7="",1,SEARCH(法术查询!$J$7,$F239)),IF(法术查询!$J$8="",1,SEARCH(法术查询!$J$8,G239)),IF(法术查询!$J$9="",1,SEARCH(法术查询!$J$9,N239)),IF(法术查询!$J$10="",1,IF(法术查询!$J$10=$AF$11,IF($M239=1,1,0),IF($M239="",1,0))),IF(法术查询!$J$11="",1,IF(法术查询!$J$11=$AF$11,IF($D239=1,1,0),IF($D239="",1,0))),IF(法术查询!$J$12="",1,SEARCH(法术查询!$J$12,$B239&amp;$C239&amp;$O239)),IF(法术查询!$J$13="",1,SEARCH(法术查询!$J$13,$B239&amp;$C239&amp;$O239)),IF(法术查询!$J$14="",1,SEARCH(法术查询!$J$14,$B239&amp;$C239&amp;$O239)),IF(法术查询!$J$16="",1,IF(法术查询!$J$16=$AF$11,IF($H239=1,1,0),IF($H239="",1,0))),IF(法术查询!$J$17="",1,IF(法术查询!$J$17=$AF$11,IF($I239=1,1,0),IF($I239="",1,0))),IF(法术查询!$J$18="",1,IF(法术查询!$J$18=$AF$11,IF($J239&lt;&gt;"",1,0),IF($J239="",1,0))),IF(法术查询!$J$19="",1,IF(法术查询!$J$19=$AF$11,IF($L239&lt;&gt;"",1,0),IF($L239="",1,0)))),$B239,""),"")</f>
        <v/>
      </c>
      <c r="AD238" s="192" t="str">
        <f t="array" ref="AD238">INDEX(AC:AC,SMALL(IF($AC$2:$AC$523&lt;&gt;"",ROW($2:$523),524),ROW(AC237)))&amp;""</f>
        <v/>
      </c>
      <c r="AE238" s="200" t="str">
        <f t="shared" si="7"/>
        <v/>
      </c>
      <c r="AJ238" s="192">
        <v>237</v>
      </c>
      <c r="AK238" s="224" t="str">
        <f>IF(法术书!AH44="","",法术书!AH44)</f>
        <v/>
      </c>
      <c r="AL238" s="224" t="str">
        <f t="array" ref="AL238">IFERROR(INDEX(AK$1:AK$301,SMALL(IF(MATCH(AK238,AK$1:AK$301,0)=ROW(AK238),ROW(AK$1:AK$301),999),ROW(AK238))),"")</f>
        <v/>
      </c>
      <c r="AM238" s="223" t="str">
        <f t="array" ref="AM238">INDEX(AL:AL,SMALL(IF($AL$2:$AL$301&lt;&gt;"",ROW($2:$301),302),ROW(AL237)))&amp;""</f>
        <v/>
      </c>
    </row>
    <row r="239" customHeight="1" spans="1:39">
      <c r="A239" s="192">
        <v>237</v>
      </c>
      <c r="B239" s="224" t="s">
        <v>7695</v>
      </c>
      <c r="C239" s="224" t="s">
        <v>7696</v>
      </c>
      <c r="E239" s="241" t="s">
        <v>6726</v>
      </c>
      <c r="F239" s="193" t="s">
        <v>6642</v>
      </c>
      <c r="G239" s="193" t="s">
        <v>6658</v>
      </c>
      <c r="I239" s="193">
        <v>1</v>
      </c>
      <c r="J239" s="193">
        <v>1</v>
      </c>
      <c r="K239" s="224" t="s">
        <v>7697</v>
      </c>
      <c r="M239" s="193">
        <v>1</v>
      </c>
      <c r="N239" s="193" t="s">
        <v>6666</v>
      </c>
      <c r="O239" s="224" t="s">
        <v>7698</v>
      </c>
      <c r="P239" s="224">
        <v>3</v>
      </c>
      <c r="Q239" s="224" t="s">
        <v>249</v>
      </c>
      <c r="R239" s="193">
        <v>1</v>
      </c>
      <c r="W239" s="193">
        <v>1</v>
      </c>
      <c r="X239" s="193">
        <v>1</v>
      </c>
      <c r="Y239" s="193">
        <v>1</v>
      </c>
      <c r="AA239" s="223" t="s">
        <v>7699</v>
      </c>
      <c r="AB239" s="200" t="str">
        <f t="array" ref="AB239">INDEX(B:B,SMALL(IF($Q$3:$Q$524&lt;&gt;"",ROW($3:$524),525),ROW(B238)))&amp;""</f>
        <v>闪电箭</v>
      </c>
      <c r="AC239" s="225" t="str">
        <f>IFERROR(IF(AND($Q240&lt;&gt;"",IF(法术查询!$J$4="",1,INDEX($R240:$Z240,1,VLOOKUP(法术查询!$J$4,$AF$2:$AG$10,2,0)))&lt;&gt;"",IF(法术查询!$J$5="",1,$P240=VLOOKUP(法术查询!$J$5,$AH$2:$AI$11,2,0)),IF(法术查询!$J$6="",1,IF(法术查询!$J$6=$E240,1,0)),IF(法术查询!$J$7="",1,SEARCH(法术查询!$J$7,$F240)),IF(法术查询!$J$8="",1,SEARCH(法术查询!$J$8,G240)),IF(法术查询!$J$9="",1,SEARCH(法术查询!$J$9,N240)),IF(法术查询!$J$10="",1,IF(法术查询!$J$10=$AF$11,IF($M240=1,1,0),IF($M240="",1,0))),IF(法术查询!$J$11="",1,IF(法术查询!$J$11=$AF$11,IF($D240=1,1,0),IF($D240="",1,0))),IF(法术查询!$J$12="",1,SEARCH(法术查询!$J$12,$B240&amp;$C240&amp;$O240)),IF(法术查询!$J$13="",1,SEARCH(法术查询!$J$13,$B240&amp;$C240&amp;$O240)),IF(法术查询!$J$14="",1,SEARCH(法术查询!$J$14,$B240&amp;$C240&amp;$O240)),IF(法术查询!$J$16="",1,IF(法术查询!$J$16=$AF$11,IF($H240=1,1,0),IF($H240="",1,0))),IF(法术查询!$J$17="",1,IF(法术查询!$J$17=$AF$11,IF($I240=1,1,0),IF($I240="",1,0))),IF(法术查询!$J$18="",1,IF(法术查询!$J$18=$AF$11,IF($J240&lt;&gt;"",1,0),IF($J240="",1,0))),IF(法术查询!$J$19="",1,IF(法术查询!$J$19=$AF$11,IF($L240&lt;&gt;"",1,0),IF($L240="",1,0)))),$B240,""),"")</f>
        <v/>
      </c>
      <c r="AD239" s="192" t="str">
        <f t="array" ref="AD239">INDEX(AC:AC,SMALL(IF($AC$2:$AC$523&lt;&gt;"",ROW($2:$523),524),ROW(AC238)))&amp;""</f>
        <v/>
      </c>
      <c r="AE239" s="200" t="str">
        <f t="shared" si="7"/>
        <v/>
      </c>
      <c r="AJ239" s="192">
        <v>238</v>
      </c>
      <c r="AK239" s="224" t="str">
        <f>IF(法术书!AH45="","",法术书!AH45)</f>
        <v/>
      </c>
      <c r="AL239" s="224" t="str">
        <f t="array" ref="AL239">IFERROR(INDEX(AK$1:AK$301,SMALL(IF(MATCH(AK239,AK$1:AK$301,0)=ROW(AK239),ROW(AK$1:AK$301),999),ROW(AK239))),"")</f>
        <v/>
      </c>
      <c r="AM239" s="223" t="str">
        <f t="array" ref="AM239">INDEX(AL:AL,SMALL(IF($AL$2:$AL$301&lt;&gt;"",ROW($2:$301),302),ROW(AL238)))&amp;""</f>
        <v/>
      </c>
    </row>
    <row r="240" customHeight="1" spans="1:39">
      <c r="A240" s="192">
        <v>238</v>
      </c>
      <c r="B240" s="224" t="s">
        <v>7700</v>
      </c>
      <c r="C240" s="224" t="s">
        <v>7701</v>
      </c>
      <c r="D240" s="193">
        <v>1</v>
      </c>
      <c r="E240" s="229" t="s">
        <v>6664</v>
      </c>
      <c r="F240" s="193" t="s">
        <v>6709</v>
      </c>
      <c r="G240" s="193" t="s">
        <v>6844</v>
      </c>
      <c r="H240" s="193">
        <v>1</v>
      </c>
      <c r="I240" s="193">
        <v>1</v>
      </c>
      <c r="J240" s="193">
        <v>1</v>
      </c>
      <c r="K240" s="224" t="s">
        <v>7702</v>
      </c>
      <c r="N240" s="193" t="s">
        <v>6748</v>
      </c>
      <c r="O240" s="224" t="s">
        <v>7703</v>
      </c>
      <c r="P240" s="224">
        <v>3</v>
      </c>
      <c r="Q240" s="224" t="s">
        <v>249</v>
      </c>
      <c r="R240" s="193">
        <v>1</v>
      </c>
      <c r="X240" s="193">
        <v>1</v>
      </c>
      <c r="AA240" s="223" t="s">
        <v>7704</v>
      </c>
      <c r="AB240" s="200" t="str">
        <f t="array" ref="AB240">INDEX(B:B,SMALL(IF($Q$3:$Q$524&lt;&gt;"",ROW($3:$524),525),ROW(B239)))&amp;""</f>
        <v>闪电束</v>
      </c>
      <c r="AC240" s="225" t="str">
        <f>IFERROR(IF(AND($Q241&lt;&gt;"",IF(法术查询!$J$4="",1,INDEX($R241:$Z241,1,VLOOKUP(法术查询!$J$4,$AF$2:$AG$10,2,0)))&lt;&gt;"",IF(法术查询!$J$5="",1,$P241=VLOOKUP(法术查询!$J$5,$AH$2:$AI$11,2,0)),IF(法术查询!$J$6="",1,IF(法术查询!$J$6=$E241,1,0)),IF(法术查询!$J$7="",1,SEARCH(法术查询!$J$7,$F241)),IF(法术查询!$J$8="",1,SEARCH(法术查询!$J$8,G241)),IF(法术查询!$J$9="",1,SEARCH(法术查询!$J$9,N241)),IF(法术查询!$J$10="",1,IF(法术查询!$J$10=$AF$11,IF($M241=1,1,0),IF($M241="",1,0))),IF(法术查询!$J$11="",1,IF(法术查询!$J$11=$AF$11,IF($D241=1,1,0),IF($D241="",1,0))),IF(法术查询!$J$12="",1,SEARCH(法术查询!$J$12,$B241&amp;$C241&amp;$O241)),IF(法术查询!$J$13="",1,SEARCH(法术查询!$J$13,$B241&amp;$C241&amp;$O241)),IF(法术查询!$J$14="",1,SEARCH(法术查询!$J$14,$B241&amp;$C241&amp;$O241)),IF(法术查询!$J$16="",1,IF(法术查询!$J$16=$AF$11,IF($H241=1,1,0),IF($H241="",1,0))),IF(法术查询!$J$17="",1,IF(法术查询!$J$17=$AF$11,IF($I241=1,1,0),IF($I241="",1,0))),IF(法术查询!$J$18="",1,IF(法术查询!$J$18=$AF$11,IF($J241&lt;&gt;"",1,0),IF($J241="",1,0))),IF(法术查询!$J$19="",1,IF(法术查询!$J$19=$AF$11,IF($L241&lt;&gt;"",1,0),IF($L241="",1,0)))),$B241,""),"")</f>
        <v/>
      </c>
      <c r="AD240" s="192" t="str">
        <f t="array" ref="AD240">INDEX(AC:AC,SMALL(IF($AC$2:$AC$523&lt;&gt;"",ROW($2:$523),524),ROW(AC239)))&amp;""</f>
        <v/>
      </c>
      <c r="AE240" s="200" t="str">
        <f t="shared" si="7"/>
        <v/>
      </c>
      <c r="AJ240" s="192">
        <v>239</v>
      </c>
      <c r="AK240" s="224" t="str">
        <f>IF(法术书!AH46="","",法术书!AH46)</f>
        <v/>
      </c>
      <c r="AL240" s="224" t="str">
        <f t="array" ref="AL240">IFERROR(INDEX(AK$1:AK$301,SMALL(IF(MATCH(AK240,AK$1:AK$301,0)=ROW(AK240),ROW(AK$1:AK$301),999),ROW(AK240))),"")</f>
        <v/>
      </c>
      <c r="AM240" s="223" t="str">
        <f t="array" ref="AM240">INDEX(AL:AL,SMALL(IF($AL$2:$AL$301&lt;&gt;"",ROW($2:$301),302),ROW(AL239)))&amp;""</f>
        <v/>
      </c>
    </row>
    <row r="241" customHeight="1" spans="1:39">
      <c r="A241" s="192">
        <v>239</v>
      </c>
      <c r="B241" s="224" t="s">
        <v>7705</v>
      </c>
      <c r="C241" s="224" t="s">
        <v>7706</v>
      </c>
      <c r="E241" s="231" t="s">
        <v>6672</v>
      </c>
      <c r="F241" s="193" t="s">
        <v>6712</v>
      </c>
      <c r="G241" s="193" t="s">
        <v>6651</v>
      </c>
      <c r="H241" s="193">
        <v>1</v>
      </c>
      <c r="I241" s="193">
        <v>1</v>
      </c>
      <c r="M241" s="193">
        <v>1</v>
      </c>
      <c r="N241" s="193" t="s">
        <v>6666</v>
      </c>
      <c r="O241" s="224" t="s">
        <v>7707</v>
      </c>
      <c r="P241" s="224">
        <v>3</v>
      </c>
      <c r="Q241" s="224" t="s">
        <v>249</v>
      </c>
      <c r="V241" s="193">
        <v>1</v>
      </c>
      <c r="AA241" s="200"/>
      <c r="AB241" s="200" t="str">
        <f t="array" ref="AB241">INDEX(B:B,SMALL(IF($Q$3:$Q$524&lt;&gt;"",ROW($3:$524),525),ROW(B240)))&amp;""</f>
        <v>防护法阵</v>
      </c>
      <c r="AC241" s="225" t="str">
        <f>IFERROR(IF(AND($Q242&lt;&gt;"",IF(法术查询!$J$4="",1,INDEX($R242:$Z242,1,VLOOKUP(法术查询!$J$4,$AF$2:$AG$10,2,0)))&lt;&gt;"",IF(法术查询!$J$5="",1,$P242=VLOOKUP(法术查询!$J$5,$AH$2:$AI$11,2,0)),IF(法术查询!$J$6="",1,IF(法术查询!$J$6=$E242,1,0)),IF(法术查询!$J$7="",1,SEARCH(法术查询!$J$7,$F242)),IF(法术查询!$J$8="",1,SEARCH(法术查询!$J$8,G242)),IF(法术查询!$J$9="",1,SEARCH(法术查询!$J$9,N242)),IF(法术查询!$J$10="",1,IF(法术查询!$J$10=$AF$11,IF($M242=1,1,0),IF($M242="",1,0))),IF(法术查询!$J$11="",1,IF(法术查询!$J$11=$AF$11,IF($D242=1,1,0),IF($D242="",1,0))),IF(法术查询!$J$12="",1,SEARCH(法术查询!$J$12,$B242&amp;$C242&amp;$O242)),IF(法术查询!$J$13="",1,SEARCH(法术查询!$J$13,$B242&amp;$C242&amp;$O242)),IF(法术查询!$J$14="",1,SEARCH(法术查询!$J$14,$B242&amp;$C242&amp;$O242)),IF(法术查询!$J$16="",1,IF(法术查询!$J$16=$AF$11,IF($H242=1,1,0),IF($H242="",1,0))),IF(法术查询!$J$17="",1,IF(法术查询!$J$17=$AF$11,IF($I242=1,1,0),IF($I242="",1,0))),IF(法术查询!$J$18="",1,IF(法术查询!$J$18=$AF$11,IF($J242&lt;&gt;"",1,0),IF($J242="",1,0))),IF(法术查询!$J$19="",1,IF(法术查询!$J$19=$AF$11,IF($L242&lt;&gt;"",1,0),IF($L242="",1,0)))),$B242,""),"")</f>
        <v/>
      </c>
      <c r="AD241" s="192" t="str">
        <f t="array" ref="AD241">INDEX(AC:AC,SMALL(IF($AC$2:$AC$523&lt;&gt;"",ROW($2:$523),524),ROW(AC240)))&amp;""</f>
        <v/>
      </c>
      <c r="AE241" s="200" t="str">
        <f t="shared" si="7"/>
        <v/>
      </c>
      <c r="AJ241" s="192">
        <v>240</v>
      </c>
      <c r="AK241" s="224" t="str">
        <f>IF(法术书!AH47="","",法术书!AH47)</f>
        <v/>
      </c>
      <c r="AL241" s="224" t="str">
        <f t="array" ref="AL241">IFERROR(INDEX(AK$1:AK$301,SMALL(IF(MATCH(AK241,AK$1:AK$301,0)=ROW(AK241),ROW(AK$1:AK$301),999),ROW(AK241))),"")</f>
        <v/>
      </c>
      <c r="AM241" s="223" t="str">
        <f t="array" ref="AM241">INDEX(AL:AL,SMALL(IF($AL$2:$AL$301&lt;&gt;"",ROW($2:$301),302),ROW(AL240)))&amp;""</f>
        <v/>
      </c>
    </row>
    <row r="242" customHeight="1" spans="1:39">
      <c r="A242" s="192">
        <v>240</v>
      </c>
      <c r="B242" s="224" t="s">
        <v>7708</v>
      </c>
      <c r="C242" s="224" t="s">
        <v>7709</v>
      </c>
      <c r="E242" s="229" t="s">
        <v>6664</v>
      </c>
      <c r="F242" s="193" t="s">
        <v>6642</v>
      </c>
      <c r="G242" s="193" t="s">
        <v>6888</v>
      </c>
      <c r="H242" s="193">
        <v>1</v>
      </c>
      <c r="I242" s="193">
        <v>1</v>
      </c>
      <c r="J242" s="193">
        <v>1</v>
      </c>
      <c r="K242" s="224" t="s">
        <v>7710</v>
      </c>
      <c r="N242" s="193" t="s">
        <v>6644</v>
      </c>
      <c r="O242" s="224" t="s">
        <v>7711</v>
      </c>
      <c r="P242" s="224">
        <v>3</v>
      </c>
      <c r="Q242" s="224" t="s">
        <v>249</v>
      </c>
      <c r="W242" s="193">
        <v>1</v>
      </c>
      <c r="X242" s="193">
        <v>1</v>
      </c>
      <c r="AA242" s="223" t="s">
        <v>7712</v>
      </c>
      <c r="AB242" s="200" t="str">
        <f t="array" ref="AB242">INDEX(B:B,SMALL(IF($Q$3:$Q$524&lt;&gt;"",ROW($3:$524),525),ROW(B241)))&amp;""</f>
        <v>高等幻影</v>
      </c>
      <c r="AC242" s="225" t="str">
        <f>IFERROR(IF(AND($Q243&lt;&gt;"",IF(法术查询!$J$4="",1,INDEX($R243:$Z243,1,VLOOKUP(法术查询!$J$4,$AF$2:$AG$10,2,0)))&lt;&gt;"",IF(法术查询!$J$5="",1,$P243=VLOOKUP(法术查询!$J$5,$AH$2:$AI$11,2,0)),IF(法术查询!$J$6="",1,IF(法术查询!$J$6=$E243,1,0)),IF(法术查询!$J$7="",1,SEARCH(法术查询!$J$7,$F243)),IF(法术查询!$J$8="",1,SEARCH(法术查询!$J$8,G243)),IF(法术查询!$J$9="",1,SEARCH(法术查询!$J$9,N243)),IF(法术查询!$J$10="",1,IF(法术查询!$J$10=$AF$11,IF($M243=1,1,0),IF($M243="",1,0))),IF(法术查询!$J$11="",1,IF(法术查询!$J$11=$AF$11,IF($D243=1,1,0),IF($D243="",1,0))),IF(法术查询!$J$12="",1,SEARCH(法术查询!$J$12,$B243&amp;$C243&amp;$O243)),IF(法术查询!$J$13="",1,SEARCH(法术查询!$J$13,$B243&amp;$C243&amp;$O243)),IF(法术查询!$J$14="",1,SEARCH(法术查询!$J$14,$B243&amp;$C243&amp;$O243)),IF(法术查询!$J$16="",1,IF(法术查询!$J$16=$AF$11,IF($H243=1,1,0),IF($H243="",1,0))),IF(法术查询!$J$17="",1,IF(法术查询!$J$17=$AF$11,IF($I243=1,1,0),IF($I243="",1,0))),IF(法术查询!$J$18="",1,IF(法术查询!$J$18=$AF$11,IF($J243&lt;&gt;"",1,0),IF($J243="",1,0))),IF(法术查询!$J$19="",1,IF(法术查询!$J$19=$AF$11,IF($L243&lt;&gt;"",1,0),IF($L243="",1,0)))),$B243,""),"")</f>
        <v/>
      </c>
      <c r="AD242" s="192" t="str">
        <f t="array" ref="AD242">INDEX(AC:AC,SMALL(IF($AC$2:$AC$523&lt;&gt;"",ROW($2:$523),524),ROW(AC241)))&amp;""</f>
        <v/>
      </c>
      <c r="AE242" s="200" t="str">
        <f t="shared" si="7"/>
        <v/>
      </c>
      <c r="AJ242" s="192">
        <v>241</v>
      </c>
      <c r="AK242" s="224" t="str">
        <f>IF(法术书!AH48="","",法术书!AH48)</f>
        <v/>
      </c>
      <c r="AL242" s="224" t="str">
        <f t="array" ref="AL242">IFERROR(INDEX(AK$1:AK$301,SMALL(IF(MATCH(AK242,AK$1:AK$301,0)=ROW(AK242),ROW(AK$1:AK$301),999),ROW(AK242))),"")</f>
        <v/>
      </c>
      <c r="AM242" s="223" t="str">
        <f t="array" ref="AM242">INDEX(AL:AL,SMALL(IF($AL$2:$AL$301&lt;&gt;"",ROW($2:$301),302),ROW(AL241)))&amp;""</f>
        <v/>
      </c>
    </row>
    <row r="243" customHeight="1" spans="1:39">
      <c r="A243" s="192">
        <v>241</v>
      </c>
      <c r="B243" s="224" t="s">
        <v>7713</v>
      </c>
      <c r="C243" s="224" t="s">
        <v>7714</v>
      </c>
      <c r="E243" s="242" t="s">
        <v>6650</v>
      </c>
      <c r="F243" s="193" t="s">
        <v>6709</v>
      </c>
      <c r="G243" s="193" t="s">
        <v>6730</v>
      </c>
      <c r="H243" s="193">
        <v>1</v>
      </c>
      <c r="I243" s="193">
        <v>1</v>
      </c>
      <c r="J243" s="193">
        <v>1</v>
      </c>
      <c r="L243" s="224" t="s">
        <v>7715</v>
      </c>
      <c r="N243" s="193" t="s">
        <v>6704</v>
      </c>
      <c r="O243" s="224" t="s">
        <v>7716</v>
      </c>
      <c r="P243" s="224">
        <v>3</v>
      </c>
      <c r="Q243" s="224" t="s">
        <v>249</v>
      </c>
      <c r="S243" s="193">
        <v>1</v>
      </c>
      <c r="U243" s="193">
        <v>1</v>
      </c>
      <c r="X243" s="193">
        <v>1</v>
      </c>
      <c r="Y243" s="193">
        <v>1</v>
      </c>
      <c r="AA243" s="223" t="s">
        <v>7717</v>
      </c>
      <c r="AB243" s="200" t="str">
        <f t="array" ref="AB243">INDEX(B:B,SMALL(IF($Q$3:$Q$524&lt;&gt;"",ROW($3:$524),525),ROW(B242)))&amp;""</f>
        <v>群体治愈真言</v>
      </c>
      <c r="AC243" s="225" t="str">
        <f>IFERROR(IF(AND($Q244&lt;&gt;"",IF(法术查询!$J$4="",1,INDEX($R244:$Z244,1,VLOOKUP(法术查询!$J$4,$AF$2:$AG$10,2,0)))&lt;&gt;"",IF(法术查询!$J$5="",1,$P244=VLOOKUP(法术查询!$J$5,$AH$2:$AI$11,2,0)),IF(法术查询!$J$6="",1,IF(法术查询!$J$6=$E244,1,0)),IF(法术查询!$J$7="",1,SEARCH(法术查询!$J$7,$F244)),IF(法术查询!$J$8="",1,SEARCH(法术查询!$J$8,G244)),IF(法术查询!$J$9="",1,SEARCH(法术查询!$J$9,N244)),IF(法术查询!$J$10="",1,IF(法术查询!$J$10=$AF$11,IF($M244=1,1,0),IF($M244="",1,0))),IF(法术查询!$J$11="",1,IF(法术查询!$J$11=$AF$11,IF($D244=1,1,0),IF($D244="",1,0))),IF(法术查询!$J$12="",1,SEARCH(法术查询!$J$12,$B244&amp;$C244&amp;$O244)),IF(法术查询!$J$13="",1,SEARCH(法术查询!$J$13,$B244&amp;$C244&amp;$O244)),IF(法术查询!$J$14="",1,SEARCH(法术查询!$J$14,$B244&amp;$C244&amp;$O244)),IF(法术查询!$J$16="",1,IF(法术查询!$J$16=$AF$11,IF($H244=1,1,0),IF($H244="",1,0))),IF(法术查询!$J$17="",1,IF(法术查询!$J$17=$AF$11,IF($I244=1,1,0),IF($I244="",1,0))),IF(法术查询!$J$18="",1,IF(法术查询!$J$18=$AF$11,IF($J244&lt;&gt;"",1,0),IF($J244="",1,0))),IF(法术查询!$J$19="",1,IF(法术查询!$J$19=$AF$11,IF($L244&lt;&gt;"",1,0),IF($L244="",1,0)))),$B244,""),"")</f>
        <v/>
      </c>
      <c r="AD243" s="192" t="str">
        <f t="array" ref="AD243">INDEX(AC:AC,SMALL(IF($AC$2:$AC$523&lt;&gt;"",ROW($2:$523),524),ROW(AC242)))&amp;""</f>
        <v/>
      </c>
      <c r="AE243" s="200" t="str">
        <f t="shared" si="7"/>
        <v/>
      </c>
      <c r="AJ243" s="192">
        <v>242</v>
      </c>
      <c r="AK243" s="224" t="str">
        <f>IF(法术书!AH49="","",法术书!AH49)</f>
        <v/>
      </c>
      <c r="AL243" s="224" t="str">
        <f t="array" ref="AL243">IFERROR(INDEX(AK$1:AK$301,SMALL(IF(MATCH(AK243,AK$1:AK$301,0)=ROW(AK243),ROW(AK$1:AK$301),999),ROW(AK243))),"")</f>
        <v/>
      </c>
      <c r="AM243" s="223" t="str">
        <f t="array" ref="AM243">INDEX(AL:AL,SMALL(IF($AL$2:$AL$301&lt;&gt;"",ROW($2:$301),302),ROW(AL242)))&amp;""</f>
        <v/>
      </c>
    </row>
    <row r="244" customHeight="1" spans="1:39">
      <c r="A244" s="192">
        <v>242</v>
      </c>
      <c r="B244" s="224" t="s">
        <v>7718</v>
      </c>
      <c r="C244" s="224" t="s">
        <v>7719</v>
      </c>
      <c r="E244" s="241" t="s">
        <v>6726</v>
      </c>
      <c r="F244" s="193" t="s">
        <v>6642</v>
      </c>
      <c r="G244" s="193" t="s">
        <v>6658</v>
      </c>
      <c r="H244" s="193">
        <v>1</v>
      </c>
      <c r="I244" s="193">
        <v>1</v>
      </c>
      <c r="J244" s="193">
        <v>1</v>
      </c>
      <c r="K244" s="224" t="s">
        <v>6727</v>
      </c>
      <c r="M244" s="193">
        <v>1</v>
      </c>
      <c r="N244" s="193" t="s">
        <v>6831</v>
      </c>
      <c r="O244" s="224" t="s">
        <v>7720</v>
      </c>
      <c r="P244" s="224">
        <v>3</v>
      </c>
      <c r="Q244" s="224" t="s">
        <v>249</v>
      </c>
      <c r="R244" s="193">
        <v>1</v>
      </c>
      <c r="W244" s="193">
        <v>1</v>
      </c>
      <c r="X244" s="193">
        <v>1</v>
      </c>
      <c r="Y244" s="193">
        <v>1</v>
      </c>
      <c r="AA244" s="200" t="s">
        <v>760</v>
      </c>
      <c r="AB244" s="200" t="str">
        <f t="array" ref="AB244">INDEX(B:B,SMALL(IF($Q$3:$Q$524&lt;&gt;"",ROW($3:$524),525),ROW(B243)))&amp;""</f>
        <v>融身入石</v>
      </c>
      <c r="AC244" s="225" t="str">
        <f>IFERROR(IF(AND($Q245&lt;&gt;"",IF(法术查询!$J$4="",1,INDEX($R245:$Z245,1,VLOOKUP(法术查询!$J$4,$AF$2:$AG$10,2,0)))&lt;&gt;"",IF(法术查询!$J$5="",1,$P245=VLOOKUP(法术查询!$J$5,$AH$2:$AI$11,2,0)),IF(法术查询!$J$6="",1,IF(法术查询!$J$6=$E245,1,0)),IF(法术查询!$J$7="",1,SEARCH(法术查询!$J$7,$F245)),IF(法术查询!$J$8="",1,SEARCH(法术查询!$J$8,G245)),IF(法术查询!$J$9="",1,SEARCH(法术查询!$J$9,N245)),IF(法术查询!$J$10="",1,IF(法术查询!$J$10=$AF$11,IF($M245=1,1,0),IF($M245="",1,0))),IF(法术查询!$J$11="",1,IF(法术查询!$J$11=$AF$11,IF($D245=1,1,0),IF($D245="",1,0))),IF(法术查询!$J$12="",1,SEARCH(法术查询!$J$12,$B245&amp;$C245&amp;$O245)),IF(法术查询!$J$13="",1,SEARCH(法术查询!$J$13,$B245&amp;$C245&amp;$O245)),IF(法术查询!$J$14="",1,SEARCH(法术查询!$J$14,$B245&amp;$C245&amp;$O245)),IF(法术查询!$J$16="",1,IF(法术查询!$J$16=$AF$11,IF($H245=1,1,0),IF($H245="",1,0))),IF(法术查询!$J$17="",1,IF(法术查询!$J$17=$AF$11,IF($I245=1,1,0),IF($I245="",1,0))),IF(法术查询!$J$18="",1,IF(法术查询!$J$18=$AF$11,IF($J245&lt;&gt;"",1,0),IF($J245="",1,0))),IF(法术查询!$J$19="",1,IF(法术查询!$J$19=$AF$11,IF($L245&lt;&gt;"",1,0),IF($L245="",1,0)))),$B245,""),"")</f>
        <v/>
      </c>
      <c r="AD244" s="192" t="str">
        <f t="array" ref="AD244">INDEX(AC:AC,SMALL(IF($AC$2:$AC$523&lt;&gt;"",ROW($2:$523),524),ROW(AC243)))&amp;""</f>
        <v/>
      </c>
      <c r="AE244" s="200" t="str">
        <f t="shared" si="7"/>
        <v/>
      </c>
      <c r="AJ244" s="192">
        <v>243</v>
      </c>
      <c r="AK244" s="224" t="str">
        <f>IF(法术书!AH50="","",法术书!AH50)</f>
        <v/>
      </c>
      <c r="AL244" s="224" t="str">
        <f t="array" ref="AL244">IFERROR(INDEX(AK$1:AK$301,SMALL(IF(MATCH(AK244,AK$1:AK$301,0)=ROW(AK244),ROW(AK$1:AK$301),999),ROW(AK244))),"")</f>
        <v/>
      </c>
      <c r="AM244" s="223" t="str">
        <f t="array" ref="AM244">INDEX(AL:AL,SMALL(IF($AL$2:$AL$301&lt;&gt;"",ROW($2:$301),302),ROW(AL243)))&amp;""</f>
        <v/>
      </c>
    </row>
    <row r="245" customHeight="1" spans="1:39">
      <c r="A245" s="192">
        <v>243</v>
      </c>
      <c r="B245" s="224" t="s">
        <v>7721</v>
      </c>
      <c r="C245" s="224" t="s">
        <v>7722</v>
      </c>
      <c r="E245" s="229" t="s">
        <v>6664</v>
      </c>
      <c r="F245" s="193" t="s">
        <v>6712</v>
      </c>
      <c r="G245" s="193" t="s">
        <v>6643</v>
      </c>
      <c r="H245" s="193">
        <v>1</v>
      </c>
      <c r="N245" s="193" t="s">
        <v>6644</v>
      </c>
      <c r="O245" s="224" t="s">
        <v>7723</v>
      </c>
      <c r="P245" s="224">
        <v>3</v>
      </c>
      <c r="Q245" s="224" t="s">
        <v>249</v>
      </c>
      <c r="R245" s="193" t="str">
        <f>IF(综合数据!$B$14=TRUE,"13","")</f>
        <v>13</v>
      </c>
      <c r="S245" s="193">
        <v>1</v>
      </c>
      <c r="AA245" s="223" t="s">
        <v>7724</v>
      </c>
      <c r="AB245" s="200" t="str">
        <f t="array" ref="AB245">INDEX(B:B,SMALL(IF($Q$3:$Q$524&lt;&gt;"",ROW($3:$524),525),ROW(B244)))&amp;""</f>
        <v>回避侦测</v>
      </c>
      <c r="AC245" s="225" t="str">
        <f>IFERROR(IF(AND($Q246&lt;&gt;"",IF(法术查询!$J$4="",1,INDEX($R246:$Z246,1,VLOOKUP(法术查询!$J$4,$AF$2:$AG$10,2,0)))&lt;&gt;"",IF(法术查询!$J$5="",1,$P246=VLOOKUP(法术查询!$J$5,$AH$2:$AI$11,2,0)),IF(法术查询!$J$6="",1,IF(法术查询!$J$6=$E246,1,0)),IF(法术查询!$J$7="",1,SEARCH(法术查询!$J$7,$F246)),IF(法术查询!$J$8="",1,SEARCH(法术查询!$J$8,G246)),IF(法术查询!$J$9="",1,SEARCH(法术查询!$J$9,N246)),IF(法术查询!$J$10="",1,IF(法术查询!$J$10=$AF$11,IF($M246=1,1,0),IF($M246="",1,0))),IF(法术查询!$J$11="",1,IF(法术查询!$J$11=$AF$11,IF($D246=1,1,0),IF($D246="",1,0))),IF(法术查询!$J$12="",1,SEARCH(法术查询!$J$12,$B246&amp;$C246&amp;$O246)),IF(法术查询!$J$13="",1,SEARCH(法术查询!$J$13,$B246&amp;$C246&amp;$O246)),IF(法术查询!$J$14="",1,SEARCH(法术查询!$J$14,$B246&amp;$C246&amp;$O246)),IF(法术查询!$J$16="",1,IF(法术查询!$J$16=$AF$11,IF($H246=1,1,0),IF($H246="",1,0))),IF(法术查询!$J$17="",1,IF(法术查询!$J$17=$AF$11,IF($I246=1,1,0),IF($I246="",1,0))),IF(法术查询!$J$18="",1,IF(法术查询!$J$18=$AF$11,IF($J246&lt;&gt;"",1,0),IF($J246="",1,0))),IF(法术查询!$J$19="",1,IF(法术查询!$J$19=$AF$11,IF($L246&lt;&gt;"",1,0),IF($L246="",1,0)))),$B246,""),"")</f>
        <v/>
      </c>
      <c r="AD245" s="192" t="str">
        <f t="array" ref="AD245">INDEX(AC:AC,SMALL(IF($AC$2:$AC$523&lt;&gt;"",ROW($2:$523),524),ROW(AC244)))&amp;""</f>
        <v/>
      </c>
      <c r="AE245" s="200" t="str">
        <f t="shared" si="7"/>
        <v/>
      </c>
      <c r="AJ245" s="192">
        <v>244</v>
      </c>
      <c r="AK245" s="224" t="str">
        <f>IF(法术书!AH51="","",法术书!AH51)</f>
        <v/>
      </c>
      <c r="AL245" s="224" t="str">
        <f t="array" ref="AL245">IFERROR(INDEX(AK$1:AK$301,SMALL(IF(MATCH(AK245,AK$1:AK$301,0)=ROW(AK245),ROW(AK$1:AK$301),999),ROW(AK245))),"")</f>
        <v/>
      </c>
      <c r="AM245" s="223" t="str">
        <f t="array" ref="AM245">INDEX(AL:AL,SMALL(IF($AL$2:$AL$301&lt;&gt;"",ROW($2:$301),302),ROW(AL244)))&amp;""</f>
        <v/>
      </c>
    </row>
    <row r="246" customHeight="1" spans="1:39">
      <c r="A246" s="192">
        <v>244</v>
      </c>
      <c r="B246" s="224" t="s">
        <v>7725</v>
      </c>
      <c r="C246" s="224" t="s">
        <v>7726</v>
      </c>
      <c r="D246" s="193">
        <v>1</v>
      </c>
      <c r="E246" s="231" t="s">
        <v>6672</v>
      </c>
      <c r="F246" s="193" t="s">
        <v>6642</v>
      </c>
      <c r="G246" s="193" t="s">
        <v>3760</v>
      </c>
      <c r="H246" s="193">
        <v>1</v>
      </c>
      <c r="I246" s="193">
        <v>1</v>
      </c>
      <c r="N246" s="193" t="s">
        <v>6748</v>
      </c>
      <c r="O246" s="224" t="s">
        <v>7727</v>
      </c>
      <c r="P246" s="224">
        <v>3</v>
      </c>
      <c r="Q246" s="224" t="s">
        <v>249</v>
      </c>
      <c r="S246" s="193">
        <v>1</v>
      </c>
      <c r="T246" s="193">
        <v>1</v>
      </c>
      <c r="V246" s="193" t="str">
        <f>IF(综合数据!$B$14=TRUE,"13","")</f>
        <v>13</v>
      </c>
      <c r="AA246" s="223" t="s">
        <v>7728</v>
      </c>
      <c r="AB246" s="200" t="str">
        <f t="array" ref="AB246">INDEX(B:B,SMALL(IF($Q$3:$Q$524&lt;&gt;"",ROW($3:$524),525),ROW(B245)))&amp;""</f>
        <v>魅影驹</v>
      </c>
      <c r="AC246" s="225" t="str">
        <f>IFERROR(IF(AND($Q247&lt;&gt;"",IF(法术查询!$J$4="",1,INDEX($R247:$Z247,1,VLOOKUP(法术查询!$J$4,$AF$2:$AG$10,2,0)))&lt;&gt;"",IF(法术查询!$J$5="",1,$P247=VLOOKUP(法术查询!$J$5,$AH$2:$AI$11,2,0)),IF(法术查询!$J$6="",1,IF(法术查询!$J$6=$E247,1,0)),IF(法术查询!$J$7="",1,SEARCH(法术查询!$J$7,$F247)),IF(法术查询!$J$8="",1,SEARCH(法术查询!$J$8,G247)),IF(法术查询!$J$9="",1,SEARCH(法术查询!$J$9,N247)),IF(法术查询!$J$10="",1,IF(法术查询!$J$10=$AF$11,IF($M247=1,1,0),IF($M247="",1,0))),IF(法术查询!$J$11="",1,IF(法术查询!$J$11=$AF$11,IF($D247=1,1,0),IF($D247="",1,0))),IF(法术查询!$J$12="",1,SEARCH(法术查询!$J$12,$B247&amp;$C247&amp;$O247)),IF(法术查询!$J$13="",1,SEARCH(法术查询!$J$13,$B247&amp;$C247&amp;$O247)),IF(法术查询!$J$14="",1,SEARCH(法术查询!$J$14,$B247&amp;$C247&amp;$O247)),IF(法术查询!$J$16="",1,IF(法术查询!$J$16=$AF$11,IF($H247=1,1,0),IF($H247="",1,0))),IF(法术查询!$J$17="",1,IF(法术查询!$J$17=$AF$11,IF($I247=1,1,0),IF($I247="",1,0))),IF(法术查询!$J$18="",1,IF(法术查询!$J$18=$AF$11,IF($J247&lt;&gt;"",1,0),IF($J247="",1,0))),IF(法术查询!$J$19="",1,IF(法术查询!$J$19=$AF$11,IF($L247&lt;&gt;"",1,0),IF($L247="",1,0)))),$B247,""),"")</f>
        <v/>
      </c>
      <c r="AD246" s="192" t="str">
        <f t="array" ref="AD246">INDEX(AC:AC,SMALL(IF($AC$2:$AC$523&lt;&gt;"",ROW($2:$523),524),ROW(AC245)))&amp;""</f>
        <v/>
      </c>
      <c r="AE246" s="200" t="str">
        <f t="shared" si="7"/>
        <v/>
      </c>
      <c r="AJ246" s="192">
        <v>245</v>
      </c>
      <c r="AK246" s="224" t="str">
        <f>IF(法术书!AH52="","",法术书!AH52)</f>
        <v/>
      </c>
      <c r="AL246" s="224" t="str">
        <f t="array" ref="AL246">IFERROR(INDEX(AK$1:AK$301,SMALL(IF(MATCH(AK246,AK$1:AK$301,0)=ROW(AK246),ROW(AK$1:AK$301),999),ROW(AK246))),"")</f>
        <v/>
      </c>
      <c r="AM246" s="223" t="str">
        <f t="array" ref="AM246">INDEX(AL:AL,SMALL(IF($AL$2:$AL$301&lt;&gt;"",ROW($2:$301),302),ROW(AL245)))&amp;""</f>
        <v/>
      </c>
    </row>
    <row r="247" customHeight="1" spans="1:39">
      <c r="A247" s="192">
        <v>245</v>
      </c>
      <c r="B247" s="224" t="s">
        <v>7729</v>
      </c>
      <c r="C247" s="224" t="s">
        <v>7730</v>
      </c>
      <c r="E247" s="242" t="s">
        <v>6650</v>
      </c>
      <c r="F247" s="193" t="s">
        <v>6642</v>
      </c>
      <c r="G247" s="193" t="s">
        <v>3760</v>
      </c>
      <c r="H247" s="193">
        <v>1</v>
      </c>
      <c r="I247" s="193">
        <v>1</v>
      </c>
      <c r="J247" s="193">
        <v>1</v>
      </c>
      <c r="L247" s="224" t="s">
        <v>7731</v>
      </c>
      <c r="N247" s="193" t="s">
        <v>6748</v>
      </c>
      <c r="O247" s="224" t="s">
        <v>7732</v>
      </c>
      <c r="P247" s="224">
        <v>3</v>
      </c>
      <c r="Q247" s="224" t="s">
        <v>249</v>
      </c>
      <c r="R247" s="193">
        <v>1</v>
      </c>
      <c r="V247" s="193">
        <v>1</v>
      </c>
      <c r="X247" s="193">
        <v>1</v>
      </c>
      <c r="AA247" s="223" t="s">
        <v>7733</v>
      </c>
      <c r="AB247" s="200" t="str">
        <f t="array" ref="AB247">INDEX(B:B,SMALL(IF($Q$3:$Q$524&lt;&gt;"",ROW($3:$524),525),ROW(B246)))&amp;""</f>
        <v>植物滋长</v>
      </c>
      <c r="AC247" s="225" t="str">
        <f>IFERROR(IF(AND($Q248&lt;&gt;"",IF(法术查询!$J$4="",1,INDEX($R248:$Z248,1,VLOOKUP(法术查询!$J$4,$AF$2:$AG$10,2,0)))&lt;&gt;"",IF(法术查询!$J$5="",1,$P248=VLOOKUP(法术查询!$J$5,$AH$2:$AI$11,2,0)),IF(法术查询!$J$6="",1,IF(法术查询!$J$6=$E248,1,0)),IF(法术查询!$J$7="",1,SEARCH(法术查询!$J$7,$F248)),IF(法术查询!$J$8="",1,SEARCH(法术查询!$J$8,G248)),IF(法术查询!$J$9="",1,SEARCH(法术查询!$J$9,N248)),IF(法术查询!$J$10="",1,IF(法术查询!$J$10=$AF$11,IF($M248=1,1,0),IF($M248="",1,0))),IF(法术查询!$J$11="",1,IF(法术查询!$J$11=$AF$11,IF($D248=1,1,0),IF($D248="",1,0))),IF(法术查询!$J$12="",1,SEARCH(法术查询!$J$12,$B248&amp;$C248&amp;$O248)),IF(法术查询!$J$13="",1,SEARCH(法术查询!$J$13,$B248&amp;$C248&amp;$O248)),IF(法术查询!$J$14="",1,SEARCH(法术查询!$J$14,$B248&amp;$C248&amp;$O248)),IF(法术查询!$J$16="",1,IF(法术查询!$J$16=$AF$11,IF($H248=1,1,0),IF($H248="",1,0))),IF(法术查询!$J$17="",1,IF(法术查询!$J$17=$AF$11,IF($I248=1,1,0),IF($I248="",1,0))),IF(法术查询!$J$18="",1,IF(法术查询!$J$18=$AF$11,IF($J248&lt;&gt;"",1,0),IF($J248="",1,0))),IF(法术查询!$J$19="",1,IF(法术查询!$J$19=$AF$11,IF($L248&lt;&gt;"",1,0),IF($L248="",1,0)))),$B248,""),"")</f>
        <v/>
      </c>
      <c r="AD247" s="192" t="str">
        <f t="array" ref="AD247">INDEX(AC:AC,SMALL(IF($AC$2:$AC$523&lt;&gt;"",ROW($2:$523),524),ROW(AC246)))&amp;""</f>
        <v/>
      </c>
      <c r="AE247" s="200" t="str">
        <f t="shared" si="7"/>
        <v/>
      </c>
      <c r="AJ247" s="192">
        <v>246</v>
      </c>
      <c r="AK247" s="224" t="str">
        <f>IF(法术书!AH53="","",法术书!AH53)</f>
        <v/>
      </c>
      <c r="AL247" s="224" t="str">
        <f t="array" ref="AL247">IFERROR(INDEX(AK$1:AK$301,SMALL(IF(MATCH(AK247,AK$1:AK$301,0)=ROW(AK247),ROW(AK$1:AK$301),999),ROW(AK247))),"")</f>
        <v/>
      </c>
      <c r="AM247" s="223" t="str">
        <f t="array" ref="AM247">INDEX(AL:AL,SMALL(IF($AL$2:$AL$301&lt;&gt;"",ROW($2:$301),302),ROW(AL246)))&amp;""</f>
        <v/>
      </c>
    </row>
    <row r="248" customHeight="1" spans="1:39">
      <c r="A248" s="192">
        <v>246</v>
      </c>
      <c r="B248" s="224" t="s">
        <v>7734</v>
      </c>
      <c r="C248" s="224" t="s">
        <v>7735</v>
      </c>
      <c r="D248" s="193">
        <v>1</v>
      </c>
      <c r="E248" s="241" t="s">
        <v>6726</v>
      </c>
      <c r="F248" s="193" t="s">
        <v>6709</v>
      </c>
      <c r="G248" s="193" t="s">
        <v>6673</v>
      </c>
      <c r="H248" s="193">
        <v>1</v>
      </c>
      <c r="I248" s="193">
        <v>1</v>
      </c>
      <c r="N248" s="193" t="s">
        <v>6704</v>
      </c>
      <c r="O248" s="224" t="s">
        <v>7736</v>
      </c>
      <c r="P248" s="224">
        <v>3</v>
      </c>
      <c r="Q248" s="224" t="s">
        <v>249</v>
      </c>
      <c r="X248" s="193">
        <v>1</v>
      </c>
      <c r="AA248" s="223" t="s">
        <v>7737</v>
      </c>
      <c r="AB248" s="200" t="str">
        <f t="array" ref="AB248">INDEX(B:B,SMALL(IF($Q$3:$Q$524&lt;&gt;"",ROW($3:$524),525),ROW(B247)))&amp;""</f>
        <v>防护能量伤害</v>
      </c>
      <c r="AC248" s="225" t="str">
        <f>IFERROR(IF(AND($Q249&lt;&gt;"",IF(法术查询!$J$4="",1,INDEX($R249:$Z249,1,VLOOKUP(法术查询!$J$4,$AF$2:$AG$10,2,0)))&lt;&gt;"",IF(法术查询!$J$5="",1,$P249=VLOOKUP(法术查询!$J$5,$AH$2:$AI$11,2,0)),IF(法术查询!$J$6="",1,IF(法术查询!$J$6=$E249,1,0)),IF(法术查询!$J$7="",1,SEARCH(法术查询!$J$7,$F249)),IF(法术查询!$J$8="",1,SEARCH(法术查询!$J$8,G249)),IF(法术查询!$J$9="",1,SEARCH(法术查询!$J$9,N249)),IF(法术查询!$J$10="",1,IF(法术查询!$J$10=$AF$11,IF($M249=1,1,0),IF($M249="",1,0))),IF(法术查询!$J$11="",1,IF(法术查询!$J$11=$AF$11,IF($D249=1,1,0),IF($D249="",1,0))),IF(法术查询!$J$12="",1,SEARCH(法术查询!$J$12,$B249&amp;$C249&amp;$O249)),IF(法术查询!$J$13="",1,SEARCH(法术查询!$J$13,$B249&amp;$C249&amp;$O249)),IF(法术查询!$J$14="",1,SEARCH(法术查询!$J$14,$B249&amp;$C249&amp;$O249)),IF(法术查询!$J$16="",1,IF(法术查询!$J$16=$AF$11,IF($H249=1,1,0),IF($H249="",1,0))),IF(法术查询!$J$17="",1,IF(法术查询!$J$17=$AF$11,IF($I249=1,1,0),IF($I249="",1,0))),IF(法术查询!$J$18="",1,IF(法术查询!$J$18=$AF$11,IF($J249&lt;&gt;"",1,0),IF($J249="",1,0))),IF(法术查询!$J$19="",1,IF(法术查询!$J$19=$AF$11,IF($L249&lt;&gt;"",1,0),IF($L249="",1,0)))),$B249,""),"")</f>
        <v/>
      </c>
      <c r="AD248" s="192" t="str">
        <f t="array" ref="AD248">INDEX(AC:AC,SMALL(IF($AC$2:$AC$523&lt;&gt;"",ROW($2:$523),524),ROW(AC247)))&amp;""</f>
        <v/>
      </c>
      <c r="AE248" s="200" t="str">
        <f t="shared" si="7"/>
        <v/>
      </c>
      <c r="AJ248" s="192">
        <v>247</v>
      </c>
      <c r="AK248" s="224" t="str">
        <f>IF(法术书!AH54="","",法术书!AH54)</f>
        <v/>
      </c>
      <c r="AL248" s="224" t="str">
        <f t="array" ref="AL248">IFERROR(INDEX(AK$1:AK$301,SMALL(IF(MATCH(AK248,AK$1:AK$301,0)=ROW(AK248),ROW(AK$1:AK$301),999),ROW(AK248))),"")</f>
        <v/>
      </c>
      <c r="AM248" s="223" t="str">
        <f t="array" ref="AM248">INDEX(AL:AL,SMALL(IF($AL$2:$AL$301&lt;&gt;"",ROW($2:$301),302),ROW(AL247)))&amp;""</f>
        <v/>
      </c>
    </row>
    <row r="249" customHeight="1" spans="1:39">
      <c r="A249" s="192">
        <v>247</v>
      </c>
      <c r="B249" s="224" t="s">
        <v>7738</v>
      </c>
      <c r="C249" s="224" t="s">
        <v>7739</v>
      </c>
      <c r="E249" s="231" t="s">
        <v>6672</v>
      </c>
      <c r="F249" s="193" t="s">
        <v>6819</v>
      </c>
      <c r="G249" s="193" t="s">
        <v>6779</v>
      </c>
      <c r="H249" s="193">
        <v>1</v>
      </c>
      <c r="I249" s="193">
        <v>1</v>
      </c>
      <c r="N249" s="193" t="s">
        <v>6644</v>
      </c>
      <c r="O249" s="224" t="s">
        <v>7740</v>
      </c>
      <c r="P249" s="224">
        <v>3</v>
      </c>
      <c r="Q249" s="224" t="s">
        <v>249</v>
      </c>
      <c r="R249" s="193">
        <v>1</v>
      </c>
      <c r="T249" s="193">
        <v>1</v>
      </c>
      <c r="V249" s="193">
        <v>1</v>
      </c>
      <c r="AA249" s="223" t="s">
        <v>7741</v>
      </c>
      <c r="AB249" s="200" t="str">
        <f t="array" ref="AB249">INDEX(B:B,SMALL(IF($Q$3:$Q$524&lt;&gt;"",ROW($3:$524),525),ROW(B248)))&amp;""</f>
        <v>移除诅咒</v>
      </c>
      <c r="AC249" s="225" t="str">
        <f>IFERROR(IF(AND($Q250&lt;&gt;"",IF(法术查询!$J$4="",1,INDEX($R250:$Z250,1,VLOOKUP(法术查询!$J$4,$AF$2:$AG$10,2,0)))&lt;&gt;"",IF(法术查询!$J$5="",1,$P250=VLOOKUP(法术查询!$J$5,$AH$2:$AI$11,2,0)),IF(法术查询!$J$6="",1,IF(法术查询!$J$6=$E250,1,0)),IF(法术查询!$J$7="",1,SEARCH(法术查询!$J$7,$F250)),IF(法术查询!$J$8="",1,SEARCH(法术查询!$J$8,G250)),IF(法术查询!$J$9="",1,SEARCH(法术查询!$J$9,N250)),IF(法术查询!$J$10="",1,IF(法术查询!$J$10=$AF$11,IF($M250=1,1,0),IF($M250="",1,0))),IF(法术查询!$J$11="",1,IF(法术查询!$J$11=$AF$11,IF($D250=1,1,0),IF($D250="",1,0))),IF(法术查询!$J$12="",1,SEARCH(法术查询!$J$12,$B250&amp;$C250&amp;$O250)),IF(法术查询!$J$13="",1,SEARCH(法术查询!$J$13,$B250&amp;$C250&amp;$O250)),IF(法术查询!$J$14="",1,SEARCH(法术查询!$J$14,$B250&amp;$C250&amp;$O250)),IF(法术查询!$J$16="",1,IF(法术查询!$J$16=$AF$11,IF($H250=1,1,0),IF($H250="",1,0))),IF(法术查询!$J$17="",1,IF(法术查询!$J$17=$AF$11,IF($I250=1,1,0),IF($I250="",1,0))),IF(法术查询!$J$18="",1,IF(法术查询!$J$18=$AF$11,IF($J250&lt;&gt;"",1,0),IF($J250="",1,0))),IF(法术查询!$J$19="",1,IF(法术查询!$J$19=$AF$11,IF($L250&lt;&gt;"",1,0),IF($L250="",1,0)))),$B250,""),"")</f>
        <v/>
      </c>
      <c r="AD249" s="192" t="str">
        <f t="array" ref="AD249">INDEX(AC:AC,SMALL(IF($AC$2:$AC$523&lt;&gt;"",ROW($2:$523),524),ROW(AC248)))&amp;""</f>
        <v/>
      </c>
      <c r="AE249" s="200" t="str">
        <f t="shared" si="7"/>
        <v/>
      </c>
      <c r="AJ249" s="192">
        <v>248</v>
      </c>
      <c r="AK249" s="224" t="str">
        <f>IF(法术书!AH55="","",法术书!AH55)</f>
        <v/>
      </c>
      <c r="AL249" s="224" t="str">
        <f t="array" ref="AL249">IFERROR(INDEX(AK$1:AK$301,SMALL(IF(MATCH(AK249,AK$1:AK$301,0)=ROW(AK249),ROW(AK$1:AK$301),999),ROW(AK249))),"")</f>
        <v/>
      </c>
      <c r="AM249" s="223" t="str">
        <f t="array" ref="AM249">INDEX(AL:AL,SMALL(IF($AL$2:$AL$301&lt;&gt;"",ROW($2:$301),302),ROW(AL248)))&amp;""</f>
        <v/>
      </c>
    </row>
    <row r="250" customHeight="1" spans="1:39">
      <c r="A250" s="192">
        <v>248</v>
      </c>
      <c r="B250" s="224" t="s">
        <v>7742</v>
      </c>
      <c r="C250" s="224" t="s">
        <v>7743</v>
      </c>
      <c r="E250" s="242" t="s">
        <v>6650</v>
      </c>
      <c r="F250" s="193" t="s">
        <v>6642</v>
      </c>
      <c r="G250" s="193" t="s">
        <v>3760</v>
      </c>
      <c r="H250" s="193">
        <v>1</v>
      </c>
      <c r="I250" s="193">
        <v>1</v>
      </c>
      <c r="M250" s="193">
        <v>1</v>
      </c>
      <c r="N250" s="193" t="s">
        <v>6739</v>
      </c>
      <c r="O250" s="224" t="s">
        <v>7744</v>
      </c>
      <c r="P250" s="224">
        <v>3</v>
      </c>
      <c r="Q250" s="224" t="s">
        <v>249</v>
      </c>
      <c r="S250" s="193">
        <v>1</v>
      </c>
      <c r="T250" s="193">
        <v>1</v>
      </c>
      <c r="V250" s="193">
        <v>1</v>
      </c>
      <c r="W250" s="193">
        <v>1</v>
      </c>
      <c r="X250" s="193">
        <v>1</v>
      </c>
      <c r="Z250" s="193">
        <v>9</v>
      </c>
      <c r="AA250" s="223" t="s">
        <v>7745</v>
      </c>
      <c r="AB250" s="200" t="str">
        <f t="array" ref="AB250">INDEX(B:B,SMALL(IF($Q$3:$Q$524&lt;&gt;"",ROW($3:$524),525),ROW(B249)))&amp;""</f>
        <v>回生术</v>
      </c>
      <c r="AC250" s="225" t="str">
        <f>IFERROR(IF(AND($Q251&lt;&gt;"",IF(法术查询!$J$4="",1,INDEX($R251:$Z251,1,VLOOKUP(法术查询!$J$4,$AF$2:$AG$10,2,0)))&lt;&gt;"",IF(法术查询!$J$5="",1,$P251=VLOOKUP(法术查询!$J$5,$AH$2:$AI$11,2,0)),IF(法术查询!$J$6="",1,IF(法术查询!$J$6=$E251,1,0)),IF(法术查询!$J$7="",1,SEARCH(法术查询!$J$7,$F251)),IF(法术查询!$J$8="",1,SEARCH(法术查询!$J$8,G251)),IF(法术查询!$J$9="",1,SEARCH(法术查询!$J$9,N251)),IF(法术查询!$J$10="",1,IF(法术查询!$J$10=$AF$11,IF($M251=1,1,0),IF($M251="",1,0))),IF(法术查询!$J$11="",1,IF(法术查询!$J$11=$AF$11,IF($D251=1,1,0),IF($D251="",1,0))),IF(法术查询!$J$12="",1,SEARCH(法术查询!$J$12,$B251&amp;$C251&amp;$O251)),IF(法术查询!$J$13="",1,SEARCH(法术查询!$J$13,$B251&amp;$C251&amp;$O251)),IF(法术查询!$J$14="",1,SEARCH(法术查询!$J$14,$B251&amp;$C251&amp;$O251)),IF(法术查询!$J$16="",1,IF(法术查询!$J$16=$AF$11,IF($H251=1,1,0),IF($H251="",1,0))),IF(法术查询!$J$17="",1,IF(法术查询!$J$17=$AF$11,IF($I251=1,1,0),IF($I251="",1,0))),IF(法术查询!$J$18="",1,IF(法术查询!$J$18=$AF$11,IF($J251&lt;&gt;"",1,0),IF($J251="",1,0))),IF(法术查询!$J$19="",1,IF(法术查询!$J$19=$AF$11,IF($L251&lt;&gt;"",1,0),IF($L251="",1,0)))),$B251,""),"")</f>
        <v/>
      </c>
      <c r="AD250" s="192" t="str">
        <f t="array" ref="AD250">INDEX(AC:AC,SMALL(IF($AC$2:$AC$523&lt;&gt;"",ROW($2:$523),524),ROW(AC249)))&amp;""</f>
        <v/>
      </c>
      <c r="AE250" s="200" t="str">
        <f t="shared" si="7"/>
        <v/>
      </c>
      <c r="AJ250" s="192">
        <v>249</v>
      </c>
      <c r="AK250" s="224" t="str">
        <f>IF(法术书!AH56="","",法术书!AH56)</f>
        <v/>
      </c>
      <c r="AL250" s="224" t="str">
        <f t="array" ref="AL250">IFERROR(INDEX(AK$1:AK$301,SMALL(IF(MATCH(AK250,AK$1:AK$301,0)=ROW(AK250),ROW(AK$1:AK$301),999),ROW(AK250))),"")</f>
        <v/>
      </c>
      <c r="AM250" s="223" t="str">
        <f t="array" ref="AM250">INDEX(AL:AL,SMALL(IF($AL$2:$AL$301&lt;&gt;"",ROW($2:$301),302),ROW(AL249)))&amp;""</f>
        <v/>
      </c>
    </row>
    <row r="251" customHeight="1" spans="1:39">
      <c r="A251" s="192">
        <v>249</v>
      </c>
      <c r="B251" s="224" t="s">
        <v>7746</v>
      </c>
      <c r="C251" s="224" t="s">
        <v>7747</v>
      </c>
      <c r="E251" s="242" t="s">
        <v>6650</v>
      </c>
      <c r="F251" s="193" t="s">
        <v>6642</v>
      </c>
      <c r="G251" s="193" t="s">
        <v>3760</v>
      </c>
      <c r="H251" s="193">
        <v>1</v>
      </c>
      <c r="I251" s="193">
        <v>1</v>
      </c>
      <c r="N251" s="193" t="s">
        <v>6644</v>
      </c>
      <c r="O251" s="224" t="s">
        <v>7748</v>
      </c>
      <c r="P251" s="224">
        <v>3</v>
      </c>
      <c r="Q251" s="224" t="s">
        <v>249</v>
      </c>
      <c r="S251" s="193">
        <v>1</v>
      </c>
      <c r="U251" s="193">
        <v>1</v>
      </c>
      <c r="X251" s="193">
        <v>1</v>
      </c>
      <c r="Y251" s="193">
        <v>1</v>
      </c>
      <c r="AA251" s="200"/>
      <c r="AB251" s="200" t="str">
        <f t="array" ref="AB251">INDEX(B:B,SMALL(IF($Q$3:$Q$524&lt;&gt;"",ROW($3:$524),525),ROW(B250)))&amp;""</f>
        <v>短讯术</v>
      </c>
      <c r="AC251" s="225" t="str">
        <f>IFERROR(IF(AND($Q252&lt;&gt;"",IF(法术查询!$J$4="",1,INDEX($R252:$Z252,1,VLOOKUP(法术查询!$J$4,$AF$2:$AG$10,2,0)))&lt;&gt;"",IF(法术查询!$J$5="",1,$P252=VLOOKUP(法术查询!$J$5,$AH$2:$AI$11,2,0)),IF(法术查询!$J$6="",1,IF(法术查询!$J$6=$E252,1,0)),IF(法术查询!$J$7="",1,SEARCH(法术查询!$J$7,$F252)),IF(法术查询!$J$8="",1,SEARCH(法术查询!$J$8,G252)),IF(法术查询!$J$9="",1,SEARCH(法术查询!$J$9,N252)),IF(法术查询!$J$10="",1,IF(法术查询!$J$10=$AF$11,IF($M252=1,1,0),IF($M252="",1,0))),IF(法术查询!$J$11="",1,IF(法术查询!$J$11=$AF$11,IF($D252=1,1,0),IF($D252="",1,0))),IF(法术查询!$J$12="",1,SEARCH(法术查询!$J$12,$B252&amp;$C252&amp;$O252)),IF(法术查询!$J$13="",1,SEARCH(法术查询!$J$13,$B252&amp;$C252&amp;$O252)),IF(法术查询!$J$14="",1,SEARCH(法术查询!$J$14,$B252&amp;$C252&amp;$O252)),IF(法术查询!$J$16="",1,IF(法术查询!$J$16=$AF$11,IF($H252=1,1,0),IF($H252="",1,0))),IF(法术查询!$J$17="",1,IF(法术查询!$J$17=$AF$11,IF($I252=1,1,0),IF($I252="",1,0))),IF(法术查询!$J$18="",1,IF(法术查询!$J$18=$AF$11,IF($J252&lt;&gt;"",1,0),IF($J252="",1,0))),IF(法术查询!$J$19="",1,IF(法术查询!$J$19=$AF$11,IF($L252&lt;&gt;"",1,0),IF($L252="",1,0)))),$B252,""),"")</f>
        <v/>
      </c>
      <c r="AD251" s="192" t="str">
        <f t="array" ref="AD251">INDEX(AC:AC,SMALL(IF($AC$2:$AC$523&lt;&gt;"",ROW($2:$523),524),ROW(AC250)))&amp;""</f>
        <v/>
      </c>
      <c r="AE251" s="200" t="str">
        <f t="shared" si="7"/>
        <v/>
      </c>
      <c r="AJ251" s="192">
        <v>250</v>
      </c>
      <c r="AK251" s="224" t="str">
        <f>IF(法术书!AH57="","",法术书!AH57)</f>
        <v/>
      </c>
      <c r="AL251" s="224" t="str">
        <f t="array" ref="AL251">IFERROR(INDEX(AK$1:AK$301,SMALL(IF(MATCH(AK251,AK$1:AK$301,0)=ROW(AK251),ROW(AK$1:AK$301),999),ROW(AK251))),"")</f>
        <v/>
      </c>
      <c r="AM251" s="223" t="str">
        <f t="array" ref="AM251">INDEX(AL:AL,SMALL(IF($AL$2:$AL$301&lt;&gt;"",ROW($2:$301),302),ROW(AL250)))&amp;""</f>
        <v/>
      </c>
    </row>
    <row r="252" customHeight="1" spans="1:39">
      <c r="A252" s="192">
        <v>250</v>
      </c>
      <c r="B252" s="224" t="s">
        <v>7749</v>
      </c>
      <c r="C252" s="224" t="s">
        <v>7750</v>
      </c>
      <c r="E252" s="243" t="s">
        <v>6657</v>
      </c>
      <c r="F252" s="193" t="s">
        <v>6642</v>
      </c>
      <c r="G252" s="193" t="s">
        <v>3760</v>
      </c>
      <c r="H252" s="193">
        <v>1</v>
      </c>
      <c r="I252" s="193">
        <v>1</v>
      </c>
      <c r="J252" s="193">
        <v>1</v>
      </c>
      <c r="L252" s="224" t="s">
        <v>7751</v>
      </c>
      <c r="N252" s="193" t="s">
        <v>6644</v>
      </c>
      <c r="O252" s="224" t="s">
        <v>7752</v>
      </c>
      <c r="P252" s="224">
        <v>3</v>
      </c>
      <c r="Q252" s="224" t="s">
        <v>249</v>
      </c>
      <c r="S252" s="193">
        <v>1</v>
      </c>
      <c r="T252" s="193" t="str">
        <f>IF(综合数据!$B$14=TRUE,"13","")</f>
        <v>13</v>
      </c>
      <c r="U252" s="193">
        <v>1</v>
      </c>
      <c r="V252" s="193" t="str">
        <f>IF(综合数据!$B$14=TRUE,"13","")</f>
        <v>13</v>
      </c>
      <c r="Z252" s="193">
        <v>9</v>
      </c>
      <c r="AA252" s="223" t="s">
        <v>7753</v>
      </c>
      <c r="AB252" s="200" t="str">
        <f t="array" ref="AB252">INDEX(B:B,SMALL(IF($Q$3:$Q$524&lt;&gt;"",ROW($3:$524),525),ROW(B251)))&amp;""</f>
        <v>雪雨暴</v>
      </c>
      <c r="AC252" s="225" t="str">
        <f>IFERROR(IF(AND($Q253&lt;&gt;"",IF(法术查询!$J$4="",1,INDEX($R253:$Z253,1,VLOOKUP(法术查询!$J$4,$AF$2:$AG$10,2,0)))&lt;&gt;"",IF(法术查询!$J$5="",1,$P253=VLOOKUP(法术查询!$J$5,$AH$2:$AI$11,2,0)),IF(法术查询!$J$6="",1,IF(法术查询!$J$6=$E253,1,0)),IF(法术查询!$J$7="",1,SEARCH(法术查询!$J$7,$F253)),IF(法术查询!$J$8="",1,SEARCH(法术查询!$J$8,G253)),IF(法术查询!$J$9="",1,SEARCH(法术查询!$J$9,N253)),IF(法术查询!$J$10="",1,IF(法术查询!$J$10=$AF$11,IF($M253=1,1,0),IF($M253="",1,0))),IF(法术查询!$J$11="",1,IF(法术查询!$J$11=$AF$11,IF($D253=1,1,0),IF($D253="",1,0))),IF(法术查询!$J$12="",1,SEARCH(法术查询!$J$12,$B253&amp;$C253&amp;$O253)),IF(法术查询!$J$13="",1,SEARCH(法术查询!$J$13,$B253&amp;$C253&amp;$O253)),IF(法术查询!$J$14="",1,SEARCH(法术查询!$J$14,$B253&amp;$C253&amp;$O253)),IF(法术查询!$J$16="",1,IF(法术查询!$J$16=$AF$11,IF($H253=1,1,0),IF($H253="",1,0))),IF(法术查询!$J$17="",1,IF(法术查询!$J$17=$AF$11,IF($I253=1,1,0),IF($I253="",1,0))),IF(法术查询!$J$18="",1,IF(法术查询!$J$18=$AF$11,IF($J253&lt;&gt;"",1,0),IF($J253="",1,0))),IF(法术查询!$J$19="",1,IF(法术查询!$J$19=$AF$11,IF($L253&lt;&gt;"",1,0),IF($L253="",1,0)))),$B253,""),"")</f>
        <v/>
      </c>
      <c r="AD252" s="192" t="str">
        <f t="array" ref="AD252">INDEX(AC:AC,SMALL(IF($AC$2:$AC$523&lt;&gt;"",ROW($2:$523),524),ROW(AC251)))&amp;""</f>
        <v/>
      </c>
      <c r="AE252" s="200" t="str">
        <f t="shared" si="7"/>
        <v/>
      </c>
      <c r="AJ252" s="192">
        <v>251</v>
      </c>
      <c r="AK252" s="193" t="str">
        <f>IF(法术书!AK8="","",法术书!AK8)</f>
        <v/>
      </c>
      <c r="AL252" s="224" t="str">
        <f t="array" ref="AL252">IFERROR(INDEX(AK$1:AK$301,SMALL(IF(MATCH(AK252,AK$1:AK$301,0)=ROW(AK252),ROW(AK$1:AK$301),999),ROW(AK252))),"")</f>
        <v/>
      </c>
      <c r="AM252" s="223" t="str">
        <f t="array" ref="AM252">INDEX(AL:AL,SMALL(IF($AL$2:$AL$301&lt;&gt;"",ROW($2:$301),302),ROW(AL251)))&amp;""</f>
        <v/>
      </c>
    </row>
    <row r="253" customHeight="1" spans="1:39">
      <c r="A253" s="192">
        <v>251</v>
      </c>
      <c r="B253" s="224" t="s">
        <v>7754</v>
      </c>
      <c r="C253" s="224" t="s">
        <v>7755</v>
      </c>
      <c r="E253" s="229" t="s">
        <v>6664</v>
      </c>
      <c r="F253" s="193" t="s">
        <v>6642</v>
      </c>
      <c r="G253" s="193" t="s">
        <v>6826</v>
      </c>
      <c r="H253" s="193">
        <v>1</v>
      </c>
      <c r="I253" s="193">
        <v>1</v>
      </c>
      <c r="J253" s="193">
        <v>1</v>
      </c>
      <c r="K253" s="224" t="s">
        <v>7756</v>
      </c>
      <c r="N253" s="193" t="s">
        <v>6652</v>
      </c>
      <c r="O253" s="224" t="s">
        <v>7757</v>
      </c>
      <c r="P253" s="224">
        <v>3</v>
      </c>
      <c r="Q253" s="224" t="s">
        <v>249</v>
      </c>
      <c r="R253" s="193">
        <v>1</v>
      </c>
      <c r="S253" s="193">
        <v>1</v>
      </c>
      <c r="X253" s="193">
        <v>1</v>
      </c>
      <c r="AA253" s="223" t="s">
        <v>7758</v>
      </c>
      <c r="AB253" s="200" t="str">
        <f t="array" ref="AB253">INDEX(B:B,SMALL(IF($Q$3:$Q$524&lt;&gt;"",ROW($3:$524),525),ROW(B252)))&amp;""</f>
        <v>缓慢术</v>
      </c>
      <c r="AC253" s="225" t="str">
        <f>IFERROR(IF(AND($Q254&lt;&gt;"",IF(法术查询!$J$4="",1,INDEX($R254:$Z254,1,VLOOKUP(法术查询!$J$4,$AF$2:$AG$10,2,0)))&lt;&gt;"",IF(法术查询!$J$5="",1,$P254=VLOOKUP(法术查询!$J$5,$AH$2:$AI$11,2,0)),IF(法术查询!$J$6="",1,IF(法术查询!$J$6=$E254,1,0)),IF(法术查询!$J$7="",1,SEARCH(法术查询!$J$7,$F254)),IF(法术查询!$J$8="",1,SEARCH(法术查询!$J$8,G254)),IF(法术查询!$J$9="",1,SEARCH(法术查询!$J$9,N254)),IF(法术查询!$J$10="",1,IF(法术查询!$J$10=$AF$11,IF($M254=1,1,0),IF($M254="",1,0))),IF(法术查询!$J$11="",1,IF(法术查询!$J$11=$AF$11,IF($D254=1,1,0),IF($D254="",1,0))),IF(法术查询!$J$12="",1,SEARCH(法术查询!$J$12,$B254&amp;$C254&amp;$O254)),IF(法术查询!$J$13="",1,SEARCH(法术查询!$J$13,$B254&amp;$C254&amp;$O254)),IF(法术查询!$J$14="",1,SEARCH(法术查询!$J$14,$B254&amp;$C254&amp;$O254)),IF(法术查询!$J$16="",1,IF(法术查询!$J$16=$AF$11,IF($H254=1,1,0),IF($H254="",1,0))),IF(法术查询!$J$17="",1,IF(法术查询!$J$17=$AF$11,IF($I254=1,1,0),IF($I254="",1,0))),IF(法术查询!$J$18="",1,IF(法术查询!$J$18=$AF$11,IF($J254&lt;&gt;"",1,0),IF($J254="",1,0))),IF(法术查询!$J$19="",1,IF(法术查询!$J$19=$AF$11,IF($L254&lt;&gt;"",1,0),IF($L254="",1,0)))),$B254,""),"")</f>
        <v/>
      </c>
      <c r="AD253" s="192" t="str">
        <f t="array" ref="AD253">INDEX(AC:AC,SMALL(IF($AC$2:$AC$523&lt;&gt;"",ROW($2:$523),524),ROW(AC252)))&amp;""</f>
        <v/>
      </c>
      <c r="AE253" s="200" t="str">
        <f t="shared" si="7"/>
        <v/>
      </c>
      <c r="AJ253" s="192">
        <v>252</v>
      </c>
      <c r="AK253" s="193" t="str">
        <f>IF(法术书!AK9="","",法术书!AK9)</f>
        <v/>
      </c>
      <c r="AL253" s="224" t="str">
        <f t="array" ref="AL253">IFERROR(INDEX(AK$1:AK$301,SMALL(IF(MATCH(AK253,AK$1:AK$301,0)=ROW(AK253),ROW(AK$1:AK$301),999),ROW(AK253))),"")</f>
        <v/>
      </c>
      <c r="AM253" s="223" t="str">
        <f t="array" ref="AM253">INDEX(AL:AL,SMALL(IF($AL$2:$AL$301&lt;&gt;"",ROW($2:$301),302),ROW(AL252)))&amp;""</f>
        <v/>
      </c>
    </row>
    <row r="254" customHeight="1" spans="1:39">
      <c r="A254" s="192">
        <v>252</v>
      </c>
      <c r="B254" s="224" t="s">
        <v>7759</v>
      </c>
      <c r="C254" s="224" t="s">
        <v>7760</v>
      </c>
      <c r="E254" s="240" t="s">
        <v>6641</v>
      </c>
      <c r="F254" s="193" t="s">
        <v>6642</v>
      </c>
      <c r="G254" s="193" t="s">
        <v>6779</v>
      </c>
      <c r="H254" s="193">
        <v>1</v>
      </c>
      <c r="I254" s="193">
        <v>1</v>
      </c>
      <c r="J254" s="193">
        <v>1</v>
      </c>
      <c r="K254" s="224" t="s">
        <v>7761</v>
      </c>
      <c r="M254" s="193">
        <v>1</v>
      </c>
      <c r="N254" s="193" t="s">
        <v>6666</v>
      </c>
      <c r="O254" s="224" t="s">
        <v>7762</v>
      </c>
      <c r="P254" s="224">
        <v>3</v>
      </c>
      <c r="Q254" s="224" t="s">
        <v>249</v>
      </c>
      <c r="T254" s="193">
        <v>1</v>
      </c>
      <c r="W254" s="193">
        <v>1</v>
      </c>
      <c r="X254" s="193">
        <v>1</v>
      </c>
      <c r="AA254" s="223" t="s">
        <v>7763</v>
      </c>
      <c r="AB254" s="200" t="str">
        <f t="array" ref="AB254">INDEX(B:B,SMALL(IF($Q$3:$Q$524&lt;&gt;"",ROW($3:$524),525),ROW(B253)))&amp;""</f>
        <v>死者交谈</v>
      </c>
      <c r="AC254" s="225" t="str">
        <f>IFERROR(IF(AND($Q255&lt;&gt;"",IF(法术查询!$J$4="",1,INDEX($R255:$Z255,1,VLOOKUP(法术查询!$J$4,$AF$2:$AG$10,2,0)))&lt;&gt;"",IF(法术查询!$J$5="",1,$P255=VLOOKUP(法术查询!$J$5,$AH$2:$AI$11,2,0)),IF(法术查询!$J$6="",1,IF(法术查询!$J$6=$E255,1,0)),IF(法术查询!$J$7="",1,SEARCH(法术查询!$J$7,$F255)),IF(法术查询!$J$8="",1,SEARCH(法术查询!$J$8,G255)),IF(法术查询!$J$9="",1,SEARCH(法术查询!$J$9,N255)),IF(法术查询!$J$10="",1,IF(法术查询!$J$10=$AF$11,IF($M255=1,1,0),IF($M255="",1,0))),IF(法术查询!$J$11="",1,IF(法术查询!$J$11=$AF$11,IF($D255=1,1,0),IF($D255="",1,0))),IF(法术查询!$J$12="",1,SEARCH(法术查询!$J$12,$B255&amp;$C255&amp;$O255)),IF(法术查询!$J$13="",1,SEARCH(法术查询!$J$13,$B255&amp;$C255&amp;$O255)),IF(法术查询!$J$14="",1,SEARCH(法术查询!$J$14,$B255&amp;$C255&amp;$O255)),IF(法术查询!$J$16="",1,IF(法术查询!$J$16=$AF$11,IF($H255=1,1,0),IF($H255="",1,0))),IF(法术查询!$J$17="",1,IF(法术查询!$J$17=$AF$11,IF($I255=1,1,0),IF($I255="",1,0))),IF(法术查询!$J$18="",1,IF(法术查询!$J$18=$AF$11,IF($J255&lt;&gt;"",1,0),IF($J255="",1,0))),IF(法术查询!$J$19="",1,IF(法术查询!$J$19=$AF$11,IF($L255&lt;&gt;"",1,0),IF($L255="",1,0)))),$B255,""),"")</f>
        <v/>
      </c>
      <c r="AD254" s="192" t="str">
        <f t="array" ref="AD254">INDEX(AC:AC,SMALL(IF($AC$2:$AC$523&lt;&gt;"",ROW($2:$523),524),ROW(AC253)))&amp;""</f>
        <v/>
      </c>
      <c r="AE254" s="200" t="str">
        <f t="shared" si="7"/>
        <v/>
      </c>
      <c r="AJ254" s="192">
        <v>253</v>
      </c>
      <c r="AK254" s="193" t="str">
        <f>IF(法术书!AK10="","",法术书!AK10)</f>
        <v/>
      </c>
      <c r="AL254" s="224" t="str">
        <f t="array" ref="AL254">IFERROR(INDEX(AK$1:AK$301,SMALL(IF(MATCH(AK254,AK$1:AK$301,0)=ROW(AK254),ROW(AK$1:AK$301),999),ROW(AK254))),"")</f>
        <v/>
      </c>
      <c r="AM254" s="223" t="str">
        <f t="array" ref="AM254">INDEX(AL:AL,SMALL(IF($AL$2:$AL$301&lt;&gt;"",ROW($2:$301),302),ROW(AL253)))&amp;""</f>
        <v/>
      </c>
    </row>
    <row r="255" customHeight="1" spans="1:39">
      <c r="A255" s="192">
        <v>253</v>
      </c>
      <c r="B255" s="224" t="s">
        <v>7764</v>
      </c>
      <c r="C255" s="224" t="s">
        <v>7765</v>
      </c>
      <c r="E255" s="231" t="s">
        <v>6672</v>
      </c>
      <c r="F255" s="193" t="s">
        <v>6642</v>
      </c>
      <c r="G255" s="193" t="s">
        <v>6658</v>
      </c>
      <c r="H255" s="193">
        <v>1</v>
      </c>
      <c r="I255" s="193">
        <v>1</v>
      </c>
      <c r="J255" s="193">
        <v>1</v>
      </c>
      <c r="K255" s="224" t="s">
        <v>7766</v>
      </c>
      <c r="M255" s="193">
        <v>1</v>
      </c>
      <c r="N255" s="193" t="s">
        <v>6666</v>
      </c>
      <c r="O255" s="224" t="s">
        <v>7767</v>
      </c>
      <c r="P255" s="224">
        <v>3</v>
      </c>
      <c r="Q255" s="224" t="s">
        <v>249</v>
      </c>
      <c r="R255" s="193" t="str">
        <f>IF(综合数据!$B$14=TRUE,"13","")</f>
        <v>13</v>
      </c>
      <c r="W255" s="193">
        <v>1</v>
      </c>
      <c r="X255" s="193">
        <v>1</v>
      </c>
      <c r="AA255" s="223" t="s">
        <v>7768</v>
      </c>
      <c r="AB255" s="200" t="str">
        <f t="array" ref="AB255">INDEX(B:B,SMALL(IF($Q$3:$Q$524&lt;&gt;"",ROW($3:$524),525),ROW(B254)))&amp;""</f>
        <v>植物交谈</v>
      </c>
      <c r="AC255" s="225" t="str">
        <f>IFERROR(IF(AND($Q256&lt;&gt;"",IF(法术查询!$J$4="",1,INDEX($R256:$Z256,1,VLOOKUP(法术查询!$J$4,$AF$2:$AG$10,2,0)))&lt;&gt;"",IF(法术查询!$J$5="",1,$P256=VLOOKUP(法术查询!$J$5,$AH$2:$AI$11,2,0)),IF(法术查询!$J$6="",1,IF(法术查询!$J$6=$E256,1,0)),IF(法术查询!$J$7="",1,SEARCH(法术查询!$J$7,$F256)),IF(法术查询!$J$8="",1,SEARCH(法术查询!$J$8,G256)),IF(法术查询!$J$9="",1,SEARCH(法术查询!$J$9,N256)),IF(法术查询!$J$10="",1,IF(法术查询!$J$10=$AF$11,IF($M256=1,1,0),IF($M256="",1,0))),IF(法术查询!$J$11="",1,IF(法术查询!$J$11=$AF$11,IF($D256=1,1,0),IF($D256="",1,0))),IF(法术查询!$J$12="",1,SEARCH(法术查询!$J$12,$B256&amp;$C256&amp;$O256)),IF(法术查询!$J$13="",1,SEARCH(法术查询!$J$13,$B256&amp;$C256&amp;$O256)),IF(法术查询!$J$14="",1,SEARCH(法术查询!$J$14,$B256&amp;$C256&amp;$O256)),IF(法术查询!$J$16="",1,IF(法术查询!$J$16=$AF$11,IF($H256=1,1,0),IF($H256="",1,0))),IF(法术查询!$J$17="",1,IF(法术查询!$J$17=$AF$11,IF($I256=1,1,0),IF($I256="",1,0))),IF(法术查询!$J$18="",1,IF(法术查询!$J$18=$AF$11,IF($J256&lt;&gt;"",1,0),IF($J256="",1,0))),IF(法术查询!$J$19="",1,IF(法术查询!$J$19=$AF$11,IF($L256&lt;&gt;"",1,0),IF($L256="",1,0)))),$B256,""),"")</f>
        <v/>
      </c>
      <c r="AD255" s="192" t="str">
        <f t="array" ref="AD255">INDEX(AC:AC,SMALL(IF($AC$2:$AC$523&lt;&gt;"",ROW($2:$523),524),ROW(AC254)))&amp;""</f>
        <v/>
      </c>
      <c r="AE255" s="200" t="str">
        <f t="shared" si="7"/>
        <v/>
      </c>
      <c r="AJ255" s="192">
        <v>254</v>
      </c>
      <c r="AK255" s="193" t="str">
        <f>IF(法术书!AK11="","",法术书!AK11)</f>
        <v/>
      </c>
      <c r="AL255" s="224" t="str">
        <f t="array" ref="AL255">IFERROR(INDEX(AK$1:AK$301,SMALL(IF(MATCH(AK255,AK$1:AK$301,0)=ROW(AK255),ROW(AK$1:AK$301),999),ROW(AK255))),"")</f>
        <v/>
      </c>
      <c r="AM255" s="223" t="str">
        <f t="array" ref="AM255">INDEX(AL:AL,SMALL(IF($AL$2:$AL$301&lt;&gt;"",ROW($2:$301),302),ROW(AL254)))&amp;""</f>
        <v/>
      </c>
    </row>
    <row r="256" customHeight="1" spans="1:39">
      <c r="A256" s="192">
        <v>254</v>
      </c>
      <c r="B256" s="224" t="s">
        <v>7769</v>
      </c>
      <c r="C256" s="224" t="s">
        <v>7770</v>
      </c>
      <c r="E256" s="243" t="s">
        <v>6657</v>
      </c>
      <c r="F256" s="193" t="s">
        <v>6642</v>
      </c>
      <c r="G256" s="193" t="s">
        <v>6730</v>
      </c>
      <c r="H256" s="193">
        <v>1</v>
      </c>
      <c r="I256" s="193">
        <v>1</v>
      </c>
      <c r="J256" s="193">
        <v>1</v>
      </c>
      <c r="K256" s="224" t="s">
        <v>7771</v>
      </c>
      <c r="N256" s="193" t="s">
        <v>6731</v>
      </c>
      <c r="O256" s="224" t="s">
        <v>7772</v>
      </c>
      <c r="P256" s="224">
        <v>3</v>
      </c>
      <c r="Q256" s="224" t="s">
        <v>249</v>
      </c>
      <c r="R256" s="193">
        <v>1</v>
      </c>
      <c r="S256" s="193">
        <v>1</v>
      </c>
      <c r="X256" s="193" t="str">
        <f>IF(综合数据!$B$14=TRUE,"13","")</f>
        <v>13</v>
      </c>
      <c r="AA256" s="223" t="s">
        <v>7773</v>
      </c>
      <c r="AB256" s="200" t="str">
        <f t="array" ref="AB256">INDEX(B:B,SMALL(IF($Q$3:$Q$524&lt;&gt;"",ROW($3:$524),525),ROW(B255)))&amp;""</f>
        <v>灵体卫士</v>
      </c>
      <c r="AC256" s="225" t="str">
        <f>IFERROR(IF(AND($Q257&lt;&gt;"",IF(法术查询!$J$4="",1,INDEX($R257:$Z257,1,VLOOKUP(法术查询!$J$4,$AF$2:$AG$10,2,0)))&lt;&gt;"",IF(法术查询!$J$5="",1,$P257=VLOOKUP(法术查询!$J$5,$AH$2:$AI$11,2,0)),IF(法术查询!$J$6="",1,IF(法术查询!$J$6=$E257,1,0)),IF(法术查询!$J$7="",1,SEARCH(法术查询!$J$7,$F257)),IF(法术查询!$J$8="",1,SEARCH(法术查询!$J$8,G257)),IF(法术查询!$J$9="",1,SEARCH(法术查询!$J$9,N257)),IF(法术查询!$J$10="",1,IF(法术查询!$J$10=$AF$11,IF($M257=1,1,0),IF($M257="",1,0))),IF(法术查询!$J$11="",1,IF(法术查询!$J$11=$AF$11,IF($D257=1,1,0),IF($D257="",1,0))),IF(法术查询!$J$12="",1,SEARCH(法术查询!$J$12,$B257&amp;$C257&amp;$O257)),IF(法术查询!$J$13="",1,SEARCH(法术查询!$J$13,$B257&amp;$C257&amp;$O257)),IF(法术查询!$J$14="",1,SEARCH(法术查询!$J$14,$B257&amp;$C257&amp;$O257)),IF(法术查询!$J$16="",1,IF(法术查询!$J$16=$AF$11,IF($H257=1,1,0),IF($H257="",1,0))),IF(法术查询!$J$17="",1,IF(法术查询!$J$17=$AF$11,IF($I257=1,1,0),IF($I257="",1,0))),IF(法术查询!$J$18="",1,IF(法术查询!$J$18=$AF$11,IF($J257&lt;&gt;"",1,0),IF($J257="",1,0))),IF(法术查询!$J$19="",1,IF(法术查询!$J$19=$AF$11,IF($L257&lt;&gt;"",1,0),IF($L257="",1,0)))),$B257,""),"")</f>
        <v/>
      </c>
      <c r="AD256" s="192" t="str">
        <f t="array" ref="AD256">INDEX(AC:AC,SMALL(IF($AC$2:$AC$523&lt;&gt;"",ROW($2:$523),524),ROW(AC255)))&amp;""</f>
        <v/>
      </c>
      <c r="AE256" s="200" t="str">
        <f t="shared" si="7"/>
        <v/>
      </c>
      <c r="AJ256" s="192">
        <v>255</v>
      </c>
      <c r="AK256" s="193" t="str">
        <f>IF(法术书!AK12="","",法术书!AK12)</f>
        <v/>
      </c>
      <c r="AL256" s="224" t="str">
        <f t="array" ref="AL256">IFERROR(INDEX(AK$1:AK$301,SMALL(IF(MATCH(AK256,AK$1:AK$301,0)=ROW(AK256),ROW(AK$1:AK$301),999),ROW(AK256))),"")</f>
        <v/>
      </c>
      <c r="AM256" s="223" t="str">
        <f t="array" ref="AM256">INDEX(AL:AL,SMALL(IF($AL$2:$AL$301&lt;&gt;"",ROW($2:$301),302),ROW(AL255)))&amp;""</f>
        <v/>
      </c>
    </row>
    <row r="257" customHeight="1" spans="1:39">
      <c r="A257" s="192">
        <v>255</v>
      </c>
      <c r="B257" s="224" t="s">
        <v>7774</v>
      </c>
      <c r="C257" s="224" t="s">
        <v>7775</v>
      </c>
      <c r="E257" s="231" t="s">
        <v>6672</v>
      </c>
      <c r="F257" s="193" t="s">
        <v>6642</v>
      </c>
      <c r="G257" s="193" t="s">
        <v>6867</v>
      </c>
      <c r="H257" s="193">
        <v>1</v>
      </c>
      <c r="I257" s="193">
        <v>1</v>
      </c>
      <c r="N257" s="193" t="s">
        <v>6731</v>
      </c>
      <c r="O257" s="224" t="s">
        <v>7776</v>
      </c>
      <c r="P257" s="224">
        <v>3</v>
      </c>
      <c r="Q257" s="224" t="s">
        <v>249</v>
      </c>
      <c r="R257" s="193">
        <v>1</v>
      </c>
      <c r="T257" s="193">
        <v>1</v>
      </c>
      <c r="V257" s="193">
        <v>1</v>
      </c>
      <c r="AA257" s="223" t="s">
        <v>7777</v>
      </c>
      <c r="AB257" s="200" t="str">
        <f t="array" ref="AB257">INDEX(B:B,SMALL(IF($Q$3:$Q$524&lt;&gt;"",ROW($3:$524),525),ROW(B256)))&amp;""</f>
        <v>臭云术</v>
      </c>
      <c r="AC257" s="225" t="str">
        <f>IFERROR(IF(AND($Q258&lt;&gt;"",IF(法术查询!$J$4="",1,INDEX($R258:$Z258,1,VLOOKUP(法术查询!$J$4,$AF$2:$AG$10,2,0)))&lt;&gt;"",IF(法术查询!$J$5="",1,$P258=VLOOKUP(法术查询!$J$5,$AH$2:$AI$11,2,0)),IF(法术查询!$J$6="",1,IF(法术查询!$J$6=$E258,1,0)),IF(法术查询!$J$7="",1,SEARCH(法术查询!$J$7,$F258)),IF(法术查询!$J$8="",1,SEARCH(法术查询!$J$8,G258)),IF(法术查询!$J$9="",1,SEARCH(法术查询!$J$9,N258)),IF(法术查询!$J$10="",1,IF(法术查询!$J$10=$AF$11,IF($M258=1,1,0),IF($M258="",1,0))),IF(法术查询!$J$11="",1,IF(法术查询!$J$11=$AF$11,IF($D258=1,1,0),IF($D258="",1,0))),IF(法术查询!$J$12="",1,SEARCH(法术查询!$J$12,$B258&amp;$C258&amp;$O258)),IF(法术查询!$J$13="",1,SEARCH(法术查询!$J$13,$B258&amp;$C258&amp;$O258)),IF(法术查询!$J$14="",1,SEARCH(法术查询!$J$14,$B258&amp;$C258&amp;$O258)),IF(法术查询!$J$16="",1,IF(法术查询!$J$16=$AF$11,IF($H258=1,1,0),IF($H258="",1,0))),IF(法术查询!$J$17="",1,IF(法术查询!$J$17=$AF$11,IF($I258=1,1,0),IF($I258="",1,0))),IF(法术查询!$J$18="",1,IF(法术查询!$J$18=$AF$11,IF($J258&lt;&gt;"",1,0),IF($J258="",1,0))),IF(法术查询!$J$19="",1,IF(法术查询!$J$19=$AF$11,IF($L258&lt;&gt;"",1,0),IF($L258="",1,0)))),$B258,""),"")</f>
        <v/>
      </c>
      <c r="AD257" s="192" t="str">
        <f t="array" ref="AD257">INDEX(AC:AC,SMALL(IF($AC$2:$AC$523&lt;&gt;"",ROW($2:$523),524),ROW(AC256)))&amp;""</f>
        <v/>
      </c>
      <c r="AE257" s="200" t="str">
        <f t="shared" si="7"/>
        <v/>
      </c>
      <c r="AJ257" s="192">
        <v>256</v>
      </c>
      <c r="AK257" s="193" t="str">
        <f>IF(法术书!AK13="","",法术书!AK13)</f>
        <v/>
      </c>
      <c r="AL257" s="224" t="str">
        <f t="array" ref="AL257">IFERROR(INDEX(AK$1:AK$301,SMALL(IF(MATCH(AK257,AK$1:AK$301,0)=ROW(AK257),ROW(AK$1:AK$301),999),ROW(AK257))),"")</f>
        <v/>
      </c>
      <c r="AM257" s="223" t="str">
        <f t="array" ref="AM257">INDEX(AL:AL,SMALL(IF($AL$2:$AL$301&lt;&gt;"",ROW($2:$301),302),ROW(AL256)))&amp;""</f>
        <v/>
      </c>
    </row>
    <row r="258" customHeight="1" spans="1:39">
      <c r="A258" s="192">
        <v>256</v>
      </c>
      <c r="B258" s="224" t="s">
        <v>7778</v>
      </c>
      <c r="C258" s="224" t="s">
        <v>7779</v>
      </c>
      <c r="E258" s="240" t="s">
        <v>6641</v>
      </c>
      <c r="F258" s="193" t="s">
        <v>6642</v>
      </c>
      <c r="G258" s="193" t="s">
        <v>6829</v>
      </c>
      <c r="H258" s="193">
        <v>1</v>
      </c>
      <c r="I258" s="193">
        <v>1</v>
      </c>
      <c r="J258" s="193">
        <v>1</v>
      </c>
      <c r="K258" s="224" t="s">
        <v>7780</v>
      </c>
      <c r="M258" s="193">
        <v>1</v>
      </c>
      <c r="N258" s="193" t="s">
        <v>6831</v>
      </c>
      <c r="O258" s="224" t="s">
        <v>7781</v>
      </c>
      <c r="P258" s="224">
        <v>3</v>
      </c>
      <c r="Q258" s="224" t="s">
        <v>249</v>
      </c>
      <c r="S258" s="193">
        <v>1</v>
      </c>
      <c r="AA258" s="223" t="s">
        <v>7782</v>
      </c>
      <c r="AB258" s="200" t="str">
        <f t="array" ref="AB258">INDEX(B:B,SMALL(IF($Q$3:$Q$524&lt;&gt;"",ROW($3:$524),525),ROW(B257)))&amp;""</f>
        <v>巧言术</v>
      </c>
      <c r="AC258" s="225" t="str">
        <f>IFERROR(IF(AND($Q259&lt;&gt;"",IF(法术查询!$J$4="",1,INDEX($R259:$Z259,1,VLOOKUP(法术查询!$J$4,$AF$2:$AG$10,2,0)))&lt;&gt;"",IF(法术查询!$J$5="",1,$P259=VLOOKUP(法术查询!$J$5,$AH$2:$AI$11,2,0)),IF(法术查询!$J$6="",1,IF(法术查询!$J$6=$E259,1,0)),IF(法术查询!$J$7="",1,SEARCH(法术查询!$J$7,$F259)),IF(法术查询!$J$8="",1,SEARCH(法术查询!$J$8,G259)),IF(法术查询!$J$9="",1,SEARCH(法术查询!$J$9,N259)),IF(法术查询!$J$10="",1,IF(法术查询!$J$10=$AF$11,IF($M259=1,1,0),IF($M259="",1,0))),IF(法术查询!$J$11="",1,IF(法术查询!$J$11=$AF$11,IF($D259=1,1,0),IF($D259="",1,0))),IF(法术查询!$J$12="",1,SEARCH(法术查询!$J$12,$B259&amp;$C259&amp;$O259)),IF(法术查询!$J$13="",1,SEARCH(法术查询!$J$13,$B259&amp;$C259&amp;$O259)),IF(法术查询!$J$14="",1,SEARCH(法术查询!$J$14,$B259&amp;$C259&amp;$O259)),IF(法术查询!$J$16="",1,IF(法术查询!$J$16=$AF$11,IF($H259=1,1,0),IF($H259="",1,0))),IF(法术查询!$J$17="",1,IF(法术查询!$J$17=$AF$11,IF($I259=1,1,0),IF($I259="",1,0))),IF(法术查询!$J$18="",1,IF(法术查询!$J$18=$AF$11,IF($J259&lt;&gt;"",1,0),IF($J259="",1,0))),IF(法术查询!$J$19="",1,IF(法术查询!$J$19=$AF$11,IF($L259&lt;&gt;"",1,0),IF($L259="",1,0)))),$B259,""),"")</f>
        <v/>
      </c>
      <c r="AD258" s="192" t="str">
        <f t="array" ref="AD258">INDEX(AC:AC,SMALL(IF($AC$2:$AC$523&lt;&gt;"",ROW($2:$523),524),ROW(AC257)))&amp;""</f>
        <v/>
      </c>
      <c r="AE258" s="200" t="str">
        <f t="shared" si="7"/>
        <v/>
      </c>
      <c r="AJ258" s="192">
        <v>257</v>
      </c>
      <c r="AK258" s="193" t="str">
        <f>IF(法术书!AK14="","",法术书!AK14)</f>
        <v/>
      </c>
      <c r="AL258" s="224" t="str">
        <f t="array" ref="AL258">IFERROR(INDEX(AK$1:AK$301,SMALL(IF(MATCH(AK258,AK$1:AK$301,0)=ROW(AK258),ROW(AK$1:AK$301),999),ROW(AK258))),"")</f>
        <v/>
      </c>
      <c r="AM258" s="223" t="str">
        <f t="array" ref="AM258">INDEX(AL:AL,SMALL(IF($AL$2:$AL$301&lt;&gt;"",ROW($2:$301),302),ROW(AL257)))&amp;""</f>
        <v/>
      </c>
    </row>
    <row r="259" customHeight="1" spans="1:39">
      <c r="A259" s="192">
        <v>257</v>
      </c>
      <c r="B259" s="224" t="s">
        <v>7783</v>
      </c>
      <c r="C259" s="224" t="s">
        <v>7784</v>
      </c>
      <c r="E259" s="240" t="s">
        <v>6641</v>
      </c>
      <c r="F259" s="193" t="s">
        <v>6642</v>
      </c>
      <c r="G259" s="193" t="s">
        <v>6760</v>
      </c>
      <c r="H259" s="193">
        <v>1</v>
      </c>
      <c r="I259" s="193">
        <v>1</v>
      </c>
      <c r="J259" s="193">
        <v>1</v>
      </c>
      <c r="K259" s="224" t="s">
        <v>7785</v>
      </c>
      <c r="M259" s="193">
        <v>1</v>
      </c>
      <c r="N259" s="193" t="s">
        <v>6666</v>
      </c>
      <c r="O259" s="224" t="s">
        <v>7786</v>
      </c>
      <c r="P259" s="224">
        <v>3</v>
      </c>
      <c r="Q259" s="224" t="s">
        <v>249</v>
      </c>
      <c r="R259" s="193">
        <v>1</v>
      </c>
      <c r="W259" s="193">
        <v>1</v>
      </c>
      <c r="X259" s="193">
        <v>1</v>
      </c>
      <c r="AA259" s="223" t="s">
        <v>7787</v>
      </c>
      <c r="AB259" s="200" t="str">
        <f t="array" ref="AB259">INDEX(B:B,SMALL(IF($Q$3:$Q$524&lt;&gt;"",ROW($3:$524),525),ROW(B258)))&amp;""</f>
        <v>吸血鬼之触</v>
      </c>
      <c r="AC259" s="225" t="str">
        <f>IFERROR(IF(AND($Q260&lt;&gt;"",IF(法术查询!$J$4="",1,INDEX($R260:$Z260,1,VLOOKUP(法术查询!$J$4,$AF$2:$AG$10,2,0)))&lt;&gt;"",IF(法术查询!$J$5="",1,$P260=VLOOKUP(法术查询!$J$5,$AH$2:$AI$11,2,0)),IF(法术查询!$J$6="",1,IF(法术查询!$J$6=$E260,1,0)),IF(法术查询!$J$7="",1,SEARCH(法术查询!$J$7,$F260)),IF(法术查询!$J$8="",1,SEARCH(法术查询!$J$8,G260)),IF(法术查询!$J$9="",1,SEARCH(法术查询!$J$9,N260)),IF(法术查询!$J$10="",1,IF(法术查询!$J$10=$AF$11,IF($M260=1,1,0),IF($M260="",1,0))),IF(法术查询!$J$11="",1,IF(法术查询!$J$11=$AF$11,IF($D260=1,1,0),IF($D260="",1,0))),IF(法术查询!$J$12="",1,SEARCH(法术查询!$J$12,$B260&amp;$C260&amp;$O260)),IF(法术查询!$J$13="",1,SEARCH(法术查询!$J$13,$B260&amp;$C260&amp;$O260)),IF(法术查询!$J$14="",1,SEARCH(法术查询!$J$14,$B260&amp;$C260&amp;$O260)),IF(法术查询!$J$16="",1,IF(法术查询!$J$16=$AF$11,IF($H260=1,1,0),IF($H260="",1,0))),IF(法术查询!$J$17="",1,IF(法术查询!$J$17=$AF$11,IF($I260=1,1,0),IF($I260="",1,0))),IF(法术查询!$J$18="",1,IF(法术查询!$J$18=$AF$11,IF($J260&lt;&gt;"",1,0),IF($J260="",1,0))),IF(法术查询!$J$19="",1,IF(法术查询!$J$19=$AF$11,IF($L260&lt;&gt;"",1,0),IF($L260="",1,0)))),$B260,""),"")</f>
        <v/>
      </c>
      <c r="AD259" s="192" t="str">
        <f t="array" ref="AD259">INDEX(AC:AC,SMALL(IF($AC$2:$AC$523&lt;&gt;"",ROW($2:$523),524),ROW(AC258)))&amp;""</f>
        <v/>
      </c>
      <c r="AE259" s="200" t="str">
        <f t="shared" ref="AE259:AE322" si="8">IF(AD259="","",VLOOKUP(AD259,B:C,2,0))</f>
        <v/>
      </c>
      <c r="AJ259" s="192">
        <v>258</v>
      </c>
      <c r="AK259" s="193" t="str">
        <f>IF(法术书!AK15="","",法术书!AK15)</f>
        <v/>
      </c>
      <c r="AL259" s="224" t="str">
        <f t="array" ref="AL259">IFERROR(INDEX(AK$1:AK$301,SMALL(IF(MATCH(AK259,AK$1:AK$301,0)=ROW(AK259),ROW(AK$1:AK$301),999),ROW(AK259))),"")</f>
        <v/>
      </c>
      <c r="AM259" s="223" t="str">
        <f t="array" ref="AM259">INDEX(AL:AL,SMALL(IF($AL$2:$AL$301&lt;&gt;"",ROW($2:$301),302),ROW(AL258)))&amp;""</f>
        <v/>
      </c>
    </row>
    <row r="260" customHeight="1" spans="1:39">
      <c r="A260" s="192">
        <v>258</v>
      </c>
      <c r="B260" s="224" t="s">
        <v>7788</v>
      </c>
      <c r="C260" s="224" t="s">
        <v>7789</v>
      </c>
      <c r="E260" s="238" t="s">
        <v>6695</v>
      </c>
      <c r="F260" s="193" t="s">
        <v>6642</v>
      </c>
      <c r="G260" s="193" t="s">
        <v>3760</v>
      </c>
      <c r="H260" s="193">
        <v>1</v>
      </c>
      <c r="J260" s="193">
        <v>1</v>
      </c>
      <c r="K260" s="224" t="s">
        <v>7790</v>
      </c>
      <c r="N260" s="193" t="s">
        <v>6704</v>
      </c>
      <c r="O260" s="224" t="s">
        <v>7791</v>
      </c>
      <c r="P260" s="224">
        <v>3</v>
      </c>
      <c r="Q260" s="224" t="s">
        <v>249</v>
      </c>
      <c r="R260" s="193">
        <v>1</v>
      </c>
      <c r="S260" s="193">
        <v>1</v>
      </c>
      <c r="W260" s="193">
        <v>1</v>
      </c>
      <c r="X260" s="193">
        <v>1</v>
      </c>
      <c r="AA260" s="223" t="s">
        <v>7792</v>
      </c>
      <c r="AB260" s="200" t="str">
        <f t="array" ref="AB260">INDEX(B:B,SMALL(IF($Q$3:$Q$524&lt;&gt;"",ROW($3:$524),525),ROW(B259)))&amp;""</f>
        <v>水下呼吸</v>
      </c>
      <c r="AC260" s="225" t="str">
        <f>IFERROR(IF(AND($Q261&lt;&gt;"",IF(法术查询!$J$4="",1,INDEX($R261:$Z261,1,VLOOKUP(法术查询!$J$4,$AF$2:$AG$10,2,0)))&lt;&gt;"",IF(法术查询!$J$5="",1,$P261=VLOOKUP(法术查询!$J$5,$AH$2:$AI$11,2,0)),IF(法术查询!$J$6="",1,IF(法术查询!$J$6=$E261,1,0)),IF(法术查询!$J$7="",1,SEARCH(法术查询!$J$7,$F261)),IF(法术查询!$J$8="",1,SEARCH(法术查询!$J$8,G261)),IF(法术查询!$J$9="",1,SEARCH(法术查询!$J$9,N261)),IF(法术查询!$J$10="",1,IF(法术查询!$J$10=$AF$11,IF($M261=1,1,0),IF($M261="",1,0))),IF(法术查询!$J$11="",1,IF(法术查询!$J$11=$AF$11,IF($D261=1,1,0),IF($D261="",1,0))),IF(法术查询!$J$12="",1,SEARCH(法术查询!$J$12,$B261&amp;$C261&amp;$O261)),IF(法术查询!$J$13="",1,SEARCH(法术查询!$J$13,$B261&amp;$C261&amp;$O261)),IF(法术查询!$J$14="",1,SEARCH(法术查询!$J$14,$B261&amp;$C261&amp;$O261)),IF(法术查询!$J$16="",1,IF(法术查询!$J$16=$AF$11,IF($H261=1,1,0),IF($H261="",1,0))),IF(法术查询!$J$17="",1,IF(法术查询!$J$17=$AF$11,IF($I261=1,1,0),IF($I261="",1,0))),IF(法术查询!$J$18="",1,IF(法术查询!$J$18=$AF$11,IF($J261&lt;&gt;"",1,0),IF($J261="",1,0))),IF(法术查询!$J$19="",1,IF(法术查询!$J$19=$AF$11,IF($L261&lt;&gt;"",1,0),IF($L261="",1,0)))),$B261,""),"")</f>
        <v/>
      </c>
      <c r="AD260" s="192" t="str">
        <f t="array" ref="AD260">INDEX(AC:AC,SMALL(IF($AC$2:$AC$523&lt;&gt;"",ROW($2:$523),524),ROW(AC259)))&amp;""</f>
        <v/>
      </c>
      <c r="AE260" s="200" t="str">
        <f t="shared" si="8"/>
        <v/>
      </c>
      <c r="AJ260" s="192">
        <v>259</v>
      </c>
      <c r="AK260" s="193" t="str">
        <f>IF(法术书!AK16="","",法术书!AK16)</f>
        <v/>
      </c>
      <c r="AL260" s="224" t="str">
        <f t="array" ref="AL260">IFERROR(INDEX(AK$1:AK$301,SMALL(IF(MATCH(AK260,AK$1:AK$301,0)=ROW(AK260),ROW(AK$1:AK$301),999),ROW(AK260))),"")</f>
        <v/>
      </c>
      <c r="AM260" s="223" t="str">
        <f t="array" ref="AM260">INDEX(AL:AL,SMALL(IF($AL$2:$AL$301&lt;&gt;"",ROW($2:$301),302),ROW(AL259)))&amp;""</f>
        <v/>
      </c>
    </row>
    <row r="261" customHeight="1" spans="1:39">
      <c r="A261" s="192">
        <v>259</v>
      </c>
      <c r="B261" s="224" t="s">
        <v>7793</v>
      </c>
      <c r="C261" s="224" t="s">
        <v>7794</v>
      </c>
      <c r="E261" s="243" t="s">
        <v>6657</v>
      </c>
      <c r="F261" s="193" t="s">
        <v>6642</v>
      </c>
      <c r="G261" s="193" t="s">
        <v>6651</v>
      </c>
      <c r="H261" s="193">
        <v>1</v>
      </c>
      <c r="I261" s="193">
        <v>1</v>
      </c>
      <c r="M261" s="193">
        <v>1</v>
      </c>
      <c r="N261" s="193" t="s">
        <v>6666</v>
      </c>
      <c r="O261" s="224" t="s">
        <v>7795</v>
      </c>
      <c r="P261" s="224">
        <v>3</v>
      </c>
      <c r="Q261" s="224" t="s">
        <v>249</v>
      </c>
      <c r="W261" s="193" t="str">
        <f>IF(综合数据!$B$14=TRUE,"13","")</f>
        <v>13</v>
      </c>
      <c r="X261" s="193">
        <v>1</v>
      </c>
      <c r="Y261" s="193">
        <v>1</v>
      </c>
      <c r="AA261" s="223" t="s">
        <v>7796</v>
      </c>
      <c r="AB261" s="200" t="str">
        <f t="array" ref="AB261">INDEX(B:B,SMALL(IF($Q$3:$Q$524&lt;&gt;"",ROW($3:$524),525),ROW(B260)))&amp;""</f>
        <v>水上行走</v>
      </c>
      <c r="AC261" s="225" t="str">
        <f>IFERROR(IF(AND($Q262&lt;&gt;"",IF(法术查询!$J$4="",1,INDEX($R262:$Z262,1,VLOOKUP(法术查询!$J$4,$AF$2:$AG$10,2,0)))&lt;&gt;"",IF(法术查询!$J$5="",1,$P262=VLOOKUP(法术查询!$J$5,$AH$2:$AI$11,2,0)),IF(法术查询!$J$6="",1,IF(法术查询!$J$6=$E262,1,0)),IF(法术查询!$J$7="",1,SEARCH(法术查询!$J$7,$F262)),IF(法术查询!$J$8="",1,SEARCH(法术查询!$J$8,G262)),IF(法术查询!$J$9="",1,SEARCH(法术查询!$J$9,N262)),IF(法术查询!$J$10="",1,IF(法术查询!$J$10=$AF$11,IF($M262=1,1,0),IF($M262="",1,0))),IF(法术查询!$J$11="",1,IF(法术查询!$J$11=$AF$11,IF($D262=1,1,0),IF($D262="",1,0))),IF(法术查询!$J$12="",1,SEARCH(法术查询!$J$12,$B262&amp;$C262&amp;$O262)),IF(法术查询!$J$13="",1,SEARCH(法术查询!$J$13,$B262&amp;$C262&amp;$O262)),IF(法术查询!$J$14="",1,SEARCH(法术查询!$J$14,$B262&amp;$C262&amp;$O262)),IF(法术查询!$J$16="",1,IF(法术查询!$J$16=$AF$11,IF($H262=1,1,0),IF($H262="",1,0))),IF(法术查询!$J$17="",1,IF(法术查询!$J$17=$AF$11,IF($I262=1,1,0),IF($I262="",1,0))),IF(法术查询!$J$18="",1,IF(法术查询!$J$18=$AF$11,IF($J262&lt;&gt;"",1,0),IF($J262="",1,0))),IF(法术查询!$J$19="",1,IF(法术查询!$J$19=$AF$11,IF($L262&lt;&gt;"",1,0),IF($L262="",1,0)))),$B262,""),"")</f>
        <v/>
      </c>
      <c r="AD261" s="192" t="str">
        <f t="array" ref="AD261">INDEX(AC:AC,SMALL(IF($AC$2:$AC$523&lt;&gt;"",ROW($2:$523),524),ROW(AC260)))&amp;""</f>
        <v/>
      </c>
      <c r="AE261" s="200" t="str">
        <f t="shared" si="8"/>
        <v/>
      </c>
      <c r="AJ261" s="192">
        <v>260</v>
      </c>
      <c r="AK261" s="193" t="str">
        <f>IF(法术书!AK17="","",法术书!AK17)</f>
        <v/>
      </c>
      <c r="AL261" s="224" t="str">
        <f t="array" ref="AL261">IFERROR(INDEX(AK$1:AK$301,SMALL(IF(MATCH(AK261,AK$1:AK$301,0)=ROW(AK261),ROW(AK$1:AK$301),999),ROW(AK261))),"")</f>
        <v/>
      </c>
      <c r="AM261" s="223" t="str">
        <f t="array" ref="AM261">INDEX(AL:AL,SMALL(IF($AL$2:$AL$301&lt;&gt;"",ROW($2:$301),302),ROW(AL260)))&amp;""</f>
        <v/>
      </c>
    </row>
    <row r="262" customHeight="1" spans="1:39">
      <c r="A262" s="192">
        <v>260</v>
      </c>
      <c r="B262" s="224" t="s">
        <v>7797</v>
      </c>
      <c r="C262" s="224" t="s">
        <v>7798</v>
      </c>
      <c r="D262" s="193">
        <v>1</v>
      </c>
      <c r="E262" s="231" t="s">
        <v>6672</v>
      </c>
      <c r="F262" s="193" t="s">
        <v>6642</v>
      </c>
      <c r="G262" s="193" t="s">
        <v>6673</v>
      </c>
      <c r="H262" s="193">
        <v>1</v>
      </c>
      <c r="I262" s="193">
        <v>1</v>
      </c>
      <c r="J262" s="193">
        <v>1</v>
      </c>
      <c r="K262" s="224" t="s">
        <v>7799</v>
      </c>
      <c r="N262" s="193" t="s">
        <v>6759</v>
      </c>
      <c r="O262" s="224" t="s">
        <v>7800</v>
      </c>
      <c r="P262" s="224">
        <v>3</v>
      </c>
      <c r="Q262" s="224" t="s">
        <v>249</v>
      </c>
      <c r="T262" s="193">
        <v>1</v>
      </c>
      <c r="V262" s="193">
        <v>1</v>
      </c>
      <c r="W262" s="193">
        <v>1</v>
      </c>
      <c r="X262" s="193">
        <v>1</v>
      </c>
      <c r="Z262" s="193">
        <v>9</v>
      </c>
      <c r="AA262" s="223" t="s">
        <v>7801</v>
      </c>
      <c r="AB262" s="200" t="str">
        <f t="array" ref="AB262">INDEX(B:B,SMALL(IF($Q$3:$Q$524&lt;&gt;"",ROW($3:$524),525),ROW(B261)))&amp;""</f>
        <v>风墙术</v>
      </c>
      <c r="AC262" s="225" t="str">
        <f>IFERROR(IF(AND($Q263&lt;&gt;"",IF(法术查询!$J$4="",1,INDEX($R263:$Z263,1,VLOOKUP(法术查询!$J$4,$AF$2:$AG$10,2,0)))&lt;&gt;"",IF(法术查询!$J$5="",1,$P263=VLOOKUP(法术查询!$J$5,$AH$2:$AI$11,2,0)),IF(法术查询!$J$6="",1,IF(法术查询!$J$6=$E263,1,0)),IF(法术查询!$J$7="",1,SEARCH(法术查询!$J$7,$F263)),IF(法术查询!$J$8="",1,SEARCH(法术查询!$J$8,G263)),IF(法术查询!$J$9="",1,SEARCH(法术查询!$J$9,N263)),IF(法术查询!$J$10="",1,IF(法术查询!$J$10=$AF$11,IF($M263=1,1,0),IF($M263="",1,0))),IF(法术查询!$J$11="",1,IF(法术查询!$J$11=$AF$11,IF($D263=1,1,0),IF($D263="",1,0))),IF(法术查询!$J$12="",1,SEARCH(法术查询!$J$12,$B263&amp;$C263&amp;$O263)),IF(法术查询!$J$13="",1,SEARCH(法术查询!$J$13,$B263&amp;$C263&amp;$O263)),IF(法术查询!$J$14="",1,SEARCH(法术查询!$J$14,$B263&amp;$C263&amp;$O263)),IF(法术查询!$J$16="",1,IF(法术查询!$J$16=$AF$11,IF($H263=1,1,0),IF($H263="",1,0))),IF(法术查询!$J$17="",1,IF(法术查询!$J$17=$AF$11,IF($I263=1,1,0),IF($I263="",1,0))),IF(法术查询!$J$18="",1,IF(法术查询!$J$18=$AF$11,IF($J263&lt;&gt;"",1,0),IF($J263="",1,0))),IF(法术查询!$J$19="",1,IF(法术查询!$J$19=$AF$11,IF($L263&lt;&gt;"",1,0),IF($L263="",1,0)))),$B263,""),"")</f>
        <v/>
      </c>
      <c r="AD262" s="192" t="str">
        <f t="array" ref="AD262">INDEX(AC:AC,SMALL(IF($AC$2:$AC$523&lt;&gt;"",ROW($2:$523),524),ROW(AC261)))&amp;""</f>
        <v/>
      </c>
      <c r="AE262" s="200" t="str">
        <f t="shared" si="8"/>
        <v/>
      </c>
      <c r="AJ262" s="192">
        <v>261</v>
      </c>
      <c r="AK262" s="193" t="str">
        <f>IF(法术书!AK18="","",法术书!AK18)</f>
        <v/>
      </c>
      <c r="AL262" s="224" t="str">
        <f t="array" ref="AL262">IFERROR(INDEX(AK$1:AK$301,SMALL(IF(MATCH(AK262,AK$1:AK$301,0)=ROW(AK262),ROW(AK$1:AK$301),999),ROW(AK262))),"")</f>
        <v/>
      </c>
      <c r="AM262" s="223" t="str">
        <f t="array" ref="AM262">INDEX(AL:AL,SMALL(IF($AL$2:$AL$301&lt;&gt;"",ROW($2:$301),302),ROW(AL261)))&amp;""</f>
        <v/>
      </c>
    </row>
    <row r="263" customHeight="1" spans="1:39">
      <c r="A263" s="192">
        <v>261</v>
      </c>
      <c r="B263" s="224" t="s">
        <v>7802</v>
      </c>
      <c r="C263" s="224" t="s">
        <v>7803</v>
      </c>
      <c r="D263" s="193">
        <v>1</v>
      </c>
      <c r="E263" s="231" t="s">
        <v>6672</v>
      </c>
      <c r="F263" s="193" t="s">
        <v>6642</v>
      </c>
      <c r="G263" s="193" t="s">
        <v>6673</v>
      </c>
      <c r="H263" s="193">
        <v>1</v>
      </c>
      <c r="I263" s="193">
        <v>1</v>
      </c>
      <c r="J263" s="193">
        <v>1</v>
      </c>
      <c r="K263" s="224" t="s">
        <v>7804</v>
      </c>
      <c r="N263" s="193" t="s">
        <v>6704</v>
      </c>
      <c r="O263" s="224" t="s">
        <v>7805</v>
      </c>
      <c r="P263" s="224">
        <v>3</v>
      </c>
      <c r="Q263" s="224" t="s">
        <v>249</v>
      </c>
      <c r="S263" s="193">
        <v>1</v>
      </c>
      <c r="T263" s="193">
        <v>1</v>
      </c>
      <c r="V263" s="193">
        <v>1</v>
      </c>
      <c r="W263" s="193">
        <v>1</v>
      </c>
      <c r="Z263" s="193">
        <v>9</v>
      </c>
      <c r="AA263" s="223" t="s">
        <v>7806</v>
      </c>
      <c r="AB263" s="200" t="str">
        <f t="array" ref="AB263">INDEX(B:B,SMALL(IF($Q$3:$Q$524&lt;&gt;"",ROW($3:$524),525),ROW(B262)))&amp;""</f>
        <v>假寐术</v>
      </c>
      <c r="AC263" s="225" t="str">
        <f>IFERROR(IF(AND($Q264&lt;&gt;"",IF(法术查询!$J$4="",1,INDEX($R264:$Z264,1,VLOOKUP(法术查询!$J$4,$AF$2:$AG$10,2,0)))&lt;&gt;"",IF(法术查询!$J$5="",1,$P264=VLOOKUP(法术查询!$J$5,$AH$2:$AI$11,2,0)),IF(法术查询!$J$6="",1,IF(法术查询!$J$6=$E264,1,0)),IF(法术查询!$J$7="",1,SEARCH(法术查询!$J$7,$F264)),IF(法术查询!$J$8="",1,SEARCH(法术查询!$J$8,G264)),IF(法术查询!$J$9="",1,SEARCH(法术查询!$J$9,N264)),IF(法术查询!$J$10="",1,IF(法术查询!$J$10=$AF$11,IF($M264=1,1,0),IF($M264="",1,0))),IF(法术查询!$J$11="",1,IF(法术查询!$J$11=$AF$11,IF($D264=1,1,0),IF($D264="",1,0))),IF(法术查询!$J$12="",1,SEARCH(法术查询!$J$12,$B264&amp;$C264&amp;$O264)),IF(法术查询!$J$13="",1,SEARCH(法术查询!$J$13,$B264&amp;$C264&amp;$O264)),IF(法术查询!$J$14="",1,SEARCH(法术查询!$J$14,$B264&amp;$C264&amp;$O264)),IF(法术查询!$J$16="",1,IF(法术查询!$J$16=$AF$11,IF($H264=1,1,0),IF($H264="",1,0))),IF(法术查询!$J$17="",1,IF(法术查询!$J$17=$AF$11,IF($I264=1,1,0),IF($I264="",1,0))),IF(法术查询!$J$18="",1,IF(法术查询!$J$18=$AF$11,IF($J264&lt;&gt;"",1,0),IF($J264="",1,0))),IF(法术查询!$J$19="",1,IF(法术查询!$J$19=$AF$11,IF($L264&lt;&gt;"",1,0),IF($L264="",1,0)))),$B264,""),"")</f>
        <v/>
      </c>
      <c r="AD263" s="192" t="str">
        <f t="array" ref="AD263">INDEX(AC:AC,SMALL(IF($AC$2:$AC$523&lt;&gt;"",ROW($2:$523),524),ROW(AC262)))&amp;""</f>
        <v/>
      </c>
      <c r="AE263" s="200" t="str">
        <f t="shared" si="8"/>
        <v/>
      </c>
      <c r="AJ263" s="192">
        <v>262</v>
      </c>
      <c r="AK263" s="193" t="str">
        <f>IF(法术书!AK19="","",法术书!AK19)</f>
        <v/>
      </c>
      <c r="AL263" s="224" t="str">
        <f t="array" ref="AL263">IFERROR(INDEX(AK$1:AK$301,SMALL(IF(MATCH(AK263,AK$1:AK$301,0)=ROW(AK263),ROW(AK$1:AK$301),999),ROW(AK263))),"")</f>
        <v/>
      </c>
      <c r="AM263" s="223" t="str">
        <f t="array" ref="AM263">INDEX(AL:AL,SMALL(IF($AL$2:$AL$301&lt;&gt;"",ROW($2:$301),302),ROW(AL262)))&amp;""</f>
        <v/>
      </c>
    </row>
    <row r="264" customHeight="1" spans="1:39">
      <c r="A264" s="192">
        <v>262</v>
      </c>
      <c r="B264" s="224" t="s">
        <v>7807</v>
      </c>
      <c r="C264" s="224" t="s">
        <v>7808</v>
      </c>
      <c r="E264" s="229" t="s">
        <v>6664</v>
      </c>
      <c r="F264" s="193" t="s">
        <v>6642</v>
      </c>
      <c r="G264" s="193" t="s">
        <v>6658</v>
      </c>
      <c r="H264" s="193">
        <v>1</v>
      </c>
      <c r="I264" s="193">
        <v>1</v>
      </c>
      <c r="J264" s="193">
        <v>1</v>
      </c>
      <c r="K264" s="224" t="s">
        <v>7809</v>
      </c>
      <c r="M264" s="193">
        <v>1</v>
      </c>
      <c r="N264" s="193" t="s">
        <v>6666</v>
      </c>
      <c r="O264" s="224" t="s">
        <v>7810</v>
      </c>
      <c r="P264" s="224">
        <v>3</v>
      </c>
      <c r="Q264" s="224" t="s">
        <v>249</v>
      </c>
      <c r="T264" s="193">
        <v>1</v>
      </c>
      <c r="V264" s="193">
        <v>1</v>
      </c>
      <c r="AA264" s="223" t="s">
        <v>7811</v>
      </c>
      <c r="AB264" s="200" t="str">
        <f t="array" ref="AB264">INDEX(B:B,SMALL(IF($Q$3:$Q$524&lt;&gt;"",ROW($3:$524),525),ROW(B263)))&amp;""</f>
        <v>敌群环绕</v>
      </c>
      <c r="AC264" s="225" t="str">
        <f>IFERROR(IF(AND($Q265&lt;&gt;"",IF(法术查询!$J$4="",1,INDEX($R265:$Z265,1,VLOOKUP(法术查询!$J$4,$AF$2:$AG$10,2,0)))&lt;&gt;"",IF(法术查询!$J$5="",1,$P265=VLOOKUP(法术查询!$J$5,$AH$2:$AI$11,2,0)),IF(法术查询!$J$6="",1,IF(法术查询!$J$6=$E265,1,0)),IF(法术查询!$J$7="",1,SEARCH(法术查询!$J$7,$F265)),IF(法术查询!$J$8="",1,SEARCH(法术查询!$J$8,G265)),IF(法术查询!$J$9="",1,SEARCH(法术查询!$J$9,N265)),IF(法术查询!$J$10="",1,IF(法术查询!$J$10=$AF$11,IF($M265=1,1,0),IF($M265="",1,0))),IF(法术查询!$J$11="",1,IF(法术查询!$J$11=$AF$11,IF($D265=1,1,0),IF($D265="",1,0))),IF(法术查询!$J$12="",1,SEARCH(法术查询!$J$12,$B265&amp;$C265&amp;$O265)),IF(法术查询!$J$13="",1,SEARCH(法术查询!$J$13,$B265&amp;$C265&amp;$O265)),IF(法术查询!$J$14="",1,SEARCH(法术查询!$J$14,$B265&amp;$C265&amp;$O265)),IF(法术查询!$J$16="",1,IF(法术查询!$J$16=$AF$11,IF($H265=1,1,0),IF($H265="",1,0))),IF(法术查询!$J$17="",1,IF(法术查询!$J$17=$AF$11,IF($I265=1,1,0),IF($I265="",1,0))),IF(法术查询!$J$18="",1,IF(法术查询!$J$18=$AF$11,IF($J265&lt;&gt;"",1,0),IF($J265="",1,0))),IF(法术查询!$J$19="",1,IF(法术查询!$J$19=$AF$11,IF($L265&lt;&gt;"",1,0),IF($L265="",1,0)))),$B265,""),"")</f>
        <v/>
      </c>
      <c r="AD264" s="192" t="str">
        <f t="array" ref="AD264">INDEX(AC:AC,SMALL(IF($AC$2:$AC$523&lt;&gt;"",ROW($2:$523),524),ROW(AC263)))&amp;""</f>
        <v/>
      </c>
      <c r="AE264" s="200" t="str">
        <f t="shared" si="8"/>
        <v/>
      </c>
      <c r="AJ264" s="192">
        <v>263</v>
      </c>
      <c r="AK264" s="193" t="str">
        <f>IF(法术书!AK20="","",法术书!AK20)</f>
        <v/>
      </c>
      <c r="AL264" s="224" t="str">
        <f t="array" ref="AL264">IFERROR(INDEX(AK$1:AK$301,SMALL(IF(MATCH(AK264,AK$1:AK$301,0)=ROW(AK264),ROW(AK$1:AK$301),999),ROW(AK264))),"")</f>
        <v/>
      </c>
      <c r="AM264" s="223" t="str">
        <f t="array" ref="AM264">INDEX(AL:AL,SMALL(IF($AL$2:$AL$301&lt;&gt;"",ROW($2:$301),302),ROW(AL263)))&amp;""</f>
        <v/>
      </c>
    </row>
    <row r="265" customHeight="1" spans="1:39">
      <c r="A265" s="192">
        <v>263</v>
      </c>
      <c r="B265" s="224" t="s">
        <v>7812</v>
      </c>
      <c r="C265" s="224" t="s">
        <v>7813</v>
      </c>
      <c r="E265" s="233" t="s">
        <v>6688</v>
      </c>
      <c r="F265" s="193" t="s">
        <v>6642</v>
      </c>
      <c r="G265" s="193" t="s">
        <v>6673</v>
      </c>
      <c r="I265" s="193">
        <v>1</v>
      </c>
      <c r="J265" s="193">
        <v>1</v>
      </c>
      <c r="K265" s="224" t="s">
        <v>7814</v>
      </c>
      <c r="N265" s="193" t="s">
        <v>6731</v>
      </c>
      <c r="O265" s="224" t="s">
        <v>7815</v>
      </c>
      <c r="P265" s="224">
        <v>3</v>
      </c>
      <c r="Q265" s="245" t="str">
        <f>IF(综合数据!$B$7=TRUE,"XGE","")</f>
        <v>XGE</v>
      </c>
      <c r="R265" s="193">
        <v>6</v>
      </c>
      <c r="W265" s="193">
        <v>6</v>
      </c>
      <c r="X265" s="193">
        <v>6</v>
      </c>
      <c r="Z265" s="193">
        <v>9</v>
      </c>
      <c r="AA265" s="200"/>
      <c r="AB265" s="200" t="str">
        <f t="array" ref="AB265">INDEX(B:B,SMALL(IF($Q$3:$Q$524&lt;&gt;"",ROW($3:$524),525),ROW(B264)))&amp;""</f>
        <v>土石喷发</v>
      </c>
      <c r="AC265" s="225" t="str">
        <f>IFERROR(IF(AND($Q266&lt;&gt;"",IF(法术查询!$J$4="",1,INDEX($R266:$Z266,1,VLOOKUP(法术查询!$J$4,$AF$2:$AG$10,2,0)))&lt;&gt;"",IF(法术查询!$J$5="",1,$P266=VLOOKUP(法术查询!$J$5,$AH$2:$AI$11,2,0)),IF(法术查询!$J$6="",1,IF(法术查询!$J$6=$E266,1,0)),IF(法术查询!$J$7="",1,SEARCH(法术查询!$J$7,$F266)),IF(法术查询!$J$8="",1,SEARCH(法术查询!$J$8,G266)),IF(法术查询!$J$9="",1,SEARCH(法术查询!$J$9,N266)),IF(法术查询!$J$10="",1,IF(法术查询!$J$10=$AF$11,IF($M266=1,1,0),IF($M266="",1,0))),IF(法术查询!$J$11="",1,IF(法术查询!$J$11=$AF$11,IF($D266=1,1,0),IF($D266="",1,0))),IF(法术查询!$J$12="",1,SEARCH(法术查询!$J$12,$B266&amp;$C266&amp;$O266)),IF(法术查询!$J$13="",1,SEARCH(法术查询!$J$13,$B266&amp;$C266&amp;$O266)),IF(法术查询!$J$14="",1,SEARCH(法术查询!$J$14,$B266&amp;$C266&amp;$O266)),IF(法术查询!$J$16="",1,IF(法术查询!$J$16=$AF$11,IF($H266=1,1,0),IF($H266="",1,0))),IF(法术查询!$J$17="",1,IF(法术查询!$J$17=$AF$11,IF($I266=1,1,0),IF($I266="",1,0))),IF(法术查询!$J$18="",1,IF(法术查询!$J$18=$AF$11,IF($J266&lt;&gt;"",1,0),IF($J266="",1,0))),IF(法术查询!$J$19="",1,IF(法术查询!$J$19=$AF$11,IF($L266&lt;&gt;"",1,0),IF($L266="",1,0)))),$B266,""),"")</f>
        <v/>
      </c>
      <c r="AD265" s="192" t="str">
        <f t="array" ref="AD265">INDEX(AC:AC,SMALL(IF($AC$2:$AC$523&lt;&gt;"",ROW($2:$523),524),ROW(AC264)))&amp;""</f>
        <v/>
      </c>
      <c r="AE265" s="200" t="str">
        <f t="shared" si="8"/>
        <v/>
      </c>
      <c r="AJ265" s="192">
        <v>264</v>
      </c>
      <c r="AK265" s="193" t="str">
        <f>IF(法术书!AK21="","",法术书!AK21)</f>
        <v/>
      </c>
      <c r="AL265" s="224" t="str">
        <f t="array" ref="AL265">IFERROR(INDEX(AK$1:AK$301,SMALL(IF(MATCH(AK265,AK$1:AK$301,0)=ROW(AK265),ROW(AK$1:AK$301),999),ROW(AK265))),"")</f>
        <v/>
      </c>
      <c r="AM265" s="223" t="str">
        <f t="array" ref="AM265">INDEX(AL:AL,SMALL(IF($AL$2:$AL$301&lt;&gt;"",ROW($2:$301),302),ROW(AL264)))&amp;""</f>
        <v/>
      </c>
    </row>
    <row r="266" customHeight="1" spans="1:39">
      <c r="A266" s="192">
        <v>264</v>
      </c>
      <c r="B266" s="224" t="s">
        <v>7816</v>
      </c>
      <c r="C266" s="224" t="s">
        <v>7817</v>
      </c>
      <c r="E266" s="233" t="s">
        <v>6688</v>
      </c>
      <c r="F266" s="193" t="s">
        <v>6642</v>
      </c>
      <c r="G266" s="193" t="s">
        <v>6658</v>
      </c>
      <c r="H266" s="193">
        <v>1</v>
      </c>
      <c r="I266" s="193">
        <v>1</v>
      </c>
      <c r="K266" s="224"/>
      <c r="M266" s="193">
        <v>1</v>
      </c>
      <c r="N266" s="193" t="s">
        <v>6666</v>
      </c>
      <c r="O266" s="224" t="s">
        <v>7818</v>
      </c>
      <c r="P266" s="224">
        <v>3</v>
      </c>
      <c r="Q266" s="245" t="str">
        <f>IF(综合数据!$B$7=TRUE,"XGE","")</f>
        <v>XGE</v>
      </c>
      <c r="R266" s="193">
        <v>6</v>
      </c>
      <c r="W266" s="193">
        <v>6</v>
      </c>
      <c r="X266" s="193">
        <v>6</v>
      </c>
      <c r="Y266" s="193">
        <v>6</v>
      </c>
      <c r="AA266" s="200"/>
      <c r="AB266" s="200" t="str">
        <f t="array" ref="AB266">INDEX(B:B,SMALL(IF($Q$3:$Q$524&lt;&gt;"",ROW($3:$524),525),ROW(B265)))&amp;""</f>
        <v>火箭</v>
      </c>
      <c r="AC266" s="225" t="str">
        <f>IFERROR(IF(AND($Q267&lt;&gt;"",IF(法术查询!$J$4="",1,INDEX($R267:$Z267,1,VLOOKUP(法术查询!$J$4,$AF$2:$AG$10,2,0)))&lt;&gt;"",IF(法术查询!$J$5="",1,$P267=VLOOKUP(法术查询!$J$5,$AH$2:$AI$11,2,0)),IF(法术查询!$J$6="",1,IF(法术查询!$J$6=$E267,1,0)),IF(法术查询!$J$7="",1,SEARCH(法术查询!$J$7,$F267)),IF(法术查询!$J$8="",1,SEARCH(法术查询!$J$8,G267)),IF(法术查询!$J$9="",1,SEARCH(法术查询!$J$9,N267)),IF(法术查询!$J$10="",1,IF(法术查询!$J$10=$AF$11,IF($M267=1,1,0),IF($M267="",1,0))),IF(法术查询!$J$11="",1,IF(法术查询!$J$11=$AF$11,IF($D267=1,1,0),IF($D267="",1,0))),IF(法术查询!$J$12="",1,SEARCH(法术查询!$J$12,$B267&amp;$C267&amp;$O267)),IF(法术查询!$J$13="",1,SEARCH(法术查询!$J$13,$B267&amp;$C267&amp;$O267)),IF(法术查询!$J$14="",1,SEARCH(法术查询!$J$14,$B267&amp;$C267&amp;$O267)),IF(法术查询!$J$16="",1,IF(法术查询!$J$16=$AF$11,IF($H267=1,1,0),IF($H267="",1,0))),IF(法术查询!$J$17="",1,IF(法术查询!$J$17=$AF$11,IF($I267=1,1,0),IF($I267="",1,0))),IF(法术查询!$J$18="",1,IF(法术查询!$J$18=$AF$11,IF($J267&lt;&gt;"",1,0),IF($J267="",1,0))),IF(法术查询!$J$19="",1,IF(法术查询!$J$19=$AF$11,IF($L267&lt;&gt;"",1,0),IF($L267="",1,0)))),$B267,""),"")</f>
        <v/>
      </c>
      <c r="AD266" s="192" t="str">
        <f t="array" ref="AD266">INDEX(AC:AC,SMALL(IF($AC$2:$AC$523&lt;&gt;"",ROW($2:$523),524),ROW(AC265)))&amp;""</f>
        <v/>
      </c>
      <c r="AE266" s="200" t="str">
        <f t="shared" si="8"/>
        <v/>
      </c>
      <c r="AJ266" s="192">
        <v>265</v>
      </c>
      <c r="AK266" s="193" t="str">
        <f>IF(法术书!AK22="","",法术书!AK22)</f>
        <v/>
      </c>
      <c r="AL266" s="224" t="str">
        <f t="array" ref="AL266">IFERROR(INDEX(AK$1:AK$301,SMALL(IF(MATCH(AK266,AK$1:AK$301,0)=ROW(AK266),ROW(AK$1:AK$301),999),ROW(AK266))),"")</f>
        <v/>
      </c>
      <c r="AM266" s="223" t="str">
        <f t="array" ref="AM266">INDEX(AL:AL,SMALL(IF($AL$2:$AL$301&lt;&gt;"",ROW($2:$301),302),ROW(AL265)))&amp;""</f>
        <v/>
      </c>
    </row>
    <row r="267" customHeight="1" spans="1:39">
      <c r="A267" s="192">
        <v>265</v>
      </c>
      <c r="B267" s="224" t="s">
        <v>7819</v>
      </c>
      <c r="C267" s="224" t="s">
        <v>7820</v>
      </c>
      <c r="E267" s="231" t="s">
        <v>6672</v>
      </c>
      <c r="F267" s="193" t="s">
        <v>6642</v>
      </c>
      <c r="G267" s="193" t="s">
        <v>6658</v>
      </c>
      <c r="H267" s="193">
        <v>1</v>
      </c>
      <c r="I267" s="193">
        <v>1</v>
      </c>
      <c r="J267" s="193">
        <v>1</v>
      </c>
      <c r="K267" s="224" t="s">
        <v>7821</v>
      </c>
      <c r="N267" s="193" t="s">
        <v>6644</v>
      </c>
      <c r="O267" s="224" t="s">
        <v>7822</v>
      </c>
      <c r="P267" s="224">
        <v>3</v>
      </c>
      <c r="Q267" s="245" t="str">
        <f>IF(综合数据!$B$7=TRUE,"XGE","")</f>
        <v>XGE</v>
      </c>
      <c r="T267" s="193">
        <v>6</v>
      </c>
      <c r="W267" s="193">
        <v>6</v>
      </c>
      <c r="X267" s="193">
        <v>6</v>
      </c>
      <c r="AA267" s="200"/>
      <c r="AB267" s="200" t="str">
        <f t="array" ref="AB267">INDEX(B:B,SMALL(IF($Q$3:$Q$524&lt;&gt;"",ROW($3:$524),525),ROW(B266)))&amp;""</f>
        <v>生命转换</v>
      </c>
      <c r="AC267" s="225" t="str">
        <f>IFERROR(IF(AND($Q268&lt;&gt;"",IF(法术查询!$J$4="",1,INDEX($R268:$Z268,1,VLOOKUP(法术查询!$J$4,$AF$2:$AG$10,2,0)))&lt;&gt;"",IF(法术查询!$J$5="",1,$P268=VLOOKUP(法术查询!$J$5,$AH$2:$AI$11,2,0)),IF(法术查询!$J$6="",1,IF(法术查询!$J$6=$E268,1,0)),IF(法术查询!$J$7="",1,SEARCH(法术查询!$J$7,$F268)),IF(法术查询!$J$8="",1,SEARCH(法术查询!$J$8,G268)),IF(法术查询!$J$9="",1,SEARCH(法术查询!$J$9,N268)),IF(法术查询!$J$10="",1,IF(法术查询!$J$10=$AF$11,IF($M268=1,1,0),IF($M268="",1,0))),IF(法术查询!$J$11="",1,IF(法术查询!$J$11=$AF$11,IF($D268=1,1,0),IF($D268="",1,0))),IF(法术查询!$J$12="",1,SEARCH(法术查询!$J$12,$B268&amp;$C268&amp;$O268)),IF(法术查询!$J$13="",1,SEARCH(法术查询!$J$13,$B268&amp;$C268&amp;$O268)),IF(法术查询!$J$14="",1,SEARCH(法术查询!$J$14,$B268&amp;$C268&amp;$O268)),IF(法术查询!$J$16="",1,IF(法术查询!$J$16=$AF$11,IF($H268=1,1,0),IF($H268="",1,0))),IF(法术查询!$J$17="",1,IF(法术查询!$J$17=$AF$11,IF($I268=1,1,0),IF($I268="",1,0))),IF(法术查询!$J$18="",1,IF(法术查询!$J$18=$AF$11,IF($J268&lt;&gt;"",1,0),IF($J268="",1,0))),IF(法术查询!$J$19="",1,IF(法术查询!$J$19=$AF$11,IF($L268&lt;&gt;"",1,0),IF($L268="",1,0)))),$B268,""),"")</f>
        <v/>
      </c>
      <c r="AD267" s="192" t="str">
        <f t="array" ref="AD267">INDEX(AC:AC,SMALL(IF($AC$2:$AC$523&lt;&gt;"",ROW($2:$523),524),ROW(AC266)))&amp;""</f>
        <v/>
      </c>
      <c r="AE267" s="200" t="str">
        <f t="shared" si="8"/>
        <v/>
      </c>
      <c r="AJ267" s="192">
        <v>266</v>
      </c>
      <c r="AK267" s="193" t="str">
        <f>IF(法术书!AK23="","",法术书!AK23)</f>
        <v/>
      </c>
      <c r="AL267" s="224" t="str">
        <f t="array" ref="AL267">IFERROR(INDEX(AK$1:AK$301,SMALL(IF(MATCH(AK267,AK$1:AK$301,0)=ROW(AK267),ROW(AK$1:AK$301),999),ROW(AK267))),"")</f>
        <v/>
      </c>
      <c r="AM267" s="223" t="str">
        <f t="array" ref="AM267">INDEX(AL:AL,SMALL(IF($AL$2:$AL$301&lt;&gt;"",ROW($2:$301),302),ROW(AL266)))&amp;""</f>
        <v/>
      </c>
    </row>
    <row r="268" customHeight="1" spans="1:39">
      <c r="A268" s="192">
        <v>266</v>
      </c>
      <c r="B268" s="224" t="s">
        <v>7823</v>
      </c>
      <c r="C268" s="224" t="s">
        <v>7824</v>
      </c>
      <c r="E268" s="231" t="s">
        <v>6672</v>
      </c>
      <c r="F268" s="193" t="s">
        <v>6642</v>
      </c>
      <c r="G268" s="193" t="s">
        <v>3760</v>
      </c>
      <c r="H268" s="193">
        <v>1</v>
      </c>
      <c r="I268" s="193">
        <v>1</v>
      </c>
      <c r="K268" s="224"/>
      <c r="M268" s="193">
        <v>1</v>
      </c>
      <c r="N268" s="193" t="s">
        <v>6739</v>
      </c>
      <c r="O268" s="224" t="s">
        <v>7825</v>
      </c>
      <c r="P268" s="224">
        <v>3</v>
      </c>
      <c r="Q268" s="245" t="str">
        <f>IF(综合数据!$B$7=TRUE,"XGE","")</f>
        <v>XGE</v>
      </c>
      <c r="T268" s="193">
        <v>6</v>
      </c>
      <c r="V268" s="193">
        <v>6</v>
      </c>
      <c r="W268" s="193">
        <v>6</v>
      </c>
      <c r="X268" s="193">
        <v>6</v>
      </c>
      <c r="Z268" s="193">
        <v>9</v>
      </c>
      <c r="AA268" s="200"/>
      <c r="AB268" s="200" t="str">
        <f t="array" ref="AB268">INDEX(B:B,SMALL(IF($Q$3:$Q$524&lt;&gt;"",ROW($3:$524),525),ROW(B267)))&amp;""</f>
        <v>马友夫微流星</v>
      </c>
      <c r="AC268" s="225" t="str">
        <f>IFERROR(IF(AND($Q269&lt;&gt;"",IF(法术查询!$J$4="",1,INDEX($R269:$Z269,1,VLOOKUP(法术查询!$J$4,$AF$2:$AG$10,2,0)))&lt;&gt;"",IF(法术查询!$J$5="",1,$P269=VLOOKUP(法术查询!$J$5,$AH$2:$AI$11,2,0)),IF(法术查询!$J$6="",1,IF(法术查询!$J$6=$E269,1,0)),IF(法术查询!$J$7="",1,SEARCH(法术查询!$J$7,$F269)),IF(法术查询!$J$8="",1,SEARCH(法术查询!$J$8,G269)),IF(法术查询!$J$9="",1,SEARCH(法术查询!$J$9,N269)),IF(法术查询!$J$10="",1,IF(法术查询!$J$10=$AF$11,IF($M269=1,1,0),IF($M269="",1,0))),IF(法术查询!$J$11="",1,IF(法术查询!$J$11=$AF$11,IF($D269=1,1,0),IF($D269="",1,0))),IF(法术查询!$J$12="",1,SEARCH(法术查询!$J$12,$B269&amp;$C269&amp;$O269)),IF(法术查询!$J$13="",1,SEARCH(法术查询!$J$13,$B269&amp;$C269&amp;$O269)),IF(法术查询!$J$14="",1,SEARCH(法术查询!$J$14,$B269&amp;$C269&amp;$O269)),IF(法术查询!$J$16="",1,IF(法术查询!$J$16=$AF$11,IF($H269=1,1,0),IF($H269="",1,0))),IF(法术查询!$J$17="",1,IF(法术查询!$J$17=$AF$11,IF($I269=1,1,0),IF($I269="",1,0))),IF(法术查询!$J$18="",1,IF(法术查询!$J$18=$AF$11,IF($J269&lt;&gt;"",1,0),IF($J269="",1,0))),IF(法术查询!$J$19="",1,IF(法术查询!$J$19=$AF$11,IF($L269&lt;&gt;"",1,0),IF($L269="",1,0)))),$B269,""),"")</f>
        <v/>
      </c>
      <c r="AD268" s="192" t="str">
        <f t="array" ref="AD268">INDEX(AC:AC,SMALL(IF($AC$2:$AC$523&lt;&gt;"",ROW($2:$523),524),ROW(AC267)))&amp;""</f>
        <v/>
      </c>
      <c r="AE268" s="200" t="str">
        <f t="shared" si="8"/>
        <v/>
      </c>
      <c r="AJ268" s="192">
        <v>267</v>
      </c>
      <c r="AK268" s="193" t="str">
        <f>IF(法术书!AK24="","",法术书!AK24)</f>
        <v/>
      </c>
      <c r="AL268" s="224" t="str">
        <f t="array" ref="AL268">IFERROR(INDEX(AK$1:AK$301,SMALL(IF(MATCH(AK268,AK$1:AK$301,0)=ROW(AK268),ROW(AK$1:AK$301),999),ROW(AK268))),"")</f>
        <v/>
      </c>
      <c r="AM268" s="223" t="str">
        <f t="array" ref="AM268">INDEX(AL:AL,SMALL(IF($AL$2:$AL$301&lt;&gt;"",ROW($2:$301),302),ROW(AL267)))&amp;""</f>
        <v/>
      </c>
    </row>
    <row r="269" customHeight="1" spans="1:39">
      <c r="A269" s="192">
        <v>267</v>
      </c>
      <c r="B269" s="224" t="s">
        <v>7826</v>
      </c>
      <c r="C269" s="224" t="s">
        <v>7827</v>
      </c>
      <c r="E269" s="243" t="s">
        <v>6657</v>
      </c>
      <c r="F269" s="193" t="s">
        <v>6642</v>
      </c>
      <c r="G269" s="193" t="s">
        <v>6673</v>
      </c>
      <c r="H269" s="193">
        <v>1</v>
      </c>
      <c r="I269" s="193">
        <v>1</v>
      </c>
      <c r="K269" s="224"/>
      <c r="N269" s="193" t="s">
        <v>6644</v>
      </c>
      <c r="O269" s="224" t="s">
        <v>7828</v>
      </c>
      <c r="P269" s="224">
        <v>3</v>
      </c>
      <c r="Q269" s="245" t="str">
        <f>IF(综合数据!$B$7=TRUE,"XGE","")</f>
        <v>XGE</v>
      </c>
      <c r="S269" s="193">
        <v>6</v>
      </c>
      <c r="X269" s="193">
        <v>6</v>
      </c>
      <c r="AA269" s="200"/>
      <c r="AB269" s="200" t="str">
        <f t="array" ref="AB269">INDEX(B:B,SMALL(IF($Q$3:$Q$524&lt;&gt;"",ROW($3:$524),525),ROW(B268)))&amp;""</f>
        <v>召唤次级恶魔</v>
      </c>
      <c r="AC269" s="225" t="str">
        <f>IFERROR(IF(AND($Q270&lt;&gt;"",IF(法术查询!$J$4="",1,INDEX($R270:$Z270,1,VLOOKUP(法术查询!$J$4,$AF$2:$AG$10,2,0)))&lt;&gt;"",IF(法术查询!$J$5="",1,$P270=VLOOKUP(法术查询!$J$5,$AH$2:$AI$11,2,0)),IF(法术查询!$J$6="",1,IF(法术查询!$J$6=$E270,1,0)),IF(法术查询!$J$7="",1,SEARCH(法术查询!$J$7,$F270)),IF(法术查询!$J$8="",1,SEARCH(法术查询!$J$8,G270)),IF(法术查询!$J$9="",1,SEARCH(法术查询!$J$9,N270)),IF(法术查询!$J$10="",1,IF(法术查询!$J$10=$AF$11,IF($M270=1,1,0),IF($M270="",1,0))),IF(法术查询!$J$11="",1,IF(法术查询!$J$11=$AF$11,IF($D270=1,1,0),IF($D270="",1,0))),IF(法术查询!$J$12="",1,SEARCH(法术查询!$J$12,$B270&amp;$C270&amp;$O270)),IF(法术查询!$J$13="",1,SEARCH(法术查询!$J$13,$B270&amp;$C270&amp;$O270)),IF(法术查询!$J$14="",1,SEARCH(法术查询!$J$14,$B270&amp;$C270&amp;$O270)),IF(法术查询!$J$16="",1,IF(法术查询!$J$16=$AF$11,IF($H270=1,1,0),IF($H270="",1,0))),IF(法术查询!$J$17="",1,IF(法术查询!$J$17=$AF$11,IF($I270=1,1,0),IF($I270="",1,0))),IF(法术查询!$J$18="",1,IF(法术查询!$J$18=$AF$11,IF($J270&lt;&gt;"",1,0),IF($J270="",1,0))),IF(法术查询!$J$19="",1,IF(法术查询!$J$19=$AF$11,IF($L270&lt;&gt;"",1,0),IF($L270="",1,0)))),$B270,""),"")</f>
        <v/>
      </c>
      <c r="AD269" s="192" t="str">
        <f t="array" ref="AD269">INDEX(AC:AC,SMALL(IF($AC$2:$AC$523&lt;&gt;"",ROW($2:$523),524),ROW(AC268)))&amp;""</f>
        <v/>
      </c>
      <c r="AE269" s="200" t="str">
        <f t="shared" si="8"/>
        <v/>
      </c>
      <c r="AJ269" s="192">
        <v>268</v>
      </c>
      <c r="AK269" s="193" t="str">
        <f>IF(法术书!AK25="","",法术书!AK25)</f>
        <v/>
      </c>
      <c r="AL269" s="224" t="str">
        <f t="array" ref="AL269">IFERROR(INDEX(AK$1:AK$301,SMALL(IF(MATCH(AK269,AK$1:AK$301,0)=ROW(AK269),ROW(AK$1:AK$301),999),ROW(AK269))),"")</f>
        <v/>
      </c>
      <c r="AM269" s="223" t="str">
        <f t="array" ref="AM269">INDEX(AL:AL,SMALL(IF($AL$2:$AL$301&lt;&gt;"",ROW($2:$301),302),ROW(AL268)))&amp;""</f>
        <v/>
      </c>
    </row>
    <row r="270" customHeight="1" spans="1:39">
      <c r="A270" s="192">
        <v>268</v>
      </c>
      <c r="B270" s="224" t="s">
        <v>7829</v>
      </c>
      <c r="C270" s="224" t="s">
        <v>7830</v>
      </c>
      <c r="E270" s="229" t="s">
        <v>6664</v>
      </c>
      <c r="F270" s="193" t="s">
        <v>6642</v>
      </c>
      <c r="G270" s="193" t="s">
        <v>6651</v>
      </c>
      <c r="H270" s="193">
        <v>1</v>
      </c>
      <c r="I270" s="193">
        <v>1</v>
      </c>
      <c r="J270" s="193">
        <v>1</v>
      </c>
      <c r="K270" s="224"/>
      <c r="M270" s="193">
        <v>1</v>
      </c>
      <c r="N270" s="193" t="s">
        <v>6831</v>
      </c>
      <c r="O270" s="224" t="s">
        <v>7831</v>
      </c>
      <c r="P270" s="224">
        <v>3</v>
      </c>
      <c r="Q270" s="245" t="str">
        <f>IF(综合数据!$B$7=TRUE,"XGE","")</f>
        <v>XGE</v>
      </c>
      <c r="W270" s="193">
        <v>6</v>
      </c>
      <c r="X270" s="193">
        <v>6</v>
      </c>
      <c r="AA270" s="200"/>
      <c r="AB270" s="200" t="str">
        <f t="array" ref="AB270">INDEX(B:B,SMALL(IF($Q$3:$Q$524&lt;&gt;"",ROW($3:$524),525),ROW(B269)))&amp;""</f>
        <v>雷霆步</v>
      </c>
      <c r="AC270" s="225" t="str">
        <f>IFERROR(IF(AND($Q271&lt;&gt;"",IF(法术查询!$J$4="",1,INDEX($R271:$Z271,1,VLOOKUP(法术查询!$J$4,$AF$2:$AG$10,2,0)))&lt;&gt;"",IF(法术查询!$J$5="",1,$P271=VLOOKUP(法术查询!$J$5,$AH$2:$AI$11,2,0)),IF(法术查询!$J$6="",1,IF(法术查询!$J$6=$E271,1,0)),IF(法术查询!$J$7="",1,SEARCH(法术查询!$J$7,$F271)),IF(法术查询!$J$8="",1,SEARCH(法术查询!$J$8,G271)),IF(法术查询!$J$9="",1,SEARCH(法术查询!$J$9,N271)),IF(法术查询!$J$10="",1,IF(法术查询!$J$10=$AF$11,IF($M271=1,1,0),IF($M271="",1,0))),IF(法术查询!$J$11="",1,IF(法术查询!$J$11=$AF$11,IF($D271=1,1,0),IF($D271="",1,0))),IF(法术查询!$J$12="",1,SEARCH(法术查询!$J$12,$B271&amp;$C271&amp;$O271)),IF(法术查询!$J$13="",1,SEARCH(法术查询!$J$13,$B271&amp;$C271&amp;$O271)),IF(法术查询!$J$14="",1,SEARCH(法术查询!$J$14,$B271&amp;$C271&amp;$O271)),IF(法术查询!$J$16="",1,IF(法术查询!$J$16=$AF$11,IF($H271=1,1,0),IF($H271="",1,0))),IF(法术查询!$J$17="",1,IF(法术查询!$J$17=$AF$11,IF($I271=1,1,0),IF($I271="",1,0))),IF(法术查询!$J$18="",1,IF(法术查询!$J$18=$AF$11,IF($J271&lt;&gt;"",1,0),IF($J271="",1,0))),IF(法术查询!$J$19="",1,IF(法术查询!$J$19=$AF$11,IF($L271&lt;&gt;"",1,0),IF($L271="",1,0)))),$B271,""),"")</f>
        <v/>
      </c>
      <c r="AD270" s="192" t="str">
        <f t="array" ref="AD270">INDEX(AC:AC,SMALL(IF($AC$2:$AC$523&lt;&gt;"",ROW($2:$523),524),ROW(AC269)))&amp;""</f>
        <v/>
      </c>
      <c r="AE270" s="200" t="str">
        <f t="shared" si="8"/>
        <v/>
      </c>
      <c r="AJ270" s="192">
        <v>269</v>
      </c>
      <c r="AK270" s="193" t="str">
        <f>IF(法术书!AK26="","",法术书!AK26)</f>
        <v/>
      </c>
      <c r="AL270" s="224" t="str">
        <f t="array" ref="AL270">IFERROR(INDEX(AK$1:AK$301,SMALL(IF(MATCH(AK270,AK$1:AK$301,0)=ROW(AK270),ROW(AK$1:AK$301),999),ROW(AK270))),"")</f>
        <v/>
      </c>
      <c r="AM270" s="223" t="str">
        <f t="array" ref="AM270">INDEX(AL:AL,SMALL(IF($AL$2:$AL$301&lt;&gt;"",ROW($2:$301),302),ROW(AL269)))&amp;""</f>
        <v/>
      </c>
    </row>
    <row r="271" customHeight="1" spans="1:39">
      <c r="A271" s="192">
        <v>269</v>
      </c>
      <c r="B271" s="224" t="s">
        <v>7832</v>
      </c>
      <c r="C271" s="224" t="s">
        <v>7833</v>
      </c>
      <c r="E271" s="240" t="s">
        <v>6641</v>
      </c>
      <c r="F271" s="193" t="s">
        <v>6642</v>
      </c>
      <c r="G271" s="193" t="s">
        <v>6643</v>
      </c>
      <c r="H271" s="193">
        <v>1</v>
      </c>
      <c r="I271" s="193">
        <v>1</v>
      </c>
      <c r="J271" s="193">
        <v>1</v>
      </c>
      <c r="K271" s="224" t="s">
        <v>7834</v>
      </c>
      <c r="M271" s="193">
        <v>1</v>
      </c>
      <c r="N271" s="193" t="s">
        <v>6739</v>
      </c>
      <c r="O271" s="224" t="s">
        <v>7835</v>
      </c>
      <c r="P271" s="224">
        <v>3</v>
      </c>
      <c r="Q271" s="245" t="str">
        <f>IF(综合数据!$B$7=TRUE,"XGE","")</f>
        <v>XGE</v>
      </c>
      <c r="X271" s="193">
        <v>6</v>
      </c>
      <c r="Y271" s="193">
        <v>6</v>
      </c>
      <c r="AA271" s="200"/>
      <c r="AB271" s="200" t="str">
        <f t="array" ref="AB271">INDEX(B:B,SMALL(IF($Q$3:$Q$524&lt;&gt;"",ROW($3:$524),525),ROW(B270)))&amp;""</f>
        <v>潮涌</v>
      </c>
      <c r="AC271" s="225" t="str">
        <f>IFERROR(IF(AND($Q272&lt;&gt;"",IF(法术查询!$J$4="",1,INDEX($R272:$Z272,1,VLOOKUP(法术查询!$J$4,$AF$2:$AG$10,2,0)))&lt;&gt;"",IF(法术查询!$J$5="",1,$P272=VLOOKUP(法术查询!$J$5,$AH$2:$AI$11,2,0)),IF(法术查询!$J$6="",1,IF(法术查询!$J$6=$E272,1,0)),IF(法术查询!$J$7="",1,SEARCH(法术查询!$J$7,$F272)),IF(法术查询!$J$8="",1,SEARCH(法术查询!$J$8,G272)),IF(法术查询!$J$9="",1,SEARCH(法术查询!$J$9,N272)),IF(法术查询!$J$10="",1,IF(法术查询!$J$10=$AF$11,IF($M272=1,1,0),IF($M272="",1,0))),IF(法术查询!$J$11="",1,IF(法术查询!$J$11=$AF$11,IF($D272=1,1,0),IF($D272="",1,0))),IF(法术查询!$J$12="",1,SEARCH(法术查询!$J$12,$B272&amp;$C272&amp;$O272)),IF(法术查询!$J$13="",1,SEARCH(法术查询!$J$13,$B272&amp;$C272&amp;$O272)),IF(法术查询!$J$14="",1,SEARCH(法术查询!$J$14,$B272&amp;$C272&amp;$O272)),IF(法术查询!$J$16="",1,IF(法术查询!$J$16=$AF$11,IF($H272=1,1,0),IF($H272="",1,0))),IF(法术查询!$J$17="",1,IF(法术查询!$J$17=$AF$11,IF($I272=1,1,0),IF($I272="",1,0))),IF(法术查询!$J$18="",1,IF(法术查询!$J$18=$AF$11,IF($J272&lt;&gt;"",1,0),IF($J272="",1,0))),IF(法术查询!$J$19="",1,IF(法术查询!$J$19=$AF$11,IF($L272&lt;&gt;"",1,0),IF($L272="",1,0)))),$B272,""),"")</f>
        <v/>
      </c>
      <c r="AD271" s="192" t="str">
        <f t="array" ref="AD271">INDEX(AC:AC,SMALL(IF($AC$2:$AC$523&lt;&gt;"",ROW($2:$523),524),ROW(AC270)))&amp;""</f>
        <v/>
      </c>
      <c r="AE271" s="200" t="str">
        <f t="shared" si="8"/>
        <v/>
      </c>
      <c r="AJ271" s="192">
        <v>270</v>
      </c>
      <c r="AK271" s="193" t="str">
        <f>IF(法术书!AK27="","",法术书!AK27)</f>
        <v/>
      </c>
      <c r="AL271" s="224" t="str">
        <f t="array" ref="AL271">IFERROR(INDEX(AK$1:AK$301,SMALL(IF(MATCH(AK271,AK$1:AK$301,0)=ROW(AK271),ROW(AK$1:AK$301),999),ROW(AK271))),"")</f>
        <v/>
      </c>
      <c r="AM271" s="223" t="str">
        <f t="array" ref="AM271">INDEX(AL:AL,SMALL(IF($AL$2:$AL$301&lt;&gt;"",ROW($2:$301),302),ROW(AL270)))&amp;""</f>
        <v/>
      </c>
    </row>
    <row r="272" customHeight="1" spans="1:39">
      <c r="A272" s="192">
        <v>270</v>
      </c>
      <c r="B272" s="224" t="s">
        <v>7836</v>
      </c>
      <c r="C272" s="224" t="s">
        <v>7837</v>
      </c>
      <c r="E272" s="240" t="s">
        <v>6641</v>
      </c>
      <c r="F272" s="193" t="s">
        <v>6642</v>
      </c>
      <c r="G272" s="193" t="s">
        <v>6760</v>
      </c>
      <c r="H272" s="193">
        <v>1</v>
      </c>
      <c r="K272" s="224"/>
      <c r="N272" s="193" t="s">
        <v>6644</v>
      </c>
      <c r="O272" s="224" t="s">
        <v>7838</v>
      </c>
      <c r="P272" s="224">
        <v>3</v>
      </c>
      <c r="Q272" s="245" t="str">
        <f>IF(综合数据!$B$7=TRUE,"XGE","")</f>
        <v>XGE</v>
      </c>
      <c r="W272" s="193">
        <v>6</v>
      </c>
      <c r="X272" s="193">
        <v>6</v>
      </c>
      <c r="Y272" s="193">
        <v>6</v>
      </c>
      <c r="AA272" s="200"/>
      <c r="AB272" s="200" t="str">
        <f t="array" ref="AB272">INDEX(B:B,SMALL(IF($Q$3:$Q$524&lt;&gt;"",ROW($3:$524),525),ROW(B271)))&amp;""</f>
        <v>迷你仆役</v>
      </c>
      <c r="AC272" s="225" t="str">
        <f>IFERROR(IF(AND($Q273&lt;&gt;"",IF(法术查询!$J$4="",1,INDEX($R273:$Z273,1,VLOOKUP(法术查询!$J$4,$AF$2:$AG$10,2,0)))&lt;&gt;"",IF(法术查询!$J$5="",1,$P273=VLOOKUP(法术查询!$J$5,$AH$2:$AI$11,2,0)),IF(法术查询!$J$6="",1,IF(法术查询!$J$6=$E273,1,0)),IF(法术查询!$J$7="",1,SEARCH(法术查询!$J$7,$F273)),IF(法术查询!$J$8="",1,SEARCH(法术查询!$J$8,G273)),IF(法术查询!$J$9="",1,SEARCH(法术查询!$J$9,N273)),IF(法术查询!$J$10="",1,IF(法术查询!$J$10=$AF$11,IF($M273=1,1,0),IF($M273="",1,0))),IF(法术查询!$J$11="",1,IF(法术查询!$J$11=$AF$11,IF($D273=1,1,0),IF($D273="",1,0))),IF(法术查询!$J$12="",1,SEARCH(法术查询!$J$12,$B273&amp;$C273&amp;$O273)),IF(法术查询!$J$13="",1,SEARCH(法术查询!$J$13,$B273&amp;$C273&amp;$O273)),IF(法术查询!$J$14="",1,SEARCH(法术查询!$J$14,$B273&amp;$C273&amp;$O273)),IF(法术查询!$J$16="",1,IF(法术查询!$J$16=$AF$11,IF($H273=1,1,0),IF($H273="",1,0))),IF(法术查询!$J$17="",1,IF(法术查询!$J$17=$AF$11,IF($I273=1,1,0),IF($I273="",1,0))),IF(法术查询!$J$18="",1,IF(法术查询!$J$18=$AF$11,IF($J273&lt;&gt;"",1,0),IF($J273="",1,0))),IF(法术查询!$J$19="",1,IF(法术查询!$J$19=$AF$11,IF($L273&lt;&gt;"",1,0),IF($L273="",1,0)))),$B273,""),"")</f>
        <v/>
      </c>
      <c r="AD272" s="192" t="str">
        <f t="array" ref="AD272">INDEX(AC:AC,SMALL(IF($AC$2:$AC$523&lt;&gt;"",ROW($2:$523),524),ROW(AC271)))&amp;""</f>
        <v/>
      </c>
      <c r="AE272" s="200" t="str">
        <f t="shared" si="8"/>
        <v/>
      </c>
      <c r="AJ272" s="192">
        <v>271</v>
      </c>
      <c r="AK272" s="193" t="str">
        <f>IF(法术书!AK28="","",法术书!AK28)</f>
        <v/>
      </c>
      <c r="AL272" s="224" t="str">
        <f t="array" ref="AL272">IFERROR(INDEX(AK$1:AK$301,SMALL(IF(MATCH(AK272,AK$1:AK$301,0)=ROW(AK272),ROW(AK$1:AK$301),999),ROW(AK272))),"")</f>
        <v/>
      </c>
      <c r="AM272" s="223" t="str">
        <f t="array" ref="AM272">INDEX(AL:AL,SMALL(IF($AL$2:$AL$301&lt;&gt;"",ROW($2:$301),302),ROW(AL271)))&amp;""</f>
        <v/>
      </c>
    </row>
    <row r="273" customHeight="1" spans="1:39">
      <c r="A273" s="192">
        <v>271</v>
      </c>
      <c r="B273" s="224" t="s">
        <v>7839</v>
      </c>
      <c r="C273" s="224" t="s">
        <v>7840</v>
      </c>
      <c r="E273" s="240" t="s">
        <v>6641</v>
      </c>
      <c r="F273" s="193" t="s">
        <v>6642</v>
      </c>
      <c r="G273" s="193" t="s">
        <v>6658</v>
      </c>
      <c r="H273" s="193">
        <v>1</v>
      </c>
      <c r="I273" s="193">
        <v>1</v>
      </c>
      <c r="J273" s="193">
        <v>1</v>
      </c>
      <c r="K273" s="224" t="s">
        <v>7841</v>
      </c>
      <c r="N273" s="193" t="s">
        <v>6644</v>
      </c>
      <c r="O273" s="224" t="s">
        <v>7842</v>
      </c>
      <c r="P273" s="224">
        <v>3</v>
      </c>
      <c r="Q273" s="245" t="str">
        <f>IF(综合数据!$B$7=TRUE,"XGE","")</f>
        <v>XGE</v>
      </c>
      <c r="T273" s="193">
        <v>6</v>
      </c>
      <c r="W273" s="193">
        <v>6</v>
      </c>
      <c r="X273" s="193">
        <v>6</v>
      </c>
      <c r="AA273" s="200"/>
      <c r="AB273" s="200" t="str">
        <f t="array" ref="AB273">INDEX(B:B,SMALL(IF($Q$3:$Q$524&lt;&gt;"",ROW($3:$524),525),ROW(B272)))&amp;""</f>
        <v>沙墙术</v>
      </c>
      <c r="AC273" s="225" t="str">
        <f>IFERROR(IF(AND($Q274&lt;&gt;"",IF(法术查询!$J$4="",1,INDEX($R274:$Z274,1,VLOOKUP(法术查询!$J$4,$AF$2:$AG$10,2,0)))&lt;&gt;"",IF(法术查询!$J$5="",1,$P274=VLOOKUP(法术查询!$J$5,$AH$2:$AI$11,2,0)),IF(法术查询!$J$6="",1,IF(法术查询!$J$6=$E274,1,0)),IF(法术查询!$J$7="",1,SEARCH(法术查询!$J$7,$F274)),IF(法术查询!$J$8="",1,SEARCH(法术查询!$J$8,G274)),IF(法术查询!$J$9="",1,SEARCH(法术查询!$J$9,N274)),IF(法术查询!$J$10="",1,IF(法术查询!$J$10=$AF$11,IF($M274=1,1,0),IF($M274="",1,0))),IF(法术查询!$J$11="",1,IF(法术查询!$J$11=$AF$11,IF($D274=1,1,0),IF($D274="",1,0))),IF(法术查询!$J$12="",1,SEARCH(法术查询!$J$12,$B274&amp;$C274&amp;$O274)),IF(法术查询!$J$13="",1,SEARCH(法术查询!$J$13,$B274&amp;$C274&amp;$O274)),IF(法术查询!$J$14="",1,SEARCH(法术查询!$J$14,$B274&amp;$C274&amp;$O274)),IF(法术查询!$J$16="",1,IF(法术查询!$J$16=$AF$11,IF($H274=1,1,0),IF($H274="",1,0))),IF(法术查询!$J$17="",1,IF(法术查询!$J$17=$AF$11,IF($I274=1,1,0),IF($I274="",1,0))),IF(法术查询!$J$18="",1,IF(法术查询!$J$18=$AF$11,IF($J274&lt;&gt;"",1,0),IF($J274="",1,0))),IF(法术查询!$J$19="",1,IF(法术查询!$J$19=$AF$11,IF($L274&lt;&gt;"",1,0),IF($L274="",1,0)))),$B274,""),"")</f>
        <v/>
      </c>
      <c r="AD273" s="192" t="str">
        <f t="array" ref="AD273">INDEX(AC:AC,SMALL(IF($AC$2:$AC$523&lt;&gt;"",ROW($2:$523),524),ROW(AC272)))&amp;""</f>
        <v/>
      </c>
      <c r="AE273" s="200" t="str">
        <f t="shared" si="8"/>
        <v/>
      </c>
      <c r="AJ273" s="192">
        <v>272</v>
      </c>
      <c r="AK273" s="193" t="str">
        <f>IF(法术书!AK29="","",法术书!AK29)</f>
        <v/>
      </c>
      <c r="AL273" s="224" t="str">
        <f t="array" ref="AL273">IFERROR(INDEX(AK$1:AK$301,SMALL(IF(MATCH(AK273,AK$1:AK$301,0)=ROW(AK273),ROW(AK$1:AK$301),999),ROW(AK273))),"")</f>
        <v/>
      </c>
      <c r="AM273" s="223" t="str">
        <f t="array" ref="AM273">INDEX(AL:AL,SMALL(IF($AL$2:$AL$301&lt;&gt;"",ROW($2:$301),302),ROW(AL272)))&amp;""</f>
        <v/>
      </c>
    </row>
    <row r="274" customHeight="1" spans="1:39">
      <c r="A274" s="192">
        <v>272</v>
      </c>
      <c r="B274" s="224" t="s">
        <v>7843</v>
      </c>
      <c r="C274" s="224" t="s">
        <v>7844</v>
      </c>
      <c r="E274" s="231" t="s">
        <v>6672</v>
      </c>
      <c r="F274" s="193" t="s">
        <v>6704</v>
      </c>
      <c r="G274" s="193" t="s">
        <v>3760</v>
      </c>
      <c r="H274" s="193">
        <v>1</v>
      </c>
      <c r="I274" s="193">
        <v>1</v>
      </c>
      <c r="K274" s="224"/>
      <c r="N274" s="193" t="s">
        <v>6748</v>
      </c>
      <c r="O274" s="224" t="s">
        <v>7845</v>
      </c>
      <c r="P274" s="224">
        <v>3</v>
      </c>
      <c r="Q274" s="245" t="str">
        <f>IF(综合数据!$B$7=TRUE,"XGE","")</f>
        <v>XGE</v>
      </c>
      <c r="X274" s="193">
        <v>6</v>
      </c>
      <c r="Z274" s="193">
        <v>9</v>
      </c>
      <c r="AA274" s="200"/>
      <c r="AB274" s="200" t="str">
        <f t="array" ref="AB274">INDEX(B:B,SMALL(IF($Q$3:$Q$524&lt;&gt;"",ROW($3:$524),525),ROW(B273)))&amp;""</f>
        <v>水墙术</v>
      </c>
      <c r="AC274" s="225" t="str">
        <f>IFERROR(IF(AND($Q275&lt;&gt;"",IF(法术查询!$J$4="",1,INDEX($R275:$Z275,1,VLOOKUP(法术查询!$J$4,$AF$2:$AG$10,2,0)))&lt;&gt;"",IF(法术查询!$J$5="",1,$P275=VLOOKUP(法术查询!$J$5,$AH$2:$AI$11,2,0)),IF(法术查询!$J$6="",1,IF(法术查询!$J$6=$E275,1,0)),IF(法术查询!$J$7="",1,SEARCH(法术查询!$J$7,$F275)),IF(法术查询!$J$8="",1,SEARCH(法术查询!$J$8,G275)),IF(法术查询!$J$9="",1,SEARCH(法术查询!$J$9,N275)),IF(法术查询!$J$10="",1,IF(法术查询!$J$10=$AF$11,IF($M275=1,1,0),IF($M275="",1,0))),IF(法术查询!$J$11="",1,IF(法术查询!$J$11=$AF$11,IF($D275=1,1,0),IF($D275="",1,0))),IF(法术查询!$J$12="",1,SEARCH(法术查询!$J$12,$B275&amp;$C275&amp;$O275)),IF(法术查询!$J$13="",1,SEARCH(法术查询!$J$13,$B275&amp;$C275&amp;$O275)),IF(法术查询!$J$14="",1,SEARCH(法术查询!$J$14,$B275&amp;$C275&amp;$O275)),IF(法术查询!$J$16="",1,IF(法术查询!$J$16=$AF$11,IF($H275=1,1,0),IF($H275="",1,0))),IF(法术查询!$J$17="",1,IF(法术查询!$J$17=$AF$11,IF($I275=1,1,0),IF($I275="",1,0))),IF(法术查询!$J$18="",1,IF(法术查询!$J$18=$AF$11,IF($J275&lt;&gt;"",1,0),IF($J275="",1,0))),IF(法术查询!$J$19="",1,IF(法术查询!$J$19=$AF$11,IF($L275&lt;&gt;"",1,0),IF($L275="",1,0)))),$B275,""),"")</f>
        <v/>
      </c>
      <c r="AD274" s="192" t="str">
        <f t="array" ref="AD274">INDEX(AC:AC,SMALL(IF($AC$2:$AC$523&lt;&gt;"",ROW($2:$523),524),ROW(AC273)))&amp;""</f>
        <v/>
      </c>
      <c r="AE274" s="200" t="str">
        <f t="shared" si="8"/>
        <v/>
      </c>
      <c r="AJ274" s="192">
        <v>273</v>
      </c>
      <c r="AK274" s="193" t="str">
        <f>IF(法术书!AK30="","",法术书!AK30)</f>
        <v/>
      </c>
      <c r="AL274" s="224" t="str">
        <f t="array" ref="AL274">IFERROR(INDEX(AK$1:AK$301,SMALL(IF(MATCH(AK274,AK$1:AK$301,0)=ROW(AK274),ROW(AK$1:AK$301),999),ROW(AK274))),"")</f>
        <v/>
      </c>
      <c r="AM274" s="223" t="str">
        <f t="array" ref="AM274">INDEX(AL:AL,SMALL(IF($AL$2:$AL$301&lt;&gt;"",ROW($2:$301),302),ROW(AL273)))&amp;""</f>
        <v/>
      </c>
    </row>
    <row r="275" customHeight="1" spans="1:39">
      <c r="A275" s="192">
        <v>273</v>
      </c>
      <c r="B275" s="224" t="s">
        <v>7846</v>
      </c>
      <c r="C275" s="224" t="s">
        <v>7847</v>
      </c>
      <c r="E275" s="229" t="s">
        <v>6664</v>
      </c>
      <c r="F275" s="193" t="s">
        <v>6642</v>
      </c>
      <c r="G275" s="193" t="s">
        <v>6760</v>
      </c>
      <c r="H275" s="193">
        <v>1</v>
      </c>
      <c r="I275" s="193">
        <v>1</v>
      </c>
      <c r="J275" s="193">
        <v>1</v>
      </c>
      <c r="K275" s="224" t="s">
        <v>7848</v>
      </c>
      <c r="M275" s="193">
        <v>1</v>
      </c>
      <c r="N275" s="193" t="s">
        <v>6831</v>
      </c>
      <c r="O275" s="224" t="s">
        <v>7849</v>
      </c>
      <c r="P275" s="224">
        <v>3</v>
      </c>
      <c r="Q275" s="245" t="str">
        <f>IF(综合数据!$B$7=TRUE,"XGE","")</f>
        <v>XGE</v>
      </c>
      <c r="X275" s="193">
        <v>6</v>
      </c>
      <c r="AA275" s="200"/>
      <c r="AB275" s="200" t="str">
        <f t="array" ref="AB275">INDEX(B:B,SMALL(IF($Q$3:$Q$524&lt;&gt;"",ROW($3:$524),525),ROW(B274)))&amp;""</f>
        <v>脉冲波动</v>
      </c>
      <c r="AC275" s="225" t="str">
        <f>IFERROR(IF(AND($Q276&lt;&gt;"",IF(法术查询!$J$4="",1,INDEX($R276:$Z276,1,VLOOKUP(法术查询!$J$4,$AF$2:$AG$10,2,0)))&lt;&gt;"",IF(法术查询!$J$5="",1,$P276=VLOOKUP(法术查询!$J$5,$AH$2:$AI$11,2,0)),IF(法术查询!$J$6="",1,IF(法术查询!$J$6=$E276,1,0)),IF(法术查询!$J$7="",1,SEARCH(法术查询!$J$7,$F276)),IF(法术查询!$J$8="",1,SEARCH(法术查询!$J$8,G276)),IF(法术查询!$J$9="",1,SEARCH(法术查询!$J$9,N276)),IF(法术查询!$J$10="",1,IF(法术查询!$J$10=$AF$11,IF($M276=1,1,0),IF($M276="",1,0))),IF(法术查询!$J$11="",1,IF(法术查询!$J$11=$AF$11,IF($D276=1,1,0),IF($D276="",1,0))),IF(法术查询!$J$12="",1,SEARCH(法术查询!$J$12,$B276&amp;$C276&amp;$O276)),IF(法术查询!$J$13="",1,SEARCH(法术查询!$J$13,$B276&amp;$C276&amp;$O276)),IF(法术查询!$J$14="",1,SEARCH(法术查询!$J$14,$B276&amp;$C276&amp;$O276)),IF(法术查询!$J$16="",1,IF(法术查询!$J$16=$AF$11,IF($H276=1,1,0),IF($H276="",1,0))),IF(法术查询!$J$17="",1,IF(法术查询!$J$17=$AF$11,IF($I276=1,1,0),IF($I276="",1,0))),IF(法术查询!$J$18="",1,IF(法术查询!$J$18=$AF$11,IF($J276&lt;&gt;"",1,0),IF($J276="",1,0))),IF(法术查询!$J$19="",1,IF(法术查询!$J$19=$AF$11,IF($L276&lt;&gt;"",1,0),IF($L276="",1,0)))),$B276,""),"")</f>
        <v/>
      </c>
      <c r="AD275" s="192" t="str">
        <f t="array" ref="AD275">INDEX(AC:AC,SMALL(IF($AC$2:$AC$523&lt;&gt;"",ROW($2:$523),524),ROW(AC274)))&amp;""</f>
        <v/>
      </c>
      <c r="AE275" s="200" t="str">
        <f t="shared" si="8"/>
        <v/>
      </c>
      <c r="AJ275" s="192">
        <v>274</v>
      </c>
      <c r="AK275" s="193" t="str">
        <f>IF(法术书!AK31="","",法术书!AK31)</f>
        <v/>
      </c>
      <c r="AL275" s="224" t="str">
        <f t="array" ref="AL275">IFERROR(INDEX(AK$1:AK$301,SMALL(IF(MATCH(AK275,AK$1:AK$301,0)=ROW(AK275),ROW(AK$1:AK$301),999),ROW(AK275))),"")</f>
        <v/>
      </c>
      <c r="AM275" s="223" t="str">
        <f t="array" ref="AM275">INDEX(AL:AL,SMALL(IF($AL$2:$AL$301&lt;&gt;"",ROW($2:$301),302),ROW(AL274)))&amp;""</f>
        <v/>
      </c>
    </row>
    <row r="276" customHeight="1" spans="1:39">
      <c r="A276" s="192">
        <v>274</v>
      </c>
      <c r="B276" s="224" t="s">
        <v>7850</v>
      </c>
      <c r="C276" s="224" t="s">
        <v>7851</v>
      </c>
      <c r="E276" s="229" t="s">
        <v>6664</v>
      </c>
      <c r="F276" s="193" t="s">
        <v>6642</v>
      </c>
      <c r="G276" s="193" t="s">
        <v>6643</v>
      </c>
      <c r="H276" s="193">
        <v>1</v>
      </c>
      <c r="I276" s="193">
        <v>1</v>
      </c>
      <c r="J276" s="193">
        <v>1</v>
      </c>
      <c r="K276" s="224" t="s">
        <v>7841</v>
      </c>
      <c r="M276" s="193">
        <v>1</v>
      </c>
      <c r="N276" s="193" t="s">
        <v>6831</v>
      </c>
      <c r="O276" s="224" t="s">
        <v>7852</v>
      </c>
      <c r="P276" s="224">
        <v>3</v>
      </c>
      <c r="Q276" s="245" t="str">
        <f>IF(综合数据!$B$7=TRUE,"XGE","")</f>
        <v>XGE</v>
      </c>
      <c r="T276" s="193">
        <v>6</v>
      </c>
      <c r="W276" s="193">
        <v>6</v>
      </c>
      <c r="X276" s="193">
        <v>6</v>
      </c>
      <c r="AA276" s="223" t="s">
        <v>813</v>
      </c>
      <c r="AB276" s="200" t="str">
        <f t="array" ref="AB276">INDEX(B:B,SMALL(IF($Q$3:$Q$524&lt;&gt;"",ROW($3:$524),525),ROW(B275)))&amp;""</f>
        <v>快速交友</v>
      </c>
      <c r="AC276" s="225" t="str">
        <f>IFERROR(IF(AND($Q277&lt;&gt;"",IF(法术查询!$J$4="",1,INDEX($R277:$Z277,1,VLOOKUP(法术查询!$J$4,$AF$2:$AG$10,2,0)))&lt;&gt;"",IF(法术查询!$J$5="",1,$P277=VLOOKUP(法术查询!$J$5,$AH$2:$AI$11,2,0)),IF(法术查询!$J$6="",1,IF(法术查询!$J$6=$E277,1,0)),IF(法术查询!$J$7="",1,SEARCH(法术查询!$J$7,$F277)),IF(法术查询!$J$8="",1,SEARCH(法术查询!$J$8,G277)),IF(法术查询!$J$9="",1,SEARCH(法术查询!$J$9,N277)),IF(法术查询!$J$10="",1,IF(法术查询!$J$10=$AF$11,IF($M277=1,1,0),IF($M277="",1,0))),IF(法术查询!$J$11="",1,IF(法术查询!$J$11=$AF$11,IF($D277=1,1,0),IF($D277="",1,0))),IF(法术查询!$J$12="",1,SEARCH(法术查询!$J$12,$B277&amp;$C277&amp;$O277)),IF(法术查询!$J$13="",1,SEARCH(法术查询!$J$13,$B277&amp;$C277&amp;$O277)),IF(法术查询!$J$14="",1,SEARCH(法术查询!$J$14,$B277&amp;$C277&amp;$O277)),IF(法术查询!$J$16="",1,IF(法术查询!$J$16=$AF$11,IF($H277=1,1,0),IF($H277="",1,0))),IF(法术查询!$J$17="",1,IF(法术查询!$J$17=$AF$11,IF($I277=1,1,0),IF($I277="",1,0))),IF(法术查询!$J$18="",1,IF(法术查询!$J$18=$AF$11,IF($J277&lt;&gt;"",1,0),IF($J277="",1,0))),IF(法术查询!$J$19="",1,IF(法术查询!$J$19=$AF$11,IF($L277&lt;&gt;"",1,0),IF($L277="",1,0)))),$B277,""),"")</f>
        <v/>
      </c>
      <c r="AD276" s="192" t="str">
        <f t="array" ref="AD276">INDEX(AC:AC,SMALL(IF($AC$2:$AC$523&lt;&gt;"",ROW($2:$523),524),ROW(AC275)))&amp;""</f>
        <v/>
      </c>
      <c r="AE276" s="200" t="str">
        <f t="shared" si="8"/>
        <v/>
      </c>
      <c r="AJ276" s="192">
        <v>275</v>
      </c>
      <c r="AK276" s="193" t="str">
        <f>IF(法术书!AK32="","",法术书!AK32)</f>
        <v/>
      </c>
      <c r="AL276" s="224" t="str">
        <f t="array" ref="AL276">IFERROR(INDEX(AK$1:AK$301,SMALL(IF(MATCH(AK276,AK$1:AK$301,0)=ROW(AK276),ROW(AK$1:AK$301),999),ROW(AK276))),"")</f>
        <v/>
      </c>
      <c r="AM276" s="223" t="str">
        <f t="array" ref="AM276">INDEX(AL:AL,SMALL(IF($AL$2:$AL$301&lt;&gt;"",ROW($2:$301),302),ROW(AL275)))&amp;""</f>
        <v/>
      </c>
    </row>
    <row r="277" customHeight="1" spans="1:39">
      <c r="A277" s="192">
        <v>275</v>
      </c>
      <c r="B277" s="224" t="s">
        <v>7853</v>
      </c>
      <c r="C277" s="224" t="s">
        <v>7854</v>
      </c>
      <c r="E277" s="229" t="s">
        <v>6664</v>
      </c>
      <c r="F277" s="193" t="s">
        <v>6642</v>
      </c>
      <c r="G277" s="193" t="s">
        <v>6875</v>
      </c>
      <c r="H277" s="193">
        <v>1</v>
      </c>
      <c r="I277" s="193">
        <v>1</v>
      </c>
      <c r="K277" s="224"/>
      <c r="N277" s="193" t="s">
        <v>6644</v>
      </c>
      <c r="O277" s="224" t="s">
        <v>7855</v>
      </c>
      <c r="P277" s="224">
        <v>3</v>
      </c>
      <c r="Q277" s="247" t="str">
        <f>IF(综合数据!$B$11=TRUE,"EGW","")</f>
        <v>EGW</v>
      </c>
      <c r="AA277" s="223" t="s">
        <v>6897</v>
      </c>
      <c r="AB277" s="200" t="str">
        <f t="array" ref="AB277">INDEX(B:B,SMALL(IF($Q$3:$Q$524&lt;&gt;"",ROW($3:$524),525),ROW(B276)))&amp;""</f>
        <v>鼓动贪欲</v>
      </c>
      <c r="AC277" s="225" t="str">
        <f>IFERROR(IF(AND($Q278&lt;&gt;"",IF(法术查询!$J$4="",1,INDEX($R278:$Z278,1,VLOOKUP(法术查询!$J$4,$AF$2:$AG$10,2,0)))&lt;&gt;"",IF(法术查询!$J$5="",1,$P278=VLOOKUP(法术查询!$J$5,$AH$2:$AI$11,2,0)),IF(法术查询!$J$6="",1,IF(法术查询!$J$6=$E278,1,0)),IF(法术查询!$J$7="",1,SEARCH(法术查询!$J$7,$F278)),IF(法术查询!$J$8="",1,SEARCH(法术查询!$J$8,G278)),IF(法术查询!$J$9="",1,SEARCH(法术查询!$J$9,N278)),IF(法术查询!$J$10="",1,IF(法术查询!$J$10=$AF$11,IF($M278=1,1,0),IF($M278="",1,0))),IF(法术查询!$J$11="",1,IF(法术查询!$J$11=$AF$11,IF($D278=1,1,0),IF($D278="",1,0))),IF(法术查询!$J$12="",1,SEARCH(法术查询!$J$12,$B278&amp;$C278&amp;$O278)),IF(法术查询!$J$13="",1,SEARCH(法术查询!$J$13,$B278&amp;$C278&amp;$O278)),IF(法术查询!$J$14="",1,SEARCH(法术查询!$J$14,$B278&amp;$C278&amp;$O278)),IF(法术查询!$J$16="",1,IF(法术查询!$J$16=$AF$11,IF($H278=1,1,0),IF($H278="",1,0))),IF(法术查询!$J$17="",1,IF(法术查询!$J$17=$AF$11,IF($I278=1,1,0),IF($I278="",1,0))),IF(法术查询!$J$18="",1,IF(法术查询!$J$18=$AF$11,IF($J278&lt;&gt;"",1,0),IF($J278="",1,0))),IF(法术查询!$J$19="",1,IF(法术查询!$J$19=$AF$11,IF($L278&lt;&gt;"",1,0),IF($L278="",1,0)))),$B278,""),"")</f>
        <v/>
      </c>
      <c r="AD277" s="192" t="str">
        <f t="array" ref="AD277">INDEX(AC:AC,SMALL(IF($AC$2:$AC$523&lt;&gt;"",ROW($2:$523),524),ROW(AC276)))&amp;""</f>
        <v/>
      </c>
      <c r="AE277" s="200" t="str">
        <f t="shared" si="8"/>
        <v/>
      </c>
      <c r="AJ277" s="192">
        <v>276</v>
      </c>
      <c r="AK277" s="193" t="str">
        <f>IF(法术书!AK33="","",法术书!AK33)</f>
        <v/>
      </c>
      <c r="AL277" s="224" t="str">
        <f t="array" ref="AL277">IFERROR(INDEX(AK$1:AK$301,SMALL(IF(MATCH(AK277,AK$1:AK$301,0)=ROW(AK277),ROW(AK$1:AK$301),999),ROW(AK277))),"")</f>
        <v/>
      </c>
      <c r="AM277" s="223" t="str">
        <f t="array" ref="AM277">INDEX(AL:AL,SMALL(IF($AL$2:$AL$301&lt;&gt;"",ROW($2:$301),302),ROW(AL276)))&amp;""</f>
        <v/>
      </c>
    </row>
    <row r="278" customHeight="1" spans="1:39">
      <c r="A278" s="192">
        <v>276</v>
      </c>
      <c r="B278" s="224" t="s">
        <v>7856</v>
      </c>
      <c r="C278" s="224" t="s">
        <v>7857</v>
      </c>
      <c r="E278" s="233" t="s">
        <v>6688</v>
      </c>
      <c r="F278" s="193" t="s">
        <v>6642</v>
      </c>
      <c r="G278" s="193" t="s">
        <v>6673</v>
      </c>
      <c r="H278" s="193">
        <v>1</v>
      </c>
      <c r="K278" s="224"/>
      <c r="M278" s="193">
        <v>1</v>
      </c>
      <c r="N278" s="193" t="s">
        <v>6739</v>
      </c>
      <c r="O278" s="224" t="s">
        <v>7858</v>
      </c>
      <c r="P278" s="224">
        <v>3</v>
      </c>
      <c r="Q278" s="250" t="str">
        <f>IF(综合数据!$B$12=TRUE,"AI","")</f>
        <v>AI</v>
      </c>
      <c r="R278" s="193">
        <v>11</v>
      </c>
      <c r="S278" s="193">
        <v>11</v>
      </c>
      <c r="X278" s="193">
        <v>11</v>
      </c>
      <c r="AA278" s="200"/>
      <c r="AB278" s="200" t="str">
        <f t="array" ref="AB278">INDEX(B:B,SMALL(IF($Q$3:$Q$524&lt;&gt;"",ROW($3:$524),525),ROW(B277)))&amp;""</f>
        <v>励志演讲</v>
      </c>
      <c r="AC278" s="225" t="str">
        <f>IFERROR(IF(AND($Q279&lt;&gt;"",IF(法术查询!$J$4="",1,INDEX($R279:$Z279,1,VLOOKUP(法术查询!$J$4,$AF$2:$AG$10,2,0)))&lt;&gt;"",IF(法术查询!$J$5="",1,$P279=VLOOKUP(法术查询!$J$5,$AH$2:$AI$11,2,0)),IF(法术查询!$J$6="",1,IF(法术查询!$J$6=$E279,1,0)),IF(法术查询!$J$7="",1,SEARCH(法术查询!$J$7,$F279)),IF(法术查询!$J$8="",1,SEARCH(法术查询!$J$8,G279)),IF(法术查询!$J$9="",1,SEARCH(法术查询!$J$9,N279)),IF(法术查询!$J$10="",1,IF(法术查询!$J$10=$AF$11,IF($M279=1,1,0),IF($M279="",1,0))),IF(法术查询!$J$11="",1,IF(法术查询!$J$11=$AF$11,IF($D279=1,1,0),IF($D279="",1,0))),IF(法术查询!$J$12="",1,SEARCH(法术查询!$J$12,$B279&amp;$C279&amp;$O279)),IF(法术查询!$J$13="",1,SEARCH(法术查询!$J$13,$B279&amp;$C279&amp;$O279)),IF(法术查询!$J$14="",1,SEARCH(法术查询!$J$14,$B279&amp;$C279&amp;$O279)),IF(法术查询!$J$16="",1,IF(法术查询!$J$16=$AF$11,IF($H279=1,1,0),IF($H279="",1,0))),IF(法术查询!$J$17="",1,IF(法术查询!$J$17=$AF$11,IF($I279=1,1,0),IF($I279="",1,0))),IF(法术查询!$J$18="",1,IF(法术查询!$J$18=$AF$11,IF($J279&lt;&gt;"",1,0),IF($J279="",1,0))),IF(法术查询!$J$19="",1,IF(法术查询!$J$19=$AF$11,IF($L279&lt;&gt;"",1,0),IF($L279="",1,0)))),$B279,""),"")</f>
        <v/>
      </c>
      <c r="AD278" s="192" t="str">
        <f t="array" ref="AD278">INDEX(AC:AC,SMALL(IF($AC$2:$AC$523&lt;&gt;"",ROW($2:$523),524),ROW(AC277)))&amp;""</f>
        <v/>
      </c>
      <c r="AE278" s="200" t="str">
        <f t="shared" si="8"/>
        <v/>
      </c>
      <c r="AJ278" s="192">
        <v>277</v>
      </c>
      <c r="AK278" s="193" t="str">
        <f>IF(法术书!AK34="","",法术书!AK34)</f>
        <v/>
      </c>
      <c r="AL278" s="224" t="str">
        <f t="array" ref="AL278">IFERROR(INDEX(AK$1:AK$301,SMALL(IF(MATCH(AK278,AK$1:AK$301,0)=ROW(AK278),ROW(AK$1:AK$301),999),ROW(AK278))),"")</f>
        <v/>
      </c>
      <c r="AM278" s="223" t="str">
        <f t="array" ref="AM278">INDEX(AL:AL,SMALL(IF($AL$2:$AL$301&lt;&gt;"",ROW($2:$301),302),ROW(AL277)))&amp;""</f>
        <v/>
      </c>
    </row>
    <row r="279" customHeight="1" spans="1:39">
      <c r="A279" s="192">
        <v>277</v>
      </c>
      <c r="B279" s="224" t="s">
        <v>7859</v>
      </c>
      <c r="C279" s="224" t="s">
        <v>7860</v>
      </c>
      <c r="E279" s="233" t="s">
        <v>6688</v>
      </c>
      <c r="F279" s="193" t="s">
        <v>6642</v>
      </c>
      <c r="G279" s="193" t="s">
        <v>6673</v>
      </c>
      <c r="H279" s="193">
        <v>1</v>
      </c>
      <c r="I279" s="193">
        <v>1</v>
      </c>
      <c r="J279" s="193">
        <v>1</v>
      </c>
      <c r="K279" s="224" t="s">
        <v>7861</v>
      </c>
      <c r="M279" s="193">
        <v>1</v>
      </c>
      <c r="N279" s="193" t="s">
        <v>6666</v>
      </c>
      <c r="O279" s="224" t="s">
        <v>7862</v>
      </c>
      <c r="P279" s="224">
        <v>3</v>
      </c>
      <c r="Q279" s="250" t="str">
        <f>IF(综合数据!$B$12=TRUE,"AI","")</f>
        <v>AI</v>
      </c>
      <c r="S279" s="193">
        <v>11</v>
      </c>
      <c r="W279" s="193">
        <v>11</v>
      </c>
      <c r="X279" s="193">
        <v>11</v>
      </c>
      <c r="Y279" s="193">
        <v>11</v>
      </c>
      <c r="AA279" s="200"/>
      <c r="AB279" s="200" t="str">
        <f t="array" ref="AB279">INDEX(B:B,SMALL(IF($Q$3:$Q$524&lt;&gt;"",ROW($3:$524),525),ROW(B278)))&amp;""</f>
        <v>智能壁垒</v>
      </c>
      <c r="AC279" s="225" t="str">
        <f>IFERROR(IF(AND($Q280&lt;&gt;"",IF(法术查询!$J$4="",1,INDEX($R280:$Z280,1,VLOOKUP(法术查询!$J$4,$AF$2:$AG$10,2,0)))&lt;&gt;"",IF(法术查询!$J$5="",1,$P280=VLOOKUP(法术查询!$J$5,$AH$2:$AI$11,2,0)),IF(法术查询!$J$6="",1,IF(法术查询!$J$6=$E280,1,0)),IF(法术查询!$J$7="",1,SEARCH(法术查询!$J$7,$F280)),IF(法术查询!$J$8="",1,SEARCH(法术查询!$J$8,G280)),IF(法术查询!$J$9="",1,SEARCH(法术查询!$J$9,N280)),IF(法术查询!$J$10="",1,IF(法术查询!$J$10=$AF$11,IF($M280=1,1,0),IF($M280="",1,0))),IF(法术查询!$J$11="",1,IF(法术查询!$J$11=$AF$11,IF($D280=1,1,0),IF($D280="",1,0))),IF(法术查询!$J$12="",1,SEARCH(法术查询!$J$12,$B280&amp;$C280&amp;$O280)),IF(法术查询!$J$13="",1,SEARCH(法术查询!$J$13,$B280&amp;$C280&amp;$O280)),IF(法术查询!$J$14="",1,SEARCH(法术查询!$J$14,$B280&amp;$C280&amp;$O280)),IF(法术查询!$J$16="",1,IF(法术查询!$J$16=$AF$11,IF($H280=1,1,0),IF($H280="",1,0))),IF(法术查询!$J$17="",1,IF(法术查询!$J$17=$AF$11,IF($I280=1,1,0),IF($I280="",1,0))),IF(法术查询!$J$18="",1,IF(法术查询!$J$18=$AF$11,IF($J280&lt;&gt;"",1,0),IF($J280="",1,0))),IF(法术查询!$J$19="",1,IF(法术查询!$J$19=$AF$11,IF($L280&lt;&gt;"",1,0),IF($L280="",1,0)))),$B280,""),"")</f>
        <v/>
      </c>
      <c r="AD279" s="192" t="str">
        <f t="array" ref="AD279">INDEX(AC:AC,SMALL(IF($AC$2:$AC$523&lt;&gt;"",ROW($2:$523),524),ROW(AC278)))&amp;""</f>
        <v/>
      </c>
      <c r="AE279" s="200" t="str">
        <f t="shared" si="8"/>
        <v/>
      </c>
      <c r="AJ279" s="192">
        <v>278</v>
      </c>
      <c r="AK279" s="193" t="str">
        <f>IF(法术书!AK35="","",法术书!AK35)</f>
        <v/>
      </c>
      <c r="AL279" s="224" t="str">
        <f t="array" ref="AL279">IFERROR(INDEX(AK$1:AK$301,SMALL(IF(MATCH(AK279,AK$1:AK$301,0)=ROW(AK279),ROW(AK$1:AK$301),999),ROW(AK279))),"")</f>
        <v/>
      </c>
      <c r="AM279" s="223" t="str">
        <f t="array" ref="AM279">INDEX(AL:AL,SMALL(IF($AL$2:$AL$301&lt;&gt;"",ROW($2:$301),302),ROW(AL278)))&amp;""</f>
        <v/>
      </c>
    </row>
    <row r="280" customHeight="1" spans="1:39">
      <c r="A280" s="192">
        <v>278</v>
      </c>
      <c r="B280" s="224" t="s">
        <v>7863</v>
      </c>
      <c r="C280" s="224" t="s">
        <v>7864</v>
      </c>
      <c r="E280" s="233" t="s">
        <v>6688</v>
      </c>
      <c r="F280" s="193" t="s">
        <v>6709</v>
      </c>
      <c r="G280" s="193" t="s">
        <v>6643</v>
      </c>
      <c r="H280" s="193">
        <v>1</v>
      </c>
      <c r="K280" s="224"/>
      <c r="N280" s="193" t="s">
        <v>6704</v>
      </c>
      <c r="O280" s="224" t="s">
        <v>7865</v>
      </c>
      <c r="P280" s="224">
        <v>3</v>
      </c>
      <c r="Q280" s="250" t="str">
        <f>IF(综合数据!$B$12=TRUE,"AI","")</f>
        <v>AI</v>
      </c>
      <c r="R280" s="193">
        <v>11</v>
      </c>
      <c r="S280" s="193">
        <v>11</v>
      </c>
      <c r="AA280" s="200"/>
      <c r="AB280" s="200" t="str">
        <f t="array" ref="AB280">INDEX(B:B,SMALL(IF($Q$3:$Q$524&lt;&gt;"",ROW($3:$524),525),ROW(B279)))&amp;""</f>
        <v>魂灵环绕</v>
      </c>
      <c r="AC280" s="225" t="str">
        <f>IFERROR(IF(AND($Q281&lt;&gt;"",IF(法术查询!$J$4="",1,INDEX($R281:$Z281,1,VLOOKUP(法术查询!$J$4,$AF$2:$AG$10,2,0)))&lt;&gt;"",IF(法术查询!$J$5="",1,$P281=VLOOKUP(法术查询!$J$5,$AH$2:$AI$11,2,0)),IF(法术查询!$J$6="",1,IF(法术查询!$J$6=$E281,1,0)),IF(法术查询!$J$7="",1,SEARCH(法术查询!$J$7,$F281)),IF(法术查询!$J$8="",1,SEARCH(法术查询!$J$8,G281)),IF(法术查询!$J$9="",1,SEARCH(法术查询!$J$9,N281)),IF(法术查询!$J$10="",1,IF(法术查询!$J$10=$AF$11,IF($M281=1,1,0),IF($M281="",1,0))),IF(法术查询!$J$11="",1,IF(法术查询!$J$11=$AF$11,IF($D281=1,1,0),IF($D281="",1,0))),IF(法术查询!$J$12="",1,SEARCH(法术查询!$J$12,$B281&amp;$C281&amp;$O281)),IF(法术查询!$J$13="",1,SEARCH(法术查询!$J$13,$B281&amp;$C281&amp;$O281)),IF(法术查询!$J$14="",1,SEARCH(法术查询!$J$14,$B281&amp;$C281&amp;$O281)),IF(法术查询!$J$16="",1,IF(法术查询!$J$16=$AF$11,IF($H281=1,1,0),IF($H281="",1,0))),IF(法术查询!$J$17="",1,IF(法术查询!$J$17=$AF$11,IF($I281=1,1,0),IF($I281="",1,0))),IF(法术查询!$J$18="",1,IF(法术查询!$J$18=$AF$11,IF($J281&lt;&gt;"",1,0),IF($J281="",1,0))),IF(法术查询!$J$19="",1,IF(法术查询!$J$19=$AF$11,IF($L281&lt;&gt;"",1,0),IF($L281="",1,0)))),$B281,""),"")</f>
        <v/>
      </c>
      <c r="AD280" s="192" t="str">
        <f t="array" ref="AD280">INDEX(AC:AC,SMALL(IF($AC$2:$AC$523&lt;&gt;"",ROW($2:$523),524),ROW(AC279)))&amp;""</f>
        <v/>
      </c>
      <c r="AE280" s="200" t="str">
        <f t="shared" si="8"/>
        <v/>
      </c>
      <c r="AJ280" s="192">
        <v>279</v>
      </c>
      <c r="AK280" s="193" t="str">
        <f>IF(法术书!AK36="","",法术书!AK36)</f>
        <v/>
      </c>
      <c r="AL280" s="224" t="str">
        <f t="array" ref="AL280">IFERROR(INDEX(AK$1:AK$301,SMALL(IF(MATCH(AK280,AK$1:AK$301,0)=ROW(AK280),ROW(AK$1:AK$301),999),ROW(AK280))),"")</f>
        <v/>
      </c>
      <c r="AM280" s="223" t="str">
        <f t="array" ref="AM280">INDEX(AL:AL,SMALL(IF($AL$2:$AL$301&lt;&gt;"",ROW($2:$301),302),ROW(AL279)))&amp;""</f>
        <v/>
      </c>
    </row>
    <row r="281" customHeight="1" spans="1:39">
      <c r="A281" s="192">
        <v>279</v>
      </c>
      <c r="B281" s="224" t="s">
        <v>7866</v>
      </c>
      <c r="C281" s="224" t="s">
        <v>7867</v>
      </c>
      <c r="E281" s="242" t="s">
        <v>6650</v>
      </c>
      <c r="F281" s="193" t="s">
        <v>6642</v>
      </c>
      <c r="G281" s="193" t="s">
        <v>6673</v>
      </c>
      <c r="H281" s="193">
        <v>1</v>
      </c>
      <c r="K281" s="224"/>
      <c r="M281" s="193">
        <v>1</v>
      </c>
      <c r="N281" s="193" t="s">
        <v>6739</v>
      </c>
      <c r="O281" s="224" t="s">
        <v>7868</v>
      </c>
      <c r="P281" s="224">
        <v>3</v>
      </c>
      <c r="Q281" s="248" t="str">
        <f>IF(综合数据!$B$14=TRUE,"TCE","")</f>
        <v>TCE</v>
      </c>
      <c r="R281" s="193">
        <v>13</v>
      </c>
      <c r="W281" s="193">
        <v>13</v>
      </c>
      <c r="X281" s="193">
        <v>13</v>
      </c>
      <c r="Y281" s="193">
        <v>13</v>
      </c>
      <c r="Z281" s="193">
        <v>13</v>
      </c>
      <c r="AA281" s="200"/>
      <c r="AB281" s="200" t="str">
        <f t="array" ref="AB281">INDEX(B:B,SMALL(IF($Q$3:$Q$524&lt;&gt;"",ROW($3:$524),525),ROW(B280)))&amp;""</f>
        <v>精类召唤术</v>
      </c>
      <c r="AC281" s="225" t="str">
        <f>IFERROR(IF(AND($Q282&lt;&gt;"",IF(法术查询!$J$4="",1,INDEX($R282:$Z282,1,VLOOKUP(法术查询!$J$4,$AF$2:$AG$10,2,0)))&lt;&gt;"",IF(法术查询!$J$5="",1,$P282=VLOOKUP(法术查询!$J$5,$AH$2:$AI$11,2,0)),IF(法术查询!$J$6="",1,IF(法术查询!$J$6=$E282,1,0)),IF(法术查询!$J$7="",1,SEARCH(法术查询!$J$7,$F282)),IF(法术查询!$J$8="",1,SEARCH(法术查询!$J$8,G282)),IF(法术查询!$J$9="",1,SEARCH(法术查询!$J$9,N282)),IF(法术查询!$J$10="",1,IF(法术查询!$J$10=$AF$11,IF($M282=1,1,0),IF($M282="",1,0))),IF(法术查询!$J$11="",1,IF(法术查询!$J$11=$AF$11,IF($D282=1,1,0),IF($D282="",1,0))),IF(法术查询!$J$12="",1,SEARCH(法术查询!$J$12,$B282&amp;$C282&amp;$O282)),IF(法术查询!$J$13="",1,SEARCH(法术查询!$J$13,$B282&amp;$C282&amp;$O282)),IF(法术查询!$J$14="",1,SEARCH(法术查询!$J$14,$B282&amp;$C282&amp;$O282)),IF(法术查询!$J$16="",1,IF(法术查询!$J$16=$AF$11,IF($H282=1,1,0),IF($H282="",1,0))),IF(法术查询!$J$17="",1,IF(法术查询!$J$17=$AF$11,IF($I282=1,1,0),IF($I282="",1,0))),IF(法术查询!$J$18="",1,IF(法术查询!$J$18=$AF$11,IF($J282&lt;&gt;"",1,0),IF($J282="",1,0))),IF(法术查询!$J$19="",1,IF(法术查询!$J$19=$AF$11,IF($L282&lt;&gt;"",1,0),IF($L282="",1,0)))),$B282,""),"")</f>
        <v/>
      </c>
      <c r="AD281" s="192" t="str">
        <f t="array" ref="AD281">INDEX(AC:AC,SMALL(IF($AC$2:$AC$523&lt;&gt;"",ROW($2:$523),524),ROW(AC280)))&amp;""</f>
        <v/>
      </c>
      <c r="AE281" s="200" t="str">
        <f t="shared" si="8"/>
        <v/>
      </c>
      <c r="AJ281" s="192">
        <v>280</v>
      </c>
      <c r="AK281" s="193" t="str">
        <f>IF(法术书!AK37="","",法术书!AK37)</f>
        <v/>
      </c>
      <c r="AL281" s="224" t="str">
        <f t="array" ref="AL281">IFERROR(INDEX(AK$1:AK$301,SMALL(IF(MATCH(AK281,AK$1:AK$301,0)=ROW(AK281),ROW(AK$1:AK$301),999),ROW(AK281))),"")</f>
        <v/>
      </c>
      <c r="AM281" s="223" t="str">
        <f t="array" ref="AM281">INDEX(AL:AL,SMALL(IF($AL$2:$AL$301&lt;&gt;"",ROW($2:$301),302),ROW(AL280)))&amp;""</f>
        <v/>
      </c>
    </row>
    <row r="282" customHeight="1" spans="1:39">
      <c r="A282" s="192">
        <v>280</v>
      </c>
      <c r="B282" s="224" t="s">
        <v>7869</v>
      </c>
      <c r="C282" s="224" t="s">
        <v>7870</v>
      </c>
      <c r="E282" s="243" t="s">
        <v>6657</v>
      </c>
      <c r="F282" s="193" t="s">
        <v>6712</v>
      </c>
      <c r="G282" s="193" t="s">
        <v>6651</v>
      </c>
      <c r="H282" s="193">
        <v>1</v>
      </c>
      <c r="I282" s="193">
        <v>1</v>
      </c>
      <c r="K282" s="224"/>
      <c r="M282" s="193">
        <v>1</v>
      </c>
      <c r="N282" s="193" t="s">
        <v>6666</v>
      </c>
      <c r="O282" s="224" t="s">
        <v>7871</v>
      </c>
      <c r="P282" s="224">
        <v>3</v>
      </c>
      <c r="Q282" s="248" t="str">
        <f>IF(综合数据!$B$14=TRUE,"TCE","")</f>
        <v>TCE</v>
      </c>
      <c r="S282" s="193">
        <v>13</v>
      </c>
      <c r="U282" s="193">
        <v>13</v>
      </c>
      <c r="X282" s="193">
        <v>13</v>
      </c>
      <c r="Y282" s="193">
        <v>13</v>
      </c>
      <c r="AA282" s="200"/>
      <c r="AB282" s="200" t="str">
        <f t="array" ref="AB282">INDEX(B:B,SMALL(IF($Q$3:$Q$524&lt;&gt;"",ROW($3:$524),525),ROW(B281)))&amp;""</f>
        <v>暗影衍体召唤术</v>
      </c>
      <c r="AC282" s="225" t="str">
        <f>IFERROR(IF(AND($Q283&lt;&gt;"",IF(法术查询!$J$4="",1,INDEX($R283:$Z283,1,VLOOKUP(法术查询!$J$4,$AF$2:$AG$10,2,0)))&lt;&gt;"",IF(法术查询!$J$5="",1,$P283=VLOOKUP(法术查询!$J$5,$AH$2:$AI$11,2,0)),IF(法术查询!$J$6="",1,IF(法术查询!$J$6=$E283,1,0)),IF(法术查询!$J$7="",1,SEARCH(法术查询!$J$7,$F283)),IF(法术查询!$J$8="",1,SEARCH(法术查询!$J$8,G283)),IF(法术查询!$J$9="",1,SEARCH(法术查询!$J$9,N283)),IF(法术查询!$J$10="",1,IF(法术查询!$J$10=$AF$11,IF($M283=1,1,0),IF($M283="",1,0))),IF(法术查询!$J$11="",1,IF(法术查询!$J$11=$AF$11,IF($D283=1,1,0),IF($D283="",1,0))),IF(法术查询!$J$12="",1,SEARCH(法术查询!$J$12,$B283&amp;$C283&amp;$O283)),IF(法术查询!$J$13="",1,SEARCH(法术查询!$J$13,$B283&amp;$C283&amp;$O283)),IF(法术查询!$J$14="",1,SEARCH(法术查询!$J$14,$B283&amp;$C283&amp;$O283)),IF(法术查询!$J$16="",1,IF(法术查询!$J$16=$AF$11,IF($H283=1,1,0),IF($H283="",1,0))),IF(法术查询!$J$17="",1,IF(法术查询!$J$17=$AF$11,IF($I283=1,1,0),IF($I283="",1,0))),IF(法术查询!$J$18="",1,IF(法术查询!$J$18=$AF$11,IF($J283&lt;&gt;"",1,0),IF($J283="",1,0))),IF(法术查询!$J$19="",1,IF(法术查询!$J$19=$AF$11,IF($L283&lt;&gt;"",1,0),IF($L283="",1,0)))),$B283,""),"")</f>
        <v/>
      </c>
      <c r="AD282" s="192" t="str">
        <f t="array" ref="AD282">INDEX(AC:AC,SMALL(IF($AC$2:$AC$523&lt;&gt;"",ROW($2:$523),524),ROW(AC281)))&amp;""</f>
        <v/>
      </c>
      <c r="AE282" s="200" t="str">
        <f t="shared" si="8"/>
        <v/>
      </c>
      <c r="AJ282" s="192">
        <v>281</v>
      </c>
      <c r="AK282" s="193" t="str">
        <f>IF(法术书!AK38="","",法术书!AK38)</f>
        <v/>
      </c>
      <c r="AL282" s="224" t="str">
        <f t="array" ref="AL282">IFERROR(INDEX(AK$1:AK$301,SMALL(IF(MATCH(AK282,AK$1:AK$301,0)=ROW(AK282),ROW(AK$1:AK$301),999),ROW(AK282))),"")</f>
        <v/>
      </c>
      <c r="AM282" s="223" t="str">
        <f t="array" ref="AM282">INDEX(AL:AL,SMALL(IF($AL$2:$AL$301&lt;&gt;"",ROW($2:$301),302),ROW(AL281)))&amp;""</f>
        <v/>
      </c>
    </row>
    <row r="283" customHeight="1" spans="1:39">
      <c r="A283" s="192">
        <v>281</v>
      </c>
      <c r="B283" s="224" t="s">
        <v>7872</v>
      </c>
      <c r="C283" s="224" t="s">
        <v>7873</v>
      </c>
      <c r="E283" s="240" t="s">
        <v>6641</v>
      </c>
      <c r="F283" s="193" t="s">
        <v>6642</v>
      </c>
      <c r="G283" s="193" t="s">
        <v>6760</v>
      </c>
      <c r="H283" s="193">
        <v>1</v>
      </c>
      <c r="I283" s="193">
        <v>1</v>
      </c>
      <c r="J283" s="193">
        <v>1</v>
      </c>
      <c r="K283" s="224" t="s">
        <v>7874</v>
      </c>
      <c r="M283" s="193">
        <v>1</v>
      </c>
      <c r="N283" s="193" t="s">
        <v>6739</v>
      </c>
      <c r="O283" s="224" t="s">
        <v>7875</v>
      </c>
      <c r="P283" s="224">
        <v>3</v>
      </c>
      <c r="Q283" s="248" t="str">
        <f>IF(综合数据!$B$14=TRUE,"TCE","")</f>
        <v>TCE</v>
      </c>
      <c r="T283" s="193">
        <v>13</v>
      </c>
      <c r="V283" s="193">
        <v>13</v>
      </c>
      <c r="X283" s="193">
        <v>13</v>
      </c>
      <c r="Y283" s="193">
        <v>13</v>
      </c>
      <c r="AA283" s="200" t="s">
        <v>3272</v>
      </c>
      <c r="AB283" s="200" t="str">
        <f t="array" ref="AB283">INDEX(B:B,SMALL(IF($Q$3:$Q$524&lt;&gt;"",ROW($3:$524),525),ROW(B282)))&amp;""</f>
        <v>亡灵召唤术</v>
      </c>
      <c r="AC283" s="225" t="str">
        <f>IFERROR(IF(AND($Q284&lt;&gt;"",IF(法术查询!$J$4="",1,INDEX($R284:$Z284,1,VLOOKUP(法术查询!$J$4,$AF$2:$AG$10,2,0)))&lt;&gt;"",IF(法术查询!$J$5="",1,$P284=VLOOKUP(法术查询!$J$5,$AH$2:$AI$11,2,0)),IF(法术查询!$J$6="",1,IF(法术查询!$J$6=$E284,1,0)),IF(法术查询!$J$7="",1,SEARCH(法术查询!$J$7,$F284)),IF(法术查询!$J$8="",1,SEARCH(法术查询!$J$8,G284)),IF(法术查询!$J$9="",1,SEARCH(法术查询!$J$9,N284)),IF(法术查询!$J$10="",1,IF(法术查询!$J$10=$AF$11,IF($M284=1,1,0),IF($M284="",1,0))),IF(法术查询!$J$11="",1,IF(法术查询!$J$11=$AF$11,IF($D284=1,1,0),IF($D284="",1,0))),IF(法术查询!$J$12="",1,SEARCH(法术查询!$J$12,$B284&amp;$C284&amp;$O284)),IF(法术查询!$J$13="",1,SEARCH(法术查询!$J$13,$B284&amp;$C284&amp;$O284)),IF(法术查询!$J$14="",1,SEARCH(法术查询!$J$14,$B284&amp;$C284&amp;$O284)),IF(法术查询!$J$16="",1,IF(法术查询!$J$16=$AF$11,IF($H284=1,1,0),IF($H284="",1,0))),IF(法术查询!$J$17="",1,IF(法术查询!$J$17=$AF$11,IF($I284=1,1,0),IF($I284="",1,0))),IF(法术查询!$J$18="",1,IF(法术查询!$J$18=$AF$11,IF($J284&lt;&gt;"",1,0),IF($J284="",1,0))),IF(法术查询!$J$19="",1,IF(法术查询!$J$19=$AF$11,IF($L284&lt;&gt;"",1,0),IF($L284="",1,0)))),$B284,""),"")</f>
        <v/>
      </c>
      <c r="AD283" s="192" t="str">
        <f t="array" ref="AD283">INDEX(AC:AC,SMALL(IF($AC$2:$AC$523&lt;&gt;"",ROW($2:$523),524),ROW(AC282)))&amp;""</f>
        <v/>
      </c>
      <c r="AE283" s="200" t="str">
        <f t="shared" si="8"/>
        <v/>
      </c>
      <c r="AJ283" s="192">
        <v>282</v>
      </c>
      <c r="AK283" s="193" t="str">
        <f>IF(法术书!AK39="","",法术书!AK39)</f>
        <v/>
      </c>
      <c r="AL283" s="224" t="str">
        <f t="array" ref="AL283">IFERROR(INDEX(AK$1:AK$301,SMALL(IF(MATCH(AK283,AK$1:AK$301,0)=ROW(AK283),ROW(AK$1:AK$301),999),ROW(AK283))),"")</f>
        <v/>
      </c>
      <c r="AM283" s="223" t="str">
        <f t="array" ref="AM283">INDEX(AL:AL,SMALL(IF($AL$2:$AL$301&lt;&gt;"",ROW($2:$301),302),ROW(AL282)))&amp;""</f>
        <v/>
      </c>
    </row>
    <row r="284" customHeight="1" spans="1:39">
      <c r="A284" s="192">
        <v>282</v>
      </c>
      <c r="B284" s="224" t="s">
        <v>7876</v>
      </c>
      <c r="C284" s="224" t="s">
        <v>7877</v>
      </c>
      <c r="E284" s="240" t="s">
        <v>6641</v>
      </c>
      <c r="F284" s="193" t="s">
        <v>6642</v>
      </c>
      <c r="G284" s="193" t="s">
        <v>6760</v>
      </c>
      <c r="H284" s="193">
        <v>1</v>
      </c>
      <c r="I284" s="193">
        <v>1</v>
      </c>
      <c r="J284" s="193">
        <v>1</v>
      </c>
      <c r="K284" s="224" t="s">
        <v>7878</v>
      </c>
      <c r="M284" s="193">
        <v>1</v>
      </c>
      <c r="N284" s="193" t="s">
        <v>6739</v>
      </c>
      <c r="O284" s="224" t="s">
        <v>7879</v>
      </c>
      <c r="P284" s="224">
        <v>3</v>
      </c>
      <c r="Q284" s="248" t="str">
        <f>IF(综合数据!$B$14=TRUE,"TCE","")</f>
        <v>TCE</v>
      </c>
      <c r="X284" s="193">
        <v>13</v>
      </c>
      <c r="Y284" s="193">
        <v>13</v>
      </c>
      <c r="AA284" s="200"/>
      <c r="AB284" s="200" t="str">
        <f t="array" ref="AB284">INDEX(B:B,SMALL(IF($Q$3:$Q$524&lt;&gt;"",ROW($3:$524),525),ROW(B283)))&amp;""</f>
        <v>阿莎德隆奔行</v>
      </c>
      <c r="AC284" s="225" t="str">
        <f>IFERROR(IF(AND($Q285&lt;&gt;"",IF(法术查询!$J$4="",1,INDEX($R285:$Z285,1,VLOOKUP(法术查询!$J$4,$AF$2:$AG$10,2,0)))&lt;&gt;"",IF(法术查询!$J$5="",1,$P285=VLOOKUP(法术查询!$J$5,$AH$2:$AI$11,2,0)),IF(法术查询!$J$6="",1,IF(法术查询!$J$6=$E285,1,0)),IF(法术查询!$J$7="",1,SEARCH(法术查询!$J$7,$F285)),IF(法术查询!$J$8="",1,SEARCH(法术查询!$J$8,G285)),IF(法术查询!$J$9="",1,SEARCH(法术查询!$J$9,N285)),IF(法术查询!$J$10="",1,IF(法术查询!$J$10=$AF$11,IF($M285=1,1,0),IF($M285="",1,0))),IF(法术查询!$J$11="",1,IF(法术查询!$J$11=$AF$11,IF($D285=1,1,0),IF($D285="",1,0))),IF(法术查询!$J$12="",1,SEARCH(法术查询!$J$12,$B285&amp;$C285&amp;$O285)),IF(法术查询!$J$13="",1,SEARCH(法术查询!$J$13,$B285&amp;$C285&amp;$O285)),IF(法术查询!$J$14="",1,SEARCH(法术查询!$J$14,$B285&amp;$C285&amp;$O285)),IF(法术查询!$J$16="",1,IF(法术查询!$J$16=$AF$11,IF($H285=1,1,0),IF($H285="",1,0))),IF(法术查询!$J$17="",1,IF(法术查询!$J$17=$AF$11,IF($I285=1,1,0),IF($I285="",1,0))),IF(法术查询!$J$18="",1,IF(法术查询!$J$18=$AF$11,IF($J285&lt;&gt;"",1,0),IF($J285="",1,0))),IF(法术查询!$J$19="",1,IF(法术查询!$J$19=$AF$11,IF($L285&lt;&gt;"",1,0),IF($L285="",1,0)))),$B285,""),"")</f>
        <v/>
      </c>
      <c r="AD284" s="192" t="str">
        <f t="array" ref="AD284">INDEX(AC:AC,SMALL(IF($AC$2:$AC$523&lt;&gt;"",ROW($2:$523),524),ROW(AC283)))&amp;""</f>
        <v/>
      </c>
      <c r="AE284" s="200" t="str">
        <f t="shared" si="8"/>
        <v/>
      </c>
      <c r="AJ284" s="192">
        <v>283</v>
      </c>
      <c r="AK284" s="193" t="str">
        <f>IF(法术书!AK40="","",法术书!AK40)</f>
        <v/>
      </c>
      <c r="AL284" s="224" t="str">
        <f t="array" ref="AL284">IFERROR(INDEX(AK$1:AK$301,SMALL(IF(MATCH(AK284,AK$1:AK$301,0)=ROW(AK284),ROW(AK$1:AK$301),999),ROW(AK284))),"")</f>
        <v/>
      </c>
      <c r="AM284" s="223" t="str">
        <f t="array" ref="AM284">INDEX(AL:AL,SMALL(IF($AL$2:$AL$301&lt;&gt;"",ROW($2:$301),302),ROW(AL283)))&amp;""</f>
        <v/>
      </c>
    </row>
    <row r="285" customHeight="1" spans="1:39">
      <c r="A285" s="192">
        <v>283</v>
      </c>
      <c r="B285" s="224" t="s">
        <v>7880</v>
      </c>
      <c r="C285" s="224" t="s">
        <v>7881</v>
      </c>
      <c r="E285" s="243" t="s">
        <v>6657</v>
      </c>
      <c r="F285" s="193" t="s">
        <v>6642</v>
      </c>
      <c r="G285" s="193" t="s">
        <v>6760</v>
      </c>
      <c r="H285" s="193">
        <v>1</v>
      </c>
      <c r="I285" s="193">
        <v>1</v>
      </c>
      <c r="J285" s="193">
        <v>1</v>
      </c>
      <c r="K285" s="224" t="s">
        <v>7882</v>
      </c>
      <c r="M285" s="193">
        <v>1</v>
      </c>
      <c r="N285" s="193" t="s">
        <v>6739</v>
      </c>
      <c r="O285" s="224" t="s">
        <v>7883</v>
      </c>
      <c r="P285" s="224">
        <v>3</v>
      </c>
      <c r="Q285" s="248" t="str">
        <f>IF(综合数据!$B$14=TRUE,"TCE","")</f>
        <v>TCE</v>
      </c>
      <c r="X285" s="193">
        <v>13</v>
      </c>
      <c r="Y285" s="193">
        <v>13</v>
      </c>
      <c r="AA285" s="200"/>
      <c r="AB285" s="200" t="str">
        <f t="array" ref="AB285">INDEX(B:B,SMALL(IF($Q$3:$Q$524&lt;&gt;"",ROW($3:$524),525),ROW(B284)))&amp;""</f>
        <v>敌意术</v>
      </c>
      <c r="AC285" s="225" t="str">
        <f>IFERROR(IF(AND($Q286&lt;&gt;"",IF(法术查询!$J$4="",1,INDEX($R286:$Z286,1,VLOOKUP(法术查询!$J$4,$AF$2:$AG$10,2,0)))&lt;&gt;"",IF(法术查询!$J$5="",1,$P286=VLOOKUP(法术查询!$J$5,$AH$2:$AI$11,2,0)),IF(法术查询!$J$6="",1,IF(法术查询!$J$6=$E286,1,0)),IF(法术查询!$J$7="",1,SEARCH(法术查询!$J$7,$F286)),IF(法术查询!$J$8="",1,SEARCH(法术查询!$J$8,G286)),IF(法术查询!$J$9="",1,SEARCH(法术查询!$J$9,N286)),IF(法术查询!$J$10="",1,IF(法术查询!$J$10=$AF$11,IF($M286=1,1,0),IF($M286="",1,0))),IF(法术查询!$J$11="",1,IF(法术查询!$J$11=$AF$11,IF($D286=1,1,0),IF($D286="",1,0))),IF(法术查询!$J$12="",1,SEARCH(法术查询!$J$12,$B286&amp;$C286&amp;$O286)),IF(法术查询!$J$13="",1,SEARCH(法术查询!$J$13,$B286&amp;$C286&amp;$O286)),IF(法术查询!$J$14="",1,SEARCH(法术查询!$J$14,$B286&amp;$C286&amp;$O286)),IF(法术查询!$J$16="",1,IF(法术查询!$J$16=$AF$11,IF($H286=1,1,0),IF($H286="",1,0))),IF(法术查询!$J$17="",1,IF(法术查询!$J$17=$AF$11,IF($I286=1,1,0),IF($I286="",1,0))),IF(法术查询!$J$18="",1,IF(法术查询!$J$18=$AF$11,IF($J286&lt;&gt;"",1,0),IF($J286="",1,0))),IF(法术查询!$J$19="",1,IF(法术查询!$J$19=$AF$11,IF($L286&lt;&gt;"",1,0),IF($L286="",1,0)))),$B286,""),"")</f>
        <v/>
      </c>
      <c r="AD285" s="192" t="str">
        <f t="array" ref="AD285">INDEX(AC:AC,SMALL(IF($AC$2:$AC$523&lt;&gt;"",ROW($2:$523),524),ROW(AC284)))&amp;""</f>
        <v/>
      </c>
      <c r="AE285" s="200" t="str">
        <f t="shared" si="8"/>
        <v/>
      </c>
      <c r="AJ285" s="192">
        <v>284</v>
      </c>
      <c r="AK285" s="193" t="str">
        <f>IF(法术书!AK41="","",法术书!AK41)</f>
        <v/>
      </c>
      <c r="AL285" s="224" t="str">
        <f t="array" ref="AL285">IFERROR(INDEX(AK$1:AK$301,SMALL(IF(MATCH(AK285,AK$1:AK$301,0)=ROW(AK285),ROW(AK$1:AK$301),999),ROW(AK285))),"")</f>
        <v/>
      </c>
      <c r="AM285" s="223" t="str">
        <f t="array" ref="AM285">INDEX(AL:AL,SMALL(IF($AL$2:$AL$301&lt;&gt;"",ROW($2:$301),302),ROW(AL284)))&amp;""</f>
        <v/>
      </c>
    </row>
    <row r="286" customHeight="1" spans="1:39">
      <c r="A286" s="192">
        <v>284</v>
      </c>
      <c r="B286" s="224" t="s">
        <v>7884</v>
      </c>
      <c r="C286" s="224" t="s">
        <v>7885</v>
      </c>
      <c r="E286" s="231" t="s">
        <v>6672</v>
      </c>
      <c r="F286" s="193" t="s">
        <v>6712</v>
      </c>
      <c r="G286" s="193" t="s">
        <v>6651</v>
      </c>
      <c r="H286" s="193">
        <v>1</v>
      </c>
      <c r="I286" s="193">
        <v>1</v>
      </c>
      <c r="M286" s="193">
        <v>1</v>
      </c>
      <c r="N286" s="193" t="s">
        <v>6666</v>
      </c>
      <c r="O286" s="224" t="s">
        <v>7886</v>
      </c>
      <c r="P286" s="193">
        <v>3</v>
      </c>
      <c r="Q286" s="258" t="str">
        <f>IF(综合数据!$B$16=TRUE,"FTD","")</f>
        <v>FTD</v>
      </c>
      <c r="V286" s="193">
        <v>15</v>
      </c>
      <c r="W286" s="193">
        <v>15</v>
      </c>
      <c r="X286" s="193">
        <v>15</v>
      </c>
      <c r="Z286" s="193">
        <v>15</v>
      </c>
      <c r="AA286" s="200"/>
      <c r="AB286" s="200" t="str">
        <f t="array" ref="AB286">INDEX(B:B,SMALL(IF($Q$3:$Q$524&lt;&gt;"",ROW($3:$524),525),ROW(B285)))&amp;""</f>
        <v>秘法眼</v>
      </c>
      <c r="AC286" s="225" t="str">
        <f>IFERROR(IF(AND($Q287&lt;&gt;"",IF(法术查询!$J$4="",1,INDEX($R287:$Z287,1,VLOOKUP(法术查询!$J$4,$AF$2:$AG$10,2,0)))&lt;&gt;"",IF(法术查询!$J$5="",1,$P287=VLOOKUP(法术查询!$J$5,$AH$2:$AI$11,2,0)),IF(法术查询!$J$6="",1,IF(法术查询!$J$6=$E287,1,0)),IF(法术查询!$J$7="",1,SEARCH(法术查询!$J$7,$F287)),IF(法术查询!$J$8="",1,SEARCH(法术查询!$J$8,G287)),IF(法术查询!$J$9="",1,SEARCH(法术查询!$J$9,N287)),IF(法术查询!$J$10="",1,IF(法术查询!$J$10=$AF$11,IF($M287=1,1,0),IF($M287="",1,0))),IF(法术查询!$J$11="",1,IF(法术查询!$J$11=$AF$11,IF($D287=1,1,0),IF($D287="",1,0))),IF(法术查询!$J$12="",1,SEARCH(法术查询!$J$12,$B287&amp;$C287&amp;$O287)),IF(法术查询!$J$13="",1,SEARCH(法术查询!$J$13,$B287&amp;$C287&amp;$O287)),IF(法术查询!$J$14="",1,SEARCH(法术查询!$J$14,$B287&amp;$C287&amp;$O287)),IF(法术查询!$J$16="",1,IF(法术查询!$J$16=$AF$11,IF($H287=1,1,0),IF($H287="",1,0))),IF(法术查询!$J$17="",1,IF(法术查询!$J$17=$AF$11,IF($I287=1,1,0),IF($I287="",1,0))),IF(法术查询!$J$18="",1,IF(法术查询!$J$18=$AF$11,IF($J287&lt;&gt;"",1,0),IF($J287="",1,0))),IF(法术查询!$J$19="",1,IF(法术查询!$J$19=$AF$11,IF($L287&lt;&gt;"",1,0),IF($L287="",1,0)))),$B287,""),"")</f>
        <v/>
      </c>
      <c r="AD286" s="192" t="str">
        <f t="array" ref="AD286">INDEX(AC:AC,SMALL(IF($AC$2:$AC$523&lt;&gt;"",ROW($2:$523),524),ROW(AC285)))&amp;""</f>
        <v/>
      </c>
      <c r="AE286" s="200" t="str">
        <f t="shared" si="8"/>
        <v/>
      </c>
      <c r="AJ286" s="192">
        <v>285</v>
      </c>
      <c r="AK286" s="193" t="str">
        <f>IF(法术书!AK42="","",法术书!AK42)</f>
        <v/>
      </c>
      <c r="AL286" s="224" t="str">
        <f t="array" ref="AL286">IFERROR(INDEX(AK$1:AK$301,SMALL(IF(MATCH(AK286,AK$1:AK$301,0)=ROW(AK286),ROW(AK$1:AK$301),999),ROW(AK286))),"")</f>
        <v/>
      </c>
      <c r="AM286" s="223" t="str">
        <f t="array" ref="AM286">INDEX(AL:AL,SMALL(IF($AL$2:$AL$301&lt;&gt;"",ROW($2:$301),302),ROW(AL285)))&amp;""</f>
        <v/>
      </c>
    </row>
    <row r="287" customHeight="1" spans="1:39">
      <c r="A287" s="192">
        <v>285</v>
      </c>
      <c r="B287" s="224" t="s">
        <v>7887</v>
      </c>
      <c r="C287" s="224" t="s">
        <v>7888</v>
      </c>
      <c r="E287" s="233" t="s">
        <v>6688</v>
      </c>
      <c r="F287" s="193" t="s">
        <v>6642</v>
      </c>
      <c r="G287" s="193" t="s">
        <v>6673</v>
      </c>
      <c r="H287" s="193">
        <v>1</v>
      </c>
      <c r="I287" s="193">
        <v>1</v>
      </c>
      <c r="J287" s="193">
        <v>1</v>
      </c>
      <c r="K287" s="224" t="s">
        <v>7889</v>
      </c>
      <c r="N287" s="193" t="s">
        <v>6644</v>
      </c>
      <c r="O287" s="224" t="s">
        <v>7890</v>
      </c>
      <c r="P287" s="193">
        <v>3</v>
      </c>
      <c r="Q287" s="256" t="s">
        <v>269</v>
      </c>
      <c r="W287" s="193">
        <v>22</v>
      </c>
      <c r="X287" s="193">
        <v>22</v>
      </c>
      <c r="Y287" s="193">
        <v>22</v>
      </c>
      <c r="AA287" s="200"/>
      <c r="AB287" s="200" t="str">
        <f t="array" ref="AB287">INDEX(B:B,SMALL(IF($Q$3:$Q$524&lt;&gt;"",ROW($3:$524),525),ROW(B286)))&amp;""</f>
        <v>生命灵光</v>
      </c>
      <c r="AC287" s="225" t="str">
        <f>IFERROR(IF(AND($Q288&lt;&gt;"",IF(法术查询!$J$4="",1,INDEX($R288:$Z288,1,VLOOKUP(法术查询!$J$4,$AF$2:$AG$10,2,0)))&lt;&gt;"",IF(法术查询!$J$5="",1,$P288=VLOOKUP(法术查询!$J$5,$AH$2:$AI$11,2,0)),IF(法术查询!$J$6="",1,IF(法术查询!$J$6=$E288,1,0)),IF(法术查询!$J$7="",1,SEARCH(法术查询!$J$7,$F288)),IF(法术查询!$J$8="",1,SEARCH(法术查询!$J$8,G288)),IF(法术查询!$J$9="",1,SEARCH(法术查询!$J$9,N288)),IF(法术查询!$J$10="",1,IF(法术查询!$J$10=$AF$11,IF($M288=1,1,0),IF($M288="",1,0))),IF(法术查询!$J$11="",1,IF(法术查询!$J$11=$AF$11,IF($D288=1,1,0),IF($D288="",1,0))),IF(法术查询!$J$12="",1,SEARCH(法术查询!$J$12,$B288&amp;$C288&amp;$O288)),IF(法术查询!$J$13="",1,SEARCH(法术查询!$J$13,$B288&amp;$C288&amp;$O288)),IF(法术查询!$J$14="",1,SEARCH(法术查询!$J$14,$B288&amp;$C288&amp;$O288)),IF(法术查询!$J$16="",1,IF(法术查询!$J$16=$AF$11,IF($H288=1,1,0),IF($H288="",1,0))),IF(法术查询!$J$17="",1,IF(法术查询!$J$17=$AF$11,IF($I288=1,1,0),IF($I288="",1,0))),IF(法术查询!$J$18="",1,IF(法术查询!$J$18=$AF$11,IF($J288&lt;&gt;"",1,0),IF($J288="",1,0))),IF(法术查询!$J$19="",1,IF(法术查询!$J$19=$AF$11,IF($L288&lt;&gt;"",1,0),IF($L288="",1,0)))),$B288,""),"")</f>
        <v/>
      </c>
      <c r="AD287" s="192" t="str">
        <f t="array" ref="AD287">INDEX(AC:AC,SMALL(IF($AC$2:$AC$523&lt;&gt;"",ROW($2:$523),524),ROW(AC286)))&amp;""</f>
        <v/>
      </c>
      <c r="AE287" s="200" t="str">
        <f t="shared" si="8"/>
        <v/>
      </c>
      <c r="AJ287" s="192">
        <v>286</v>
      </c>
      <c r="AK287" s="193" t="str">
        <f>IF(法术书!AK43="","",法术书!AK43)</f>
        <v/>
      </c>
      <c r="AL287" s="224" t="str">
        <f t="array" ref="AL287">IFERROR(INDEX(AK$1:AK$301,SMALL(IF(MATCH(AK287,AK$1:AK$301,0)=ROW(AK287),ROW(AK$1:AK$301),999),ROW(AK287))),"")</f>
        <v/>
      </c>
      <c r="AM287" s="223" t="str">
        <f t="array" ref="AM287">INDEX(AL:AL,SMALL(IF($AL$2:$AL$301&lt;&gt;"",ROW($2:$301),302),ROW(AL286)))&amp;""</f>
        <v/>
      </c>
    </row>
    <row r="288" customHeight="1" spans="1:39">
      <c r="A288" s="192">
        <v>286</v>
      </c>
      <c r="B288" s="224" t="s">
        <v>7891</v>
      </c>
      <c r="C288" s="224" t="s">
        <v>7892</v>
      </c>
      <c r="E288" s="240" t="s">
        <v>6641</v>
      </c>
      <c r="F288" s="193" t="s">
        <v>6731</v>
      </c>
      <c r="G288" s="193" t="s">
        <v>6673</v>
      </c>
      <c r="H288" s="193">
        <v>1</v>
      </c>
      <c r="I288" s="193">
        <v>1</v>
      </c>
      <c r="J288" s="193">
        <v>1</v>
      </c>
      <c r="K288" s="224" t="s">
        <v>7893</v>
      </c>
      <c r="N288" s="193" t="s">
        <v>6759</v>
      </c>
      <c r="O288" s="224" t="s">
        <v>7894</v>
      </c>
      <c r="P288" s="224">
        <v>3</v>
      </c>
      <c r="Q288" s="257" t="str">
        <f>IF(综合数据!$B$23=TRUE,"MOD","")</f>
        <v/>
      </c>
      <c r="X288" s="193">
        <v>0</v>
      </c>
      <c r="AA288" s="200"/>
      <c r="AB288" s="200" t="str">
        <f t="array" ref="AB288">INDEX(B:B,SMALL(IF($Q$3:$Q$524&lt;&gt;"",ROW($3:$524),525),ROW(B287)))&amp;""</f>
        <v>净化灵光</v>
      </c>
      <c r="AC288" s="225" t="str">
        <f>IFERROR(IF(AND($Q289&lt;&gt;"",IF(法术查询!$J$4="",1,INDEX($R289:$Z289,1,VLOOKUP(法术查询!$J$4,$AF$2:$AG$10,2,0)))&lt;&gt;"",IF(法术查询!$J$5="",1,$P289=VLOOKUP(法术查询!$J$5,$AH$2:$AI$11,2,0)),IF(法术查询!$J$6="",1,IF(法术查询!$J$6=$E289,1,0)),IF(法术查询!$J$7="",1,SEARCH(法术查询!$J$7,$F289)),IF(法术查询!$J$8="",1,SEARCH(法术查询!$J$8,G289)),IF(法术查询!$J$9="",1,SEARCH(法术查询!$J$9,N289)),IF(法术查询!$J$10="",1,IF(法术查询!$J$10=$AF$11,IF($M289=1,1,0),IF($M289="",1,0))),IF(法术查询!$J$11="",1,IF(法术查询!$J$11=$AF$11,IF($D289=1,1,0),IF($D289="",1,0))),IF(法术查询!$J$12="",1,SEARCH(法术查询!$J$12,$B289&amp;$C289&amp;$O289)),IF(法术查询!$J$13="",1,SEARCH(法术查询!$J$13,$B289&amp;$C289&amp;$O289)),IF(法术查询!$J$14="",1,SEARCH(法术查询!$J$14,$B289&amp;$C289&amp;$O289)),IF(法术查询!$J$16="",1,IF(法术查询!$J$16=$AF$11,IF($H289=1,1,0),IF($H289="",1,0))),IF(法术查询!$J$17="",1,IF(法术查询!$J$17=$AF$11,IF($I289=1,1,0),IF($I289="",1,0))),IF(法术查询!$J$18="",1,IF(法术查询!$J$18=$AF$11,IF($J289&lt;&gt;"",1,0),IF($J289="",1,0))),IF(法术查询!$J$19="",1,IF(法术查询!$J$19=$AF$11,IF($L289&lt;&gt;"",1,0),IF($L289="",1,0)))),$B289,""),"")</f>
        <v/>
      </c>
      <c r="AD288" s="192" t="str">
        <f t="array" ref="AD288">INDEX(AC:AC,SMALL(IF($AC$2:$AC$523&lt;&gt;"",ROW($2:$523),524),ROW(AC287)))&amp;""</f>
        <v/>
      </c>
      <c r="AE288" s="200" t="str">
        <f t="shared" si="8"/>
        <v/>
      </c>
      <c r="AJ288" s="192">
        <v>287</v>
      </c>
      <c r="AK288" s="193" t="str">
        <f>IF(法术书!AK44="","",法术书!AK44)</f>
        <v/>
      </c>
      <c r="AL288" s="224" t="str">
        <f t="array" ref="AL288">IFERROR(INDEX(AK$1:AK$301,SMALL(IF(MATCH(AK288,AK$1:AK$301,0)=ROW(AK288),ROW(AK$1:AK$301),999),ROW(AK288))),"")</f>
        <v/>
      </c>
      <c r="AM288" s="223" t="str">
        <f t="array" ref="AM288">INDEX(AL:AL,SMALL(IF($AL$2:$AL$301&lt;&gt;"",ROW($2:$301),302),ROW(AL287)))&amp;""</f>
        <v/>
      </c>
    </row>
    <row r="289" customHeight="1" spans="1:39">
      <c r="A289" s="192">
        <v>287</v>
      </c>
      <c r="B289" s="224" t="s">
        <v>7895</v>
      </c>
      <c r="C289" s="224" t="s">
        <v>7896</v>
      </c>
      <c r="E289" s="238" t="s">
        <v>6695</v>
      </c>
      <c r="F289" s="193" t="s">
        <v>6642</v>
      </c>
      <c r="G289" s="193" t="s">
        <v>6673</v>
      </c>
      <c r="H289" s="193">
        <v>1</v>
      </c>
      <c r="I289" s="193">
        <v>1</v>
      </c>
      <c r="J289" s="193">
        <v>1</v>
      </c>
      <c r="K289" s="224" t="s">
        <v>7897</v>
      </c>
      <c r="M289" s="193">
        <v>1</v>
      </c>
      <c r="N289" s="193" t="s">
        <v>6739</v>
      </c>
      <c r="O289" s="224" t="s">
        <v>7898</v>
      </c>
      <c r="P289" s="224">
        <v>4</v>
      </c>
      <c r="Q289" s="224" t="s">
        <v>249</v>
      </c>
      <c r="X289" s="193">
        <v>1</v>
      </c>
      <c r="Z289" s="193">
        <v>9</v>
      </c>
      <c r="AA289" s="223" t="s">
        <v>7899</v>
      </c>
      <c r="AB289" s="200" t="str">
        <f t="array" ref="AB289">INDEX(B:B,SMALL(IF($Q$3:$Q$524&lt;&gt;"",ROW($3:$524),525),ROW(B288)))&amp;""</f>
        <v>放逐术</v>
      </c>
      <c r="AC289" s="225" t="str">
        <f>IFERROR(IF(AND($Q290&lt;&gt;"",IF(法术查询!$J$4="",1,INDEX($R290:$Z290,1,VLOOKUP(法术查询!$J$4,$AF$2:$AG$10,2,0)))&lt;&gt;"",IF(法术查询!$J$5="",1,$P290=VLOOKUP(法术查询!$J$5,$AH$2:$AI$11,2,0)),IF(法术查询!$J$6="",1,IF(法术查询!$J$6=$E290,1,0)),IF(法术查询!$J$7="",1,SEARCH(法术查询!$J$7,$F290)),IF(法术查询!$J$8="",1,SEARCH(法术查询!$J$8,G290)),IF(法术查询!$J$9="",1,SEARCH(法术查询!$J$9,N290)),IF(法术查询!$J$10="",1,IF(法术查询!$J$10=$AF$11,IF($M290=1,1,0),IF($M290="",1,0))),IF(法术查询!$J$11="",1,IF(法术查询!$J$11=$AF$11,IF($D290=1,1,0),IF($D290="",1,0))),IF(法术查询!$J$12="",1,SEARCH(法术查询!$J$12,$B290&amp;$C290&amp;$O290)),IF(法术查询!$J$13="",1,SEARCH(法术查询!$J$13,$B290&amp;$C290&amp;$O290)),IF(法术查询!$J$14="",1,SEARCH(法术查询!$J$14,$B290&amp;$C290&amp;$O290)),IF(法术查询!$J$16="",1,IF(法术查询!$J$16=$AF$11,IF($H290=1,1,0),IF($H290="",1,0))),IF(法术查询!$J$17="",1,IF(法术查询!$J$17=$AF$11,IF($I290=1,1,0),IF($I290="",1,0))),IF(法术查询!$J$18="",1,IF(法术查询!$J$18=$AF$11,IF($J290&lt;&gt;"",1,0),IF($J290="",1,0))),IF(法术查询!$J$19="",1,IF(法术查询!$J$19=$AF$11,IF($L290&lt;&gt;"",1,0),IF($L290="",1,0)))),$B290,""),"")</f>
        <v/>
      </c>
      <c r="AD289" s="192" t="str">
        <f t="array" ref="AD289">INDEX(AC:AC,SMALL(IF($AC$2:$AC$523&lt;&gt;"",ROW($2:$523),524),ROW(AC288)))&amp;""</f>
        <v/>
      </c>
      <c r="AE289" s="200" t="str">
        <f t="shared" si="8"/>
        <v/>
      </c>
      <c r="AJ289" s="192">
        <v>288</v>
      </c>
      <c r="AK289" s="193" t="str">
        <f>IF(法术书!AK45="","",法术书!AK45)</f>
        <v/>
      </c>
      <c r="AL289" s="224" t="str">
        <f t="array" ref="AL289">IFERROR(INDEX(AK$1:AK$301,SMALL(IF(MATCH(AK289,AK$1:AK$301,0)=ROW(AK289),ROW(AK$1:AK$301),999),ROW(AK289))),"")</f>
        <v/>
      </c>
      <c r="AM289" s="223" t="str">
        <f t="array" ref="AM289">INDEX(AL:AL,SMALL(IF($AL$2:$AL$301&lt;&gt;"",ROW($2:$301),302),ROW(AL288)))&amp;""</f>
        <v/>
      </c>
    </row>
    <row r="290" customHeight="1" spans="1:39">
      <c r="A290" s="192">
        <v>288</v>
      </c>
      <c r="B290" s="224" t="s">
        <v>7900</v>
      </c>
      <c r="C290" s="224" t="s">
        <v>7901</v>
      </c>
      <c r="E290" s="242" t="s">
        <v>6650</v>
      </c>
      <c r="F290" s="193" t="s">
        <v>6642</v>
      </c>
      <c r="G290" s="193" t="s">
        <v>6867</v>
      </c>
      <c r="H290" s="193">
        <v>1</v>
      </c>
      <c r="K290" s="224"/>
      <c r="M290" s="193">
        <v>1</v>
      </c>
      <c r="N290" s="193" t="s">
        <v>6831</v>
      </c>
      <c r="O290" s="224" t="s">
        <v>7902</v>
      </c>
      <c r="P290" s="224">
        <v>4</v>
      </c>
      <c r="Q290" s="224" t="s">
        <v>249</v>
      </c>
      <c r="S290" s="193" t="str">
        <f>IF(综合数据!$B$14=TRUE,"13","")</f>
        <v>13</v>
      </c>
      <c r="U290" s="193">
        <v>1</v>
      </c>
      <c r="AA290" s="223" t="s">
        <v>7903</v>
      </c>
      <c r="AB290" s="200" t="str">
        <f t="array" ref="AB290">INDEX(B:B,SMALL(IF($Q$3:$Q$524&lt;&gt;"",ROW($3:$524),525),ROW(B289)))&amp;""</f>
        <v>枯萎术</v>
      </c>
      <c r="AC290" s="225" t="str">
        <f>IFERROR(IF(AND($Q291&lt;&gt;"",IF(法术查询!$J$4="",1,INDEX($R291:$Z291,1,VLOOKUP(法术查询!$J$4,$AF$2:$AG$10,2,0)))&lt;&gt;"",IF(法术查询!$J$5="",1,$P291=VLOOKUP(法术查询!$J$5,$AH$2:$AI$11,2,0)),IF(法术查询!$J$6="",1,IF(法术查询!$J$6=$E291,1,0)),IF(法术查询!$J$7="",1,SEARCH(法术查询!$J$7,$F291)),IF(法术查询!$J$8="",1,SEARCH(法术查询!$J$8,G291)),IF(法术查询!$J$9="",1,SEARCH(法术查询!$J$9,N291)),IF(法术查询!$J$10="",1,IF(法术查询!$J$10=$AF$11,IF($M291=1,1,0),IF($M291="",1,0))),IF(法术查询!$J$11="",1,IF(法术查询!$J$11=$AF$11,IF($D291=1,1,0),IF($D291="",1,0))),IF(法术查询!$J$12="",1,SEARCH(法术查询!$J$12,$B291&amp;$C291&amp;$O291)),IF(法术查询!$J$13="",1,SEARCH(法术查询!$J$13,$B291&amp;$C291&amp;$O291)),IF(法术查询!$J$14="",1,SEARCH(法术查询!$J$14,$B291&amp;$C291&amp;$O291)),IF(法术查询!$J$16="",1,IF(法术查询!$J$16=$AF$11,IF($H291=1,1,0),IF($H291="",1,0))),IF(法术查询!$J$17="",1,IF(法术查询!$J$17=$AF$11,IF($I291=1,1,0),IF($I291="",1,0))),IF(法术查询!$J$18="",1,IF(法术查询!$J$18=$AF$11,IF($J291&lt;&gt;"",1,0),IF($J291="",1,0))),IF(法术查询!$J$19="",1,IF(法术查询!$J$19=$AF$11,IF($L291&lt;&gt;"",1,0),IF($L291="",1,0)))),$B291,""),"")</f>
        <v/>
      </c>
      <c r="AD290" s="192" t="str">
        <f t="array" ref="AD290">INDEX(AC:AC,SMALL(IF($AC$2:$AC$523&lt;&gt;"",ROW($2:$523),524),ROW(AC289)))&amp;""</f>
        <v/>
      </c>
      <c r="AE290" s="200" t="str">
        <f t="shared" si="8"/>
        <v/>
      </c>
      <c r="AJ290" s="192">
        <v>289</v>
      </c>
      <c r="AK290" s="193" t="str">
        <f>IF(法术书!AK46="","",法术书!AK46)</f>
        <v/>
      </c>
      <c r="AL290" s="224" t="str">
        <f t="array" ref="AL290">IFERROR(INDEX(AK$1:AK$301,SMALL(IF(MATCH(AK290,AK$1:AK$301,0)=ROW(AK290),ROW(AK$1:AK$301),999),ROW(AK290))),"")</f>
        <v/>
      </c>
      <c r="AM290" s="223" t="str">
        <f t="array" ref="AM290">INDEX(AL:AL,SMALL(IF($AL$2:$AL$301&lt;&gt;"",ROW($2:$301),302),ROW(AL289)))&amp;""</f>
        <v/>
      </c>
    </row>
    <row r="291" customHeight="1" spans="1:39">
      <c r="A291" s="192">
        <v>289</v>
      </c>
      <c r="B291" s="224" t="s">
        <v>7904</v>
      </c>
      <c r="C291" s="224" t="s">
        <v>7905</v>
      </c>
      <c r="E291" s="242" t="s">
        <v>6650</v>
      </c>
      <c r="F291" s="193" t="s">
        <v>6642</v>
      </c>
      <c r="G291" s="193" t="s">
        <v>6867</v>
      </c>
      <c r="H291" s="193">
        <v>1</v>
      </c>
      <c r="M291" s="193">
        <v>1</v>
      </c>
      <c r="N291" s="193" t="s">
        <v>6831</v>
      </c>
      <c r="O291" s="224" t="s">
        <v>7906</v>
      </c>
      <c r="P291" s="224">
        <v>4</v>
      </c>
      <c r="Q291" s="224" t="s">
        <v>249</v>
      </c>
      <c r="S291" s="193" t="str">
        <f>IF(综合数据!$B$14=TRUE,"13","")</f>
        <v>13</v>
      </c>
      <c r="U291" s="193">
        <v>1</v>
      </c>
      <c r="AA291" s="223" t="s">
        <v>7907</v>
      </c>
      <c r="AB291" s="200" t="str">
        <f t="array" ref="AB291">INDEX(B:B,SMALL(IF($Q$3:$Q$524&lt;&gt;"",ROW($3:$524),525),ROW(B290)))&amp;""</f>
        <v>强迫术</v>
      </c>
      <c r="AC291" s="225" t="str">
        <f>IFERROR(IF(AND($Q292&lt;&gt;"",IF(法术查询!$J$4="",1,INDEX($R292:$Z292,1,VLOOKUP(法术查询!$J$4,$AF$2:$AG$10,2,0)))&lt;&gt;"",IF(法术查询!$J$5="",1,$P292=VLOOKUP(法术查询!$J$5,$AH$2:$AI$11,2,0)),IF(法术查询!$J$6="",1,IF(法术查询!$J$6=$E292,1,0)),IF(法术查询!$J$7="",1,SEARCH(法术查询!$J$7,$F292)),IF(法术查询!$J$8="",1,SEARCH(法术查询!$J$8,G292)),IF(法术查询!$J$9="",1,SEARCH(法术查询!$J$9,N292)),IF(法术查询!$J$10="",1,IF(法术查询!$J$10=$AF$11,IF($M292=1,1,0),IF($M292="",1,0))),IF(法术查询!$J$11="",1,IF(法术查询!$J$11=$AF$11,IF($D292=1,1,0),IF($D292="",1,0))),IF(法术查询!$J$12="",1,SEARCH(法术查询!$J$12,$B292&amp;$C292&amp;$O292)),IF(法术查询!$J$13="",1,SEARCH(法术查询!$J$13,$B292&amp;$C292&amp;$O292)),IF(法术查询!$J$14="",1,SEARCH(法术查询!$J$14,$B292&amp;$C292&amp;$O292)),IF(法术查询!$J$16="",1,IF(法术查询!$J$16=$AF$11,IF($H292=1,1,0),IF($H292="",1,0))),IF(法术查询!$J$17="",1,IF(法术查询!$J$17=$AF$11,IF($I292=1,1,0),IF($I292="",1,0))),IF(法术查询!$J$18="",1,IF(法术查询!$J$18=$AF$11,IF($J292&lt;&gt;"",1,0),IF($J292="",1,0))),IF(法术查询!$J$19="",1,IF(法术查询!$J$19=$AF$11,IF($L292&lt;&gt;"",1,0),IF($L292="",1,0)))),$B292,""),"")</f>
        <v/>
      </c>
      <c r="AD291" s="192" t="str">
        <f t="array" ref="AD291">INDEX(AC:AC,SMALL(IF($AC$2:$AC$523&lt;&gt;"",ROW($2:$523),524),ROW(AC290)))&amp;""</f>
        <v/>
      </c>
      <c r="AE291" s="200" t="str">
        <f t="shared" si="8"/>
        <v/>
      </c>
      <c r="AJ291" s="192">
        <v>290</v>
      </c>
      <c r="AK291" s="193" t="str">
        <f>IF(法术书!AK47="","",法术书!AK47)</f>
        <v/>
      </c>
      <c r="AL291" s="224" t="str">
        <f t="array" ref="AL291">IFERROR(INDEX(AK$1:AK$301,SMALL(IF(MATCH(AK291,AK$1:AK$301,0)=ROW(AK291),ROW(AK$1:AK$301),999),ROW(AK291))),"")</f>
        <v/>
      </c>
      <c r="AM291" s="223" t="str">
        <f t="array" ref="AM291">INDEX(AL:AL,SMALL(IF($AL$2:$AL$301&lt;&gt;"",ROW($2:$301),302),ROW(AL290)))&amp;""</f>
        <v/>
      </c>
    </row>
    <row r="292" customHeight="1" spans="1:39">
      <c r="A292" s="192">
        <v>290</v>
      </c>
      <c r="B292" s="224" t="s">
        <v>7908</v>
      </c>
      <c r="C292" s="224" t="s">
        <v>7909</v>
      </c>
      <c r="E292" s="242" t="s">
        <v>6650</v>
      </c>
      <c r="F292" s="193" t="s">
        <v>6642</v>
      </c>
      <c r="G292" s="193" t="s">
        <v>6643</v>
      </c>
      <c r="H292" s="193">
        <v>1</v>
      </c>
      <c r="I292" s="193">
        <v>1</v>
      </c>
      <c r="J292" s="193">
        <v>1</v>
      </c>
      <c r="K292" s="224" t="s">
        <v>7910</v>
      </c>
      <c r="M292" s="193">
        <v>1</v>
      </c>
      <c r="N292" s="193" t="s">
        <v>6666</v>
      </c>
      <c r="O292" s="224" t="s">
        <v>7911</v>
      </c>
      <c r="P292" s="224">
        <v>4</v>
      </c>
      <c r="Q292" s="224" t="s">
        <v>249</v>
      </c>
      <c r="S292" s="193">
        <v>1</v>
      </c>
      <c r="U292" s="193">
        <v>1</v>
      </c>
      <c r="W292" s="193">
        <v>1</v>
      </c>
      <c r="X292" s="193">
        <v>1</v>
      </c>
      <c r="Y292" s="193">
        <v>1</v>
      </c>
      <c r="AA292" s="223" t="s">
        <v>7912</v>
      </c>
      <c r="AB292" s="200" t="str">
        <f t="array" ref="AB292">INDEX(B:B,SMALL(IF($Q$3:$Q$524&lt;&gt;"",ROW($3:$524),525),ROW(B291)))&amp;""</f>
        <v>困惑术</v>
      </c>
      <c r="AC292" s="225" t="str">
        <f>IFERROR(IF(AND($Q293&lt;&gt;"",IF(法术查询!$J$4="",1,INDEX($R293:$Z293,1,VLOOKUP(法术查询!$J$4,$AF$2:$AG$10,2,0)))&lt;&gt;"",IF(法术查询!$J$5="",1,$P293=VLOOKUP(法术查询!$J$5,$AH$2:$AI$11,2,0)),IF(法术查询!$J$6="",1,IF(法术查询!$J$6=$E293,1,0)),IF(法术查询!$J$7="",1,SEARCH(法术查询!$J$7,$F293)),IF(法术查询!$J$8="",1,SEARCH(法术查询!$J$8,G293)),IF(法术查询!$J$9="",1,SEARCH(法术查询!$J$9,N293)),IF(法术查询!$J$10="",1,IF(法术查询!$J$10=$AF$11,IF($M293=1,1,0),IF($M293="",1,0))),IF(法术查询!$J$11="",1,IF(法术查询!$J$11=$AF$11,IF($D293=1,1,0),IF($D293="",1,0))),IF(法术查询!$J$12="",1,SEARCH(法术查询!$J$12,$B293&amp;$C293&amp;$O293)),IF(法术查询!$J$13="",1,SEARCH(法术查询!$J$13,$B293&amp;$C293&amp;$O293)),IF(法术查询!$J$14="",1,SEARCH(法术查询!$J$14,$B293&amp;$C293&amp;$O293)),IF(法术查询!$J$16="",1,IF(法术查询!$J$16=$AF$11,IF($H293=1,1,0),IF($H293="",1,0))),IF(法术查询!$J$17="",1,IF(法术查询!$J$17=$AF$11,IF($I293=1,1,0),IF($I293="",1,0))),IF(法术查询!$J$18="",1,IF(法术查询!$J$18=$AF$11,IF($J293&lt;&gt;"",1,0),IF($J293="",1,0))),IF(法术查询!$J$19="",1,IF(法术查询!$J$19=$AF$11,IF($L293&lt;&gt;"",1,0),IF($L293="",1,0)))),$B293,""),"")</f>
        <v/>
      </c>
      <c r="AD292" s="192" t="str">
        <f t="array" ref="AD292">INDEX(AC:AC,SMALL(IF($AC$2:$AC$523&lt;&gt;"",ROW($2:$523),524),ROW(AC291)))&amp;""</f>
        <v/>
      </c>
      <c r="AE292" s="200" t="str">
        <f t="shared" si="8"/>
        <v/>
      </c>
      <c r="AJ292" s="192">
        <v>291</v>
      </c>
      <c r="AK292" s="193" t="str">
        <f>IF(法术书!AK48="","",法术书!AK48)</f>
        <v/>
      </c>
      <c r="AL292" s="224" t="str">
        <f t="array" ref="AL292">IFERROR(INDEX(AK$1:AK$301,SMALL(IF(MATCH(AK292,AK$1:AK$301,0)=ROW(AK292),ROW(AK$1:AK$301),999),ROW(AK292))),"")</f>
        <v/>
      </c>
      <c r="AM292" s="223" t="str">
        <f t="array" ref="AM292">INDEX(AL:AL,SMALL(IF($AL$2:$AL$301&lt;&gt;"",ROW($2:$301),302),ROW(AL291)))&amp;""</f>
        <v/>
      </c>
    </row>
    <row r="293" customHeight="1" spans="1:39">
      <c r="A293" s="192">
        <v>291</v>
      </c>
      <c r="B293" s="224" t="s">
        <v>7913</v>
      </c>
      <c r="C293" s="224" t="s">
        <v>7914</v>
      </c>
      <c r="E293" s="243" t="s">
        <v>6657</v>
      </c>
      <c r="F293" s="193" t="s">
        <v>6642</v>
      </c>
      <c r="G293" s="193" t="s">
        <v>6673</v>
      </c>
      <c r="H293" s="193">
        <v>1</v>
      </c>
      <c r="I293" s="193">
        <v>1</v>
      </c>
      <c r="N293" s="193" t="s">
        <v>6644</v>
      </c>
      <c r="O293" s="224" t="s">
        <v>7915</v>
      </c>
      <c r="P293" s="224">
        <v>4</v>
      </c>
      <c r="Q293" s="224" t="s">
        <v>249</v>
      </c>
      <c r="T293" s="193">
        <v>1</v>
      </c>
      <c r="W293" s="193">
        <v>1</v>
      </c>
      <c r="X293" s="193">
        <v>1</v>
      </c>
      <c r="Y293" s="193">
        <v>1</v>
      </c>
      <c r="AA293" s="223" t="s">
        <v>7916</v>
      </c>
      <c r="AB293" s="200" t="str">
        <f t="array" ref="AB293">INDEX(B:B,SMALL(IF($Q$3:$Q$524&lt;&gt;"",ROW($3:$524),525),ROW(B292)))&amp;""</f>
        <v>召唤次级元素生物</v>
      </c>
      <c r="AC293" s="225" t="str">
        <f>IFERROR(IF(AND($Q294&lt;&gt;"",IF(法术查询!$J$4="",1,INDEX($R294:$Z294,1,VLOOKUP(法术查询!$J$4,$AF$2:$AG$10,2,0)))&lt;&gt;"",IF(法术查询!$J$5="",1,$P294=VLOOKUP(法术查询!$J$5,$AH$2:$AI$11,2,0)),IF(法术查询!$J$6="",1,IF(法术查询!$J$6=$E294,1,0)),IF(法术查询!$J$7="",1,SEARCH(法术查询!$J$7,$F294)),IF(法术查询!$J$8="",1,SEARCH(法术查询!$J$8,G294)),IF(法术查询!$J$9="",1,SEARCH(法术查询!$J$9,N294)),IF(法术查询!$J$10="",1,IF(法术查询!$J$10=$AF$11,IF($M294=1,1,0),IF($M294="",1,0))),IF(法术查询!$J$11="",1,IF(法术查询!$J$11=$AF$11,IF($D294=1,1,0),IF($D294="",1,0))),IF(法术查询!$J$12="",1,SEARCH(法术查询!$J$12,$B294&amp;$C294&amp;$O294)),IF(法术查询!$J$13="",1,SEARCH(法术查询!$J$13,$B294&amp;$C294&amp;$O294)),IF(法术查询!$J$14="",1,SEARCH(法术查询!$J$14,$B294&amp;$C294&amp;$O294)),IF(法术查询!$J$16="",1,IF(法术查询!$J$16=$AF$11,IF($H294=1,1,0),IF($H294="",1,0))),IF(法术查询!$J$17="",1,IF(法术查询!$J$17=$AF$11,IF($I294=1,1,0),IF($I294="",1,0))),IF(法术查询!$J$18="",1,IF(法术查询!$J$18=$AF$11,IF($J294&lt;&gt;"",1,0),IF($J294="",1,0))),IF(法术查询!$J$19="",1,IF(法术查询!$J$19=$AF$11,IF($L294&lt;&gt;"",1,0),IF($L294="",1,0)))),$B294,""),"")</f>
        <v/>
      </c>
      <c r="AD293" s="192" t="str">
        <f t="array" ref="AD293">INDEX(AC:AC,SMALL(IF($AC$2:$AC$523&lt;&gt;"",ROW($2:$523),524),ROW(AC292)))&amp;""</f>
        <v/>
      </c>
      <c r="AE293" s="200" t="str">
        <f t="shared" si="8"/>
        <v/>
      </c>
      <c r="AJ293" s="192">
        <v>292</v>
      </c>
      <c r="AK293" s="193" t="str">
        <f>IF(法术书!AK49="","",法术书!AK49)</f>
        <v/>
      </c>
      <c r="AL293" s="224" t="str">
        <f t="array" ref="AL293">IFERROR(INDEX(AK$1:AK$301,SMALL(IF(MATCH(AK293,AK$1:AK$301,0)=ROW(AK293),ROW(AK$1:AK$301),999),ROW(AK293))),"")</f>
        <v/>
      </c>
      <c r="AM293" s="223" t="str">
        <f t="array" ref="AM293">INDEX(AL:AL,SMALL(IF($AL$2:$AL$301&lt;&gt;"",ROW($2:$301),302),ROW(AL292)))&amp;""</f>
        <v/>
      </c>
    </row>
    <row r="294" customHeight="1" spans="1:39">
      <c r="A294" s="192">
        <v>292</v>
      </c>
      <c r="B294" s="224" t="s">
        <v>7917</v>
      </c>
      <c r="C294" s="224" t="s">
        <v>7918</v>
      </c>
      <c r="E294" s="233" t="s">
        <v>6688</v>
      </c>
      <c r="F294" s="193" t="s">
        <v>6642</v>
      </c>
      <c r="G294" s="193" t="s">
        <v>6673</v>
      </c>
      <c r="H294" s="193">
        <v>1</v>
      </c>
      <c r="I294" s="193">
        <v>1</v>
      </c>
      <c r="M294" s="193">
        <v>1</v>
      </c>
      <c r="N294" s="193" t="s">
        <v>6666</v>
      </c>
      <c r="O294" s="224" t="s">
        <v>7919</v>
      </c>
      <c r="P294" s="224">
        <v>4</v>
      </c>
      <c r="Q294" s="224" t="s">
        <v>249</v>
      </c>
      <c r="R294" s="193">
        <v>1</v>
      </c>
      <c r="AA294" s="223" t="s">
        <v>7920</v>
      </c>
      <c r="AB294" s="200" t="str">
        <f t="array" ref="AB294">INDEX(B:B,SMALL(IF($Q$3:$Q$524&lt;&gt;"",ROW($3:$524),525),ROW(B293)))&amp;""</f>
        <v>召唤林地之精</v>
      </c>
      <c r="AC294" s="225" t="str">
        <f>IFERROR(IF(AND($Q295&lt;&gt;"",IF(法术查询!$J$4="",1,INDEX($R295:$Z295,1,VLOOKUP(法术查询!$J$4,$AF$2:$AG$10,2,0)))&lt;&gt;"",IF(法术查询!$J$5="",1,$P295=VLOOKUP(法术查询!$J$5,$AH$2:$AI$11,2,0)),IF(法术查询!$J$6="",1,IF(法术查询!$J$6=$E295,1,0)),IF(法术查询!$J$7="",1,SEARCH(法术查询!$J$7,$F295)),IF(法术查询!$J$8="",1,SEARCH(法术查询!$J$8,G295)),IF(法术查询!$J$9="",1,SEARCH(法术查询!$J$9,N295)),IF(法术查询!$J$10="",1,IF(法术查询!$J$10=$AF$11,IF($M295=1,1,0),IF($M295="",1,0))),IF(法术查询!$J$11="",1,IF(法术查询!$J$11=$AF$11,IF($D295=1,1,0),IF($D295="",1,0))),IF(法术查询!$J$12="",1,SEARCH(法术查询!$J$12,$B295&amp;$C295&amp;$O295)),IF(法术查询!$J$13="",1,SEARCH(法术查询!$J$13,$B295&amp;$C295&amp;$O295)),IF(法术查询!$J$14="",1,SEARCH(法术查询!$J$14,$B295&amp;$C295&amp;$O295)),IF(法术查询!$J$16="",1,IF(法术查询!$J$16=$AF$11,IF($H295=1,1,0),IF($H295="",1,0))),IF(法术查询!$J$17="",1,IF(法术查询!$J$17=$AF$11,IF($I295=1,1,0),IF($I295="",1,0))),IF(法术查询!$J$18="",1,IF(法术查询!$J$18=$AF$11,IF($J295&lt;&gt;"",1,0),IF($J295="",1,0))),IF(法术查询!$J$19="",1,IF(法术查询!$J$19=$AF$11,IF($L295&lt;&gt;"",1,0),IF($L295="",1,0)))),$B295,""),"")</f>
        <v/>
      </c>
      <c r="AD294" s="192" t="str">
        <f t="array" ref="AD294">INDEX(AC:AC,SMALL(IF($AC$2:$AC$523&lt;&gt;"",ROW($2:$523),524),ROW(AC293)))&amp;""</f>
        <v/>
      </c>
      <c r="AE294" s="200" t="str">
        <f t="shared" si="8"/>
        <v/>
      </c>
      <c r="AJ294" s="192">
        <v>293</v>
      </c>
      <c r="AK294" s="193" t="str">
        <f>IF(法术书!AK50="","",法术书!AK50)</f>
        <v/>
      </c>
      <c r="AL294" s="224" t="str">
        <f t="array" ref="AL294">IFERROR(INDEX(AK$1:AK$301,SMALL(IF(MATCH(AK294,AK$1:AK$301,0)=ROW(AK294),ROW(AK$1:AK$301),999),ROW(AK294))),"")</f>
        <v/>
      </c>
      <c r="AM294" s="223" t="str">
        <f t="array" ref="AM294">INDEX(AL:AL,SMALL(IF($AL$2:$AL$301&lt;&gt;"",ROW($2:$301),302),ROW(AL293)))&amp;""</f>
        <v/>
      </c>
    </row>
    <row r="295" customHeight="1" spans="1:39">
      <c r="A295" s="192">
        <v>293</v>
      </c>
      <c r="B295" s="224" t="s">
        <v>7921</v>
      </c>
      <c r="C295" s="224" t="s">
        <v>7922</v>
      </c>
      <c r="E295" s="233" t="s">
        <v>6688</v>
      </c>
      <c r="F295" s="193" t="s">
        <v>6642</v>
      </c>
      <c r="G295" s="193" t="s">
        <v>6760</v>
      </c>
      <c r="H295" s="193">
        <v>1</v>
      </c>
      <c r="I295" s="193">
        <v>1</v>
      </c>
      <c r="J295" s="193">
        <v>1</v>
      </c>
      <c r="K295" s="224" t="s">
        <v>7923</v>
      </c>
      <c r="M295" s="193">
        <v>1</v>
      </c>
      <c r="N295" s="193" t="s">
        <v>6666</v>
      </c>
      <c r="O295" s="224" t="s">
        <v>7924</v>
      </c>
      <c r="P295" s="224">
        <v>4</v>
      </c>
      <c r="Q295" s="224" t="s">
        <v>249</v>
      </c>
      <c r="R295" s="193">
        <v>1</v>
      </c>
      <c r="T295" s="193">
        <v>1</v>
      </c>
      <c r="W295" s="193">
        <v>1</v>
      </c>
      <c r="X295" s="193">
        <v>1</v>
      </c>
      <c r="AA295" s="223" t="s">
        <v>7925</v>
      </c>
      <c r="AB295" s="200" t="str">
        <f t="array" ref="AB295">INDEX(B:B,SMALL(IF($Q$3:$Q$524&lt;&gt;"",ROW($3:$524),525),ROW(B294)))&amp;""</f>
        <v>操控水体</v>
      </c>
      <c r="AC295" s="225" t="str">
        <f>IFERROR(IF(AND($Q296&lt;&gt;"",IF(法术查询!$J$4="",1,INDEX($R296:$Z296,1,VLOOKUP(法术查询!$J$4,$AF$2:$AG$10,2,0)))&lt;&gt;"",IF(法术查询!$J$5="",1,$P296=VLOOKUP(法术查询!$J$5,$AH$2:$AI$11,2,0)),IF(法术查询!$J$6="",1,IF(法术查询!$J$6=$E296,1,0)),IF(法术查询!$J$7="",1,SEARCH(法术查询!$J$7,$F296)),IF(法术查询!$J$8="",1,SEARCH(法术查询!$J$8,G296)),IF(法术查询!$J$9="",1,SEARCH(法术查询!$J$9,N296)),IF(法术查询!$J$10="",1,IF(法术查询!$J$10=$AF$11,IF($M296=1,1,0),IF($M296="",1,0))),IF(法术查询!$J$11="",1,IF(法术查询!$J$11=$AF$11,IF($D296=1,1,0),IF($D296="",1,0))),IF(法术查询!$J$12="",1,SEARCH(法术查询!$J$12,$B296&amp;$C296&amp;$O296)),IF(法术查询!$J$13="",1,SEARCH(法术查询!$J$13,$B296&amp;$C296&amp;$O296)),IF(法术查询!$J$14="",1,SEARCH(法术查询!$J$14,$B296&amp;$C296&amp;$O296)),IF(法术查询!$J$16="",1,IF(法术查询!$J$16=$AF$11,IF($H296=1,1,0),IF($H296="",1,0))),IF(法术查询!$J$17="",1,IF(法术查询!$J$17=$AF$11,IF($I296=1,1,0),IF($I296="",1,0))),IF(法术查询!$J$18="",1,IF(法术查询!$J$18=$AF$11,IF($J296&lt;&gt;"",1,0),IF($J296="",1,0))),IF(法术查询!$J$19="",1,IF(法术查询!$J$19=$AF$11,IF($L296&lt;&gt;"",1,0),IF($L296="",1,0)))),$B296,""),"")</f>
        <v/>
      </c>
      <c r="AD295" s="192" t="str">
        <f t="array" ref="AD295">INDEX(AC:AC,SMALL(IF($AC$2:$AC$523&lt;&gt;"",ROW($2:$523),524),ROW(AC294)))&amp;""</f>
        <v/>
      </c>
      <c r="AE295" s="200" t="str">
        <f t="shared" si="8"/>
        <v/>
      </c>
      <c r="AJ295" s="192">
        <v>294</v>
      </c>
      <c r="AK295" s="193" t="str">
        <f>IF(法术书!AK51="","",法术书!AK51)</f>
        <v/>
      </c>
      <c r="AL295" s="224" t="str">
        <f t="array" ref="AL295">IFERROR(INDEX(AK$1:AK$301,SMALL(IF(MATCH(AK295,AK$1:AK$301,0)=ROW(AK295),ROW(AK$1:AK$301),999),ROW(AK295))),"")</f>
        <v/>
      </c>
      <c r="AM295" s="223" t="str">
        <f t="array" ref="AM295">INDEX(AL:AL,SMALL(IF($AL$2:$AL$301&lt;&gt;"",ROW($2:$301),302),ROW(AL294)))&amp;""</f>
        <v/>
      </c>
    </row>
    <row r="296" customHeight="1" spans="1:39">
      <c r="A296" s="192">
        <v>294</v>
      </c>
      <c r="B296" s="224" t="s">
        <v>7926</v>
      </c>
      <c r="C296" s="224" t="s">
        <v>7927</v>
      </c>
      <c r="E296" s="240" t="s">
        <v>6641</v>
      </c>
      <c r="F296" s="193" t="s">
        <v>6709</v>
      </c>
      <c r="G296" s="193" t="s">
        <v>6760</v>
      </c>
      <c r="H296" s="193">
        <v>1</v>
      </c>
      <c r="I296" s="193">
        <v>1</v>
      </c>
      <c r="M296" s="193">
        <v>1</v>
      </c>
      <c r="N296" s="193" t="s">
        <v>6739</v>
      </c>
      <c r="O296" s="224" t="s">
        <v>7928</v>
      </c>
      <c r="P296" s="224">
        <v>4</v>
      </c>
      <c r="Q296" s="224" t="s">
        <v>249</v>
      </c>
      <c r="T296" s="193">
        <v>1</v>
      </c>
      <c r="X296" s="193">
        <v>1</v>
      </c>
      <c r="AA296" s="223" t="s">
        <v>7929</v>
      </c>
      <c r="AB296" s="200" t="str">
        <f t="array" ref="AB296">INDEX(B:B,SMALL(IF($Q$3:$Q$524&lt;&gt;"",ROW($3:$524),525),ROW(B295)))&amp;""</f>
        <v>防死结界</v>
      </c>
      <c r="AC296" s="225" t="str">
        <f>IFERROR(IF(AND($Q297&lt;&gt;"",IF(法术查询!$J$4="",1,INDEX($R297:$Z297,1,VLOOKUP(法术查询!$J$4,$AF$2:$AG$10,2,0)))&lt;&gt;"",IF(法术查询!$J$5="",1,$P297=VLOOKUP(法术查询!$J$5,$AH$2:$AI$11,2,0)),IF(法术查询!$J$6="",1,IF(法术查询!$J$6=$E297,1,0)),IF(法术查询!$J$7="",1,SEARCH(法术查询!$J$7,$F297)),IF(法术查询!$J$8="",1,SEARCH(法术查询!$J$8,G297)),IF(法术查询!$J$9="",1,SEARCH(法术查询!$J$9,N297)),IF(法术查询!$J$10="",1,IF(法术查询!$J$10=$AF$11,IF($M297=1,1,0),IF($M297="",1,0))),IF(法术查询!$J$11="",1,IF(法术查询!$J$11=$AF$11,IF($D297=1,1,0),IF($D297="",1,0))),IF(法术查询!$J$12="",1,SEARCH(法术查询!$J$12,$B297&amp;$C297&amp;$O297)),IF(法术查询!$J$13="",1,SEARCH(法术查询!$J$13,$B297&amp;$C297&amp;$O297)),IF(法术查询!$J$14="",1,SEARCH(法术查询!$J$14,$B297&amp;$C297&amp;$O297)),IF(法术查询!$J$16="",1,IF(法术查询!$J$16=$AF$11,IF($H297=1,1,0),IF($H297="",1,0))),IF(法术查询!$J$17="",1,IF(法术查询!$J$17=$AF$11,IF($I297=1,1,0),IF($I297="",1,0))),IF(法术查询!$J$18="",1,IF(法术查询!$J$18=$AF$11,IF($J297&lt;&gt;"",1,0),IF($J297="",1,0))),IF(法术查询!$J$19="",1,IF(法术查询!$J$19=$AF$11,IF($L297&lt;&gt;"",1,0),IF($L297="",1,0)))),$B297,""),"")</f>
        <v/>
      </c>
      <c r="AD296" s="192" t="str">
        <f t="array" ref="AD296">INDEX(AC:AC,SMALL(IF($AC$2:$AC$523&lt;&gt;"",ROW($2:$523),524),ROW(AC295)))&amp;""</f>
        <v/>
      </c>
      <c r="AE296" s="200" t="str">
        <f t="shared" si="8"/>
        <v/>
      </c>
      <c r="AJ296" s="192">
        <v>295</v>
      </c>
      <c r="AK296" s="193" t="str">
        <f>IF(法术书!AK52="","",法术书!AK52)</f>
        <v/>
      </c>
      <c r="AL296" s="224" t="str">
        <f t="array" ref="AL296">IFERROR(INDEX(AK$1:AK$301,SMALL(IF(MATCH(AK296,AK$1:AK$301,0)=ROW(AK296),ROW(AK$1:AK$301),999),ROW(AK296))),"")</f>
        <v/>
      </c>
      <c r="AM296" s="223" t="str">
        <f t="array" ref="AM296">INDEX(AL:AL,SMALL(IF($AL$2:$AL$301&lt;&gt;"",ROW($2:$301),302),ROW(AL295)))&amp;""</f>
        <v/>
      </c>
    </row>
    <row r="297" customHeight="1" spans="1:39">
      <c r="A297" s="192">
        <v>295</v>
      </c>
      <c r="B297" s="224" t="s">
        <v>7930</v>
      </c>
      <c r="C297" s="224" t="s">
        <v>7931</v>
      </c>
      <c r="E297" s="240" t="s">
        <v>6641</v>
      </c>
      <c r="F297" s="193" t="s">
        <v>6642</v>
      </c>
      <c r="G297" s="193" t="s">
        <v>6643</v>
      </c>
      <c r="H297" s="193">
        <v>1</v>
      </c>
      <c r="I297" s="193">
        <v>1</v>
      </c>
      <c r="J297" s="193">
        <v>1</v>
      </c>
      <c r="K297" s="224" t="s">
        <v>7932</v>
      </c>
      <c r="M297" s="193">
        <v>1</v>
      </c>
      <c r="N297" s="193" t="s">
        <v>6739</v>
      </c>
      <c r="O297" s="224" t="s">
        <v>7933</v>
      </c>
      <c r="P297" s="224">
        <v>4</v>
      </c>
      <c r="Q297" s="224" t="s">
        <v>249</v>
      </c>
      <c r="T297" s="193">
        <v>1</v>
      </c>
      <c r="V297" s="193">
        <v>1</v>
      </c>
      <c r="AA297" s="200"/>
      <c r="AB297" s="200" t="str">
        <f t="array" ref="AB297">INDEX(B:B,SMALL(IF($Q$3:$Q$524&lt;&gt;"",ROW($3:$524),525),ROW(B296)))&amp;""</f>
        <v>任意门</v>
      </c>
      <c r="AC297" s="225" t="str">
        <f>IFERROR(IF(AND($Q298&lt;&gt;"",IF(法术查询!$J$4="",1,INDEX($R298:$Z298,1,VLOOKUP(法术查询!$J$4,$AF$2:$AG$10,2,0)))&lt;&gt;"",IF(法术查询!$J$5="",1,$P298=VLOOKUP(法术查询!$J$5,$AH$2:$AI$11,2,0)),IF(法术查询!$J$6="",1,IF(法术查询!$J$6=$E298,1,0)),IF(法术查询!$J$7="",1,SEARCH(法术查询!$J$7,$F298)),IF(法术查询!$J$8="",1,SEARCH(法术查询!$J$8,G298)),IF(法术查询!$J$9="",1,SEARCH(法术查询!$J$9,N298)),IF(法术查询!$J$10="",1,IF(法术查询!$J$10=$AF$11,IF($M298=1,1,0),IF($M298="",1,0))),IF(法术查询!$J$11="",1,IF(法术查询!$J$11=$AF$11,IF($D298=1,1,0),IF($D298="",1,0))),IF(法术查询!$J$12="",1,SEARCH(法术查询!$J$12,$B298&amp;$C298&amp;$O298)),IF(法术查询!$J$13="",1,SEARCH(法术查询!$J$13,$B298&amp;$C298&amp;$O298)),IF(法术查询!$J$14="",1,SEARCH(法术查询!$J$14,$B298&amp;$C298&amp;$O298)),IF(法术查询!$J$16="",1,IF(法术查询!$J$16=$AF$11,IF($H298=1,1,0),IF($H298="",1,0))),IF(法术查询!$J$17="",1,IF(法术查询!$J$17=$AF$11,IF($I298=1,1,0),IF($I298="",1,0))),IF(法术查询!$J$18="",1,IF(法术查询!$J$18=$AF$11,IF($J298&lt;&gt;"",1,0),IF($J298="",1,0))),IF(法术查询!$J$19="",1,IF(法术查询!$J$19=$AF$11,IF($L298&lt;&gt;"",1,0),IF($L298="",1,0)))),$B298,""),"")</f>
        <v/>
      </c>
      <c r="AD297" s="192" t="str">
        <f t="array" ref="AD297">INDEX(AC:AC,SMALL(IF($AC$2:$AC$523&lt;&gt;"",ROW($2:$523),524),ROW(AC296)))&amp;""</f>
        <v/>
      </c>
      <c r="AE297" s="200" t="str">
        <f t="shared" si="8"/>
        <v/>
      </c>
      <c r="AJ297" s="192">
        <v>296</v>
      </c>
      <c r="AK297" s="193" t="str">
        <f>IF(法术书!AK53="","",法术书!AK53)</f>
        <v/>
      </c>
      <c r="AL297" s="224" t="str">
        <f t="array" ref="AL297">IFERROR(INDEX(AK$1:AK$301,SMALL(IF(MATCH(AK297,AK$1:AK$301,0)=ROW(AK297),ROW(AK$1:AK$301),999),ROW(AK297))),"")</f>
        <v/>
      </c>
      <c r="AM297" s="223" t="str">
        <f t="array" ref="AM297">INDEX(AL:AL,SMALL(IF($AL$2:$AL$301&lt;&gt;"",ROW($2:$301),302),ROW(AL296)))&amp;""</f>
        <v/>
      </c>
    </row>
    <row r="298" customHeight="1" spans="1:39">
      <c r="A298" s="192">
        <v>296</v>
      </c>
      <c r="B298" s="224" t="s">
        <v>7934</v>
      </c>
      <c r="C298" s="224" t="s">
        <v>7935</v>
      </c>
      <c r="E298" s="231" t="s">
        <v>6672</v>
      </c>
      <c r="F298" s="193" t="s">
        <v>6642</v>
      </c>
      <c r="G298" s="193" t="s">
        <v>6786</v>
      </c>
      <c r="H298" s="193">
        <v>1</v>
      </c>
      <c r="I298" s="193">
        <v>1</v>
      </c>
      <c r="J298" s="193">
        <v>1</v>
      </c>
      <c r="K298" s="224" t="s">
        <v>7936</v>
      </c>
      <c r="M298" s="193">
        <v>1</v>
      </c>
      <c r="N298" s="193" t="s">
        <v>6831</v>
      </c>
      <c r="O298" s="224" t="s">
        <v>7937</v>
      </c>
      <c r="P298" s="224">
        <v>4</v>
      </c>
      <c r="Q298" s="224" t="s">
        <v>249</v>
      </c>
      <c r="S298" s="193">
        <v>1</v>
      </c>
      <c r="T298" s="193">
        <v>1</v>
      </c>
      <c r="X298" s="193">
        <v>1</v>
      </c>
      <c r="AA298" s="223" t="s">
        <v>7938</v>
      </c>
      <c r="AB298" s="200" t="str">
        <f t="array" ref="AB298">INDEX(B:B,SMALL(IF($Q$3:$Q$524&lt;&gt;"",ROW($3:$524),525),ROW(B297)))&amp;""</f>
        <v>预言术</v>
      </c>
      <c r="AC298" s="225" t="str">
        <f>IFERROR(IF(AND($Q299&lt;&gt;"",IF(法术查询!$J$4="",1,INDEX($R299:$Z299,1,VLOOKUP(法术查询!$J$4,$AF$2:$AG$10,2,0)))&lt;&gt;"",IF(法术查询!$J$5="",1,$P299=VLOOKUP(法术查询!$J$5,$AH$2:$AI$11,2,0)),IF(法术查询!$J$6="",1,IF(法术查询!$J$6=$E299,1,0)),IF(法术查询!$J$7="",1,SEARCH(法术查询!$J$7,$F299)),IF(法术查询!$J$8="",1,SEARCH(法术查询!$J$8,G299)),IF(法术查询!$J$9="",1,SEARCH(法术查询!$J$9,N299)),IF(法术查询!$J$10="",1,IF(法术查询!$J$10=$AF$11,IF($M299=1,1,0),IF($M299="",1,0))),IF(法术查询!$J$11="",1,IF(法术查询!$J$11=$AF$11,IF($D299=1,1,0),IF($D299="",1,0))),IF(法术查询!$J$12="",1,SEARCH(法术查询!$J$12,$B299&amp;$C299&amp;$O299)),IF(法术查询!$J$13="",1,SEARCH(法术查询!$J$13,$B299&amp;$C299&amp;$O299)),IF(法术查询!$J$14="",1,SEARCH(法术查询!$J$14,$B299&amp;$C299&amp;$O299)),IF(法术查询!$J$16="",1,IF(法术查询!$J$16=$AF$11,IF($H299=1,1,0),IF($H299="",1,0))),IF(法术查询!$J$17="",1,IF(法术查询!$J$17=$AF$11,IF($I299=1,1,0),IF($I299="",1,0))),IF(法术查询!$J$18="",1,IF(法术查询!$J$18=$AF$11,IF($J299&lt;&gt;"",1,0),IF($J299="",1,0))),IF(法术查询!$J$19="",1,IF(法术查询!$J$19=$AF$11,IF($L299&lt;&gt;"",1,0),IF($L299="",1,0)))),$B299,""),"")</f>
        <v/>
      </c>
      <c r="AD298" s="192" t="str">
        <f t="array" ref="AD298">INDEX(AC:AC,SMALL(IF($AC$2:$AC$523&lt;&gt;"",ROW($2:$523),524),ROW(AC297)))&amp;""</f>
        <v/>
      </c>
      <c r="AE298" s="200" t="str">
        <f t="shared" si="8"/>
        <v/>
      </c>
      <c r="AJ298" s="192">
        <v>297</v>
      </c>
      <c r="AK298" s="193" t="str">
        <f>IF(法术书!AK54="","",法术书!AK54)</f>
        <v/>
      </c>
      <c r="AL298" s="224" t="str">
        <f t="array" ref="AL298">IFERROR(INDEX(AK$1:AK$301,SMALL(IF(MATCH(AK298,AK$1:AK$301,0)=ROW(AK298),ROW(AK$1:AK$301),999),ROW(AK298))),"")</f>
        <v/>
      </c>
      <c r="AM298" s="223" t="str">
        <f t="array" ref="AM298">INDEX(AL:AL,SMALL(IF($AL$2:$AL$301&lt;&gt;"",ROW($2:$301),302),ROW(AL297)))&amp;""</f>
        <v/>
      </c>
    </row>
    <row r="299" customHeight="1" spans="1:39">
      <c r="A299" s="192">
        <v>297</v>
      </c>
      <c r="B299" s="224" t="s">
        <v>7939</v>
      </c>
      <c r="C299" s="224" t="s">
        <v>7940</v>
      </c>
      <c r="E299" s="242" t="s">
        <v>6650</v>
      </c>
      <c r="F299" s="193" t="s">
        <v>6642</v>
      </c>
      <c r="G299" s="193" t="s">
        <v>3760</v>
      </c>
      <c r="H299" s="193">
        <v>1</v>
      </c>
      <c r="I299" s="193">
        <v>1</v>
      </c>
      <c r="N299" s="193" t="s">
        <v>6748</v>
      </c>
      <c r="O299" s="224" t="s">
        <v>7941</v>
      </c>
      <c r="P299" s="224">
        <v>4</v>
      </c>
      <c r="Q299" s="224" t="s">
        <v>249</v>
      </c>
      <c r="S299" s="193">
        <v>1</v>
      </c>
      <c r="U299" s="193">
        <v>1</v>
      </c>
      <c r="AA299" s="223" t="s">
        <v>7942</v>
      </c>
      <c r="AB299" s="200" t="str">
        <f t="array" ref="AB299">INDEX(B:B,SMALL(IF($Q$3:$Q$524&lt;&gt;"",ROW($3:$524),525),ROW(B298)))&amp;""</f>
        <v>支配野兽</v>
      </c>
      <c r="AC299" s="225" t="str">
        <f>IFERROR(IF(AND($Q300&lt;&gt;"",IF(法术查询!$J$4="",1,INDEX($R300:$Z300,1,VLOOKUP(法术查询!$J$4,$AF$2:$AG$10,2,0)))&lt;&gt;"",IF(法术查询!$J$5="",1,$P300=VLOOKUP(法术查询!$J$5,$AH$2:$AI$11,2,0)),IF(法术查询!$J$6="",1,IF(法术查询!$J$6=$E300,1,0)),IF(法术查询!$J$7="",1,SEARCH(法术查询!$J$7,$F300)),IF(法术查询!$J$8="",1,SEARCH(法术查询!$J$8,G300)),IF(法术查询!$J$9="",1,SEARCH(法术查询!$J$9,N300)),IF(法术查询!$J$10="",1,IF(法术查询!$J$10=$AF$11,IF($M300=1,1,0),IF($M300="",1,0))),IF(法术查询!$J$11="",1,IF(法术查询!$J$11=$AF$11,IF($D300=1,1,0),IF($D300="",1,0))),IF(法术查询!$J$12="",1,SEARCH(法术查询!$J$12,$B300&amp;$C300&amp;$O300)),IF(法术查询!$J$13="",1,SEARCH(法术查询!$J$13,$B300&amp;$C300&amp;$O300)),IF(法术查询!$J$14="",1,SEARCH(法术查询!$J$14,$B300&amp;$C300&amp;$O300)),IF(法术查询!$J$16="",1,IF(法术查询!$J$16=$AF$11,IF($H300=1,1,0),IF($H300="",1,0))),IF(法术查询!$J$17="",1,IF(法术查询!$J$17=$AF$11,IF($I300=1,1,0),IF($I300="",1,0))),IF(法术查询!$J$18="",1,IF(法术查询!$J$18=$AF$11,IF($J300&lt;&gt;"",1,0),IF($J300="",1,0))),IF(法术查询!$J$19="",1,IF(法术查询!$J$19=$AF$11,IF($L300&lt;&gt;"",1,0),IF($L300="",1,0)))),$B300,""),"")</f>
        <v/>
      </c>
      <c r="AD299" s="192" t="str">
        <f t="array" ref="AD299">INDEX(AC:AC,SMALL(IF($AC$2:$AC$523&lt;&gt;"",ROW($2:$523),524),ROW(AC298)))&amp;""</f>
        <v/>
      </c>
      <c r="AE299" s="200" t="str">
        <f t="shared" si="8"/>
        <v/>
      </c>
      <c r="AJ299" s="192">
        <v>298</v>
      </c>
      <c r="AK299" s="193" t="str">
        <f>IF(法术书!AK55="","",法术书!AK55)</f>
        <v/>
      </c>
      <c r="AL299" s="224" t="str">
        <f t="array" ref="AL299">IFERROR(INDEX(AK$1:AK$301,SMALL(IF(MATCH(AK299,AK$1:AK$301,0)=ROW(AK299),ROW(AK$1:AK$301),999),ROW(AK299))),"")</f>
        <v/>
      </c>
      <c r="AM299" s="223" t="str">
        <f t="array" ref="AM299">INDEX(AL:AL,SMALL(IF($AL$2:$AL$301&lt;&gt;"",ROW($2:$301),302),ROW(AL298)))&amp;""</f>
        <v/>
      </c>
    </row>
    <row r="300" customHeight="1" spans="1:39">
      <c r="A300" s="192">
        <v>298</v>
      </c>
      <c r="B300" s="224" t="s">
        <v>7943</v>
      </c>
      <c r="C300" s="224" t="s">
        <v>7944</v>
      </c>
      <c r="E300" s="240" t="s">
        <v>6641</v>
      </c>
      <c r="F300" s="193" t="s">
        <v>6642</v>
      </c>
      <c r="G300" s="193" t="s">
        <v>6793</v>
      </c>
      <c r="H300" s="193">
        <v>1</v>
      </c>
      <c r="N300" s="193" t="s">
        <v>6644</v>
      </c>
      <c r="O300" s="224" t="s">
        <v>7945</v>
      </c>
      <c r="P300" s="224">
        <v>4</v>
      </c>
      <c r="Q300" s="224" t="s">
        <v>249</v>
      </c>
      <c r="R300" s="193">
        <v>1</v>
      </c>
      <c r="W300" s="193">
        <v>1</v>
      </c>
      <c r="X300" s="193">
        <v>1</v>
      </c>
      <c r="Y300" s="193">
        <v>1</v>
      </c>
      <c r="AA300" s="223" t="s">
        <v>7946</v>
      </c>
      <c r="AB300" s="200" t="str">
        <f t="array" ref="AB300">INDEX(B:B,SMALL(IF($Q$3:$Q$524&lt;&gt;"",ROW($3:$524),525),ROW(B299)))&amp;""</f>
        <v>艾伐黑触手</v>
      </c>
      <c r="AC300" s="225" t="str">
        <f>IFERROR(IF(AND($Q301&lt;&gt;"",IF(法术查询!$J$4="",1,INDEX($R301:$Z301,1,VLOOKUP(法术查询!$J$4,$AF$2:$AG$10,2,0)))&lt;&gt;"",IF(法术查询!$J$5="",1,$P301=VLOOKUP(法术查询!$J$5,$AH$2:$AI$11,2,0)),IF(法术查询!$J$6="",1,IF(法术查询!$J$6=$E301,1,0)),IF(法术查询!$J$7="",1,SEARCH(法术查询!$J$7,$F301)),IF(法术查询!$J$8="",1,SEARCH(法术查询!$J$8,G301)),IF(法术查询!$J$9="",1,SEARCH(法术查询!$J$9,N301)),IF(法术查询!$J$10="",1,IF(法术查询!$J$10=$AF$11,IF($M301=1,1,0),IF($M301="",1,0))),IF(法术查询!$J$11="",1,IF(法术查询!$J$11=$AF$11,IF($D301=1,1,0),IF($D301="",1,0))),IF(法术查询!$J$12="",1,SEARCH(法术查询!$J$12,$B301&amp;$C301&amp;$O301)),IF(法术查询!$J$13="",1,SEARCH(法术查询!$J$13,$B301&amp;$C301&amp;$O301)),IF(法术查询!$J$14="",1,SEARCH(法术查询!$J$14,$B301&amp;$C301&amp;$O301)),IF(法术查询!$J$16="",1,IF(法术查询!$J$16=$AF$11,IF($H301=1,1,0),IF($H301="",1,0))),IF(法术查询!$J$17="",1,IF(法术查询!$J$17=$AF$11,IF($I301=1,1,0),IF($I301="",1,0))),IF(法术查询!$J$18="",1,IF(法术查询!$J$18=$AF$11,IF($J301&lt;&gt;"",1,0),IF($J301="",1,0))),IF(法术查询!$J$19="",1,IF(法术查询!$J$19=$AF$11,IF($L301&lt;&gt;"",1,0),IF($L301="",1,0)))),$B301,""),"")</f>
        <v/>
      </c>
      <c r="AD300" s="192" t="str">
        <f t="array" ref="AD300">INDEX(AC:AC,SMALL(IF($AC$2:$AC$523&lt;&gt;"",ROW($2:$523),524),ROW(AC299)))&amp;""</f>
        <v/>
      </c>
      <c r="AE300" s="200" t="str">
        <f t="shared" si="8"/>
        <v/>
      </c>
      <c r="AJ300" s="192">
        <v>299</v>
      </c>
      <c r="AK300" s="193" t="str">
        <f>IF(法术书!AK56="","",法术书!AK56)</f>
        <v/>
      </c>
      <c r="AL300" s="224" t="str">
        <f t="array" ref="AL300">IFERROR(INDEX(AK$1:AK$301,SMALL(IF(MATCH(AK300,AK$1:AK$301,0)=ROW(AK300),ROW(AK$1:AK$301),999),ROW(AK300))),"")</f>
        <v/>
      </c>
      <c r="AM300" s="223" t="str">
        <f t="array" ref="AM300">INDEX(AL:AL,SMALL(IF($AL$2:$AL$301&lt;&gt;"",ROW($2:$301),302),ROW(AL299)))&amp;""</f>
        <v/>
      </c>
    </row>
    <row r="301" customHeight="1" spans="1:39">
      <c r="A301" s="192">
        <v>299</v>
      </c>
      <c r="B301" s="224" t="s">
        <v>7947</v>
      </c>
      <c r="C301" s="224" t="s">
        <v>7948</v>
      </c>
      <c r="D301" s="193">
        <v>1</v>
      </c>
      <c r="E301" s="238" t="s">
        <v>6695</v>
      </c>
      <c r="F301" s="193" t="s">
        <v>6642</v>
      </c>
      <c r="G301" s="193" t="s">
        <v>6651</v>
      </c>
      <c r="H301" s="193">
        <v>1</v>
      </c>
      <c r="I301" s="193">
        <v>1</v>
      </c>
      <c r="J301" s="193">
        <v>1</v>
      </c>
      <c r="L301" s="224" t="s">
        <v>7949</v>
      </c>
      <c r="N301" s="193" t="s">
        <v>6644</v>
      </c>
      <c r="O301" s="224" t="s">
        <v>7950</v>
      </c>
      <c r="P301" s="224">
        <v>4</v>
      </c>
      <c r="Q301" s="224" t="s">
        <v>249</v>
      </c>
      <c r="S301" s="193">
        <v>1</v>
      </c>
      <c r="T301" s="193" t="str">
        <f>IF(综合数据!$B$14=TRUE,"13","")</f>
        <v>13</v>
      </c>
      <c r="X301" s="193" t="str">
        <f>IF(综合数据!$B$14=TRUE,"13","")</f>
        <v>13</v>
      </c>
      <c r="AA301" s="223" t="s">
        <v>7951</v>
      </c>
      <c r="AB301" s="200" t="str">
        <f t="array" ref="AB301">INDEX(B:B,SMALL(IF($Q$3:$Q$524&lt;&gt;"",ROW($3:$524),525),ROW(B300)))&amp;""</f>
        <v>鬼斧神工</v>
      </c>
      <c r="AC301" s="225" t="str">
        <f>IFERROR(IF(AND($Q302&lt;&gt;"",IF(法术查询!$J$4="",1,INDEX($R302:$Z302,1,VLOOKUP(法术查询!$J$4,$AF$2:$AG$10,2,0)))&lt;&gt;"",IF(法术查询!$J$5="",1,$P302=VLOOKUP(法术查询!$J$5,$AH$2:$AI$11,2,0)),IF(法术查询!$J$6="",1,IF(法术查询!$J$6=$E302,1,0)),IF(法术查询!$J$7="",1,SEARCH(法术查询!$J$7,$F302)),IF(法术查询!$J$8="",1,SEARCH(法术查询!$J$8,G302)),IF(法术查询!$J$9="",1,SEARCH(法术查询!$J$9,N302)),IF(法术查询!$J$10="",1,IF(法术查询!$J$10=$AF$11,IF($M302=1,1,0),IF($M302="",1,0))),IF(法术查询!$J$11="",1,IF(法术查询!$J$11=$AF$11,IF($D302=1,1,0),IF($D302="",1,0))),IF(法术查询!$J$12="",1,SEARCH(法术查询!$J$12,$B302&amp;$C302&amp;$O302)),IF(法术查询!$J$13="",1,SEARCH(法术查询!$J$13,$B302&amp;$C302&amp;$O302)),IF(法术查询!$J$14="",1,SEARCH(法术查询!$J$14,$B302&amp;$C302&amp;$O302)),IF(法术查询!$J$16="",1,IF(法术查询!$J$16=$AF$11,IF($H302=1,1,0),IF($H302="",1,0))),IF(法术查询!$J$17="",1,IF(法术查询!$J$17=$AF$11,IF($I302=1,1,0),IF($I302="",1,0))),IF(法术查询!$J$18="",1,IF(法术查询!$J$18=$AF$11,IF($J302&lt;&gt;"",1,0),IF($J302="",1,0))),IF(法术查询!$J$19="",1,IF(法术查询!$J$19=$AF$11,IF($L302&lt;&gt;"",1,0),IF($L302="",1,0)))),$B302,""),"")</f>
        <v/>
      </c>
      <c r="AD301" s="192" t="str">
        <f t="array" ref="AD301">INDEX(AC:AC,SMALL(IF($AC$2:$AC$523&lt;&gt;"",ROW($2:$523),524),ROW(AC300)))&amp;""</f>
        <v/>
      </c>
      <c r="AE301" s="200" t="str">
        <f t="shared" si="8"/>
        <v/>
      </c>
      <c r="AJ301" s="204">
        <v>300</v>
      </c>
      <c r="AK301" s="234" t="str">
        <f>IF(法术书!AK57="","",法术书!AK57)</f>
        <v/>
      </c>
      <c r="AL301" s="234" t="str">
        <f t="array" ref="AL301">IFERROR(INDEX(AK$1:AK$301,SMALL(IF(MATCH(AK301,AK$1:AK$301,0)=ROW(AK301),ROW(AK$1:AK$301),999),ROW(AK301))),"")</f>
        <v/>
      </c>
      <c r="AM301" s="249" t="str">
        <f t="array" ref="AM301">INDEX(AL:AL,SMALL(IF($AL$2:$AL$301&lt;&gt;"",ROW($2:$301),302),ROW(AL300)))&amp;""</f>
        <v/>
      </c>
    </row>
    <row r="302" customHeight="1" spans="1:39">
      <c r="A302" s="192">
        <v>300</v>
      </c>
      <c r="B302" s="224" t="s">
        <v>7952</v>
      </c>
      <c r="C302" s="224" t="s">
        <v>7953</v>
      </c>
      <c r="E302" s="233" t="s">
        <v>6688</v>
      </c>
      <c r="F302" s="193" t="s">
        <v>6642</v>
      </c>
      <c r="G302" s="193" t="s">
        <v>6643</v>
      </c>
      <c r="H302" s="193">
        <v>1</v>
      </c>
      <c r="I302" s="193">
        <v>1</v>
      </c>
      <c r="M302" s="193">
        <v>1</v>
      </c>
      <c r="N302" s="193" t="s">
        <v>6666</v>
      </c>
      <c r="O302" s="224" t="s">
        <v>7954</v>
      </c>
      <c r="P302" s="224">
        <v>4</v>
      </c>
      <c r="Q302" s="224" t="s">
        <v>249</v>
      </c>
      <c r="T302" s="193">
        <v>1</v>
      </c>
      <c r="V302" s="193" t="str">
        <f>IF(综合数据!$B$14=TRUE,"13","")</f>
        <v>13</v>
      </c>
      <c r="W302" s="193">
        <v>1</v>
      </c>
      <c r="AA302" s="223" t="s">
        <v>7955</v>
      </c>
      <c r="AB302" s="200" t="str">
        <f t="array" ref="AB302">INDEX(B:B,SMALL(IF($Q$3:$Q$524&lt;&gt;"",ROW($3:$524),525),ROW(B301)))&amp;""</f>
        <v>火焰护盾</v>
      </c>
      <c r="AC302" s="225" t="str">
        <f>IFERROR(IF(AND($Q303&lt;&gt;"",IF(法术查询!$J$4="",1,INDEX($R303:$Z303,1,VLOOKUP(法术查询!$J$4,$AF$2:$AG$10,2,0)))&lt;&gt;"",IF(法术查询!$J$5="",1,$P303=VLOOKUP(法术查询!$J$5,$AH$2:$AI$11,2,0)),IF(法术查询!$J$6="",1,IF(法术查询!$J$6=$E303,1,0)),IF(法术查询!$J$7="",1,SEARCH(法术查询!$J$7,$F303)),IF(法术查询!$J$8="",1,SEARCH(法术查询!$J$8,G303)),IF(法术查询!$J$9="",1,SEARCH(法术查询!$J$9,N303)),IF(法术查询!$J$10="",1,IF(法术查询!$J$10=$AF$11,IF($M303=1,1,0),IF($M303="",1,0))),IF(法术查询!$J$11="",1,IF(法术查询!$J$11=$AF$11,IF($D303=1,1,0),IF($D303="",1,0))),IF(法术查询!$J$12="",1,SEARCH(法术查询!$J$12,$B303&amp;$C303&amp;$O303)),IF(法术查询!$J$13="",1,SEARCH(法术查询!$J$13,$B303&amp;$C303&amp;$O303)),IF(法术查询!$J$14="",1,SEARCH(法术查询!$J$14,$B303&amp;$C303&amp;$O303)),IF(法术查询!$J$16="",1,IF(法术查询!$J$16=$AF$11,IF($H303=1,1,0),IF($H303="",1,0))),IF(法术查询!$J$17="",1,IF(法术查询!$J$17=$AF$11,IF($I303=1,1,0),IF($I303="",1,0))),IF(法术查询!$J$18="",1,IF(法术查询!$J$18=$AF$11,IF($J303&lt;&gt;"",1,0),IF($J303="",1,0))),IF(法术查询!$J$19="",1,IF(法术查询!$J$19=$AF$11,IF($L303&lt;&gt;"",1,0),IF($L303="",1,0)))),$B303,""),"")</f>
        <v/>
      </c>
      <c r="AD302" s="192" t="str">
        <f t="array" ref="AD302">INDEX(AC:AC,SMALL(IF($AC$2:$AC$523&lt;&gt;"",ROW($2:$523),524),ROW(AC301)))&amp;""</f>
        <v/>
      </c>
      <c r="AE302" s="200" t="str">
        <f t="shared" si="8"/>
        <v/>
      </c>
    </row>
    <row r="303" customHeight="1" spans="1:39">
      <c r="A303" s="192">
        <v>301</v>
      </c>
      <c r="B303" s="224" t="s">
        <v>7956</v>
      </c>
      <c r="C303" s="224" t="s">
        <v>7957</v>
      </c>
      <c r="E303" s="240" t="s">
        <v>6641</v>
      </c>
      <c r="F303" s="193" t="s">
        <v>6642</v>
      </c>
      <c r="G303" s="193" t="s">
        <v>6760</v>
      </c>
      <c r="H303" s="193">
        <v>1</v>
      </c>
      <c r="I303" s="193">
        <v>1</v>
      </c>
      <c r="J303" s="193">
        <v>1</v>
      </c>
      <c r="K303" s="224" t="s">
        <v>7958</v>
      </c>
      <c r="M303" s="193">
        <v>1</v>
      </c>
      <c r="N303" s="193" t="s">
        <v>6666</v>
      </c>
      <c r="O303" s="224" t="s">
        <v>7959</v>
      </c>
      <c r="P303" s="224">
        <v>4</v>
      </c>
      <c r="Q303" s="224" t="s">
        <v>249</v>
      </c>
      <c r="X303" s="193">
        <v>1</v>
      </c>
      <c r="AA303" s="223" t="s">
        <v>7960</v>
      </c>
      <c r="AB303" s="200" t="str">
        <f t="array" ref="AB303">INDEX(B:B,SMALL(IF($Q$3:$Q$524&lt;&gt;"",ROW($3:$524),525),ROW(B302)))&amp;""</f>
        <v>行动自如</v>
      </c>
      <c r="AC303" s="225" t="str">
        <f>IFERROR(IF(AND($Q304&lt;&gt;"",IF(法术查询!$J$4="",1,INDEX($R304:$Z304,1,VLOOKUP(法术查询!$J$4,$AF$2:$AG$10,2,0)))&lt;&gt;"",IF(法术查询!$J$5="",1,$P304=VLOOKUP(法术查询!$J$5,$AH$2:$AI$11,2,0)),IF(法术查询!$J$6="",1,IF(法术查询!$J$6=$E304,1,0)),IF(法术查询!$J$7="",1,SEARCH(法术查询!$J$7,$F304)),IF(法术查询!$J$8="",1,SEARCH(法术查询!$J$8,G304)),IF(法术查询!$J$9="",1,SEARCH(法术查询!$J$9,N304)),IF(法术查询!$J$10="",1,IF(法术查询!$J$10=$AF$11,IF($M304=1,1,0),IF($M304="",1,0))),IF(法术查询!$J$11="",1,IF(法术查询!$J$11=$AF$11,IF($D304=1,1,0),IF($D304="",1,0))),IF(法术查询!$J$12="",1,SEARCH(法术查询!$J$12,$B304&amp;$C304&amp;$O304)),IF(法术查询!$J$13="",1,SEARCH(法术查询!$J$13,$B304&amp;$C304&amp;$O304)),IF(法术查询!$J$14="",1,SEARCH(法术查询!$J$14,$B304&amp;$C304&amp;$O304)),IF(法术查询!$J$16="",1,IF(法术查询!$J$16=$AF$11,IF($H304=1,1,0),IF($H304="",1,0))),IF(法术查询!$J$17="",1,IF(法术查询!$J$17=$AF$11,IF($I304=1,1,0),IF($I304="",1,0))),IF(法术查询!$J$18="",1,IF(法术查询!$J$18=$AF$11,IF($J304&lt;&gt;"",1,0),IF($J304="",1,0))),IF(法术查询!$J$19="",1,IF(法术查询!$J$19=$AF$11,IF($L304&lt;&gt;"",1,0),IF($L304="",1,0)))),$B304,""),"")</f>
        <v/>
      </c>
      <c r="AD303" s="192" t="str">
        <f t="array" ref="AD303">INDEX(AC:AC,SMALL(IF($AC$2:$AC$523&lt;&gt;"",ROW($2:$523),524),ROW(AC302)))&amp;""</f>
        <v/>
      </c>
      <c r="AE303" s="200" t="str">
        <f t="shared" si="8"/>
        <v/>
      </c>
    </row>
    <row r="304" customHeight="1" spans="1:39">
      <c r="A304" s="192">
        <v>302</v>
      </c>
      <c r="B304" s="224" t="s">
        <v>7961</v>
      </c>
      <c r="C304" s="224" t="s">
        <v>7962</v>
      </c>
      <c r="E304" s="231" t="s">
        <v>6672</v>
      </c>
      <c r="F304" s="193" t="s">
        <v>6731</v>
      </c>
      <c r="G304" s="193" t="s">
        <v>6658</v>
      </c>
      <c r="H304" s="193">
        <v>1</v>
      </c>
      <c r="I304" s="193">
        <v>1</v>
      </c>
      <c r="N304" s="193" t="s">
        <v>6644</v>
      </c>
      <c r="O304" s="224" t="s">
        <v>7963</v>
      </c>
      <c r="P304" s="224">
        <v>4</v>
      </c>
      <c r="Q304" s="224" t="s">
        <v>249</v>
      </c>
      <c r="X304" s="193">
        <v>1</v>
      </c>
      <c r="Z304" s="193">
        <v>9</v>
      </c>
      <c r="AA304" s="223" t="s">
        <v>7964</v>
      </c>
      <c r="AB304" s="200" t="str">
        <f t="array" ref="AB304">INDEX(B:B,SMALL(IF($Q$3:$Q$524&lt;&gt;"",ROW($3:$524),525),ROW(B303)))&amp;""</f>
        <v>巨虫术</v>
      </c>
      <c r="AC304" s="225" t="str">
        <f>IFERROR(IF(AND($Q305&lt;&gt;"",IF(法术查询!$J$4="",1,INDEX($R305:$Z305,1,VLOOKUP(法术查询!$J$4,$AF$2:$AG$10,2,0)))&lt;&gt;"",IF(法术查询!$J$5="",1,$P305=VLOOKUP(法术查询!$J$5,$AH$2:$AI$11,2,0)),IF(法术查询!$J$6="",1,IF(法术查询!$J$6=$E305,1,0)),IF(法术查询!$J$7="",1,SEARCH(法术查询!$J$7,$F305)),IF(法术查询!$J$8="",1,SEARCH(法术查询!$J$8,G305)),IF(法术查询!$J$9="",1,SEARCH(法术查询!$J$9,N305)),IF(法术查询!$J$10="",1,IF(法术查询!$J$10=$AF$11,IF($M305=1,1,0),IF($M305="",1,0))),IF(法术查询!$J$11="",1,IF(法术查询!$J$11=$AF$11,IF($D305=1,1,0),IF($D305="",1,0))),IF(法术查询!$J$12="",1,SEARCH(法术查询!$J$12,$B305&amp;$C305&amp;$O305)),IF(法术查询!$J$13="",1,SEARCH(法术查询!$J$13,$B305&amp;$C305&amp;$O305)),IF(法术查询!$J$14="",1,SEARCH(法术查询!$J$14,$B305&amp;$C305&amp;$O305)),IF(法术查询!$J$16="",1,IF(法术查询!$J$16=$AF$11,IF($H305=1,1,0),IF($H305="",1,0))),IF(法术查询!$J$17="",1,IF(法术查询!$J$17=$AF$11,IF($I305=1,1,0),IF($I305="",1,0))),IF(法术查询!$J$18="",1,IF(法术查询!$J$18=$AF$11,IF($J305&lt;&gt;"",1,0),IF($J305="",1,0))),IF(法术查询!$J$19="",1,IF(法术查询!$J$19=$AF$11,IF($L305&lt;&gt;"",1,0),IF($L305="",1,0)))),$B305,""),"")</f>
        <v/>
      </c>
      <c r="AD304" s="192" t="str">
        <f t="array" ref="AD304">INDEX(AC:AC,SMALL(IF($AC$2:$AC$523&lt;&gt;"",ROW($2:$523),524),ROW(AC303)))&amp;""</f>
        <v/>
      </c>
      <c r="AE304" s="200" t="str">
        <f t="shared" si="8"/>
        <v/>
      </c>
    </row>
    <row r="305" customHeight="1" spans="1:31">
      <c r="A305" s="192">
        <v>303</v>
      </c>
      <c r="B305" s="224" t="s">
        <v>7965</v>
      </c>
      <c r="C305" s="224" t="s">
        <v>7966</v>
      </c>
      <c r="E305" s="229" t="s">
        <v>6664</v>
      </c>
      <c r="F305" s="193" t="s">
        <v>6642</v>
      </c>
      <c r="G305" s="193" t="s">
        <v>6651</v>
      </c>
      <c r="H305" s="193">
        <v>1</v>
      </c>
      <c r="I305" s="193">
        <v>1</v>
      </c>
      <c r="J305" s="193">
        <v>1</v>
      </c>
      <c r="K305" s="224" t="s">
        <v>7967</v>
      </c>
      <c r="N305" s="193" t="s">
        <v>6731</v>
      </c>
      <c r="O305" s="224" t="s">
        <v>7968</v>
      </c>
      <c r="P305" s="224">
        <v>4</v>
      </c>
      <c r="Q305" s="224" t="s">
        <v>249</v>
      </c>
      <c r="T305" s="193" t="str">
        <f>IF(综合数据!$B$14=TRUE,"13","")</f>
        <v>13</v>
      </c>
      <c r="W305" s="193" t="str">
        <f>IF(综合数据!$B$14=TRUE,"13","")</f>
        <v>13</v>
      </c>
      <c r="X305" s="193">
        <v>1</v>
      </c>
      <c r="AA305" s="223" t="s">
        <v>7969</v>
      </c>
      <c r="AB305" s="200" t="str">
        <f t="array" ref="AB305">INDEX(B:B,SMALL(IF($Q$3:$Q$524&lt;&gt;"",ROW($3:$524),525),ROW(B304)))&amp;""</f>
        <v>擒抱藤</v>
      </c>
      <c r="AC305" s="225" t="str">
        <f>IFERROR(IF(AND($Q306&lt;&gt;"",IF(法术查询!$J$4="",1,INDEX($R306:$Z306,1,VLOOKUP(法术查询!$J$4,$AF$2:$AG$10,2,0)))&lt;&gt;"",IF(法术查询!$J$5="",1,$P306=VLOOKUP(法术查询!$J$5,$AH$2:$AI$11,2,0)),IF(法术查询!$J$6="",1,IF(法术查询!$J$6=$E306,1,0)),IF(法术查询!$J$7="",1,SEARCH(法术查询!$J$7,$F306)),IF(法术查询!$J$8="",1,SEARCH(法术查询!$J$8,G306)),IF(法术查询!$J$9="",1,SEARCH(法术查询!$J$9,N306)),IF(法术查询!$J$10="",1,IF(法术查询!$J$10=$AF$11,IF($M306=1,1,0),IF($M306="",1,0))),IF(法术查询!$J$11="",1,IF(法术查询!$J$11=$AF$11,IF($D306=1,1,0),IF($D306="",1,0))),IF(法术查询!$J$12="",1,SEARCH(法术查询!$J$12,$B306&amp;$C306&amp;$O306)),IF(法术查询!$J$13="",1,SEARCH(法术查询!$J$13,$B306&amp;$C306&amp;$O306)),IF(法术查询!$J$14="",1,SEARCH(法术查询!$J$14,$B306&amp;$C306&amp;$O306)),IF(法术查询!$J$16="",1,IF(法术查询!$J$16=$AF$11,IF($H306=1,1,0),IF($H306="",1,0))),IF(法术查询!$J$17="",1,IF(法术查询!$J$17=$AF$11,IF($I306=1,1,0),IF($I306="",1,0))),IF(法术查询!$J$18="",1,IF(法术查询!$J$18=$AF$11,IF($J306&lt;&gt;"",1,0),IF($J306="",1,0))),IF(法术查询!$J$19="",1,IF(法术查询!$J$19=$AF$11,IF($L306&lt;&gt;"",1,0),IF($L306="",1,0)))),$B306,""),"")</f>
        <v/>
      </c>
      <c r="AD305" s="192" t="str">
        <f t="array" ref="AD305">INDEX(AC:AC,SMALL(IF($AC$2:$AC$523&lt;&gt;"",ROW($2:$523),524),ROW(AC304)))&amp;""</f>
        <v/>
      </c>
      <c r="AE305" s="200" t="str">
        <f t="shared" si="8"/>
        <v/>
      </c>
    </row>
    <row r="306" customHeight="1" spans="1:31">
      <c r="A306" s="192">
        <v>304</v>
      </c>
      <c r="B306" s="224" t="s">
        <v>7970</v>
      </c>
      <c r="C306" s="224" t="s">
        <v>7971</v>
      </c>
      <c r="E306" s="242" t="s">
        <v>6650</v>
      </c>
      <c r="F306" s="193" t="s">
        <v>6642</v>
      </c>
      <c r="G306" s="193" t="s">
        <v>3760</v>
      </c>
      <c r="H306" s="193">
        <v>1</v>
      </c>
      <c r="I306" s="193">
        <v>1</v>
      </c>
      <c r="J306" s="193">
        <v>1</v>
      </c>
      <c r="K306" s="224" t="s">
        <v>7972</v>
      </c>
      <c r="N306" s="193" t="s">
        <v>6704</v>
      </c>
      <c r="O306" s="224" t="s">
        <v>7973</v>
      </c>
      <c r="P306" s="224">
        <v>4</v>
      </c>
      <c r="Q306" s="224" t="s">
        <v>249</v>
      </c>
      <c r="R306" s="193">
        <v>1</v>
      </c>
      <c r="S306" s="193">
        <v>1</v>
      </c>
      <c r="T306" s="193">
        <v>1</v>
      </c>
      <c r="V306" s="193">
        <v>1</v>
      </c>
      <c r="Z306" s="193">
        <v>9</v>
      </c>
      <c r="AA306" s="223" t="s">
        <v>7974</v>
      </c>
      <c r="AB306" s="200" t="str">
        <f t="array" ref="AB306">INDEX(B:B,SMALL(IF($Q$3:$Q$524&lt;&gt;"",ROW($3:$524),525),ROW(B305)))&amp;""</f>
        <v>高等隐形术</v>
      </c>
      <c r="AC306" s="225" t="str">
        <f>IFERROR(IF(AND($Q307&lt;&gt;"",IF(法术查询!$J$4="",1,INDEX($R307:$Z307,1,VLOOKUP(法术查询!$J$4,$AF$2:$AG$10,2,0)))&lt;&gt;"",IF(法术查询!$J$5="",1,$P307=VLOOKUP(法术查询!$J$5,$AH$2:$AI$11,2,0)),IF(法术查询!$J$6="",1,IF(法术查询!$J$6=$E307,1,0)),IF(法术查询!$J$7="",1,SEARCH(法术查询!$J$7,$F307)),IF(法术查询!$J$8="",1,SEARCH(法术查询!$J$8,G307)),IF(法术查询!$J$9="",1,SEARCH(法术查询!$J$9,N307)),IF(法术查询!$J$10="",1,IF(法术查询!$J$10=$AF$11,IF($M307=1,1,0),IF($M307="",1,0))),IF(法术查询!$J$11="",1,IF(法术查询!$J$11=$AF$11,IF($D307=1,1,0),IF($D307="",1,0))),IF(法术查询!$J$12="",1,SEARCH(法术查询!$J$12,$B307&amp;$C307&amp;$O307)),IF(法术查询!$J$13="",1,SEARCH(法术查询!$J$13,$B307&amp;$C307&amp;$O307)),IF(法术查询!$J$14="",1,SEARCH(法术查询!$J$14,$B307&amp;$C307&amp;$O307)),IF(法术查询!$J$16="",1,IF(法术查询!$J$16=$AF$11,IF($H307=1,1,0),IF($H307="",1,0))),IF(法术查询!$J$17="",1,IF(法术查询!$J$17=$AF$11,IF($I307=1,1,0),IF($I307="",1,0))),IF(法术查询!$J$18="",1,IF(法术查询!$J$18=$AF$11,IF($J307&lt;&gt;"",1,0),IF($J307="",1,0))),IF(法术查询!$J$19="",1,IF(法术查询!$J$19=$AF$11,IF($L307&lt;&gt;"",1,0),IF($L307="",1,0)))),$B307,""),"")</f>
        <v/>
      </c>
      <c r="AD306" s="192" t="str">
        <f t="array" ref="AD306">INDEX(AC:AC,SMALL(IF($AC$2:$AC$523&lt;&gt;"",ROW($2:$523),524),ROW(AC305)))&amp;""</f>
        <v/>
      </c>
      <c r="AE306" s="200" t="str">
        <f t="shared" si="8"/>
        <v/>
      </c>
    </row>
    <row r="307" customHeight="1" spans="1:31">
      <c r="A307" s="192">
        <v>305</v>
      </c>
      <c r="B307" s="224" t="s">
        <v>7975</v>
      </c>
      <c r="C307" s="224" t="s">
        <v>7976</v>
      </c>
      <c r="E307" s="231" t="s">
        <v>6672</v>
      </c>
      <c r="F307" s="193" t="s">
        <v>6642</v>
      </c>
      <c r="G307" s="193" t="s">
        <v>6673</v>
      </c>
      <c r="H307" s="193">
        <v>1</v>
      </c>
      <c r="I307" s="193">
        <v>1</v>
      </c>
      <c r="M307" s="193">
        <v>1</v>
      </c>
      <c r="N307" s="193" t="s">
        <v>6831</v>
      </c>
      <c r="O307" s="224" t="s">
        <v>7977</v>
      </c>
      <c r="P307" s="224">
        <v>4</v>
      </c>
      <c r="Q307" s="224" t="s">
        <v>249</v>
      </c>
      <c r="T307" s="193">
        <v>1</v>
      </c>
      <c r="AA307" s="200" t="s">
        <v>7422</v>
      </c>
      <c r="AB307" s="200" t="str">
        <f t="array" ref="AB307">INDEX(B:B,SMALL(IF($Q$3:$Q$524&lt;&gt;"",ROW($3:$524),525),ROW(B306)))&amp;""</f>
        <v>信仰守卫</v>
      </c>
      <c r="AC307" s="225" t="str">
        <f>IFERROR(IF(AND($Q308&lt;&gt;"",IF(法术查询!$J$4="",1,INDEX($R308:$Z308,1,VLOOKUP(法术查询!$J$4,$AF$2:$AG$10,2,0)))&lt;&gt;"",IF(法术查询!$J$5="",1,$P308=VLOOKUP(法术查询!$J$5,$AH$2:$AI$11,2,0)),IF(法术查询!$J$6="",1,IF(法术查询!$J$6=$E308,1,0)),IF(法术查询!$J$7="",1,SEARCH(法术查询!$J$7,$F308)),IF(法术查询!$J$8="",1,SEARCH(法术查询!$J$8,G308)),IF(法术查询!$J$9="",1,SEARCH(法术查询!$J$9,N308)),IF(法术查询!$J$10="",1,IF(法术查询!$J$10=$AF$11,IF($M308=1,1,0),IF($M308="",1,0))),IF(法术查询!$J$11="",1,IF(法术查询!$J$11=$AF$11,IF($D308=1,1,0),IF($D308="",1,0))),IF(法术查询!$J$12="",1,SEARCH(法术查询!$J$12,$B308&amp;$C308&amp;$O308)),IF(法术查询!$J$13="",1,SEARCH(法术查询!$J$13,$B308&amp;$C308&amp;$O308)),IF(法术查询!$J$14="",1,SEARCH(法术查询!$J$14,$B308&amp;$C308&amp;$O308)),IF(法术查询!$J$16="",1,IF(法术查询!$J$16=$AF$11,IF($H308=1,1,0),IF($H308="",1,0))),IF(法术查询!$J$17="",1,IF(法术查询!$J$17=$AF$11,IF($I308=1,1,0),IF($I308="",1,0))),IF(法术查询!$J$18="",1,IF(法术查询!$J$18=$AF$11,IF($J308&lt;&gt;"",1,0),IF($J308="",1,0))),IF(法术查询!$J$19="",1,IF(法术查询!$J$19=$AF$11,IF($L308&lt;&gt;"",1,0),IF($L308="",1,0)))),$B308,""),"")</f>
        <v/>
      </c>
      <c r="AD307" s="192" t="str">
        <f t="array" ref="AD307">INDEX(AC:AC,SMALL(IF($AC$2:$AC$523&lt;&gt;"",ROW($2:$523),524),ROW(AC306)))&amp;""</f>
        <v/>
      </c>
      <c r="AE307" s="200" t="str">
        <f t="shared" si="8"/>
        <v/>
      </c>
    </row>
    <row r="308" customHeight="1" spans="1:31">
      <c r="A308" s="192">
        <v>306</v>
      </c>
      <c r="B308" s="224" t="s">
        <v>7978</v>
      </c>
      <c r="C308" s="224" t="s">
        <v>7979</v>
      </c>
      <c r="E308" s="240" t="s">
        <v>6641</v>
      </c>
      <c r="F308" s="193" t="s">
        <v>6712</v>
      </c>
      <c r="G308" s="193" t="s">
        <v>6673</v>
      </c>
      <c r="H308" s="193">
        <v>1</v>
      </c>
      <c r="I308" s="193">
        <v>1</v>
      </c>
      <c r="M308" s="193">
        <v>1</v>
      </c>
      <c r="N308" s="193" t="s">
        <v>6666</v>
      </c>
      <c r="O308" s="224" t="s">
        <v>7980</v>
      </c>
      <c r="P308" s="224">
        <v>4</v>
      </c>
      <c r="Q308" s="224" t="s">
        <v>249</v>
      </c>
      <c r="T308" s="193">
        <v>1</v>
      </c>
      <c r="V308" s="193">
        <v>1</v>
      </c>
      <c r="AA308" s="223" t="s">
        <v>7981</v>
      </c>
      <c r="AB308" s="200" t="str">
        <f t="array" ref="AB308">INDEX(B:B,SMALL(IF($Q$3:$Q$524&lt;&gt;"",ROW($3:$524),525),ROW(B307)))&amp;""</f>
        <v>幻景</v>
      </c>
      <c r="AC308" s="225" t="str">
        <f>IFERROR(IF(AND($Q309&lt;&gt;"",IF(法术查询!$J$4="",1,INDEX($R309:$Z309,1,VLOOKUP(法术查询!$J$4,$AF$2:$AG$10,2,0)))&lt;&gt;"",IF(法术查询!$J$5="",1,$P309=VLOOKUP(法术查询!$J$5,$AH$2:$AI$11,2,0)),IF(法术查询!$J$6="",1,IF(法术查询!$J$6=$E309,1,0)),IF(法术查询!$J$7="",1,SEARCH(法术查询!$J$7,$F309)),IF(法术查询!$J$8="",1,SEARCH(法术查询!$J$8,G309)),IF(法术查询!$J$9="",1,SEARCH(法术查询!$J$9,N309)),IF(法术查询!$J$10="",1,IF(法术查询!$J$10=$AF$11,IF($M309=1,1,0),IF($M309="",1,0))),IF(法术查询!$J$11="",1,IF(法术查询!$J$11=$AF$11,IF($D309=1,1,0),IF($D309="",1,0))),IF(法术查询!$J$12="",1,SEARCH(法术查询!$J$12,$B309&amp;$C309&amp;$O309)),IF(法术查询!$J$13="",1,SEARCH(法术查询!$J$13,$B309&amp;$C309&amp;$O309)),IF(法术查询!$J$14="",1,SEARCH(法术查询!$J$14,$B309&amp;$C309&amp;$O309)),IF(法术查询!$J$16="",1,IF(法术查询!$J$16=$AF$11,IF($H309=1,1,0),IF($H309="",1,0))),IF(法术查询!$J$17="",1,IF(法术查询!$J$17=$AF$11,IF($I309=1,1,0),IF($I309="",1,0))),IF(法术查询!$J$18="",1,IF(法术查询!$J$18=$AF$11,IF($J309&lt;&gt;"",1,0),IF($J309="",1,0))),IF(法术查询!$J$19="",1,IF(法术查询!$J$19=$AF$11,IF($L309&lt;&gt;"",1,0),IF($L309="",1,0)))),$B309,""),"")</f>
        <v/>
      </c>
      <c r="AD308" s="192" t="str">
        <f t="array" ref="AD308">INDEX(AC:AC,SMALL(IF($AC$2:$AC$523&lt;&gt;"",ROW($2:$523),524),ROW(AC307)))&amp;""</f>
        <v/>
      </c>
      <c r="AE308" s="200" t="str">
        <f t="shared" si="8"/>
        <v/>
      </c>
    </row>
    <row r="309" customHeight="1" spans="1:31">
      <c r="A309" s="192">
        <v>307</v>
      </c>
      <c r="B309" s="224" t="s">
        <v>7982</v>
      </c>
      <c r="C309" s="224" t="s">
        <v>7983</v>
      </c>
      <c r="E309" s="241" t="s">
        <v>6726</v>
      </c>
      <c r="F309" s="193" t="s">
        <v>6642</v>
      </c>
      <c r="G309" s="193" t="s">
        <v>3760</v>
      </c>
      <c r="H309" s="193">
        <v>1</v>
      </c>
      <c r="I309" s="193">
        <v>1</v>
      </c>
      <c r="M309" s="193">
        <v>1</v>
      </c>
      <c r="N309" s="193" t="s">
        <v>6666</v>
      </c>
      <c r="O309" s="224" t="s">
        <v>7984</v>
      </c>
      <c r="P309" s="224">
        <v>4</v>
      </c>
      <c r="Q309" s="224" t="s">
        <v>249</v>
      </c>
      <c r="R309" s="193">
        <v>1</v>
      </c>
      <c r="W309" s="193">
        <v>1</v>
      </c>
      <c r="X309" s="193">
        <v>1</v>
      </c>
      <c r="AA309" s="223" t="s">
        <v>7985</v>
      </c>
      <c r="AB309" s="200" t="str">
        <f t="array" ref="AB309">INDEX(B:B,SMALL(IF($Q$3:$Q$524&lt;&gt;"",ROW($3:$524),525),ROW(B308)))&amp;""</f>
        <v>冰风暴</v>
      </c>
      <c r="AC309" s="225" t="str">
        <f>IFERROR(IF(AND($Q310&lt;&gt;"",IF(法术查询!$J$4="",1,INDEX($R310:$Z310,1,VLOOKUP(法术查询!$J$4,$AF$2:$AG$10,2,0)))&lt;&gt;"",IF(法术查询!$J$5="",1,$P310=VLOOKUP(法术查询!$J$5,$AH$2:$AI$11,2,0)),IF(法术查询!$J$6="",1,IF(法术查询!$J$6=$E310,1,0)),IF(法术查询!$J$7="",1,SEARCH(法术查询!$J$7,$F310)),IF(法术查询!$J$8="",1,SEARCH(法术查询!$J$8,G310)),IF(法术查询!$J$9="",1,SEARCH(法术查询!$J$9,N310)),IF(法术查询!$J$10="",1,IF(法术查询!$J$10=$AF$11,IF($M310=1,1,0),IF($M310="",1,0))),IF(法术查询!$J$11="",1,IF(法术查询!$J$11=$AF$11,IF($D310=1,1,0),IF($D310="",1,0))),IF(法术查询!$J$12="",1,SEARCH(法术查询!$J$12,$B310&amp;$C310&amp;$O310)),IF(法术查询!$J$13="",1,SEARCH(法术查询!$J$13,$B310&amp;$C310&amp;$O310)),IF(法术查询!$J$14="",1,SEARCH(法术查询!$J$14,$B310&amp;$C310&amp;$O310)),IF(法术查询!$J$16="",1,IF(法术查询!$J$16=$AF$11,IF($H310=1,1,0),IF($H310="",1,0))),IF(法术查询!$J$17="",1,IF(法术查询!$J$17=$AF$11,IF($I310=1,1,0),IF($I310="",1,0))),IF(法术查询!$J$18="",1,IF(法术查询!$J$18=$AF$11,IF($J310&lt;&gt;"",1,0),IF($J310="",1,0))),IF(法术查询!$J$19="",1,IF(法术查询!$J$19=$AF$11,IF($L310&lt;&gt;"",1,0),IF($L310="",1,0)))),$B310,""),"")</f>
        <v/>
      </c>
      <c r="AD309" s="192" t="str">
        <f t="array" ref="AD309">INDEX(AC:AC,SMALL(IF($AC$2:$AC$523&lt;&gt;"",ROW($2:$523),524),ROW(AC308)))&amp;""</f>
        <v/>
      </c>
      <c r="AE309" s="200" t="str">
        <f t="shared" si="8"/>
        <v/>
      </c>
    </row>
    <row r="310" customHeight="1" spans="1:31">
      <c r="A310" s="192">
        <v>308</v>
      </c>
      <c r="B310" s="224" t="s">
        <v>7986</v>
      </c>
      <c r="C310" s="224" t="s">
        <v>7987</v>
      </c>
      <c r="E310" s="240" t="s">
        <v>6641</v>
      </c>
      <c r="F310" s="193" t="s">
        <v>6642</v>
      </c>
      <c r="G310" s="193" t="s">
        <v>6673</v>
      </c>
      <c r="H310" s="193">
        <v>1</v>
      </c>
      <c r="N310" s="193" t="s">
        <v>6748</v>
      </c>
      <c r="O310" s="224" t="s">
        <v>7988</v>
      </c>
      <c r="P310" s="224">
        <v>4</v>
      </c>
      <c r="Q310" s="224" t="s">
        <v>249</v>
      </c>
      <c r="S310" s="193">
        <v>1</v>
      </c>
      <c r="AA310" s="223" t="s">
        <v>7989</v>
      </c>
      <c r="AB310" s="200" t="str">
        <f t="array" ref="AB310">INDEX(B:B,SMALL(IF($Q$3:$Q$524&lt;&gt;"",ROW($3:$524),525),ROW(B309)))&amp;""</f>
        <v>李欧蒙秘藏箱</v>
      </c>
      <c r="AC310" s="225" t="str">
        <f>IFERROR(IF(AND($Q311&lt;&gt;"",IF(法术查询!$J$4="",1,INDEX($R311:$Z311,1,VLOOKUP(法术查询!$J$4,$AF$2:$AG$10,2,0)))&lt;&gt;"",IF(法术查询!$J$5="",1,$P311=VLOOKUP(法术查询!$J$5,$AH$2:$AI$11,2,0)),IF(法术查询!$J$6="",1,IF(法术查询!$J$6=$E311,1,0)),IF(法术查询!$J$7="",1,SEARCH(法术查询!$J$7,$F311)),IF(法术查询!$J$8="",1,SEARCH(法术查询!$J$8,G311)),IF(法术查询!$J$9="",1,SEARCH(法术查询!$J$9,N311)),IF(法术查询!$J$10="",1,IF(法术查询!$J$10=$AF$11,IF($M311=1,1,0),IF($M311="",1,0))),IF(法术查询!$J$11="",1,IF(法术查询!$J$11=$AF$11,IF($D311=1,1,0),IF($D311="",1,0))),IF(法术查询!$J$12="",1,SEARCH(法术查询!$J$12,$B311&amp;$C311&amp;$O311)),IF(法术查询!$J$13="",1,SEARCH(法术查询!$J$13,$B311&amp;$C311&amp;$O311)),IF(法术查询!$J$14="",1,SEARCH(法术查询!$J$14,$B311&amp;$C311&amp;$O311)),IF(法术查询!$J$16="",1,IF(法术查询!$J$16=$AF$11,IF($H311=1,1,0),IF($H311="",1,0))),IF(法术查询!$J$17="",1,IF(法术查询!$J$17=$AF$11,IF($I311=1,1,0),IF($I311="",1,0))),IF(法术查询!$J$18="",1,IF(法术查询!$J$18=$AF$11,IF($J311&lt;&gt;"",1,0),IF($J311="",1,0))),IF(法术查询!$J$19="",1,IF(法术查询!$J$19=$AF$11,IF($L311&lt;&gt;"",1,0),IF($L311="",1,0)))),$B311,""),"")</f>
        <v/>
      </c>
      <c r="AD310" s="192" t="str">
        <f t="array" ref="AD310">INDEX(AC:AC,SMALL(IF($AC$2:$AC$523&lt;&gt;"",ROW($2:$523),524),ROW(AC309)))&amp;""</f>
        <v/>
      </c>
      <c r="AE310" s="200" t="str">
        <f t="shared" si="8"/>
        <v/>
      </c>
    </row>
    <row r="311" customHeight="1" spans="1:31">
      <c r="A311" s="192">
        <v>309</v>
      </c>
      <c r="B311" s="224" t="s">
        <v>7990</v>
      </c>
      <c r="C311" s="224" t="s">
        <v>7991</v>
      </c>
      <c r="E311" s="241" t="s">
        <v>6726</v>
      </c>
      <c r="F311" s="193" t="s">
        <v>6731</v>
      </c>
      <c r="G311" s="193" t="s">
        <v>6786</v>
      </c>
      <c r="H311" s="193">
        <v>1</v>
      </c>
      <c r="I311" s="193">
        <v>1</v>
      </c>
      <c r="J311" s="193">
        <v>1</v>
      </c>
      <c r="K311" s="224" t="s">
        <v>7992</v>
      </c>
      <c r="N311" s="193" t="s">
        <v>6759</v>
      </c>
      <c r="O311" s="224" t="s">
        <v>7993</v>
      </c>
      <c r="P311" s="224">
        <v>4</v>
      </c>
      <c r="Q311" s="224" t="s">
        <v>249</v>
      </c>
      <c r="R311" s="193">
        <v>1</v>
      </c>
      <c r="T311" s="193">
        <v>1</v>
      </c>
      <c r="X311" s="193">
        <v>1</v>
      </c>
      <c r="Y311" s="193">
        <v>1</v>
      </c>
      <c r="AA311" s="223" t="s">
        <v>7994</v>
      </c>
      <c r="AB311" s="200" t="str">
        <f t="array" ref="AB311">INDEX(B:B,SMALL(IF($Q$3:$Q$524&lt;&gt;"",ROW($3:$524),525),ROW(B310)))&amp;""</f>
        <v>生物定位术</v>
      </c>
      <c r="AC311" s="225" t="str">
        <f>IFERROR(IF(AND($Q312&lt;&gt;"",IF(法术查询!$J$4="",1,INDEX($R312:$Z312,1,VLOOKUP(法术查询!$J$4,$AF$2:$AG$10,2,0)))&lt;&gt;"",IF(法术查询!$J$5="",1,$P312=VLOOKUP(法术查询!$J$5,$AH$2:$AI$11,2,0)),IF(法术查询!$J$6="",1,IF(法术查询!$J$6=$E312,1,0)),IF(法术查询!$J$7="",1,SEARCH(法术查询!$J$7,$F312)),IF(法术查询!$J$8="",1,SEARCH(法术查询!$J$8,G312)),IF(法术查询!$J$9="",1,SEARCH(法术查询!$J$9,N312)),IF(法术查询!$J$10="",1,IF(法术查询!$J$10=$AF$11,IF($M312=1,1,0),IF($M312="",1,0))),IF(法术查询!$J$11="",1,IF(法术查询!$J$11=$AF$11,IF($D312=1,1,0),IF($D312="",1,0))),IF(法术查询!$J$12="",1,SEARCH(法术查询!$J$12,$B312&amp;$C312&amp;$O312)),IF(法术查询!$J$13="",1,SEARCH(法术查询!$J$13,$B312&amp;$C312&amp;$O312)),IF(法术查询!$J$14="",1,SEARCH(法术查询!$J$14,$B312&amp;$C312&amp;$O312)),IF(法术查询!$J$16="",1,IF(法术查询!$J$16=$AF$11,IF($H312=1,1,0),IF($H312="",1,0))),IF(法术查询!$J$17="",1,IF(法术查询!$J$17=$AF$11,IF($I312=1,1,0),IF($I312="",1,0))),IF(法术查询!$J$18="",1,IF(法术查询!$J$18=$AF$11,IF($J312&lt;&gt;"",1,0),IF($J312="",1,0))),IF(法术查询!$J$19="",1,IF(法术查询!$J$19=$AF$11,IF($L312&lt;&gt;"",1,0),IF($L312="",1,0)))),$B312,""),"")</f>
        <v/>
      </c>
      <c r="AD311" s="192" t="str">
        <f t="array" ref="AD311">INDEX(AC:AC,SMALL(IF($AC$2:$AC$523&lt;&gt;"",ROW($2:$523),524),ROW(AC310)))&amp;""</f>
        <v/>
      </c>
      <c r="AE311" s="200" t="str">
        <f t="shared" si="8"/>
        <v/>
      </c>
    </row>
    <row r="312" customHeight="1" spans="1:31">
      <c r="A312" s="192">
        <v>310</v>
      </c>
      <c r="B312" s="224" t="s">
        <v>7995</v>
      </c>
      <c r="C312" s="224" t="s">
        <v>7996</v>
      </c>
      <c r="E312" s="229" t="s">
        <v>6664</v>
      </c>
      <c r="F312" s="193" t="s">
        <v>6642</v>
      </c>
      <c r="G312" s="193" t="s">
        <v>6786</v>
      </c>
      <c r="H312" s="193">
        <v>1</v>
      </c>
      <c r="I312" s="193">
        <v>1</v>
      </c>
      <c r="J312" s="193">
        <v>1</v>
      </c>
      <c r="K312" s="224" t="s">
        <v>7997</v>
      </c>
      <c r="N312" s="193" t="s">
        <v>6644</v>
      </c>
      <c r="O312" s="224" t="s">
        <v>7998</v>
      </c>
      <c r="P312" s="224">
        <v>4</v>
      </c>
      <c r="Q312" s="224" t="s">
        <v>249</v>
      </c>
      <c r="T312" s="193">
        <v>1</v>
      </c>
      <c r="W312" s="193">
        <v>1</v>
      </c>
      <c r="X312" s="193">
        <v>1</v>
      </c>
      <c r="AA312" s="223" t="s">
        <v>7999</v>
      </c>
      <c r="AB312" s="200" t="str">
        <f t="array" ref="AB312">INDEX(B:B,SMALL(IF($Q$3:$Q$524&lt;&gt;"",ROW($3:$524),525),ROW(B311)))&amp;""</f>
        <v>摩登肯忠犬</v>
      </c>
      <c r="AC312" s="225" t="str">
        <f>IFERROR(IF(AND($Q313&lt;&gt;"",IF(法术查询!$J$4="",1,INDEX($R313:$Z313,1,VLOOKUP(法术查询!$J$4,$AF$2:$AG$10,2,0)))&lt;&gt;"",IF(法术查询!$J$5="",1,$P313=VLOOKUP(法术查询!$J$5,$AH$2:$AI$11,2,0)),IF(法术查询!$J$6="",1,IF(法术查询!$J$6=$E313,1,0)),IF(法术查询!$J$7="",1,SEARCH(法术查询!$J$7,$F313)),IF(法术查询!$J$8="",1,SEARCH(法术查询!$J$8,G313)),IF(法术查询!$J$9="",1,SEARCH(法术查询!$J$9,N313)),IF(法术查询!$J$10="",1,IF(法术查询!$J$10=$AF$11,IF($M313=1,1,0),IF($M313="",1,0))),IF(法术查询!$J$11="",1,IF(法术查询!$J$11=$AF$11,IF($D313=1,1,0),IF($D313="",1,0))),IF(法术查询!$J$12="",1,SEARCH(法术查询!$J$12,$B313&amp;$C313&amp;$O313)),IF(法术查询!$J$13="",1,SEARCH(法术查询!$J$13,$B313&amp;$C313&amp;$O313)),IF(法术查询!$J$14="",1,SEARCH(法术查询!$J$14,$B313&amp;$C313&amp;$O313)),IF(法术查询!$J$16="",1,IF(法术查询!$J$16=$AF$11,IF($H313=1,1,0),IF($H313="",1,0))),IF(法术查询!$J$17="",1,IF(法术查询!$J$17=$AF$11,IF($I313=1,1,0),IF($I313="",1,0))),IF(法术查询!$J$18="",1,IF(法术查询!$J$18=$AF$11,IF($J313&lt;&gt;"",1,0),IF($J313="",1,0))),IF(法术查询!$J$19="",1,IF(法术查询!$J$19=$AF$11,IF($L313&lt;&gt;"",1,0),IF($L313="",1,0)))),$B313,""),"")</f>
        <v/>
      </c>
      <c r="AD312" s="192" t="str">
        <f t="array" ref="AD312">INDEX(AC:AC,SMALL(IF($AC$2:$AC$523&lt;&gt;"",ROW($2:$523),524),ROW(AC311)))&amp;""</f>
        <v/>
      </c>
      <c r="AE312" s="200" t="str">
        <f t="shared" si="8"/>
        <v/>
      </c>
    </row>
    <row r="313" customHeight="1" spans="1:31">
      <c r="A313" s="192">
        <v>311</v>
      </c>
      <c r="B313" s="224" t="s">
        <v>8000</v>
      </c>
      <c r="C313" s="224" t="s">
        <v>8001</v>
      </c>
      <c r="E313" s="240" t="s">
        <v>6641</v>
      </c>
      <c r="F313" s="193" t="s">
        <v>6642</v>
      </c>
      <c r="G313" s="193" t="s">
        <v>3760</v>
      </c>
      <c r="H313" s="193">
        <v>1</v>
      </c>
      <c r="I313" s="193">
        <v>1</v>
      </c>
      <c r="J313" s="193">
        <v>1</v>
      </c>
      <c r="K313" s="224" t="s">
        <v>8002</v>
      </c>
      <c r="N313" s="193" t="s">
        <v>6644</v>
      </c>
      <c r="O313" s="224" t="s">
        <v>8003</v>
      </c>
      <c r="P313" s="224">
        <v>4</v>
      </c>
      <c r="Q313" s="224" t="s">
        <v>249</v>
      </c>
      <c r="X313" s="193">
        <v>1</v>
      </c>
      <c r="Z313" s="193">
        <v>9</v>
      </c>
      <c r="AA313" s="223" t="s">
        <v>8004</v>
      </c>
      <c r="AB313" s="200" t="str">
        <f t="array" ref="AB313">INDEX(B:B,SMALL(IF($Q$3:$Q$524&lt;&gt;"",ROW($3:$524),525),ROW(B312)))&amp;""</f>
        <v>摩登肯私人密室</v>
      </c>
      <c r="AC313" s="225" t="str">
        <f>IFERROR(IF(AND($Q314&lt;&gt;"",IF(法术查询!$J$4="",1,INDEX($R314:$Z314,1,VLOOKUP(法术查询!$J$4,$AF$2:$AG$10,2,0)))&lt;&gt;"",IF(法术查询!$J$5="",1,$P314=VLOOKUP(法术查询!$J$5,$AH$2:$AI$11,2,0)),IF(法术查询!$J$6="",1,IF(法术查询!$J$6=$E314,1,0)),IF(法术查询!$J$7="",1,SEARCH(法术查询!$J$7,$F314)),IF(法术查询!$J$8="",1,SEARCH(法术查询!$J$8,G314)),IF(法术查询!$J$9="",1,SEARCH(法术查询!$J$9,N314)),IF(法术查询!$J$10="",1,IF(法术查询!$J$10=$AF$11,IF($M314=1,1,0),IF($M314="",1,0))),IF(法术查询!$J$11="",1,IF(法术查询!$J$11=$AF$11,IF($D314=1,1,0),IF($D314="",1,0))),IF(法术查询!$J$12="",1,SEARCH(法术查询!$J$12,$B314&amp;$C314&amp;$O314)),IF(法术查询!$J$13="",1,SEARCH(法术查询!$J$13,$B314&amp;$C314&amp;$O314)),IF(法术查询!$J$14="",1,SEARCH(法术查询!$J$14,$B314&amp;$C314&amp;$O314)),IF(法术查询!$J$16="",1,IF(法术查询!$J$16=$AF$11,IF($H314=1,1,0),IF($H314="",1,0))),IF(法术查询!$J$17="",1,IF(法术查询!$J$17=$AF$11,IF($I314=1,1,0),IF($I314="",1,0))),IF(法术查询!$J$18="",1,IF(法术查询!$J$18=$AF$11,IF($J314&lt;&gt;"",1,0),IF($J314="",1,0))),IF(法术查询!$J$19="",1,IF(法术查询!$J$19=$AF$11,IF($L314&lt;&gt;"",1,0),IF($L314="",1,0)))),$B314,""),"")</f>
        <v/>
      </c>
      <c r="AD313" s="192" t="str">
        <f t="array" ref="AD313">INDEX(AC:AC,SMALL(IF($AC$2:$AC$523&lt;&gt;"",ROW($2:$523),524),ROW(AC312)))&amp;""</f>
        <v/>
      </c>
      <c r="AE313" s="200" t="str">
        <f t="shared" si="8"/>
        <v/>
      </c>
    </row>
    <row r="314" customHeight="1" spans="1:31">
      <c r="A314" s="192">
        <v>312</v>
      </c>
      <c r="B314" s="224" t="s">
        <v>8005</v>
      </c>
      <c r="C314" s="224" t="s">
        <v>8006</v>
      </c>
      <c r="E314" s="238" t="s">
        <v>6695</v>
      </c>
      <c r="F314" s="193" t="s">
        <v>6642</v>
      </c>
      <c r="G314" s="193" t="s">
        <v>6651</v>
      </c>
      <c r="H314" s="193">
        <v>1</v>
      </c>
      <c r="I314" s="193">
        <v>1</v>
      </c>
      <c r="J314" s="193">
        <v>1</v>
      </c>
      <c r="K314" s="224" t="s">
        <v>7369</v>
      </c>
      <c r="M314" s="193">
        <v>1</v>
      </c>
      <c r="N314" s="193" t="s">
        <v>6739</v>
      </c>
      <c r="O314" s="224" t="s">
        <v>8007</v>
      </c>
      <c r="P314" s="224">
        <v>4</v>
      </c>
      <c r="Q314" s="224" t="s">
        <v>249</v>
      </c>
      <c r="R314" s="193">
        <v>1</v>
      </c>
      <c r="S314" s="193">
        <v>1</v>
      </c>
      <c r="T314" s="193">
        <v>1</v>
      </c>
      <c r="U314" s="193">
        <v>1</v>
      </c>
      <c r="V314" s="193">
        <v>1</v>
      </c>
      <c r="X314" s="193">
        <v>1</v>
      </c>
      <c r="AA314" s="223" t="s">
        <v>8008</v>
      </c>
      <c r="AB314" s="200" t="str">
        <f t="array" ref="AB314">INDEX(B:B,SMALL(IF($Q$3:$Q$524&lt;&gt;"",ROW($3:$524),525),ROW(B313)))&amp;""</f>
        <v>欧提路克弹力法球</v>
      </c>
      <c r="AC314" s="225" t="str">
        <f>IFERROR(IF(AND($Q315&lt;&gt;"",IF(法术查询!$J$4="",1,INDEX($R315:$Z315,1,VLOOKUP(法术查询!$J$4,$AF$2:$AG$10,2,0)))&lt;&gt;"",IF(法术查询!$J$5="",1,$P315=VLOOKUP(法术查询!$J$5,$AH$2:$AI$11,2,0)),IF(法术查询!$J$6="",1,IF(法术查询!$J$6=$E315,1,0)),IF(法术查询!$J$7="",1,SEARCH(法术查询!$J$7,$F315)),IF(法术查询!$J$8="",1,SEARCH(法术查询!$J$8,G315)),IF(法术查询!$J$9="",1,SEARCH(法术查询!$J$9,N315)),IF(法术查询!$J$10="",1,IF(法术查询!$J$10=$AF$11,IF($M315=1,1,0),IF($M315="",1,0))),IF(法术查询!$J$11="",1,IF(法术查询!$J$11=$AF$11,IF($D315=1,1,0),IF($D315="",1,0))),IF(法术查询!$J$12="",1,SEARCH(法术查询!$J$12,$B315&amp;$C315&amp;$O315)),IF(法术查询!$J$13="",1,SEARCH(法术查询!$J$13,$B315&amp;$C315&amp;$O315)),IF(法术查询!$J$14="",1,SEARCH(法术查询!$J$14,$B315&amp;$C315&amp;$O315)),IF(法术查询!$J$16="",1,IF(法术查询!$J$16=$AF$11,IF($H315=1,1,0),IF($H315="",1,0))),IF(法术查询!$J$17="",1,IF(法术查询!$J$17=$AF$11,IF($I315=1,1,0),IF($I315="",1,0))),IF(法术查询!$J$18="",1,IF(法术查询!$J$18=$AF$11,IF($J315&lt;&gt;"",1,0),IF($J315="",1,0))),IF(法术查询!$J$19="",1,IF(法术查询!$J$19=$AF$11,IF($L315&lt;&gt;"",1,0),IF($L315="",1,0)))),$B315,""),"")</f>
        <v/>
      </c>
      <c r="AD314" s="192" t="str">
        <f t="array" ref="AD314">INDEX(AC:AC,SMALL(IF($AC$2:$AC$523&lt;&gt;"",ROW($2:$523),524),ROW(AC313)))&amp;""</f>
        <v/>
      </c>
      <c r="AE314" s="200" t="str">
        <f t="shared" si="8"/>
        <v/>
      </c>
    </row>
    <row r="315" customHeight="1" spans="1:31">
      <c r="A315" s="192">
        <v>313</v>
      </c>
      <c r="B315" s="224" t="s">
        <v>8009</v>
      </c>
      <c r="C315" s="224" t="s">
        <v>8010</v>
      </c>
      <c r="E315" s="240" t="s">
        <v>6641</v>
      </c>
      <c r="F315" s="193" t="s">
        <v>6642</v>
      </c>
      <c r="G315" s="193" t="s">
        <v>6673</v>
      </c>
      <c r="H315" s="193">
        <v>1</v>
      </c>
      <c r="I315" s="193">
        <v>1</v>
      </c>
      <c r="J315" s="193">
        <v>1</v>
      </c>
      <c r="K315" s="224" t="s">
        <v>8011</v>
      </c>
      <c r="N315" s="193" t="s">
        <v>6748</v>
      </c>
      <c r="O315" s="224" t="s">
        <v>8012</v>
      </c>
      <c r="P315" s="224">
        <v>4</v>
      </c>
      <c r="Q315" s="224" t="s">
        <v>249</v>
      </c>
      <c r="X315" s="193">
        <v>1</v>
      </c>
      <c r="Z315" s="193">
        <v>9</v>
      </c>
      <c r="AA315" s="200" t="s">
        <v>610</v>
      </c>
      <c r="AB315" s="200" t="str">
        <f t="array" ref="AB315">INDEX(B:B,SMALL(IF($Q$3:$Q$524&lt;&gt;"",ROW($3:$524),525),ROW(B314)))&amp;""</f>
        <v>魅影杀手</v>
      </c>
      <c r="AC315" s="225" t="str">
        <f>IFERROR(IF(AND($Q316&lt;&gt;"",IF(法术查询!$J$4="",1,INDEX($R316:$Z316,1,VLOOKUP(法术查询!$J$4,$AF$2:$AG$10,2,0)))&lt;&gt;"",IF(法术查询!$J$5="",1,$P316=VLOOKUP(法术查询!$J$5,$AH$2:$AI$11,2,0)),IF(法术查询!$J$6="",1,IF(法术查询!$J$6=$E316,1,0)),IF(法术查询!$J$7="",1,SEARCH(法术查询!$J$7,$F316)),IF(法术查询!$J$8="",1,SEARCH(法术查询!$J$8,G316)),IF(法术查询!$J$9="",1,SEARCH(法术查询!$J$9,N316)),IF(法术查询!$J$10="",1,IF(法术查询!$J$10=$AF$11,IF($M316=1,1,0),IF($M316="",1,0))),IF(法术查询!$J$11="",1,IF(法术查询!$J$11=$AF$11,IF($D316=1,1,0),IF($D316="",1,0))),IF(法术查询!$J$12="",1,SEARCH(法术查询!$J$12,$B316&amp;$C316&amp;$O316)),IF(法术查询!$J$13="",1,SEARCH(法术查询!$J$13,$B316&amp;$C316&amp;$O316)),IF(法术查询!$J$14="",1,SEARCH(法术查询!$J$14,$B316&amp;$C316&amp;$O316)),IF(法术查询!$J$16="",1,IF(法术查询!$J$16=$AF$11,IF($H316=1,1,0),IF($H316="",1,0))),IF(法术查询!$J$17="",1,IF(法术查询!$J$17=$AF$11,IF($I316=1,1,0),IF($I316="",1,0))),IF(法术查询!$J$18="",1,IF(法术查询!$J$18=$AF$11,IF($J316&lt;&gt;"",1,0),IF($J316="",1,0))),IF(法术查询!$J$19="",1,IF(法术查询!$J$19=$AF$11,IF($L316&lt;&gt;"",1,0),IF($L316="",1,0)))),$B316,""),"")</f>
        <v/>
      </c>
      <c r="AD315" s="192" t="str">
        <f t="array" ref="AD315">INDEX(AC:AC,SMALL(IF($AC$2:$AC$523&lt;&gt;"",ROW($2:$523),524),ROW(AC314)))&amp;""</f>
        <v/>
      </c>
      <c r="AE315" s="200" t="str">
        <f t="shared" si="8"/>
        <v/>
      </c>
    </row>
    <row r="316" customHeight="1" spans="1:31">
      <c r="A316" s="192">
        <v>314</v>
      </c>
      <c r="B316" s="224" t="s">
        <v>8013</v>
      </c>
      <c r="C316" s="224" t="s">
        <v>8014</v>
      </c>
      <c r="E316" s="242" t="s">
        <v>6650</v>
      </c>
      <c r="F316" s="193" t="s">
        <v>6731</v>
      </c>
      <c r="G316" s="193" t="s">
        <v>6658</v>
      </c>
      <c r="H316" s="193">
        <v>1</v>
      </c>
      <c r="I316" s="193">
        <v>1</v>
      </c>
      <c r="J316" s="193">
        <v>1</v>
      </c>
      <c r="K316" s="224" t="s">
        <v>8015</v>
      </c>
      <c r="N316" s="193" t="s">
        <v>6759</v>
      </c>
      <c r="O316" s="224" t="s">
        <v>8016</v>
      </c>
      <c r="P316" s="224">
        <v>4</v>
      </c>
      <c r="Q316" s="224" t="s">
        <v>249</v>
      </c>
      <c r="X316" s="193">
        <v>1</v>
      </c>
      <c r="Z316" s="193">
        <v>9</v>
      </c>
      <c r="AA316" s="200" t="s">
        <v>776</v>
      </c>
      <c r="AB316" s="200" t="str">
        <f t="array" ref="AB316">INDEX(B:B,SMALL(IF($Q$3:$Q$524&lt;&gt;"",ROW($3:$524),525),ROW(B315)))&amp;""</f>
        <v>变形术</v>
      </c>
      <c r="AC316" s="225" t="str">
        <f>IFERROR(IF(AND($Q317&lt;&gt;"",IF(法术查询!$J$4="",1,INDEX($R317:$Z317,1,VLOOKUP(法术查询!$J$4,$AF$2:$AG$10,2,0)))&lt;&gt;"",IF(法术查询!$J$5="",1,$P317=VLOOKUP(法术查询!$J$5,$AH$2:$AI$11,2,0)),IF(法术查询!$J$6="",1,IF(法术查询!$J$6=$E317,1,0)),IF(法术查询!$J$7="",1,SEARCH(法术查询!$J$7,$F317)),IF(法术查询!$J$8="",1,SEARCH(法术查询!$J$8,G317)),IF(法术查询!$J$9="",1,SEARCH(法术查询!$J$9,N317)),IF(法术查询!$J$10="",1,IF(法术查询!$J$10=$AF$11,IF($M317=1,1,0),IF($M317="",1,0))),IF(法术查询!$J$11="",1,IF(法术查询!$J$11=$AF$11,IF($D317=1,1,0),IF($D317="",1,0))),IF(法术查询!$J$12="",1,SEARCH(法术查询!$J$12,$B317&amp;$C317&amp;$O317)),IF(法术查询!$J$13="",1,SEARCH(法术查询!$J$13,$B317&amp;$C317&amp;$O317)),IF(法术查询!$J$14="",1,SEARCH(法术查询!$J$14,$B317&amp;$C317&amp;$O317)),IF(法术查询!$J$16="",1,IF(法术查询!$J$16=$AF$11,IF($H317=1,1,0),IF($H317="",1,0))),IF(法术查询!$J$17="",1,IF(法术查询!$J$17=$AF$11,IF($I317=1,1,0),IF($I317="",1,0))),IF(法术查询!$J$18="",1,IF(法术查询!$J$18=$AF$11,IF($J317&lt;&gt;"",1,0),IF($J317="",1,0))),IF(法术查询!$J$19="",1,IF(法术查询!$J$19=$AF$11,IF($L317&lt;&gt;"",1,0),IF($L317="",1,0)))),$B317,""),"")</f>
        <v/>
      </c>
      <c r="AD316" s="192" t="str">
        <f t="array" ref="AD316">INDEX(AC:AC,SMALL(IF($AC$2:$AC$523&lt;&gt;"",ROW($2:$523),524),ROW(AC315)))&amp;""</f>
        <v/>
      </c>
      <c r="AE316" s="200" t="str">
        <f t="shared" si="8"/>
        <v/>
      </c>
    </row>
    <row r="317" customHeight="1" spans="1:31">
      <c r="A317" s="192">
        <v>315</v>
      </c>
      <c r="B317" s="224" t="s">
        <v>8017</v>
      </c>
      <c r="C317" s="224" t="s">
        <v>8018</v>
      </c>
      <c r="E317" s="229" t="s">
        <v>6664</v>
      </c>
      <c r="F317" s="193" t="s">
        <v>6642</v>
      </c>
      <c r="G317" s="193" t="s">
        <v>6673</v>
      </c>
      <c r="H317" s="193">
        <v>1</v>
      </c>
      <c r="I317" s="193">
        <v>1</v>
      </c>
      <c r="J317" s="193">
        <v>1</v>
      </c>
      <c r="K317" s="224" t="s">
        <v>8019</v>
      </c>
      <c r="M317" s="193">
        <v>1</v>
      </c>
      <c r="N317" s="193" t="s">
        <v>6666</v>
      </c>
      <c r="O317" s="224" t="s">
        <v>8020</v>
      </c>
      <c r="P317" s="224">
        <v>4</v>
      </c>
      <c r="Q317" s="224" t="s">
        <v>249</v>
      </c>
      <c r="X317" s="193">
        <v>1</v>
      </c>
      <c r="Z317" s="193">
        <v>9</v>
      </c>
      <c r="AA317" s="223" t="s">
        <v>8021</v>
      </c>
      <c r="AB317" s="200" t="str">
        <f t="array" ref="AB317">INDEX(B:B,SMALL(IF($Q$3:$Q$524&lt;&gt;"",ROW($3:$524),525),ROW(B316)))&amp;""</f>
        <v>惊惧斩</v>
      </c>
      <c r="AC317" s="225" t="str">
        <f>IFERROR(IF(AND($Q318&lt;&gt;"",IF(法术查询!$J$4="",1,INDEX($R318:$Z318,1,VLOOKUP(法术查询!$J$4,$AF$2:$AG$10,2,0)))&lt;&gt;"",IF(法术查询!$J$5="",1,$P318=VLOOKUP(法术查询!$J$5,$AH$2:$AI$11,2,0)),IF(法术查询!$J$6="",1,IF(法术查询!$J$6=$E318,1,0)),IF(法术查询!$J$7="",1,SEARCH(法术查询!$J$7,$F318)),IF(法术查询!$J$8="",1,SEARCH(法术查询!$J$8,G318)),IF(法术查询!$J$9="",1,SEARCH(法术查询!$J$9,N318)),IF(法术查询!$J$10="",1,IF(法术查询!$J$10=$AF$11,IF($M318=1,1,0),IF($M318="",1,0))),IF(法术查询!$J$11="",1,IF(法术查询!$J$11=$AF$11,IF($D318=1,1,0),IF($D318="",1,0))),IF(法术查询!$J$12="",1,SEARCH(法术查询!$J$12,$B318&amp;$C318&amp;$O318)),IF(法术查询!$J$13="",1,SEARCH(法术查询!$J$13,$B318&amp;$C318&amp;$O318)),IF(法术查询!$J$14="",1,SEARCH(法术查询!$J$14,$B318&amp;$C318&amp;$O318)),IF(法术查询!$J$16="",1,IF(法术查询!$J$16=$AF$11,IF($H318=1,1,0),IF($H318="",1,0))),IF(法术查询!$J$17="",1,IF(法术查询!$J$17=$AF$11,IF($I318=1,1,0),IF($I318="",1,0))),IF(法术查询!$J$18="",1,IF(法术查询!$J$18=$AF$11,IF($J318&lt;&gt;"",1,0),IF($J318="",1,0))),IF(法术查询!$J$19="",1,IF(法术查询!$J$19=$AF$11,IF($L318&lt;&gt;"",1,0),IF($L318="",1,0)))),$B318,""),"")</f>
        <v/>
      </c>
      <c r="AD317" s="192" t="str">
        <f t="array" ref="AD317">INDEX(AC:AC,SMALL(IF($AC$2:$AC$523&lt;&gt;"",ROW($2:$523),524),ROW(AC316)))&amp;""</f>
        <v/>
      </c>
      <c r="AE317" s="200" t="str">
        <f t="shared" si="8"/>
        <v/>
      </c>
    </row>
    <row r="318" customHeight="1" spans="1:31">
      <c r="A318" s="192">
        <v>316</v>
      </c>
      <c r="B318" s="224" t="s">
        <v>8022</v>
      </c>
      <c r="C318" s="224" t="s">
        <v>8023</v>
      </c>
      <c r="E318" s="241" t="s">
        <v>6726</v>
      </c>
      <c r="F318" s="193" t="s">
        <v>6642</v>
      </c>
      <c r="G318" s="193" t="s">
        <v>6658</v>
      </c>
      <c r="H318" s="193">
        <v>1</v>
      </c>
      <c r="I318" s="193">
        <v>1</v>
      </c>
      <c r="M318" s="193">
        <v>1</v>
      </c>
      <c r="N318" s="193" t="s">
        <v>6666</v>
      </c>
      <c r="O318" s="224" t="s">
        <v>8024</v>
      </c>
      <c r="P318" s="224">
        <v>4</v>
      </c>
      <c r="Q318" s="224" t="s">
        <v>249</v>
      </c>
      <c r="R318" s="193" t="str">
        <f>IF(综合数据!$B$14=TRUE,"13","")</f>
        <v>13</v>
      </c>
      <c r="X318" s="193">
        <v>1</v>
      </c>
      <c r="AA318" s="223" t="s">
        <v>8025</v>
      </c>
      <c r="AB318" s="200" t="str">
        <f t="array" ref="AB318">INDEX(B:B,SMALL(IF($Q$3:$Q$524&lt;&gt;"",ROW($3:$524),525),ROW(B317)))&amp;""</f>
        <v>塑石术</v>
      </c>
      <c r="AC318" s="225" t="str">
        <f>IFERROR(IF(AND($Q319&lt;&gt;"",IF(法术查询!$J$4="",1,INDEX($R319:$Z319,1,VLOOKUP(法术查询!$J$4,$AF$2:$AG$10,2,0)))&lt;&gt;"",IF(法术查询!$J$5="",1,$P319=VLOOKUP(法术查询!$J$5,$AH$2:$AI$11,2,0)),IF(法术查询!$J$6="",1,IF(法术查询!$J$6=$E319,1,0)),IF(法术查询!$J$7="",1,SEARCH(法术查询!$J$7,$F319)),IF(法术查询!$J$8="",1,SEARCH(法术查询!$J$8,G319)),IF(法术查询!$J$9="",1,SEARCH(法术查询!$J$9,N319)),IF(法术查询!$J$10="",1,IF(法术查询!$J$10=$AF$11,IF($M319=1,1,0),IF($M319="",1,0))),IF(法术查询!$J$11="",1,IF(法术查询!$J$11=$AF$11,IF($D319=1,1,0),IF($D319="",1,0))),IF(法术查询!$J$12="",1,SEARCH(法术查询!$J$12,$B319&amp;$C319&amp;$O319)),IF(法术查询!$J$13="",1,SEARCH(法术查询!$J$13,$B319&amp;$C319&amp;$O319)),IF(法术查询!$J$14="",1,SEARCH(法术查询!$J$14,$B319&amp;$C319&amp;$O319)),IF(法术查询!$J$16="",1,IF(法术查询!$J$16=$AF$11,IF($H319=1,1,0),IF($H319="",1,0))),IF(法术查询!$J$17="",1,IF(法术查询!$J$17=$AF$11,IF($I319=1,1,0),IF($I319="",1,0))),IF(法术查询!$J$18="",1,IF(法术查询!$J$18=$AF$11,IF($J319&lt;&gt;"",1,0),IF($J319="",1,0))),IF(法术查询!$J$19="",1,IF(法术查询!$J$19=$AF$11,IF($L319&lt;&gt;"",1,0),IF($L319="",1,0)))),$B319,""),"")</f>
        <v/>
      </c>
      <c r="AD318" s="192" t="str">
        <f t="array" ref="AD318">INDEX(AC:AC,SMALL(IF($AC$2:$AC$523&lt;&gt;"",ROW($2:$523),524),ROW(AC317)))&amp;""</f>
        <v/>
      </c>
      <c r="AE318" s="200" t="str">
        <f t="shared" si="8"/>
        <v/>
      </c>
    </row>
    <row r="319" customHeight="1" spans="1:31">
      <c r="A319" s="192">
        <v>317</v>
      </c>
      <c r="B319" s="224" t="s">
        <v>8026</v>
      </c>
      <c r="C319" s="224" t="s">
        <v>8027</v>
      </c>
      <c r="E319" s="231" t="s">
        <v>6672</v>
      </c>
      <c r="F319" s="193" t="s">
        <v>6642</v>
      </c>
      <c r="G319" s="193" t="s">
        <v>6643</v>
      </c>
      <c r="H319" s="193">
        <v>1</v>
      </c>
      <c r="I319" s="193">
        <v>1</v>
      </c>
      <c r="J319" s="193">
        <v>1</v>
      </c>
      <c r="K319" s="224" t="s">
        <v>8028</v>
      </c>
      <c r="M319" s="193">
        <v>1</v>
      </c>
      <c r="N319" s="193" t="s">
        <v>6739</v>
      </c>
      <c r="O319" s="224" t="s">
        <v>8029</v>
      </c>
      <c r="P319" s="224">
        <v>4</v>
      </c>
      <c r="Q319" s="224" t="s">
        <v>249</v>
      </c>
      <c r="R319" s="193">
        <v>1</v>
      </c>
      <c r="T319" s="193">
        <v>1</v>
      </c>
      <c r="W319" s="193">
        <v>1</v>
      </c>
      <c r="X319" s="193">
        <v>1</v>
      </c>
      <c r="AA319" s="223" t="s">
        <v>8030</v>
      </c>
      <c r="AB319" s="200" t="str">
        <f t="array" ref="AB319">INDEX(B:B,SMALL(IF($Q$3:$Q$524&lt;&gt;"",ROW($3:$524),525),ROW(B318)))&amp;""</f>
        <v>石肤术</v>
      </c>
      <c r="AC319" s="225" t="str">
        <f>IFERROR(IF(AND($Q320&lt;&gt;"",IF(法术查询!$J$4="",1,INDEX($R320:$Z320,1,VLOOKUP(法术查询!$J$4,$AF$2:$AG$10,2,0)))&lt;&gt;"",IF(法术查询!$J$5="",1,$P320=VLOOKUP(法术查询!$J$5,$AH$2:$AI$11,2,0)),IF(法术查询!$J$6="",1,IF(法术查询!$J$6=$E320,1,0)),IF(法术查询!$J$7="",1,SEARCH(法术查询!$J$7,$F320)),IF(法术查询!$J$8="",1,SEARCH(法术查询!$J$8,G320)),IF(法术查询!$J$9="",1,SEARCH(法术查询!$J$9,N320)),IF(法术查询!$J$10="",1,IF(法术查询!$J$10=$AF$11,IF($M320=1,1,0),IF($M320="",1,0))),IF(法术查询!$J$11="",1,IF(法术查询!$J$11=$AF$11,IF($D320=1,1,0),IF($D320="",1,0))),IF(法术查询!$J$12="",1,SEARCH(法术查询!$J$12,$B320&amp;$C320&amp;$O320)),IF(法术查询!$J$13="",1,SEARCH(法术查询!$J$13,$B320&amp;$C320&amp;$O320)),IF(法术查询!$J$14="",1,SEARCH(法术查询!$J$14,$B320&amp;$C320&amp;$O320)),IF(法术查询!$J$16="",1,IF(法术查询!$J$16=$AF$11,IF($H320=1,1,0),IF($H320="",1,0))),IF(法术查询!$J$17="",1,IF(法术查询!$J$17=$AF$11,IF($I320=1,1,0),IF($I320="",1,0))),IF(法术查询!$J$18="",1,IF(法术查询!$J$18=$AF$11,IF($J320&lt;&gt;"",1,0),IF($J320="",1,0))),IF(法术查询!$J$19="",1,IF(法术查询!$J$19=$AF$11,IF($L320&lt;&gt;"",1,0),IF($L320="",1,0)))),$B320,""),"")</f>
        <v/>
      </c>
      <c r="AD319" s="192" t="str">
        <f t="array" ref="AD319">INDEX(AC:AC,SMALL(IF($AC$2:$AC$523&lt;&gt;"",ROW($2:$523),524),ROW(AC318)))&amp;""</f>
        <v/>
      </c>
      <c r="AE319" s="200" t="str">
        <f t="shared" si="8"/>
        <v/>
      </c>
    </row>
    <row r="320" customHeight="1" spans="1:31">
      <c r="A320" s="192">
        <v>318</v>
      </c>
      <c r="B320" s="224" t="s">
        <v>8031</v>
      </c>
      <c r="C320" s="224" t="s">
        <v>8032</v>
      </c>
      <c r="E320" s="229" t="s">
        <v>6664</v>
      </c>
      <c r="F320" s="193" t="s">
        <v>6712</v>
      </c>
      <c r="G320" s="193" t="s">
        <v>6651</v>
      </c>
      <c r="H320" s="193">
        <v>1</v>
      </c>
      <c r="M320" s="193">
        <v>1</v>
      </c>
      <c r="N320" s="193" t="s">
        <v>6666</v>
      </c>
      <c r="O320" s="224" t="s">
        <v>8033</v>
      </c>
      <c r="P320" s="224">
        <v>4</v>
      </c>
      <c r="Q320" s="224" t="s">
        <v>249</v>
      </c>
      <c r="U320" s="193">
        <v>1</v>
      </c>
      <c r="AA320" s="200" t="s">
        <v>3556</v>
      </c>
      <c r="AB320" s="200" t="str">
        <f t="array" ref="AB320">INDEX(B:B,SMALL(IF($Q$3:$Q$524&lt;&gt;"",ROW($3:$524),525),ROW(B319)))&amp;""</f>
        <v>火墙术</v>
      </c>
      <c r="AC320" s="225" t="str">
        <f>IFERROR(IF(AND($Q321&lt;&gt;"",IF(法术查询!$J$4="",1,INDEX($R321:$Z321,1,VLOOKUP(法术查询!$J$4,$AF$2:$AG$10,2,0)))&lt;&gt;"",IF(法术查询!$J$5="",1,$P321=VLOOKUP(法术查询!$J$5,$AH$2:$AI$11,2,0)),IF(法术查询!$J$6="",1,IF(法术查询!$J$6=$E321,1,0)),IF(法术查询!$J$7="",1,SEARCH(法术查询!$J$7,$F321)),IF(法术查询!$J$8="",1,SEARCH(法术查询!$J$8,G321)),IF(法术查询!$J$9="",1,SEARCH(法术查询!$J$9,N321)),IF(法术查询!$J$10="",1,IF(法术查询!$J$10=$AF$11,IF($M321=1,1,0),IF($M321="",1,0))),IF(法术查询!$J$11="",1,IF(法术查询!$J$11=$AF$11,IF($D321=1,1,0),IF($D321="",1,0))),IF(法术查询!$J$12="",1,SEARCH(法术查询!$J$12,$B321&amp;$C321&amp;$O321)),IF(法术查询!$J$13="",1,SEARCH(法术查询!$J$13,$B321&amp;$C321&amp;$O321)),IF(法术查询!$J$14="",1,SEARCH(法术查询!$J$14,$B321&amp;$C321&amp;$O321)),IF(法术查询!$J$16="",1,IF(法术查询!$J$16=$AF$11,IF($H321=1,1,0),IF($H321="",1,0))),IF(法术查询!$J$17="",1,IF(法术查询!$J$17=$AF$11,IF($I321=1,1,0),IF($I321="",1,0))),IF(法术查询!$J$18="",1,IF(法术查询!$J$18=$AF$11,IF($J321&lt;&gt;"",1,0),IF($J321="",1,0))),IF(法术查询!$J$19="",1,IF(法术查询!$J$19=$AF$11,IF($L321&lt;&gt;"",1,0),IF($L321="",1,0)))),$B321,""),"")</f>
        <v/>
      </c>
      <c r="AD320" s="192" t="str">
        <f t="array" ref="AD320">INDEX(AC:AC,SMALL(IF($AC$2:$AC$523&lt;&gt;"",ROW($2:$523),524),ROW(AC319)))&amp;""</f>
        <v/>
      </c>
      <c r="AE320" s="200" t="str">
        <f t="shared" si="8"/>
        <v/>
      </c>
    </row>
    <row r="321" customHeight="1" spans="1:31">
      <c r="A321" s="192">
        <v>319</v>
      </c>
      <c r="B321" s="224" t="s">
        <v>8034</v>
      </c>
      <c r="C321" s="224" t="s">
        <v>8035</v>
      </c>
      <c r="E321" s="231" t="s">
        <v>6672</v>
      </c>
      <c r="F321" s="193" t="s">
        <v>6642</v>
      </c>
      <c r="G321" s="193" t="s">
        <v>3760</v>
      </c>
      <c r="H321" s="193">
        <v>1</v>
      </c>
      <c r="I321" s="193">
        <v>1</v>
      </c>
      <c r="J321" s="193">
        <v>1</v>
      </c>
      <c r="K321" s="224" t="s">
        <v>8036</v>
      </c>
      <c r="N321" s="193" t="s">
        <v>6644</v>
      </c>
      <c r="O321" s="224" t="s">
        <v>8037</v>
      </c>
      <c r="P321" s="224">
        <v>4</v>
      </c>
      <c r="Q321" s="224" t="s">
        <v>249</v>
      </c>
      <c r="S321" s="193">
        <v>1</v>
      </c>
      <c r="T321" s="193">
        <v>1</v>
      </c>
      <c r="X321" s="193">
        <v>1</v>
      </c>
      <c r="Z321" s="193">
        <v>9</v>
      </c>
      <c r="AA321" s="223" t="s">
        <v>8038</v>
      </c>
      <c r="AB321" s="200" t="str">
        <f t="array" ref="AB321">INDEX(B:B,SMALL(IF($Q$3:$Q$524&lt;&gt;"",ROW($3:$524),525),ROW(B320)))&amp;""</f>
        <v>魅惑怪物</v>
      </c>
      <c r="AC321" s="225" t="str">
        <f>IFERROR(IF(AND($Q322&lt;&gt;"",IF(法术查询!$J$4="",1,INDEX($R322:$Z322,1,VLOOKUP(法术查询!$J$4,$AF$2:$AG$10,2,0)))&lt;&gt;"",IF(法术查询!$J$5="",1,$P322=VLOOKUP(法术查询!$J$5,$AH$2:$AI$11,2,0)),IF(法术查询!$J$6="",1,IF(法术查询!$J$6=$E322,1,0)),IF(法术查询!$J$7="",1,SEARCH(法术查询!$J$7,$F322)),IF(法术查询!$J$8="",1,SEARCH(法术查询!$J$8,G322)),IF(法术查询!$J$9="",1,SEARCH(法术查询!$J$9,N322)),IF(法术查询!$J$10="",1,IF(法术查询!$J$10=$AF$11,IF($M322=1,1,0),IF($M322="",1,0))),IF(法术查询!$J$11="",1,IF(法术查询!$J$11=$AF$11,IF($D322=1,1,0),IF($D322="",1,0))),IF(法术查询!$J$12="",1,SEARCH(法术查询!$J$12,$B322&amp;$C322&amp;$O322)),IF(法术查询!$J$13="",1,SEARCH(法术查询!$J$13,$B322&amp;$C322&amp;$O322)),IF(法术查询!$J$14="",1,SEARCH(法术查询!$J$14,$B322&amp;$C322&amp;$O322)),IF(法术查询!$J$16="",1,IF(法术查询!$J$16=$AF$11,IF($H322=1,1,0),IF($H322="",1,0))),IF(法术查询!$J$17="",1,IF(法术查询!$J$17=$AF$11,IF($I322=1,1,0),IF($I322="",1,0))),IF(法术查询!$J$18="",1,IF(法术查询!$J$18=$AF$11,IF($J322&lt;&gt;"",1,0),IF($J322="",1,0))),IF(法术查询!$J$19="",1,IF(法术查询!$J$19=$AF$11,IF($L322&lt;&gt;"",1,0),IF($L322="",1,0)))),$B322,""),"")</f>
        <v/>
      </c>
      <c r="AD321" s="192" t="str">
        <f t="array" ref="AD321">INDEX(AC:AC,SMALL(IF($AC$2:$AC$523&lt;&gt;"",ROW($2:$523),524),ROW(AC320)))&amp;""</f>
        <v/>
      </c>
      <c r="AE321" s="200" t="str">
        <f t="shared" si="8"/>
        <v/>
      </c>
    </row>
    <row r="322" customHeight="1" spans="1:31">
      <c r="A322" s="192">
        <v>320</v>
      </c>
      <c r="B322" s="224" t="s">
        <v>8039</v>
      </c>
      <c r="C322" s="224" t="s">
        <v>8040</v>
      </c>
      <c r="E322" s="242" t="s">
        <v>6650</v>
      </c>
      <c r="F322" s="193" t="s">
        <v>6642</v>
      </c>
      <c r="G322" s="193" t="s">
        <v>3760</v>
      </c>
      <c r="H322" s="193">
        <v>1</v>
      </c>
      <c r="I322" s="193">
        <v>1</v>
      </c>
      <c r="J322" s="193">
        <v>1</v>
      </c>
      <c r="L322" s="224" t="s">
        <v>8041</v>
      </c>
      <c r="M322" s="193">
        <v>1</v>
      </c>
      <c r="N322" s="193" t="s">
        <v>6739</v>
      </c>
      <c r="O322" s="224" t="s">
        <v>8042</v>
      </c>
      <c r="P322" s="224">
        <v>4</v>
      </c>
      <c r="Q322" s="224" t="s">
        <v>249</v>
      </c>
      <c r="T322" s="193">
        <v>1</v>
      </c>
      <c r="V322" s="193">
        <v>1</v>
      </c>
      <c r="W322" s="193">
        <v>1</v>
      </c>
      <c r="X322" s="193">
        <v>1</v>
      </c>
      <c r="Z322" s="193">
        <v>9</v>
      </c>
      <c r="AA322" s="223" t="s">
        <v>8043</v>
      </c>
      <c r="AB322" s="200" t="str">
        <f t="array" ref="AB322">INDEX(B:B,SMALL(IF($Q$3:$Q$524&lt;&gt;"",ROW($3:$524),525),ROW(B321)))&amp;""</f>
        <v>元素灾厄</v>
      </c>
      <c r="AC322" s="225" t="str">
        <f>IFERROR(IF(AND($Q323&lt;&gt;"",IF(法术查询!$J$4="",1,INDEX($R323:$Z323,1,VLOOKUP(法术查询!$J$4,$AF$2:$AG$10,2,0)))&lt;&gt;"",IF(法术查询!$J$5="",1,$P323=VLOOKUP(法术查询!$J$5,$AH$2:$AI$11,2,0)),IF(法术查询!$J$6="",1,IF(法术查询!$J$6=$E323,1,0)),IF(法术查询!$J$7="",1,SEARCH(法术查询!$J$7,$F323)),IF(法术查询!$J$8="",1,SEARCH(法术查询!$J$8,G323)),IF(法术查询!$J$9="",1,SEARCH(法术查询!$J$9,N323)),IF(法术查询!$J$10="",1,IF(法术查询!$J$10=$AF$11,IF($M323=1,1,0),IF($M323="",1,0))),IF(法术查询!$J$11="",1,IF(法术查询!$J$11=$AF$11,IF($D323=1,1,0),IF($D323="",1,0))),IF(法术查询!$J$12="",1,SEARCH(法术查询!$J$12,$B323&amp;$C323&amp;$O323)),IF(法术查询!$J$13="",1,SEARCH(法术查询!$J$13,$B323&amp;$C323&amp;$O323)),IF(法术查询!$J$14="",1,SEARCH(法术查询!$J$14,$B323&amp;$C323&amp;$O323)),IF(法术查询!$J$16="",1,IF(法术查询!$J$16=$AF$11,IF($H323=1,1,0),IF($H323="",1,0))),IF(法术查询!$J$17="",1,IF(法术查询!$J$17=$AF$11,IF($I323=1,1,0),IF($I323="",1,0))),IF(法术查询!$J$18="",1,IF(法术查询!$J$18=$AF$11,IF($J323&lt;&gt;"",1,0),IF($J323="",1,0))),IF(法术查询!$J$19="",1,IF(法术查询!$J$19=$AF$11,IF($L323&lt;&gt;"",1,0),IF($L323="",1,0)))),$B323,""),"")</f>
        <v/>
      </c>
      <c r="AD322" s="192" t="str">
        <f t="array" ref="AD322">INDEX(AC:AC,SMALL(IF($AC$2:$AC$523&lt;&gt;"",ROW($2:$523),524),ROW(AC321)))&amp;""</f>
        <v/>
      </c>
      <c r="AE322" s="200" t="str">
        <f t="shared" si="8"/>
        <v/>
      </c>
    </row>
    <row r="323" customHeight="1" spans="1:31">
      <c r="A323" s="192">
        <v>321</v>
      </c>
      <c r="B323" s="224" t="s">
        <v>8044</v>
      </c>
      <c r="C323" s="224" t="s">
        <v>8045</v>
      </c>
      <c r="E323" s="229" t="s">
        <v>6664</v>
      </c>
      <c r="F323" s="193" t="s">
        <v>6642</v>
      </c>
      <c r="G323" s="193" t="s">
        <v>6658</v>
      </c>
      <c r="H323" s="193">
        <v>1</v>
      </c>
      <c r="I323" s="193">
        <v>1</v>
      </c>
      <c r="J323" s="193">
        <v>1</v>
      </c>
      <c r="K323" s="224" t="s">
        <v>8046</v>
      </c>
      <c r="M323" s="193">
        <v>1</v>
      </c>
      <c r="N323" s="193" t="s">
        <v>6666</v>
      </c>
      <c r="O323" s="224" t="s">
        <v>8047</v>
      </c>
      <c r="P323" s="224">
        <v>4</v>
      </c>
      <c r="Q323" s="224" t="s">
        <v>249</v>
      </c>
      <c r="T323" s="193">
        <v>1</v>
      </c>
      <c r="W323" s="193">
        <v>1</v>
      </c>
      <c r="X323" s="193">
        <v>1</v>
      </c>
      <c r="AA323" s="223" t="s">
        <v>8048</v>
      </c>
      <c r="AB323" s="200" t="str">
        <f t="array" ref="AB323">INDEX(B:B,SMALL(IF($Q$3:$Q$524&lt;&gt;"",ROW($3:$524),525),ROW(B322)))&amp;""</f>
        <v>获得高等坐骑</v>
      </c>
      <c r="AC323" s="225" t="str">
        <f>IFERROR(IF(AND($Q324&lt;&gt;"",IF(法术查询!$J$4="",1,INDEX($R324:$Z324,1,VLOOKUP(法术查询!$J$4,$AF$2:$AG$10,2,0)))&lt;&gt;"",IF(法术查询!$J$5="",1,$P324=VLOOKUP(法术查询!$J$5,$AH$2:$AI$11,2,0)),IF(法术查询!$J$6="",1,IF(法术查询!$J$6=$E324,1,0)),IF(法术查询!$J$7="",1,SEARCH(法术查询!$J$7,$F324)),IF(法术查询!$J$8="",1,SEARCH(法术查询!$J$8,G324)),IF(法术查询!$J$9="",1,SEARCH(法术查询!$J$9,N324)),IF(法术查询!$J$10="",1,IF(法术查询!$J$10=$AF$11,IF($M324=1,1,0),IF($M324="",1,0))),IF(法术查询!$J$11="",1,IF(法术查询!$J$11=$AF$11,IF($D324=1,1,0),IF($D324="",1,0))),IF(法术查询!$J$12="",1,SEARCH(法术查询!$J$12,$B324&amp;$C324&amp;$O324)),IF(法术查询!$J$13="",1,SEARCH(法术查询!$J$13,$B324&amp;$C324&amp;$O324)),IF(法术查询!$J$14="",1,SEARCH(法术查询!$J$14,$B324&amp;$C324&amp;$O324)),IF(法术查询!$J$16="",1,IF(法术查询!$J$16=$AF$11,IF($H324=1,1,0),IF($H324="",1,0))),IF(法术查询!$J$17="",1,IF(法术查询!$J$17=$AF$11,IF($I324=1,1,0),IF($I324="",1,0))),IF(法术查询!$J$18="",1,IF(法术查询!$J$18=$AF$11,IF($J324&lt;&gt;"",1,0),IF($J324="",1,0))),IF(法术查询!$J$19="",1,IF(法术查询!$J$19=$AF$11,IF($L324&lt;&gt;"",1,0),IF($L324="",1,0)))),$B324,""),"")</f>
        <v/>
      </c>
      <c r="AD323" s="192" t="str">
        <f t="array" ref="AD323">INDEX(AC:AC,SMALL(IF($AC$2:$AC$523&lt;&gt;"",ROW($2:$523),524),ROW(AC322)))&amp;""</f>
        <v/>
      </c>
      <c r="AE323" s="200" t="str">
        <f t="shared" ref="AE323:AE386" si="9">IF(AD323="","",VLOOKUP(AD323,B:C,2,0))</f>
        <v/>
      </c>
    </row>
    <row r="324" customHeight="1" spans="1:31">
      <c r="A324" s="192">
        <v>322</v>
      </c>
      <c r="B324" s="224" t="s">
        <v>8049</v>
      </c>
      <c r="C324" s="224" t="s">
        <v>8050</v>
      </c>
      <c r="E324" s="233" t="s">
        <v>6688</v>
      </c>
      <c r="F324" s="193" t="s">
        <v>6642</v>
      </c>
      <c r="G324" s="193" t="s">
        <v>6673</v>
      </c>
      <c r="H324" s="193">
        <v>1</v>
      </c>
      <c r="I324" s="193">
        <v>1</v>
      </c>
      <c r="K324" s="224"/>
      <c r="N324" s="193" t="s">
        <v>6704</v>
      </c>
      <c r="O324" s="224" t="s">
        <v>8051</v>
      </c>
      <c r="P324" s="224">
        <v>4</v>
      </c>
      <c r="Q324" s="245" t="str">
        <f>IF(综合数据!$B$7=TRUE,"XGE","")</f>
        <v>XGE</v>
      </c>
      <c r="R324" s="193">
        <v>6</v>
      </c>
      <c r="T324" s="193">
        <v>6</v>
      </c>
      <c r="W324" s="193">
        <v>6</v>
      </c>
      <c r="X324" s="193">
        <v>6</v>
      </c>
      <c r="Y324" s="193">
        <v>6</v>
      </c>
      <c r="AA324" s="200"/>
      <c r="AB324" s="200" t="str">
        <f t="array" ref="AB324">INDEX(B:B,SMALL(IF($Q$3:$Q$524&lt;&gt;"",ROW($3:$524),525),ROW(B323)))&amp;""</f>
        <v>自然守卫</v>
      </c>
      <c r="AC324" s="225" t="str">
        <f>IFERROR(IF(AND($Q325&lt;&gt;"",IF(法术查询!$J$4="",1,INDEX($R325:$Z325,1,VLOOKUP(法术查询!$J$4,$AF$2:$AG$10,2,0)))&lt;&gt;"",IF(法术查询!$J$5="",1,$P325=VLOOKUP(法术查询!$J$5,$AH$2:$AI$11,2,0)),IF(法术查询!$J$6="",1,IF(法术查询!$J$6=$E325,1,0)),IF(法术查询!$J$7="",1,SEARCH(法术查询!$J$7,$F325)),IF(法术查询!$J$8="",1,SEARCH(法术查询!$J$8,G325)),IF(法术查询!$J$9="",1,SEARCH(法术查询!$J$9,N325)),IF(法术查询!$J$10="",1,IF(法术查询!$J$10=$AF$11,IF($M325=1,1,0),IF($M325="",1,0))),IF(法术查询!$J$11="",1,IF(法术查询!$J$11=$AF$11,IF($D325=1,1,0),IF($D325="",1,0))),IF(法术查询!$J$12="",1,SEARCH(法术查询!$J$12,$B325&amp;$C325&amp;$O325)),IF(法术查询!$J$13="",1,SEARCH(法术查询!$J$13,$B325&amp;$C325&amp;$O325)),IF(法术查询!$J$14="",1,SEARCH(法术查询!$J$14,$B325&amp;$C325&amp;$O325)),IF(法术查询!$J$16="",1,IF(法术查询!$J$16=$AF$11,IF($H325=1,1,0),IF($H325="",1,0))),IF(法术查询!$J$17="",1,IF(法术查询!$J$17=$AF$11,IF($I325=1,1,0),IF($I325="",1,0))),IF(法术查询!$J$18="",1,IF(法术查询!$J$18=$AF$11,IF($J325&lt;&gt;"",1,0),IF($J325="",1,0))),IF(法术查询!$J$19="",1,IF(法术查询!$J$19=$AF$11,IF($L325&lt;&gt;"",1,0),IF($L325="",1,0)))),$B325,""),"")</f>
        <v/>
      </c>
      <c r="AD324" s="192" t="str">
        <f t="array" ref="AD324">INDEX(AC:AC,SMALL(IF($AC$2:$AC$523&lt;&gt;"",ROW($2:$523),524),ROW(AC323)))&amp;""</f>
        <v/>
      </c>
      <c r="AE324" s="200" t="str">
        <f t="shared" si="9"/>
        <v/>
      </c>
    </row>
    <row r="325" customHeight="1" spans="1:31">
      <c r="A325" s="192">
        <v>323</v>
      </c>
      <c r="B325" s="224" t="s">
        <v>8052</v>
      </c>
      <c r="C325" s="224" t="s">
        <v>8053</v>
      </c>
      <c r="E325" s="231" t="s">
        <v>6672</v>
      </c>
      <c r="F325" s="193" t="s">
        <v>6642</v>
      </c>
      <c r="G325" s="193" t="s">
        <v>6760</v>
      </c>
      <c r="H325" s="193">
        <v>1</v>
      </c>
      <c r="I325" s="193">
        <v>1</v>
      </c>
      <c r="K325" s="224"/>
      <c r="M325" s="193">
        <v>1</v>
      </c>
      <c r="N325" s="193" t="s">
        <v>6666</v>
      </c>
      <c r="O325" s="224" t="s">
        <v>8054</v>
      </c>
      <c r="P325" s="224">
        <v>4</v>
      </c>
      <c r="Q325" s="245" t="str">
        <f>IF(综合数据!$B$7=TRUE,"XGE","")</f>
        <v>XGE</v>
      </c>
      <c r="T325" s="193">
        <v>6</v>
      </c>
      <c r="X325" s="193">
        <v>6</v>
      </c>
      <c r="Y325" s="193">
        <v>6</v>
      </c>
      <c r="Z325" s="193">
        <v>9</v>
      </c>
      <c r="AA325" s="200"/>
      <c r="AB325" s="200" t="str">
        <f t="array" ref="AB325">INDEX(B:B,SMALL(IF($Q$3:$Q$524&lt;&gt;"",ROW($3:$524),525),ROW(B324)))&amp;""</f>
        <v>莫伊之影</v>
      </c>
      <c r="AC325" s="225" t="str">
        <f>IFERROR(IF(AND($Q326&lt;&gt;"",IF(法术查询!$J$4="",1,INDEX($R326:$Z326,1,VLOOKUP(法术查询!$J$4,$AF$2:$AG$10,2,0)))&lt;&gt;"",IF(法术查询!$J$5="",1,$P326=VLOOKUP(法术查询!$J$5,$AH$2:$AI$11,2,0)),IF(法术查询!$J$6="",1,IF(法术查询!$J$6=$E326,1,0)),IF(法术查询!$J$7="",1,SEARCH(法术查询!$J$7,$F326)),IF(法术查询!$J$8="",1,SEARCH(法术查询!$J$8,G326)),IF(法术查询!$J$9="",1,SEARCH(法术查询!$J$9,N326)),IF(法术查询!$J$10="",1,IF(法术查询!$J$10=$AF$11,IF($M326=1,1,0),IF($M326="",1,0))),IF(法术查询!$J$11="",1,IF(法术查询!$J$11=$AF$11,IF($D326=1,1,0),IF($D326="",1,0))),IF(法术查询!$J$12="",1,SEARCH(法术查询!$J$12,$B326&amp;$C326&amp;$O326)),IF(法术查询!$J$13="",1,SEARCH(法术查询!$J$13,$B326&amp;$C326&amp;$O326)),IF(法术查询!$J$14="",1,SEARCH(法术查询!$J$14,$B326&amp;$C326&amp;$O326)),IF(法术查询!$J$16="",1,IF(法术查询!$J$16=$AF$11,IF($H326=1,1,0),IF($H326="",1,0))),IF(法术查询!$J$17="",1,IF(法术查询!$J$17=$AF$11,IF($I326=1,1,0),IF($I326="",1,0))),IF(法术查询!$J$18="",1,IF(法术查询!$J$18=$AF$11,IF($J326&lt;&gt;"",1,0),IF($J326="",1,0))),IF(法术查询!$J$19="",1,IF(法术查询!$J$19=$AF$11,IF($L326&lt;&gt;"",1,0),IF($L326="",1,0)))),$B326,""),"")</f>
        <v/>
      </c>
      <c r="AD325" s="192" t="str">
        <f t="array" ref="AD325">INDEX(AC:AC,SMALL(IF($AC$2:$AC$523&lt;&gt;"",ROW($2:$523),524),ROW(AC324)))&amp;""</f>
        <v/>
      </c>
      <c r="AE325" s="200" t="str">
        <f t="shared" si="9"/>
        <v/>
      </c>
    </row>
    <row r="326" customHeight="1" spans="1:31">
      <c r="A326" s="192">
        <v>324</v>
      </c>
      <c r="B326" s="224" t="s">
        <v>8055</v>
      </c>
      <c r="C326" s="224" t="s">
        <v>8056</v>
      </c>
      <c r="E326" s="240" t="s">
        <v>6641</v>
      </c>
      <c r="F326" s="193" t="s">
        <v>6731</v>
      </c>
      <c r="G326" s="193" t="s">
        <v>6673</v>
      </c>
      <c r="H326" s="193">
        <v>1</v>
      </c>
      <c r="I326" s="193">
        <v>1</v>
      </c>
      <c r="K326" s="224"/>
      <c r="N326" s="193" t="s">
        <v>6644</v>
      </c>
      <c r="O326" s="224" t="s">
        <v>8057</v>
      </c>
      <c r="P326" s="224">
        <v>4</v>
      </c>
      <c r="Q326" s="245" t="str">
        <f>IF(综合数据!$B$7=TRUE,"XGE","")</f>
        <v>XGE</v>
      </c>
      <c r="U326" s="193">
        <v>6</v>
      </c>
      <c r="AA326" s="200"/>
      <c r="AB326" s="200" t="str">
        <f t="array" ref="AB326">INDEX(B:B,SMALL(IF($Q$3:$Q$524&lt;&gt;"",ROW($3:$524),525),ROW(B325)))&amp;""</f>
        <v>致病辐射</v>
      </c>
      <c r="AC326" s="225" t="str">
        <f>IFERROR(IF(AND($Q327&lt;&gt;"",IF(法术查询!$J$4="",1,INDEX($R327:$Z327,1,VLOOKUP(法术查询!$J$4,$AF$2:$AG$10,2,0)))&lt;&gt;"",IF(法术查询!$J$5="",1,$P327=VLOOKUP(法术查询!$J$5,$AH$2:$AI$11,2,0)),IF(法术查询!$J$6="",1,IF(法术查询!$J$6=$E327,1,0)),IF(法术查询!$J$7="",1,SEARCH(法术查询!$J$7,$F327)),IF(法术查询!$J$8="",1,SEARCH(法术查询!$J$8,G327)),IF(法术查询!$J$9="",1,SEARCH(法术查询!$J$9,N327)),IF(法术查询!$J$10="",1,IF(法术查询!$J$10=$AF$11,IF($M327=1,1,0),IF($M327="",1,0))),IF(法术查询!$J$11="",1,IF(法术查询!$J$11=$AF$11,IF($D327=1,1,0),IF($D327="",1,0))),IF(法术查询!$J$12="",1,SEARCH(法术查询!$J$12,$B327&amp;$C327&amp;$O327)),IF(法术查询!$J$13="",1,SEARCH(法术查询!$J$13,$B327&amp;$C327&amp;$O327)),IF(法术查询!$J$14="",1,SEARCH(法术查询!$J$14,$B327&amp;$C327&amp;$O327)),IF(法术查询!$J$16="",1,IF(法术查询!$J$16=$AF$11,IF($H327=1,1,0),IF($H327="",1,0))),IF(法术查询!$J$17="",1,IF(法术查询!$J$17=$AF$11,IF($I327=1,1,0),IF($I327="",1,0))),IF(法术查询!$J$18="",1,IF(法术查询!$J$18=$AF$11,IF($J327&lt;&gt;"",1,0),IF($J327="",1,0))),IF(法术查询!$J$19="",1,IF(法术查询!$J$19=$AF$11,IF($L327&lt;&gt;"",1,0),IF($L327="",1,0)))),$B327,""),"")</f>
        <v/>
      </c>
      <c r="AD326" s="192" t="str">
        <f t="array" ref="AD326">INDEX(AC:AC,SMALL(IF($AC$2:$AC$523&lt;&gt;"",ROW($2:$523),524),ROW(AC325)))&amp;""</f>
        <v/>
      </c>
      <c r="AE326" s="200" t="str">
        <f t="shared" si="9"/>
        <v/>
      </c>
    </row>
    <row r="327" customHeight="1" spans="1:31">
      <c r="A327" s="192">
        <v>325</v>
      </c>
      <c r="B327" s="224" t="s">
        <v>8058</v>
      </c>
      <c r="C327" s="224" t="s">
        <v>8059</v>
      </c>
      <c r="E327" s="231" t="s">
        <v>6672</v>
      </c>
      <c r="F327" s="193" t="s">
        <v>6712</v>
      </c>
      <c r="G327" s="193" t="s">
        <v>6651</v>
      </c>
      <c r="H327" s="193">
        <v>1</v>
      </c>
      <c r="K327" s="224"/>
      <c r="M327" s="193">
        <v>1</v>
      </c>
      <c r="N327" s="193" t="s">
        <v>6666</v>
      </c>
      <c r="O327" s="224" t="s">
        <v>8060</v>
      </c>
      <c r="P327" s="224">
        <v>4</v>
      </c>
      <c r="Q327" s="245" t="str">
        <f>IF(综合数据!$B$7=TRUE,"XGE","")</f>
        <v>XGE</v>
      </c>
      <c r="T327" s="193">
        <v>6</v>
      </c>
      <c r="V327" s="193">
        <v>6</v>
      </c>
      <c r="AA327" s="200"/>
      <c r="AB327" s="200" t="str">
        <f t="array" ref="AB327">INDEX(B:B,SMALL(IF($Q$3:$Q$524&lt;&gt;"",ROW($3:$524),525),ROW(B326)))&amp;""</f>
        <v>暴风球</v>
      </c>
      <c r="AC327" s="225" t="str">
        <f>IFERROR(IF(AND($Q328&lt;&gt;"",IF(法术查询!$J$4="",1,INDEX($R328:$Z328,1,VLOOKUP(法术查询!$J$4,$AF$2:$AG$10,2,0)))&lt;&gt;"",IF(法术查询!$J$5="",1,$P328=VLOOKUP(法术查询!$J$5,$AH$2:$AI$11,2,0)),IF(法术查询!$J$6="",1,IF(法术查询!$J$6=$E328,1,0)),IF(法术查询!$J$7="",1,SEARCH(法术查询!$J$7,$F328)),IF(法术查询!$J$8="",1,SEARCH(法术查询!$J$8,G328)),IF(法术查询!$J$9="",1,SEARCH(法术查询!$J$9,N328)),IF(法术查询!$J$10="",1,IF(法术查询!$J$10=$AF$11,IF($M328=1,1,0),IF($M328="",1,0))),IF(法术查询!$J$11="",1,IF(法术查询!$J$11=$AF$11,IF($D328=1,1,0),IF($D328="",1,0))),IF(法术查询!$J$12="",1,SEARCH(法术查询!$J$12,$B328&amp;$C328&amp;$O328)),IF(法术查询!$J$13="",1,SEARCH(法术查询!$J$13,$B328&amp;$C328&amp;$O328)),IF(法术查询!$J$14="",1,SEARCH(法术查询!$J$14,$B328&amp;$C328&amp;$O328)),IF(法术查询!$J$16="",1,IF(法术查询!$J$16=$AF$11,IF($H328=1,1,0),IF($H328="",1,0))),IF(法术查询!$J$17="",1,IF(法术查询!$J$17=$AF$11,IF($I328=1,1,0),IF($I328="",1,0))),IF(法术查询!$J$18="",1,IF(法术查询!$J$18=$AF$11,IF($J328&lt;&gt;"",1,0),IF($J328="",1,0))),IF(法术查询!$J$19="",1,IF(法术查询!$J$19=$AF$11,IF($L328&lt;&gt;"",1,0),IF($L328="",1,0)))),$B328,""),"")</f>
        <v/>
      </c>
      <c r="AD327" s="192" t="str">
        <f t="array" ref="AD327">INDEX(AC:AC,SMALL(IF($AC$2:$AC$523&lt;&gt;"",ROW($2:$523),524),ROW(AC326)))&amp;""</f>
        <v/>
      </c>
      <c r="AE327" s="200" t="str">
        <f t="shared" si="9"/>
        <v/>
      </c>
    </row>
    <row r="328" customHeight="1" spans="1:31">
      <c r="A328" s="192">
        <v>326</v>
      </c>
      <c r="B328" s="224" t="s">
        <v>8061</v>
      </c>
      <c r="C328" s="224" t="s">
        <v>8062</v>
      </c>
      <c r="E328" s="243" t="s">
        <v>6657</v>
      </c>
      <c r="F328" s="193" t="s">
        <v>6642</v>
      </c>
      <c r="G328" s="193" t="s">
        <v>6651</v>
      </c>
      <c r="H328" s="193">
        <v>1</v>
      </c>
      <c r="I328" s="193">
        <v>1</v>
      </c>
      <c r="J328" s="193">
        <v>1</v>
      </c>
      <c r="K328" s="224" t="s">
        <v>8063</v>
      </c>
      <c r="M328" s="193">
        <v>1</v>
      </c>
      <c r="N328" s="193" t="s">
        <v>6666</v>
      </c>
      <c r="O328" s="224" t="s">
        <v>8064</v>
      </c>
      <c r="P328" s="224">
        <v>4</v>
      </c>
      <c r="Q328" s="245" t="str">
        <f>IF(综合数据!$B$7=TRUE,"XGE","")</f>
        <v>XGE</v>
      </c>
      <c r="Y328" s="193">
        <v>6</v>
      </c>
      <c r="AA328" s="200"/>
      <c r="AB328" s="200" t="str">
        <f t="array" ref="AB328">INDEX(B:B,SMALL(IF($Q$3:$Q$524&lt;&gt;"",ROW($3:$524),525),ROW(B327)))&amp;""</f>
        <v>召唤高等恶魔</v>
      </c>
      <c r="AC328" s="225" t="str">
        <f>IFERROR(IF(AND($Q329&lt;&gt;"",IF(法术查询!$J$4="",1,INDEX($R329:$Z329,1,VLOOKUP(法术查询!$J$4,$AF$2:$AG$10,2,0)))&lt;&gt;"",IF(法术查询!$J$5="",1,$P329=VLOOKUP(法术查询!$J$5,$AH$2:$AI$11,2,0)),IF(法术查询!$J$6="",1,IF(法术查询!$J$6=$E329,1,0)),IF(法术查询!$J$7="",1,SEARCH(法术查询!$J$7,$F329)),IF(法术查询!$J$8="",1,SEARCH(法术查询!$J$8,G329)),IF(法术查询!$J$9="",1,SEARCH(法术查询!$J$9,N329)),IF(法术查询!$J$10="",1,IF(法术查询!$J$10=$AF$11,IF($M329=1,1,0),IF($M329="",1,0))),IF(法术查询!$J$11="",1,IF(法术查询!$J$11=$AF$11,IF($D329=1,1,0),IF($D329="",1,0))),IF(法术查询!$J$12="",1,SEARCH(法术查询!$J$12,$B329&amp;$C329&amp;$O329)),IF(法术查询!$J$13="",1,SEARCH(法术查询!$J$13,$B329&amp;$C329&amp;$O329)),IF(法术查询!$J$14="",1,SEARCH(法术查询!$J$14,$B329&amp;$C329&amp;$O329)),IF(法术查询!$J$16="",1,IF(法术查询!$J$16=$AF$11,IF($H329=1,1,0),IF($H329="",1,0))),IF(法术查询!$J$17="",1,IF(法术查询!$J$17=$AF$11,IF($I329=1,1,0),IF($I329="",1,0))),IF(法术查询!$J$18="",1,IF(法术查询!$J$18=$AF$11,IF($J329&lt;&gt;"",1,0),IF($J329="",1,0))),IF(法术查询!$J$19="",1,IF(法术查询!$J$19=$AF$11,IF($L329&lt;&gt;"",1,0),IF($L329="",1,0)))),$B329,""),"")</f>
        <v/>
      </c>
      <c r="AD328" s="192" t="str">
        <f t="array" ref="AD328">INDEX(AC:AC,SMALL(IF($AC$2:$AC$523&lt;&gt;"",ROW($2:$523),524),ROW(AC327)))&amp;""</f>
        <v/>
      </c>
      <c r="AE328" s="200" t="str">
        <f t="shared" si="9"/>
        <v/>
      </c>
    </row>
    <row r="329" customHeight="1" spans="1:31">
      <c r="A329" s="192">
        <v>327</v>
      </c>
      <c r="B329" s="224" t="s">
        <v>8065</v>
      </c>
      <c r="C329" s="224" t="s">
        <v>8066</v>
      </c>
      <c r="E329" s="229" t="s">
        <v>6664</v>
      </c>
      <c r="F329" s="193" t="s">
        <v>6642</v>
      </c>
      <c r="G329" s="193" t="s">
        <v>6658</v>
      </c>
      <c r="H329" s="193">
        <v>1</v>
      </c>
      <c r="I329" s="193">
        <v>1</v>
      </c>
      <c r="K329" s="224"/>
      <c r="M329" s="193">
        <v>1</v>
      </c>
      <c r="N329" s="193" t="s">
        <v>6831</v>
      </c>
      <c r="O329" s="224" t="s">
        <v>8067</v>
      </c>
      <c r="P329" s="224">
        <v>4</v>
      </c>
      <c r="Q329" s="245" t="str">
        <f>IF(综合数据!$B$7=TRUE,"XGE","")</f>
        <v>XGE</v>
      </c>
      <c r="W329" s="193">
        <v>6</v>
      </c>
      <c r="X329" s="193">
        <v>6</v>
      </c>
      <c r="Y329" s="193">
        <v>6</v>
      </c>
      <c r="AA329" s="200"/>
      <c r="AB329" s="200" t="str">
        <f t="array" ref="AB329">INDEX(B:B,SMALL(IF($Q$3:$Q$524&lt;&gt;"",ROW($3:$524),525),ROW(B328)))&amp;""</f>
        <v>浓酸球</v>
      </c>
      <c r="AC329" s="225" t="str">
        <f>IFERROR(IF(AND($Q330&lt;&gt;"",IF(法术查询!$J$4="",1,INDEX($R330:$Z330,1,VLOOKUP(法术查询!$J$4,$AF$2:$AG$10,2,0)))&lt;&gt;"",IF(法术查询!$J$5="",1,$P330=VLOOKUP(法术查询!$J$5,$AH$2:$AI$11,2,0)),IF(法术查询!$J$6="",1,IF(法术查询!$J$6=$E330,1,0)),IF(法术查询!$J$7="",1,SEARCH(法术查询!$J$7,$F330)),IF(法术查询!$J$8="",1,SEARCH(法术查询!$J$8,G330)),IF(法术查询!$J$9="",1,SEARCH(法术查询!$J$9,N330)),IF(法术查询!$J$10="",1,IF(法术查询!$J$10=$AF$11,IF($M330=1,1,0),IF($M330="",1,0))),IF(法术查询!$J$11="",1,IF(法术查询!$J$11=$AF$11,IF($D330=1,1,0),IF($D330="",1,0))),IF(法术查询!$J$12="",1,SEARCH(法术查询!$J$12,$B330&amp;$C330&amp;$O330)),IF(法术查询!$J$13="",1,SEARCH(法术查询!$J$13,$B330&amp;$C330&amp;$O330)),IF(法术查询!$J$14="",1,SEARCH(法术查询!$J$14,$B330&amp;$C330&amp;$O330)),IF(法术查询!$J$16="",1,IF(法术查询!$J$16=$AF$11,IF($H330=1,1,0),IF($H330="",1,0))),IF(法术查询!$J$17="",1,IF(法术查询!$J$17=$AF$11,IF($I330=1,1,0),IF($I330="",1,0))),IF(法术查询!$J$18="",1,IF(法术查询!$J$18=$AF$11,IF($J330&lt;&gt;"",1,0),IF($J330="",1,0))),IF(法术查询!$J$19="",1,IF(法术查询!$J$19=$AF$11,IF($L330&lt;&gt;"",1,0),IF($L330="",1,0)))),$B330,""),"")</f>
        <v/>
      </c>
      <c r="AD329" s="192" t="str">
        <f t="array" ref="AD329">INDEX(AC:AC,SMALL(IF($AC$2:$AC$523&lt;&gt;"",ROW($2:$523),524),ROW(AC328)))&amp;""</f>
        <v/>
      </c>
      <c r="AE329" s="200" t="str">
        <f t="shared" si="9"/>
        <v/>
      </c>
    </row>
    <row r="330" customHeight="1" spans="1:31">
      <c r="A330" s="192">
        <v>328</v>
      </c>
      <c r="B330" s="224" t="s">
        <v>8068</v>
      </c>
      <c r="C330" s="224" t="s">
        <v>8069</v>
      </c>
      <c r="E330" s="229" t="s">
        <v>6664</v>
      </c>
      <c r="F330" s="193" t="s">
        <v>6642</v>
      </c>
      <c r="G330" s="193" t="s">
        <v>6779</v>
      </c>
      <c r="H330" s="193">
        <v>1</v>
      </c>
      <c r="I330" s="193">
        <v>1</v>
      </c>
      <c r="K330" s="224"/>
      <c r="M330" s="193">
        <v>1</v>
      </c>
      <c r="N330" s="193" t="s">
        <v>6666</v>
      </c>
      <c r="O330" s="224" t="s">
        <v>8070</v>
      </c>
      <c r="P330" s="224">
        <v>4</v>
      </c>
      <c r="Q330" s="245" t="str">
        <f>IF(综合数据!$B$7=TRUE,"XGE","")</f>
        <v>XGE</v>
      </c>
      <c r="W330" s="193">
        <v>6</v>
      </c>
      <c r="X330" s="193">
        <v>6</v>
      </c>
      <c r="AA330" s="200"/>
      <c r="AB330" s="200" t="str">
        <f t="array" ref="AB330">INDEX(B:B,SMALL(IF($Q$3:$Q$524&lt;&gt;"",ROW($3:$524),525),ROW(B329)))&amp;""</f>
        <v>碧水球</v>
      </c>
      <c r="AC330" s="225" t="str">
        <f>IFERROR(IF(AND($Q331&lt;&gt;"",IF(法术查询!$J$4="",1,INDEX($R331:$Z331,1,VLOOKUP(法术查询!$J$4,$AF$2:$AG$10,2,0)))&lt;&gt;"",IF(法术查询!$J$5="",1,$P331=VLOOKUP(法术查询!$J$5,$AH$2:$AI$11,2,0)),IF(法术查询!$J$6="",1,IF(法术查询!$J$6=$E331,1,0)),IF(法术查询!$J$7="",1,SEARCH(法术查询!$J$7,$F331)),IF(法术查询!$J$8="",1,SEARCH(法术查询!$J$8,G331)),IF(法术查询!$J$9="",1,SEARCH(法术查询!$J$9,N331)),IF(法术查询!$J$10="",1,IF(法术查询!$J$10=$AF$11,IF($M331=1,1,0),IF($M331="",1,0))),IF(法术查询!$J$11="",1,IF(法术查询!$J$11=$AF$11,IF($D331=1,1,0),IF($D331="",1,0))),IF(法术查询!$J$12="",1,SEARCH(法术查询!$J$12,$B331&amp;$C331&amp;$O331)),IF(法术查询!$J$13="",1,SEARCH(法术查询!$J$13,$B331&amp;$C331&amp;$O331)),IF(法术查询!$J$14="",1,SEARCH(法术查询!$J$14,$B331&amp;$C331&amp;$O331)),IF(法术查询!$J$16="",1,IF(法术查询!$J$16=$AF$11,IF($H331=1,1,0),IF($H331="",1,0))),IF(法术查询!$J$17="",1,IF(法术查询!$J$17=$AF$11,IF($I331=1,1,0),IF($I331="",1,0))),IF(法术查询!$J$18="",1,IF(法术查询!$J$18=$AF$11,IF($J331&lt;&gt;"",1,0),IF($J331="",1,0))),IF(法术查询!$J$19="",1,IF(法术查询!$J$19=$AF$11,IF($L331&lt;&gt;"",1,0),IF($L331="",1,0)))),$B331,""),"")</f>
        <v/>
      </c>
      <c r="AD330" s="192" t="str">
        <f t="array" ref="AD330">INDEX(AC:AC,SMALL(IF($AC$2:$AC$523&lt;&gt;"",ROW($2:$523),524),ROW(AC329)))&amp;""</f>
        <v/>
      </c>
      <c r="AE330" s="200" t="str">
        <f t="shared" si="9"/>
        <v/>
      </c>
    </row>
    <row r="331" customHeight="1" spans="1:31">
      <c r="A331" s="192">
        <v>329</v>
      </c>
      <c r="B331" s="224" t="s">
        <v>8071</v>
      </c>
      <c r="C331" s="224" t="s">
        <v>8072</v>
      </c>
      <c r="E331" s="240" t="s">
        <v>6641</v>
      </c>
      <c r="F331" s="193" t="s">
        <v>6642</v>
      </c>
      <c r="G331" s="193" t="s">
        <v>6643</v>
      </c>
      <c r="H331" s="193">
        <v>1</v>
      </c>
      <c r="I331" s="193">
        <v>1</v>
      </c>
      <c r="J331" s="193">
        <v>1</v>
      </c>
      <c r="K331" s="224" t="s">
        <v>7834</v>
      </c>
      <c r="M331" s="193">
        <v>1</v>
      </c>
      <c r="N331" s="193" t="s">
        <v>6739</v>
      </c>
      <c r="O331" s="224" t="s">
        <v>8073</v>
      </c>
      <c r="P331" s="224">
        <v>4</v>
      </c>
      <c r="Q331" s="245" t="str">
        <f>IF(综合数据!$B$7=TRUE,"XGE","")</f>
        <v>XGE</v>
      </c>
      <c r="X331" s="193">
        <v>6</v>
      </c>
      <c r="Y331" s="193">
        <v>6</v>
      </c>
      <c r="AA331" s="200"/>
      <c r="AB331" s="200" t="str">
        <f t="array" ref="AB331">INDEX(B:B,SMALL(IF($Q$3:$Q$524&lt;&gt;"",ROW($3:$524),525),ROW(B330)))&amp;""</f>
        <v>引力裂沟</v>
      </c>
      <c r="AC331" s="225" t="str">
        <f>IFERROR(IF(AND($Q332&lt;&gt;"",IF(法术查询!$J$4="",1,INDEX($R332:$Z332,1,VLOOKUP(法术查询!$J$4,$AF$2:$AG$10,2,0)))&lt;&gt;"",IF(法术查询!$J$5="",1,$P332=VLOOKUP(法术查询!$J$5,$AH$2:$AI$11,2,0)),IF(法术查询!$J$6="",1,IF(法术查询!$J$6=$E332,1,0)),IF(法术查询!$J$7="",1,SEARCH(法术查询!$J$7,$F332)),IF(法术查询!$J$8="",1,SEARCH(法术查询!$J$8,G332)),IF(法术查询!$J$9="",1,SEARCH(法术查询!$J$9,N332)),IF(法术查询!$J$10="",1,IF(法术查询!$J$10=$AF$11,IF($M332=1,1,0),IF($M332="",1,0))),IF(法术查询!$J$11="",1,IF(法术查询!$J$11=$AF$11,IF($D332=1,1,0),IF($D332="",1,0))),IF(法术查询!$J$12="",1,SEARCH(法术查询!$J$12,$B332&amp;$C332&amp;$O332)),IF(法术查询!$J$13="",1,SEARCH(法术查询!$J$13,$B332&amp;$C332&amp;$O332)),IF(法术查询!$J$14="",1,SEARCH(法术查询!$J$14,$B332&amp;$C332&amp;$O332)),IF(法术查询!$J$16="",1,IF(法术查询!$J$16=$AF$11,IF($H332=1,1,0),IF($H332="",1,0))),IF(法术查询!$J$17="",1,IF(法术查询!$J$17=$AF$11,IF($I332=1,1,0),IF($I332="",1,0))),IF(法术查询!$J$18="",1,IF(法术查询!$J$18=$AF$11,IF($J332&lt;&gt;"",1,0),IF($J332="",1,0))),IF(法术查询!$J$19="",1,IF(法术查询!$J$19=$AF$11,IF($L332&lt;&gt;"",1,0),IF($L332="",1,0)))),$B332,""),"")</f>
        <v/>
      </c>
      <c r="AD331" s="192" t="str">
        <f t="array" ref="AD331">INDEX(AC:AC,SMALL(IF($AC$2:$AC$523&lt;&gt;"",ROW($2:$523),524),ROW(AC330)))&amp;""</f>
        <v/>
      </c>
      <c r="AE331" s="200" t="str">
        <f t="shared" si="9"/>
        <v/>
      </c>
    </row>
    <row r="332" customHeight="1" spans="1:31">
      <c r="A332" s="192">
        <v>330</v>
      </c>
      <c r="B332" s="224" t="s">
        <v>8074</v>
      </c>
      <c r="C332" s="224" t="s">
        <v>8075</v>
      </c>
      <c r="E332" s="229" t="s">
        <v>6664</v>
      </c>
      <c r="F332" s="193" t="s">
        <v>6642</v>
      </c>
      <c r="G332" s="193" t="s">
        <v>6779</v>
      </c>
      <c r="H332" s="193">
        <v>1</v>
      </c>
      <c r="I332" s="193">
        <v>1</v>
      </c>
      <c r="J332" s="193">
        <v>1</v>
      </c>
      <c r="K332" s="224" t="s">
        <v>8076</v>
      </c>
      <c r="N332" s="193" t="s">
        <v>6644</v>
      </c>
      <c r="O332" s="224" t="s">
        <v>8077</v>
      </c>
      <c r="P332" s="224">
        <v>4</v>
      </c>
      <c r="Q332" s="245" t="str">
        <f>IF(综合数据!$B$7=TRUE,"XGE","")</f>
        <v>XGE</v>
      </c>
      <c r="W332" s="193">
        <v>6</v>
      </c>
      <c r="X332" s="193">
        <v>6</v>
      </c>
      <c r="AA332" s="200"/>
      <c r="AB332" s="200" t="str">
        <f t="array" ref="AB332">INDEX(B:B,SMALL(IF($Q$3:$Q$524&lt;&gt;"",ROW($3:$524),525),ROW(B331)))&amp;""</f>
        <v>异怪召唤术</v>
      </c>
      <c r="AC332" s="225" t="str">
        <f>IFERROR(IF(AND($Q333&lt;&gt;"",IF(法术查询!$J$4="",1,INDEX($R333:$Z333,1,VLOOKUP(法术查询!$J$4,$AF$2:$AG$10,2,0)))&lt;&gt;"",IF(法术查询!$J$5="",1,$P333=VLOOKUP(法术查询!$J$5,$AH$2:$AI$11,2,0)),IF(法术查询!$J$6="",1,IF(法术查询!$J$6=$E333,1,0)),IF(法术查询!$J$7="",1,SEARCH(法术查询!$J$7,$F333)),IF(法术查询!$J$8="",1,SEARCH(法术查询!$J$8,G333)),IF(法术查询!$J$9="",1,SEARCH(法术查询!$J$9,N333)),IF(法术查询!$J$10="",1,IF(法术查询!$J$10=$AF$11,IF($M333=1,1,0),IF($M333="",1,0))),IF(法术查询!$J$11="",1,IF(法术查询!$J$11=$AF$11,IF($D333=1,1,0),IF($D333="",1,0))),IF(法术查询!$J$12="",1,SEARCH(法术查询!$J$12,$B333&amp;$C333&amp;$O333)),IF(法术查询!$J$13="",1,SEARCH(法术查询!$J$13,$B333&amp;$C333&amp;$O333)),IF(法术查询!$J$14="",1,SEARCH(法术查询!$J$14,$B333&amp;$C333&amp;$O333)),IF(法术查询!$J$16="",1,IF(法术查询!$J$16=$AF$11,IF($H333=1,1,0),IF($H333="",1,0))),IF(法术查询!$J$17="",1,IF(法术查询!$J$17=$AF$11,IF($I333=1,1,0),IF($I333="",1,0))),IF(法术查询!$J$18="",1,IF(法术查询!$J$18=$AF$11,IF($J333&lt;&gt;"",1,0),IF($J333="",1,0))),IF(法术查询!$J$19="",1,IF(法术查询!$J$19=$AF$11,IF($L333&lt;&gt;"",1,0),IF($L333="",1,0)))),$B333,""),"")</f>
        <v/>
      </c>
      <c r="AD332" s="192" t="str">
        <f t="array" ref="AD332">INDEX(AC:AC,SMALL(IF($AC$2:$AC$523&lt;&gt;"",ROW($2:$523),524),ROW(AC331)))&amp;""</f>
        <v/>
      </c>
      <c r="AE332" s="200" t="str">
        <f t="shared" si="9"/>
        <v/>
      </c>
    </row>
    <row r="333" customHeight="1" spans="1:31">
      <c r="A333" s="192">
        <v>331</v>
      </c>
      <c r="B333" s="224" t="s">
        <v>8078</v>
      </c>
      <c r="C333" s="224" t="s">
        <v>8079</v>
      </c>
      <c r="E333" s="240" t="s">
        <v>6641</v>
      </c>
      <c r="F333" s="193" t="s">
        <v>6642</v>
      </c>
      <c r="G333" s="193" t="s">
        <v>6760</v>
      </c>
      <c r="H333" s="193">
        <v>1</v>
      </c>
      <c r="I333" s="193">
        <v>1</v>
      </c>
      <c r="J333" s="193">
        <v>1</v>
      </c>
      <c r="K333" s="224" t="s">
        <v>7841</v>
      </c>
      <c r="M333" s="193">
        <v>1</v>
      </c>
      <c r="N333" s="193" t="s">
        <v>6666</v>
      </c>
      <c r="O333" s="224" t="s">
        <v>8080</v>
      </c>
      <c r="P333" s="224">
        <v>4</v>
      </c>
      <c r="Q333" s="245" t="str">
        <f>IF(综合数据!$B$7=TRUE,"XGE","")</f>
        <v>XGE</v>
      </c>
      <c r="T333" s="193">
        <v>6</v>
      </c>
      <c r="W333" s="193">
        <v>6</v>
      </c>
      <c r="X333" s="193">
        <v>6</v>
      </c>
      <c r="AA333" s="200"/>
      <c r="AB333" s="200" t="str">
        <f t="array" ref="AB333">INDEX(B:B,SMALL(IF($Q$3:$Q$524&lt;&gt;"",ROW($3:$524),525),ROW(B332)))&amp;""</f>
        <v>构装体召唤术</v>
      </c>
      <c r="AC333" s="225" t="str">
        <f>IFERROR(IF(AND($Q334&lt;&gt;"",IF(法术查询!$J$4="",1,INDEX($R334:$Z334,1,VLOOKUP(法术查询!$J$4,$AF$2:$AG$10,2,0)))&lt;&gt;"",IF(法术查询!$J$5="",1,$P334=VLOOKUP(法术查询!$J$5,$AH$2:$AI$11,2,0)),IF(法术查询!$J$6="",1,IF(法术查询!$J$6=$E334,1,0)),IF(法术查询!$J$7="",1,SEARCH(法术查询!$J$7,$F334)),IF(法术查询!$J$8="",1,SEARCH(法术查询!$J$8,G334)),IF(法术查询!$J$9="",1,SEARCH(法术查询!$J$9,N334)),IF(法术查询!$J$10="",1,IF(法术查询!$J$10=$AF$11,IF($M334=1,1,0),IF($M334="",1,0))),IF(法术查询!$J$11="",1,IF(法术查询!$J$11=$AF$11,IF($D334=1,1,0),IF($D334="",1,0))),IF(法术查询!$J$12="",1,SEARCH(法术查询!$J$12,$B334&amp;$C334&amp;$O334)),IF(法术查询!$J$13="",1,SEARCH(法术查询!$J$13,$B334&amp;$C334&amp;$O334)),IF(法术查询!$J$14="",1,SEARCH(法术查询!$J$14,$B334&amp;$C334&amp;$O334)),IF(法术查询!$J$16="",1,IF(法术查询!$J$16=$AF$11,IF($H334=1,1,0),IF($H334="",1,0))),IF(法术查询!$J$17="",1,IF(法术查询!$J$17=$AF$11,IF($I334=1,1,0),IF($I334="",1,0))),IF(法术查询!$J$18="",1,IF(法术查询!$J$18=$AF$11,IF($J334&lt;&gt;"",1,0),IF($J334="",1,0))),IF(法术查询!$J$19="",1,IF(法术查询!$J$19=$AF$11,IF($L334&lt;&gt;"",1,0),IF($L334="",1,0)))),$B334,""),"")</f>
        <v/>
      </c>
      <c r="AD333" s="192" t="str">
        <f t="array" ref="AD333">INDEX(AC:AC,SMALL(IF($AC$2:$AC$523&lt;&gt;"",ROW($2:$523),524),ROW(AC332)))&amp;""</f>
        <v/>
      </c>
      <c r="AE333" s="200" t="str">
        <f t="shared" si="9"/>
        <v/>
      </c>
    </row>
    <row r="334" customHeight="1" spans="1:31">
      <c r="A334" s="192">
        <v>332</v>
      </c>
      <c r="B334" s="224" t="s">
        <v>8081</v>
      </c>
      <c r="C334" s="224" t="s">
        <v>8082</v>
      </c>
      <c r="E334" s="229" t="s">
        <v>6664</v>
      </c>
      <c r="F334" s="193" t="s">
        <v>6642</v>
      </c>
      <c r="G334" s="193" t="s">
        <v>6658</v>
      </c>
      <c r="H334" s="193">
        <v>1</v>
      </c>
      <c r="I334" s="193">
        <v>1</v>
      </c>
      <c r="J334" s="193">
        <v>1</v>
      </c>
      <c r="K334" s="224" t="s">
        <v>8083</v>
      </c>
      <c r="N334" s="193" t="s">
        <v>6644</v>
      </c>
      <c r="O334" s="224" t="s">
        <v>8084</v>
      </c>
      <c r="P334" s="224">
        <v>4</v>
      </c>
      <c r="Q334" s="247" t="str">
        <f>IF(综合数据!$B$11=TRUE,"EGW","")</f>
        <v>EGW</v>
      </c>
      <c r="AA334" s="223" t="s">
        <v>3640</v>
      </c>
      <c r="AB334" s="200" t="str">
        <f t="array" ref="AB334">INDEX(B:B,SMALL(IF($Q$3:$Q$524&lt;&gt;"",ROW($3:$524),525),ROW(B333)))&amp;""</f>
        <v>元素召唤术</v>
      </c>
      <c r="AC334" s="225" t="str">
        <f>IFERROR(IF(AND($Q335&lt;&gt;"",IF(法术查询!$J$4="",1,INDEX($R335:$Z335,1,VLOOKUP(法术查询!$J$4,$AF$2:$AG$10,2,0)))&lt;&gt;"",IF(法术查询!$J$5="",1,$P335=VLOOKUP(法术查询!$J$5,$AH$2:$AI$11,2,0)),IF(法术查询!$J$6="",1,IF(法术查询!$J$6=$E335,1,0)),IF(法术查询!$J$7="",1,SEARCH(法术查询!$J$7,$F335)),IF(法术查询!$J$8="",1,SEARCH(法术查询!$J$8,G335)),IF(法术查询!$J$9="",1,SEARCH(法术查询!$J$9,N335)),IF(法术查询!$J$10="",1,IF(法术查询!$J$10=$AF$11,IF($M335=1,1,0),IF($M335="",1,0))),IF(法术查询!$J$11="",1,IF(法术查询!$J$11=$AF$11,IF($D335=1,1,0),IF($D335="",1,0))),IF(法术查询!$J$12="",1,SEARCH(法术查询!$J$12,$B335&amp;$C335&amp;$O335)),IF(法术查询!$J$13="",1,SEARCH(法术查询!$J$13,$B335&amp;$C335&amp;$O335)),IF(法术查询!$J$14="",1,SEARCH(法术查询!$J$14,$B335&amp;$C335&amp;$O335)),IF(法术查询!$J$16="",1,IF(法术查询!$J$16=$AF$11,IF($H335=1,1,0),IF($H335="",1,0))),IF(法术查询!$J$17="",1,IF(法术查询!$J$17=$AF$11,IF($I335=1,1,0),IF($I335="",1,0))),IF(法术查询!$J$18="",1,IF(法术查询!$J$18=$AF$11,IF($J335&lt;&gt;"",1,0),IF($J335="",1,0))),IF(法术查询!$J$19="",1,IF(法术查询!$J$19=$AF$11,IF($L335&lt;&gt;"",1,0),IF($L335="",1,0)))),$B335,""),"")</f>
        <v/>
      </c>
      <c r="AD334" s="192" t="str">
        <f t="array" ref="AD334">INDEX(AC:AC,SMALL(IF($AC$2:$AC$523&lt;&gt;"",ROW($2:$523),524),ROW(AC333)))&amp;""</f>
        <v/>
      </c>
      <c r="AE334" s="200" t="str">
        <f t="shared" si="9"/>
        <v/>
      </c>
    </row>
    <row r="335" customHeight="1" spans="1:31">
      <c r="A335" s="192">
        <v>333</v>
      </c>
      <c r="B335" s="224" t="s">
        <v>8085</v>
      </c>
      <c r="C335" s="224" t="s">
        <v>8086</v>
      </c>
      <c r="E335" s="240" t="s">
        <v>6641</v>
      </c>
      <c r="F335" s="193" t="s">
        <v>6642</v>
      </c>
      <c r="G335" s="193" t="s">
        <v>6760</v>
      </c>
      <c r="H335" s="193">
        <v>1</v>
      </c>
      <c r="I335" s="193">
        <v>1</v>
      </c>
      <c r="J335" s="193">
        <v>1</v>
      </c>
      <c r="K335" s="224" t="s">
        <v>8087</v>
      </c>
      <c r="M335" s="193">
        <v>1</v>
      </c>
      <c r="N335" s="193" t="s">
        <v>6739</v>
      </c>
      <c r="O335" s="224" t="s">
        <v>8088</v>
      </c>
      <c r="P335" s="224">
        <v>4</v>
      </c>
      <c r="Q335" s="248" t="str">
        <f>IF(综合数据!$B$14=TRUE,"TCE","")</f>
        <v>TCE</v>
      </c>
      <c r="X335" s="193">
        <v>13</v>
      </c>
      <c r="Y335" s="193">
        <v>13</v>
      </c>
      <c r="AA335" s="223" t="s">
        <v>3496</v>
      </c>
      <c r="AB335" s="200" t="str">
        <f t="array" ref="AB335">INDEX(B:B,SMALL(IF($Q$3:$Q$524&lt;&gt;"",ROW($3:$524),525),ROW(B334)))&amp;""</f>
        <v>劳洛希姆心灵长枪</v>
      </c>
      <c r="AC335" s="225" t="str">
        <f>IFERROR(IF(AND($Q336&lt;&gt;"",IF(法术查询!$J$4="",1,INDEX($R336:$Z336,1,VLOOKUP(法术查询!$J$4,$AF$2:$AG$10,2,0)))&lt;&gt;"",IF(法术查询!$J$5="",1,$P336=VLOOKUP(法术查询!$J$5,$AH$2:$AI$11,2,0)),IF(法术查询!$J$6="",1,IF(法术查询!$J$6=$E336,1,0)),IF(法术查询!$J$7="",1,SEARCH(法术查询!$J$7,$F336)),IF(法术查询!$J$8="",1,SEARCH(法术查询!$J$8,G336)),IF(法术查询!$J$9="",1,SEARCH(法术查询!$J$9,N336)),IF(法术查询!$J$10="",1,IF(法术查询!$J$10=$AF$11,IF($M336=1,1,0),IF($M336="",1,0))),IF(法术查询!$J$11="",1,IF(法术查询!$J$11=$AF$11,IF($D336=1,1,0),IF($D336="",1,0))),IF(法术查询!$J$12="",1,SEARCH(法术查询!$J$12,$B336&amp;$C336&amp;$O336)),IF(法术查询!$J$13="",1,SEARCH(法术查询!$J$13,$B336&amp;$C336&amp;$O336)),IF(法术查询!$J$14="",1,SEARCH(法术查询!$J$14,$B336&amp;$C336&amp;$O336)),IF(法术查询!$J$16="",1,IF(法术查询!$J$16=$AF$11,IF($H336=1,1,0),IF($H336="",1,0))),IF(法术查询!$J$17="",1,IF(法术查询!$J$17=$AF$11,IF($I336=1,1,0),IF($I336="",1,0))),IF(法术查询!$J$18="",1,IF(法术查询!$J$18=$AF$11,IF($J336&lt;&gt;"",1,0),IF($J336="",1,0))),IF(法术查询!$J$19="",1,IF(法术查询!$J$19=$AF$11,IF($L336&lt;&gt;"",1,0),IF($L336="",1,0)))),$B336,""),"")</f>
        <v/>
      </c>
      <c r="AD335" s="192" t="str">
        <f t="array" ref="AD335">INDEX(AC:AC,SMALL(IF($AC$2:$AC$523&lt;&gt;"",ROW($2:$523),524),ROW(AC334)))&amp;""</f>
        <v/>
      </c>
      <c r="AE335" s="200" t="str">
        <f t="shared" si="9"/>
        <v/>
      </c>
    </row>
    <row r="336" customHeight="1" spans="1:31">
      <c r="A336" s="192">
        <v>334</v>
      </c>
      <c r="B336" s="224" t="s">
        <v>8089</v>
      </c>
      <c r="C336" s="224" t="s">
        <v>8090</v>
      </c>
      <c r="E336" s="240" t="s">
        <v>6641</v>
      </c>
      <c r="F336" s="193" t="s">
        <v>6642</v>
      </c>
      <c r="G336" s="193" t="s">
        <v>6760</v>
      </c>
      <c r="H336" s="193">
        <v>1</v>
      </c>
      <c r="I336" s="193">
        <v>1</v>
      </c>
      <c r="J336" s="193">
        <v>1</v>
      </c>
      <c r="K336" s="224" t="s">
        <v>8091</v>
      </c>
      <c r="M336" s="193">
        <v>1</v>
      </c>
      <c r="N336" s="193" t="s">
        <v>6739</v>
      </c>
      <c r="O336" s="224" t="s">
        <v>8092</v>
      </c>
      <c r="P336" s="224">
        <v>4</v>
      </c>
      <c r="Q336" s="248" t="str">
        <f>IF(综合数据!$B$14=TRUE,"TCE","")</f>
        <v>TCE</v>
      </c>
      <c r="X336" s="193">
        <v>13</v>
      </c>
      <c r="Z336" s="193">
        <v>13</v>
      </c>
      <c r="AA336" s="223" t="s">
        <v>3505</v>
      </c>
      <c r="AB336" s="200" t="str">
        <f t="array" ref="AB336">INDEX(B:B,SMALL(IF($Q$3:$Q$524&lt;&gt;"",ROW($3:$524),525),ROW(B335)))&amp;""</f>
        <v>界门封锁</v>
      </c>
      <c r="AC336" s="225" t="str">
        <f>IFERROR(IF(AND($Q337&lt;&gt;"",IF(法术查询!$J$4="",1,INDEX($R337:$Z337,1,VLOOKUP(法术查询!$J$4,$AF$2:$AG$10,2,0)))&lt;&gt;"",IF(法术查询!$J$5="",1,$P337=VLOOKUP(法术查询!$J$5,$AH$2:$AI$11,2,0)),IF(法术查询!$J$6="",1,IF(法术查询!$J$6=$E337,1,0)),IF(法术查询!$J$7="",1,SEARCH(法术查询!$J$7,$F337)),IF(法术查询!$J$8="",1,SEARCH(法术查询!$J$8,G337)),IF(法术查询!$J$9="",1,SEARCH(法术查询!$J$9,N337)),IF(法术查询!$J$10="",1,IF(法术查询!$J$10=$AF$11,IF($M337=1,1,0),IF($M337="",1,0))),IF(法术查询!$J$11="",1,IF(法术查询!$J$11=$AF$11,IF($D337=1,1,0),IF($D337="",1,0))),IF(法术查询!$J$12="",1,SEARCH(法术查询!$J$12,$B337&amp;$C337&amp;$O337)),IF(法术查询!$J$13="",1,SEARCH(法术查询!$J$13,$B337&amp;$C337&amp;$O337)),IF(法术查询!$J$14="",1,SEARCH(法术查询!$J$14,$B337&amp;$C337&amp;$O337)),IF(法术查询!$J$16="",1,IF(法术查询!$J$16=$AF$11,IF($H337=1,1,0),IF($H337="",1,0))),IF(法术查询!$J$17="",1,IF(法术查询!$J$17=$AF$11,IF($I337=1,1,0),IF($I337="",1,0))),IF(法术查询!$J$18="",1,IF(法术查询!$J$18=$AF$11,IF($J337&lt;&gt;"",1,0),IF($J337="",1,0))),IF(法术查询!$J$19="",1,IF(法术查询!$J$19=$AF$11,IF($L337&lt;&gt;"",1,0),IF($L337="",1,0)))),$B337,""),"")</f>
        <v/>
      </c>
      <c r="AD336" s="192" t="str">
        <f t="array" ref="AD336">INDEX(AC:AC,SMALL(IF($AC$2:$AC$523&lt;&gt;"",ROW($2:$523),524),ROW(AC335)))&amp;""</f>
        <v/>
      </c>
      <c r="AE336" s="200" t="str">
        <f t="shared" si="9"/>
        <v/>
      </c>
    </row>
    <row r="337" customHeight="1" spans="1:31">
      <c r="A337" s="192">
        <v>335</v>
      </c>
      <c r="B337" s="224" t="s">
        <v>8093</v>
      </c>
      <c r="C337" s="224" t="s">
        <v>8094</v>
      </c>
      <c r="E337" s="240" t="s">
        <v>6641</v>
      </c>
      <c r="F337" s="193" t="s">
        <v>6642</v>
      </c>
      <c r="G337" s="193" t="s">
        <v>6760</v>
      </c>
      <c r="H337" s="193">
        <v>1</v>
      </c>
      <c r="I337" s="193">
        <v>1</v>
      </c>
      <c r="J337" s="193">
        <v>1</v>
      </c>
      <c r="K337" s="224" t="s">
        <v>8095</v>
      </c>
      <c r="M337" s="193">
        <v>1</v>
      </c>
      <c r="N337" s="193" t="s">
        <v>6739</v>
      </c>
      <c r="O337" s="224" t="s">
        <v>8096</v>
      </c>
      <c r="P337" s="224">
        <v>4</v>
      </c>
      <c r="Q337" s="248" t="str">
        <f>IF(综合数据!$B$14=TRUE,"TCE","")</f>
        <v>TCE</v>
      </c>
      <c r="T337" s="193">
        <v>13</v>
      </c>
      <c r="V337" s="193">
        <v>13</v>
      </c>
      <c r="X337" s="193">
        <v>13</v>
      </c>
      <c r="AA337" s="223" t="s">
        <v>3570</v>
      </c>
      <c r="AB337" s="200" t="str">
        <f t="array" ref="AB337">INDEX(B:B,SMALL(IF($Q$3:$Q$524&lt;&gt;"",ROW($3:$524),525),ROW(B336)))&amp;""</f>
        <v>死神灵魄</v>
      </c>
      <c r="AC337" s="225" t="str">
        <f>IFERROR(IF(AND($Q338&lt;&gt;"",IF(法术查询!$J$4="",1,INDEX($R338:$Z338,1,VLOOKUP(法术查询!$J$4,$AF$2:$AG$10,2,0)))&lt;&gt;"",IF(法术查询!$J$5="",1,$P338=VLOOKUP(法术查询!$J$5,$AH$2:$AI$11,2,0)),IF(法术查询!$J$6="",1,IF(法术查询!$J$6=$E338,1,0)),IF(法术查询!$J$7="",1,SEARCH(法术查询!$J$7,$F338)),IF(法术查询!$J$8="",1,SEARCH(法术查询!$J$8,G338)),IF(法术查询!$J$9="",1,SEARCH(法术查询!$J$9,N338)),IF(法术查询!$J$10="",1,IF(法术查询!$J$10=$AF$11,IF($M338=1,1,0),IF($M338="",1,0))),IF(法术查询!$J$11="",1,IF(法术查询!$J$11=$AF$11,IF($D338=1,1,0),IF($D338="",1,0))),IF(法术查询!$J$12="",1,SEARCH(法术查询!$J$12,$B338&amp;$C338&amp;$O338)),IF(法术查询!$J$13="",1,SEARCH(法术查询!$J$13,$B338&amp;$C338&amp;$O338)),IF(法术查询!$J$14="",1,SEARCH(法术查询!$J$14,$B338&amp;$C338&amp;$O338)),IF(法术查询!$J$16="",1,IF(法术查询!$J$16=$AF$11,IF($H338=1,1,0),IF($H338="",1,0))),IF(法术查询!$J$17="",1,IF(法术查询!$J$17=$AF$11,IF($I338=1,1,0),IF($I338="",1,0))),IF(法术查询!$J$18="",1,IF(法术查询!$J$18=$AF$11,IF($J338&lt;&gt;"",1,0),IF($J338="",1,0))),IF(法术查询!$J$19="",1,IF(法术查询!$J$19=$AF$11,IF($L338&lt;&gt;"",1,0),IF($L338="",1,0)))),$B338,""),"")</f>
        <v/>
      </c>
      <c r="AD337" s="192" t="str">
        <f t="array" ref="AD337">INDEX(AC:AC,SMALL(IF($AC$2:$AC$523&lt;&gt;"",ROW($2:$523),524),ROW(AC336)))&amp;""</f>
        <v/>
      </c>
      <c r="AE337" s="200" t="str">
        <f t="shared" si="9"/>
        <v/>
      </c>
    </row>
    <row r="338" customHeight="1" spans="1:31">
      <c r="A338" s="192">
        <v>336</v>
      </c>
      <c r="B338" s="224" t="s">
        <v>8097</v>
      </c>
      <c r="C338" s="224" t="s">
        <v>8098</v>
      </c>
      <c r="E338" s="233" t="s">
        <v>6688</v>
      </c>
      <c r="F338" s="193" t="s">
        <v>6642</v>
      </c>
      <c r="G338" s="193" t="s">
        <v>6658</v>
      </c>
      <c r="H338" s="193">
        <v>1</v>
      </c>
      <c r="N338" s="193" t="s">
        <v>6644</v>
      </c>
      <c r="O338" s="224" t="s">
        <v>8099</v>
      </c>
      <c r="P338" s="193">
        <v>4</v>
      </c>
      <c r="Q338" s="253" t="str">
        <f>IF(综合数据!$B$16=TRUE,"FTD","")</f>
        <v>FTD</v>
      </c>
      <c r="R338" s="193">
        <v>15</v>
      </c>
      <c r="W338" s="193">
        <v>15</v>
      </c>
      <c r="X338" s="193">
        <v>15</v>
      </c>
      <c r="Y338" s="193">
        <v>15</v>
      </c>
      <c r="AA338" s="200"/>
      <c r="AB338" s="200" t="str">
        <f t="array" ref="AB338">INDEX(B:B,SMALL(IF($Q$3:$Q$524&lt;&gt;"",ROW($3:$524),525),ROW(B337)))&amp;""</f>
        <v>活化物件</v>
      </c>
      <c r="AC338" s="225" t="str">
        <f>IFERROR(IF(AND($Q339&lt;&gt;"",IF(法术查询!$J$4="",1,INDEX($R339:$Z339,1,VLOOKUP(法术查询!$J$4,$AF$2:$AG$10,2,0)))&lt;&gt;"",IF(法术查询!$J$5="",1,$P339=VLOOKUP(法术查询!$J$5,$AH$2:$AI$11,2,0)),IF(法术查询!$J$6="",1,IF(法术查询!$J$6=$E339,1,0)),IF(法术查询!$J$7="",1,SEARCH(法术查询!$J$7,$F339)),IF(法术查询!$J$8="",1,SEARCH(法术查询!$J$8,G339)),IF(法术查询!$J$9="",1,SEARCH(法术查询!$J$9,N339)),IF(法术查询!$J$10="",1,IF(法术查询!$J$10=$AF$11,IF($M339=1,1,0),IF($M339="",1,0))),IF(法术查询!$J$11="",1,IF(法术查询!$J$11=$AF$11,IF($D339=1,1,0),IF($D339="",1,0))),IF(法术查询!$J$12="",1,SEARCH(法术查询!$J$12,$B339&amp;$C339&amp;$O339)),IF(法术查询!$J$13="",1,SEARCH(法术查询!$J$13,$B339&amp;$C339&amp;$O339)),IF(法术查询!$J$14="",1,SEARCH(法术查询!$J$14,$B339&amp;$C339&amp;$O339)),IF(法术查询!$J$16="",1,IF(法术查询!$J$16=$AF$11,IF($H339=1,1,0),IF($H339="",1,0))),IF(法术查询!$J$17="",1,IF(法术查询!$J$17=$AF$11,IF($I339=1,1,0),IF($I339="",1,0))),IF(法术查询!$J$18="",1,IF(法术查询!$J$18=$AF$11,IF($J339&lt;&gt;"",1,0),IF($J339="",1,0))),IF(法术查询!$J$19="",1,IF(法术查询!$J$19=$AF$11,IF($L339&lt;&gt;"",1,0),IF($L339="",1,0)))),$B339,""),"")</f>
        <v/>
      </c>
      <c r="AD338" s="192" t="str">
        <f t="array" ref="AD338">INDEX(AC:AC,SMALL(IF($AC$2:$AC$523&lt;&gt;"",ROW($2:$523),524),ROW(AC337)))&amp;""</f>
        <v/>
      </c>
      <c r="AE338" s="200" t="str">
        <f t="shared" si="9"/>
        <v/>
      </c>
    </row>
    <row r="339" customHeight="1" spans="1:31">
      <c r="A339" s="192">
        <v>337</v>
      </c>
      <c r="B339" s="224" t="s">
        <v>8100</v>
      </c>
      <c r="C339" s="224" t="s">
        <v>8101</v>
      </c>
      <c r="E339" s="242" t="s">
        <v>6650</v>
      </c>
      <c r="F339" s="193" t="s">
        <v>6709</v>
      </c>
      <c r="G339" s="193" t="s">
        <v>6643</v>
      </c>
      <c r="H339" s="193">
        <v>1</v>
      </c>
      <c r="I339" s="193">
        <v>1</v>
      </c>
      <c r="J339" s="193">
        <v>1</v>
      </c>
      <c r="L339" s="224" t="s">
        <v>8102</v>
      </c>
      <c r="N339" s="193" t="s">
        <v>6759</v>
      </c>
      <c r="O339" s="224" t="s">
        <v>8103</v>
      </c>
      <c r="P339" s="193">
        <v>4</v>
      </c>
      <c r="Q339" s="255" t="str">
        <f>IF(综合数据!$B$21=TRUE,"PAM","")</f>
        <v>PAM</v>
      </c>
      <c r="W339" s="193">
        <v>21</v>
      </c>
      <c r="X339" s="193">
        <v>21</v>
      </c>
      <c r="Y339" s="193">
        <v>21</v>
      </c>
      <c r="AA339" s="200"/>
      <c r="AB339" s="200" t="str">
        <f t="array" ref="AB339">INDEX(B:B,SMALL(IF($Q$3:$Q$524&lt;&gt;"",ROW($3:$524),525),ROW(B338)))&amp;""</f>
        <v>防活物护罩</v>
      </c>
      <c r="AC339" s="225" t="str">
        <f>IFERROR(IF(AND($Q340&lt;&gt;"",IF(法术查询!$J$4="",1,INDEX($R340:$Z340,1,VLOOKUP(法术查询!$J$4,$AF$2:$AG$10,2,0)))&lt;&gt;"",IF(法术查询!$J$5="",1,$P340=VLOOKUP(法术查询!$J$5,$AH$2:$AI$11,2,0)),IF(法术查询!$J$6="",1,IF(法术查询!$J$6=$E340,1,0)),IF(法术查询!$J$7="",1,SEARCH(法术查询!$J$7,$F340)),IF(法术查询!$J$8="",1,SEARCH(法术查询!$J$8,G340)),IF(法术查询!$J$9="",1,SEARCH(法术查询!$J$9,N340)),IF(法术查询!$J$10="",1,IF(法术查询!$J$10=$AF$11,IF($M340=1,1,0),IF($M340="",1,0))),IF(法术查询!$J$11="",1,IF(法术查询!$J$11=$AF$11,IF($D340=1,1,0),IF($D340="",1,0))),IF(法术查询!$J$12="",1,SEARCH(法术查询!$J$12,$B340&amp;$C340&amp;$O340)),IF(法术查询!$J$13="",1,SEARCH(法术查询!$J$13,$B340&amp;$C340&amp;$O340)),IF(法术查询!$J$14="",1,SEARCH(法术查询!$J$14,$B340&amp;$C340&amp;$O340)),IF(法术查询!$J$16="",1,IF(法术查询!$J$16=$AF$11,IF($H340=1,1,0),IF($H340="",1,0))),IF(法术查询!$J$17="",1,IF(法术查询!$J$17=$AF$11,IF($I340=1,1,0),IF($I340="",1,0))),IF(法术查询!$J$18="",1,IF(法术查询!$J$18=$AF$11,IF($J340&lt;&gt;"",1,0),IF($J340="",1,0))),IF(法术查询!$J$19="",1,IF(法术查询!$J$19=$AF$11,IF($L340&lt;&gt;"",1,0),IF($L340="",1,0)))),$B340,""),"")</f>
        <v/>
      </c>
      <c r="AD339" s="192" t="str">
        <f t="array" ref="AD339">INDEX(AC:AC,SMALL(IF($AC$2:$AC$523&lt;&gt;"",ROW($2:$523),524),ROW(AC338)))&amp;""</f>
        <v/>
      </c>
      <c r="AE339" s="200" t="str">
        <f t="shared" si="9"/>
        <v/>
      </c>
    </row>
    <row r="340" customHeight="1" spans="1:31">
      <c r="A340" s="192">
        <v>338</v>
      </c>
      <c r="B340" s="224" t="s">
        <v>8104</v>
      </c>
      <c r="C340" s="224" t="s">
        <v>8105</v>
      </c>
      <c r="E340" s="243" t="s">
        <v>6657</v>
      </c>
      <c r="F340" s="193" t="s">
        <v>6642</v>
      </c>
      <c r="G340" s="193" t="s">
        <v>6643</v>
      </c>
      <c r="H340" s="193">
        <v>1</v>
      </c>
      <c r="I340" s="193">
        <v>1</v>
      </c>
      <c r="J340" s="193">
        <v>1</v>
      </c>
      <c r="K340" s="224" t="s">
        <v>8106</v>
      </c>
      <c r="M340" s="193">
        <v>1</v>
      </c>
      <c r="N340" s="193" t="s">
        <v>6739</v>
      </c>
      <c r="O340" s="224" t="s">
        <v>8107</v>
      </c>
      <c r="P340" s="193">
        <v>4</v>
      </c>
      <c r="Q340" s="256" t="s">
        <v>269</v>
      </c>
      <c r="W340" s="193">
        <v>22</v>
      </c>
      <c r="X340" s="193">
        <v>22</v>
      </c>
      <c r="Y340" s="193">
        <v>22</v>
      </c>
      <c r="AA340" s="200"/>
      <c r="AB340" s="200" t="str">
        <f t="array" ref="AB340">INDEX(B:B,SMALL(IF($Q$3:$Q$524&lt;&gt;"",ROW($3:$524),525),ROW(B339)))&amp;""</f>
        <v>启蒙术</v>
      </c>
      <c r="AC340" s="225" t="str">
        <f>IFERROR(IF(AND($Q341&lt;&gt;"",IF(法术查询!$J$4="",1,INDEX($R341:$Z341,1,VLOOKUP(法术查询!$J$4,$AF$2:$AG$10,2,0)))&lt;&gt;"",IF(法术查询!$J$5="",1,$P341=VLOOKUP(法术查询!$J$5,$AH$2:$AI$11,2,0)),IF(法术查询!$J$6="",1,IF(法术查询!$J$6=$E341,1,0)),IF(法术查询!$J$7="",1,SEARCH(法术查询!$J$7,$F341)),IF(法术查询!$J$8="",1,SEARCH(法术查询!$J$8,G341)),IF(法术查询!$J$9="",1,SEARCH(法术查询!$J$9,N341)),IF(法术查询!$J$10="",1,IF(法术查询!$J$10=$AF$11,IF($M341=1,1,0),IF($M341="",1,0))),IF(法术查询!$J$11="",1,IF(法术查询!$J$11=$AF$11,IF($D341=1,1,0),IF($D341="",1,0))),IF(法术查询!$J$12="",1,SEARCH(法术查询!$J$12,$B341&amp;$C341&amp;$O341)),IF(法术查询!$J$13="",1,SEARCH(法术查询!$J$13,$B341&amp;$C341&amp;$O341)),IF(法术查询!$J$14="",1,SEARCH(法术查询!$J$14,$B341&amp;$C341&amp;$O341)),IF(法术查询!$J$16="",1,IF(法术查询!$J$16=$AF$11,IF($H341=1,1,0),IF($H341="",1,0))),IF(法术查询!$J$17="",1,IF(法术查询!$J$17=$AF$11,IF($I341=1,1,0),IF($I341="",1,0))),IF(法术查询!$J$18="",1,IF(法术查询!$J$18=$AF$11,IF($J341&lt;&gt;"",1,0),IF($J341="",1,0))),IF(法术查询!$J$19="",1,IF(法术查询!$J$19=$AF$11,IF($L341&lt;&gt;"",1,0),IF($L341="",1,0)))),$B341,""),"")</f>
        <v/>
      </c>
      <c r="AD340" s="192" t="str">
        <f t="array" ref="AD340">INDEX(AC:AC,SMALL(IF($AC$2:$AC$523&lt;&gt;"",ROW($2:$523),524),ROW(AC339)))&amp;""</f>
        <v/>
      </c>
      <c r="AE340" s="200" t="str">
        <f t="shared" si="9"/>
        <v/>
      </c>
    </row>
    <row r="341" customHeight="1" spans="1:31">
      <c r="A341" s="192">
        <v>339</v>
      </c>
      <c r="B341" s="224" t="s">
        <v>8108</v>
      </c>
      <c r="C341" s="224" t="s">
        <v>8109</v>
      </c>
      <c r="E341" s="240" t="s">
        <v>6641</v>
      </c>
      <c r="F341" s="193" t="s">
        <v>6642</v>
      </c>
      <c r="G341" s="193" t="s">
        <v>6730</v>
      </c>
      <c r="H341" s="193">
        <v>1</v>
      </c>
      <c r="I341" s="193">
        <v>1</v>
      </c>
      <c r="J341" s="193">
        <v>1</v>
      </c>
      <c r="K341" s="224"/>
      <c r="L341" s="224" t="s">
        <v>8110</v>
      </c>
      <c r="N341" s="193" t="s">
        <v>6731</v>
      </c>
      <c r="O341" s="224" t="s">
        <v>8111</v>
      </c>
      <c r="P341" s="224">
        <v>4</v>
      </c>
      <c r="Q341" s="257" t="str">
        <f>IF(综合数据!$B$23=TRUE,"MOD","")</f>
        <v/>
      </c>
      <c r="X341" s="193">
        <v>0</v>
      </c>
      <c r="Y341" s="193">
        <v>0</v>
      </c>
      <c r="AA341" s="223"/>
      <c r="AB341" s="200" t="str">
        <f t="array" ref="AB341">INDEX(B:B,SMALL(IF($Q$3:$Q$524&lt;&gt;"",ROW($3:$524),525),ROW(B340)))&amp;""</f>
        <v>放逐斩</v>
      </c>
      <c r="AC341" s="225" t="str">
        <f>IFERROR(IF(AND($Q342&lt;&gt;"",IF(法术查询!$J$4="",1,INDEX($R342:$Z342,1,VLOOKUP(法术查询!$J$4,$AF$2:$AG$10,2,0)))&lt;&gt;"",IF(法术查询!$J$5="",1,$P342=VLOOKUP(法术查询!$J$5,$AH$2:$AI$11,2,0)),IF(法术查询!$J$6="",1,IF(法术查询!$J$6=$E342,1,0)),IF(法术查询!$J$7="",1,SEARCH(法术查询!$J$7,$F342)),IF(法术查询!$J$8="",1,SEARCH(法术查询!$J$8,G342)),IF(法术查询!$J$9="",1,SEARCH(法术查询!$J$9,N342)),IF(法术查询!$J$10="",1,IF(法术查询!$J$10=$AF$11,IF($M342=1,1,0),IF($M342="",1,0))),IF(法术查询!$J$11="",1,IF(法术查询!$J$11=$AF$11,IF($D342=1,1,0),IF($D342="",1,0))),IF(法术查询!$J$12="",1,SEARCH(法术查询!$J$12,$B342&amp;$C342&amp;$O342)),IF(法术查询!$J$13="",1,SEARCH(法术查询!$J$13,$B342&amp;$C342&amp;$O342)),IF(法术查询!$J$14="",1,SEARCH(法术查询!$J$14,$B342&amp;$C342&amp;$O342)),IF(法术查询!$J$16="",1,IF(法术查询!$J$16=$AF$11,IF($H342=1,1,0),IF($H342="",1,0))),IF(法术查询!$J$17="",1,IF(法术查询!$J$17=$AF$11,IF($I342=1,1,0),IF($I342="",1,0))),IF(法术查询!$J$18="",1,IF(法术查询!$J$18=$AF$11,IF($J342&lt;&gt;"",1,0),IF($J342="",1,0))),IF(法术查询!$J$19="",1,IF(法术查询!$J$19=$AF$11,IF($L342&lt;&gt;"",1,0),IF($L342="",1,0)))),$B342,""),"")</f>
        <v/>
      </c>
      <c r="AD341" s="192" t="str">
        <f t="array" ref="AD341">INDEX(AC:AC,SMALL(IF($AC$2:$AC$523&lt;&gt;"",ROW($2:$523),524),ROW(AC340)))&amp;""</f>
        <v/>
      </c>
      <c r="AE341" s="200" t="str">
        <f t="shared" si="9"/>
        <v/>
      </c>
    </row>
    <row r="342" customHeight="1" spans="1:31">
      <c r="A342" s="192">
        <v>340</v>
      </c>
      <c r="B342" s="224" t="s">
        <v>8112</v>
      </c>
      <c r="C342" s="224" t="s">
        <v>8113</v>
      </c>
      <c r="E342" s="231" t="s">
        <v>6672</v>
      </c>
      <c r="F342" s="193" t="s">
        <v>6642</v>
      </c>
      <c r="G342" s="193" t="s">
        <v>6658</v>
      </c>
      <c r="H342" s="193">
        <v>1</v>
      </c>
      <c r="I342" s="193">
        <v>1</v>
      </c>
      <c r="M342" s="193">
        <v>1</v>
      </c>
      <c r="N342" s="193" t="s">
        <v>6666</v>
      </c>
      <c r="O342" s="224" t="s">
        <v>8114</v>
      </c>
      <c r="P342" s="224">
        <v>5</v>
      </c>
      <c r="Q342" s="224" t="s">
        <v>249</v>
      </c>
      <c r="R342" s="193">
        <v>1</v>
      </c>
      <c r="W342" s="193">
        <v>1</v>
      </c>
      <c r="X342" s="193">
        <v>1</v>
      </c>
      <c r="Z342" s="193">
        <v>9</v>
      </c>
      <c r="AA342" s="223" t="s">
        <v>7344</v>
      </c>
      <c r="AB342" s="200" t="str">
        <f t="array" ref="AB342">INDEX(B:B,SMALL(IF($Q$3:$Q$524&lt;&gt;"",ROW($3:$524),525),ROW(B341)))&amp;""</f>
        <v>毕格比之手</v>
      </c>
      <c r="AC342" s="225" t="str">
        <f>IFERROR(IF(AND($Q343&lt;&gt;"",IF(法术查询!$J$4="",1,INDEX($R343:$Z343,1,VLOOKUP(法术查询!$J$4,$AF$2:$AG$10,2,0)))&lt;&gt;"",IF(法术查询!$J$5="",1,$P343=VLOOKUP(法术查询!$J$5,$AH$2:$AI$11,2,0)),IF(法术查询!$J$6="",1,IF(法术查询!$J$6=$E343,1,0)),IF(法术查询!$J$7="",1,SEARCH(法术查询!$J$7,$F343)),IF(法术查询!$J$8="",1,SEARCH(法术查询!$J$8,G343)),IF(法术查询!$J$9="",1,SEARCH(法术查询!$J$9,N343)),IF(法术查询!$J$10="",1,IF(法术查询!$J$10=$AF$11,IF($M343=1,1,0),IF($M343="",1,0))),IF(法术查询!$J$11="",1,IF(法术查询!$J$11=$AF$11,IF($D343=1,1,0),IF($D343="",1,0))),IF(法术查询!$J$12="",1,SEARCH(法术查询!$J$12,$B343&amp;$C343&amp;$O343)),IF(法术查询!$J$13="",1,SEARCH(法术查询!$J$13,$B343&amp;$C343&amp;$O343)),IF(法术查询!$J$14="",1,SEARCH(法术查询!$J$14,$B343&amp;$C343&amp;$O343)),IF(法术查询!$J$16="",1,IF(法术查询!$J$16=$AF$11,IF($H343=1,1,0),IF($H343="",1,0))),IF(法术查询!$J$17="",1,IF(法术查询!$J$17=$AF$11,IF($I343=1,1,0),IF($I343="",1,0))),IF(法术查询!$J$18="",1,IF(法术查询!$J$18=$AF$11,IF($J343&lt;&gt;"",1,0),IF($J343="",1,0))),IF(法术查询!$J$19="",1,IF(法术查询!$J$19=$AF$11,IF($L343&lt;&gt;"",1,0),IF($L343="",1,0)))),$B343,""),"")</f>
        <v/>
      </c>
      <c r="AD342" s="192" t="str">
        <f t="array" ref="AD342">INDEX(AC:AC,SMALL(IF($AC$2:$AC$523&lt;&gt;"",ROW($2:$523),524),ROW(AC341)))&amp;""</f>
        <v/>
      </c>
      <c r="AE342" s="200" t="str">
        <f t="shared" si="9"/>
        <v/>
      </c>
    </row>
    <row r="343" customHeight="1" spans="1:31">
      <c r="A343" s="192">
        <v>341</v>
      </c>
      <c r="B343" s="224" t="s">
        <v>8115</v>
      </c>
      <c r="C343" s="224" t="s">
        <v>8116</v>
      </c>
      <c r="E343" s="242" t="s">
        <v>6650</v>
      </c>
      <c r="F343" s="193" t="s">
        <v>6642</v>
      </c>
      <c r="G343" s="193" t="s">
        <v>6839</v>
      </c>
      <c r="H343" s="193">
        <v>1</v>
      </c>
      <c r="I343" s="193">
        <v>1</v>
      </c>
      <c r="M343" s="193">
        <v>1</v>
      </c>
      <c r="N343" s="193" t="s">
        <v>6739</v>
      </c>
      <c r="O343" s="224" t="s">
        <v>8117</v>
      </c>
      <c r="P343" s="224">
        <v>5</v>
      </c>
      <c r="Q343" s="224" t="s">
        <v>249</v>
      </c>
      <c r="T343" s="193">
        <v>1</v>
      </c>
      <c r="AA343" s="223" t="s">
        <v>8118</v>
      </c>
      <c r="AB343" s="200" t="str">
        <f t="array" ref="AB343">INDEX(B:B,SMALL(IF($Q$3:$Q$524&lt;&gt;"",ROW($3:$524),525),ROW(B342)))&amp;""</f>
        <v>原力法阵</v>
      </c>
      <c r="AC343" s="225" t="str">
        <f>IFERROR(IF(AND($Q344&lt;&gt;"",IF(法术查询!$J$4="",1,INDEX($R344:$Z344,1,VLOOKUP(法术查询!$J$4,$AF$2:$AG$10,2,0)))&lt;&gt;"",IF(法术查询!$J$5="",1,$P344=VLOOKUP(法术查询!$J$5,$AH$2:$AI$11,2,0)),IF(法术查询!$J$6="",1,IF(法术查询!$J$6=$E344,1,0)),IF(法术查询!$J$7="",1,SEARCH(法术查询!$J$7,$F344)),IF(法术查询!$J$8="",1,SEARCH(法术查询!$J$8,G344)),IF(法术查询!$J$9="",1,SEARCH(法术查询!$J$9,N344)),IF(法术查询!$J$10="",1,IF(法术查询!$J$10=$AF$11,IF($M344=1,1,0),IF($M344="",1,0))),IF(法术查询!$J$11="",1,IF(法术查询!$J$11=$AF$11,IF($D344=1,1,0),IF($D344="",1,0))),IF(法术查询!$J$12="",1,SEARCH(法术查询!$J$12,$B344&amp;$C344&amp;$O344)),IF(法术查询!$J$13="",1,SEARCH(法术查询!$J$13,$B344&amp;$C344&amp;$O344)),IF(法术查询!$J$14="",1,SEARCH(法术查询!$J$14,$B344&amp;$C344&amp;$O344)),IF(法术查询!$J$16="",1,IF(法术查询!$J$16=$AF$11,IF($H344=1,1,0),IF($H344="",1,0))),IF(法术查询!$J$17="",1,IF(法术查询!$J$17=$AF$11,IF($I344=1,1,0),IF($I344="",1,0))),IF(法术查询!$J$18="",1,IF(法术查询!$J$18=$AF$11,IF($J344&lt;&gt;"",1,0),IF($J344="",1,0))),IF(法术查询!$J$19="",1,IF(法术查询!$J$19=$AF$11,IF($L344&lt;&gt;"",1,0),IF($L344="",1,0)))),$B344,""),"")</f>
        <v/>
      </c>
      <c r="AD343" s="192" t="str">
        <f t="array" ref="AD343">INDEX(AC:AC,SMALL(IF($AC$2:$AC$523&lt;&gt;"",ROW($2:$523),524),ROW(AC342)))&amp;""</f>
        <v/>
      </c>
      <c r="AE343" s="200" t="str">
        <f t="shared" si="9"/>
        <v/>
      </c>
    </row>
    <row r="344" customHeight="1" spans="1:31">
      <c r="A344" s="192">
        <v>342</v>
      </c>
      <c r="B344" s="224" t="s">
        <v>8119</v>
      </c>
      <c r="C344" s="224" t="s">
        <v>8120</v>
      </c>
      <c r="E344" s="231" t="s">
        <v>6672</v>
      </c>
      <c r="F344" s="193" t="s">
        <v>6748</v>
      </c>
      <c r="G344" s="193" t="s">
        <v>3760</v>
      </c>
      <c r="H344" s="193">
        <v>1</v>
      </c>
      <c r="I344" s="193">
        <v>1</v>
      </c>
      <c r="J344" s="193">
        <v>1</v>
      </c>
      <c r="L344" s="224" t="s">
        <v>8121</v>
      </c>
      <c r="N344" s="193" t="s">
        <v>6644</v>
      </c>
      <c r="O344" s="224" t="s">
        <v>8122</v>
      </c>
      <c r="P344" s="224">
        <v>5</v>
      </c>
      <c r="Q344" s="224" t="s">
        <v>249</v>
      </c>
      <c r="R344" s="193">
        <v>1</v>
      </c>
      <c r="T344" s="193">
        <v>1</v>
      </c>
      <c r="AA344" s="223" t="s">
        <v>8123</v>
      </c>
      <c r="AB344" s="200" t="str">
        <f t="array" ref="AB344">INDEX(B:B,SMALL(IF($Q$3:$Q$524&lt;&gt;"",ROW($3:$524),525),ROW(B343)))&amp;""</f>
        <v>死云术</v>
      </c>
      <c r="AC344" s="225" t="str">
        <f>IFERROR(IF(AND($Q345&lt;&gt;"",IF(法术查询!$J$4="",1,INDEX($R345:$Z345,1,VLOOKUP(法术查询!$J$4,$AF$2:$AG$10,2,0)))&lt;&gt;"",IF(法术查询!$J$5="",1,$P345=VLOOKUP(法术查询!$J$5,$AH$2:$AI$11,2,0)),IF(法术查询!$J$6="",1,IF(法术查询!$J$6=$E345,1,0)),IF(法术查询!$J$7="",1,SEARCH(法术查询!$J$7,$F345)),IF(法术查询!$J$8="",1,SEARCH(法术查询!$J$8,G345)),IF(法术查询!$J$9="",1,SEARCH(法术查询!$J$9,N345)),IF(法术查询!$J$10="",1,IF(法术查询!$J$10=$AF$11,IF($M345=1,1,0),IF($M345="",1,0))),IF(法术查询!$J$11="",1,IF(法术查询!$J$11=$AF$11,IF($D345=1,1,0),IF($D345="",1,0))),IF(法术查询!$J$12="",1,SEARCH(法术查询!$J$12,$B345&amp;$C345&amp;$O345)),IF(法术查询!$J$13="",1,SEARCH(法术查询!$J$13,$B345&amp;$C345&amp;$O345)),IF(法术查询!$J$14="",1,SEARCH(法术查询!$J$14,$B345&amp;$C345&amp;$O345)),IF(法术查询!$J$16="",1,IF(法术查询!$J$16=$AF$11,IF($H345=1,1,0),IF($H345="",1,0))),IF(法术查询!$J$17="",1,IF(法术查询!$J$17=$AF$11,IF($I345=1,1,0),IF($I345="",1,0))),IF(法术查询!$J$18="",1,IF(法术查询!$J$18=$AF$11,IF($J345&lt;&gt;"",1,0),IF($J345="",1,0))),IF(法术查询!$J$19="",1,IF(法术查询!$J$19=$AF$11,IF($L345&lt;&gt;"",1,0),IF($L345="",1,0)))),$B345,""),"")</f>
        <v/>
      </c>
      <c r="AD344" s="192" t="str">
        <f t="array" ref="AD344">INDEX(AC:AC,SMALL(IF($AC$2:$AC$523&lt;&gt;"",ROW($2:$523),524),ROW(AC343)))&amp;""</f>
        <v/>
      </c>
      <c r="AE344" s="200" t="str">
        <f t="shared" si="9"/>
        <v/>
      </c>
    </row>
    <row r="345" customHeight="1" spans="1:31">
      <c r="A345" s="192">
        <v>343</v>
      </c>
      <c r="B345" s="224" t="s">
        <v>8124</v>
      </c>
      <c r="C345" s="224" t="s">
        <v>8125</v>
      </c>
      <c r="E345" s="242" t="s">
        <v>6650</v>
      </c>
      <c r="F345" s="193" t="s">
        <v>6712</v>
      </c>
      <c r="G345" s="193" t="s">
        <v>6651</v>
      </c>
      <c r="H345" s="193">
        <v>1</v>
      </c>
      <c r="M345" s="193">
        <v>1</v>
      </c>
      <c r="N345" s="193" t="s">
        <v>6666</v>
      </c>
      <c r="O345" s="224" t="s">
        <v>8126</v>
      </c>
      <c r="P345" s="224">
        <v>5</v>
      </c>
      <c r="Q345" s="224" t="s">
        <v>249</v>
      </c>
      <c r="U345" s="193">
        <v>1</v>
      </c>
      <c r="AA345" s="223" t="s">
        <v>8127</v>
      </c>
      <c r="AB345" s="200" t="str">
        <f t="array" ref="AB345">INDEX(B:B,SMALL(IF($Q$3:$Q$524&lt;&gt;"",ROW($3:$524),525),ROW(B344)))&amp;""</f>
        <v>通神术</v>
      </c>
      <c r="AC345" s="225" t="str">
        <f>IFERROR(IF(AND($Q346&lt;&gt;"",IF(法术查询!$J$4="",1,INDEX($R346:$Z346,1,VLOOKUP(法术查询!$J$4,$AF$2:$AG$10,2,0)))&lt;&gt;"",IF(法术查询!$J$5="",1,$P346=VLOOKUP(法术查询!$J$5,$AH$2:$AI$11,2,0)),IF(法术查询!$J$6="",1,IF(法术查询!$J$6=$E346,1,0)),IF(法术查询!$J$7="",1,SEARCH(法术查询!$J$7,$F346)),IF(法术查询!$J$8="",1,SEARCH(法术查询!$J$8,G346)),IF(法术查询!$J$9="",1,SEARCH(法术查询!$J$9,N346)),IF(法术查询!$J$10="",1,IF(法术查询!$J$10=$AF$11,IF($M346=1,1,0),IF($M346="",1,0))),IF(法术查询!$J$11="",1,IF(法术查询!$J$11=$AF$11,IF($D346=1,1,0),IF($D346="",1,0))),IF(法术查询!$J$12="",1,SEARCH(法术查询!$J$12,$B346&amp;$C346&amp;$O346)),IF(法术查询!$J$13="",1,SEARCH(法术查询!$J$13,$B346&amp;$C346&amp;$O346)),IF(法术查询!$J$14="",1,SEARCH(法术查询!$J$14,$B346&amp;$C346&amp;$O346)),IF(法术查询!$J$16="",1,IF(法术查询!$J$16=$AF$11,IF($H346=1,1,0),IF($H346="",1,0))),IF(法术查询!$J$17="",1,IF(法术查询!$J$17=$AF$11,IF($I346=1,1,0),IF($I346="",1,0))),IF(法术查询!$J$18="",1,IF(法术查询!$J$18=$AF$11,IF($J346&lt;&gt;"",1,0),IF($J346="",1,0))),IF(法术查询!$J$19="",1,IF(法术查询!$J$19=$AF$11,IF($L346&lt;&gt;"",1,0),IF($L346="",1,0)))),$B346,""),"")</f>
        <v/>
      </c>
      <c r="AD345" s="192" t="str">
        <f t="array" ref="AD345">INDEX(AC:AC,SMALL(IF($AC$2:$AC$523&lt;&gt;"",ROW($2:$523),524),ROW(AC344)))&amp;""</f>
        <v/>
      </c>
      <c r="AE345" s="200" t="str">
        <f t="shared" si="9"/>
        <v/>
      </c>
    </row>
    <row r="346" customHeight="1" spans="1:31">
      <c r="A346" s="192">
        <v>344</v>
      </c>
      <c r="B346" s="224" t="s">
        <v>8128</v>
      </c>
      <c r="C346" s="224" t="s">
        <v>8129</v>
      </c>
      <c r="E346" s="229" t="s">
        <v>6664</v>
      </c>
      <c r="F346" s="193" t="s">
        <v>6642</v>
      </c>
      <c r="G346" s="193" t="s">
        <v>6658</v>
      </c>
      <c r="H346" s="193">
        <v>1</v>
      </c>
      <c r="I346" s="193">
        <v>1</v>
      </c>
      <c r="J346" s="193">
        <v>1</v>
      </c>
      <c r="K346" s="224" t="s">
        <v>8130</v>
      </c>
      <c r="M346" s="193">
        <v>1</v>
      </c>
      <c r="N346" s="193" t="s">
        <v>6666</v>
      </c>
      <c r="O346" s="224" t="s">
        <v>8131</v>
      </c>
      <c r="P346" s="224">
        <v>5</v>
      </c>
      <c r="Q346" s="224" t="s">
        <v>249</v>
      </c>
      <c r="W346" s="193" t="str">
        <f>IF(综合数据!$B$14=TRUE,"13","")</f>
        <v>13</v>
      </c>
      <c r="X346" s="193">
        <v>1</v>
      </c>
      <c r="Z346" s="193">
        <v>9</v>
      </c>
      <c r="AA346" s="223" t="s">
        <v>8132</v>
      </c>
      <c r="AB346" s="200" t="str">
        <f t="array" ref="AB346">INDEX(B:B,SMALL(IF($Q$3:$Q$524&lt;&gt;"",ROW($3:$524),525),ROW(B345)))&amp;""</f>
        <v>问道自然</v>
      </c>
      <c r="AC346" s="225" t="str">
        <f>IFERROR(IF(AND($Q347&lt;&gt;"",IF(法术查询!$J$4="",1,INDEX($R347:$Z347,1,VLOOKUP(法术查询!$J$4,$AF$2:$AG$10,2,0)))&lt;&gt;"",IF(法术查询!$J$5="",1,$P347=VLOOKUP(法术查询!$J$5,$AH$2:$AI$11,2,0)),IF(法术查询!$J$6="",1,IF(法术查询!$J$6=$E347,1,0)),IF(法术查询!$J$7="",1,SEARCH(法术查询!$J$7,$F347)),IF(法术查询!$J$8="",1,SEARCH(法术查询!$J$8,G347)),IF(法术查询!$J$9="",1,SEARCH(法术查询!$J$9,N347)),IF(法术查询!$J$10="",1,IF(法术查询!$J$10=$AF$11,IF($M347=1,1,0),IF($M347="",1,0))),IF(法术查询!$J$11="",1,IF(法术查询!$J$11=$AF$11,IF($D347=1,1,0),IF($D347="",1,0))),IF(法术查询!$J$12="",1,SEARCH(法术查询!$J$12,$B347&amp;$C347&amp;$O347)),IF(法术查询!$J$13="",1,SEARCH(法术查询!$J$13,$B347&amp;$C347&amp;$O347)),IF(法术查询!$J$14="",1,SEARCH(法术查询!$J$14,$B347&amp;$C347&amp;$O347)),IF(法术查询!$J$16="",1,IF(法术查询!$J$16=$AF$11,IF($H347=1,1,0),IF($H347="",1,0))),IF(法术查询!$J$17="",1,IF(法术查询!$J$17=$AF$11,IF($I347=1,1,0),IF($I347="",1,0))),IF(法术查询!$J$18="",1,IF(法术查询!$J$18=$AF$11,IF($J347&lt;&gt;"",1,0),IF($J347="",1,0))),IF(法术查询!$J$19="",1,IF(法术查询!$J$19=$AF$11,IF($L347&lt;&gt;"",1,0),IF($L347="",1,0)))),$B347,""),"")</f>
        <v/>
      </c>
      <c r="AD346" s="192" t="str">
        <f t="array" ref="AD346">INDEX(AC:AC,SMALL(IF($AC$2:$AC$523&lt;&gt;"",ROW($2:$523),524),ROW(AC345)))&amp;""</f>
        <v/>
      </c>
      <c r="AE346" s="200" t="str">
        <f t="shared" si="9"/>
        <v/>
      </c>
    </row>
    <row r="347" customHeight="1" spans="1:31">
      <c r="A347" s="192">
        <v>345</v>
      </c>
      <c r="B347" s="224" t="s">
        <v>8133</v>
      </c>
      <c r="C347" s="224" t="s">
        <v>8134</v>
      </c>
      <c r="E347" s="242" t="s">
        <v>6650</v>
      </c>
      <c r="F347" s="193" t="s">
        <v>6642</v>
      </c>
      <c r="G347" s="193" t="s">
        <v>6867</v>
      </c>
      <c r="H347" s="193">
        <v>1</v>
      </c>
      <c r="M347" s="193">
        <v>1</v>
      </c>
      <c r="N347" s="193" t="s">
        <v>6831</v>
      </c>
      <c r="O347" s="224" t="s">
        <v>8135</v>
      </c>
      <c r="P347" s="224">
        <v>5</v>
      </c>
      <c r="Q347" s="224" t="s">
        <v>249</v>
      </c>
      <c r="U347" s="193">
        <v>1</v>
      </c>
      <c r="AA347" s="223" t="s">
        <v>8136</v>
      </c>
      <c r="AB347" s="200" t="str">
        <f t="array" ref="AB347">INDEX(B:B,SMALL(IF($Q$3:$Q$524&lt;&gt;"",ROW($3:$524),525),ROW(B346)))&amp;""</f>
        <v>寒冰锥</v>
      </c>
      <c r="AC347" s="225" t="str">
        <f>IFERROR(IF(AND($Q348&lt;&gt;"",IF(法术查询!$J$4="",1,INDEX($R348:$Z348,1,VLOOKUP(法术查询!$J$4,$AF$2:$AG$10,2,0)))&lt;&gt;"",IF(法术查询!$J$5="",1,$P348=VLOOKUP(法术查询!$J$5,$AH$2:$AI$11,2,0)),IF(法术查询!$J$6="",1,IF(法术查询!$J$6=$E348,1,0)),IF(法术查询!$J$7="",1,SEARCH(法术查询!$J$7,$F348)),IF(法术查询!$J$8="",1,SEARCH(法术查询!$J$8,G348)),IF(法术查询!$J$9="",1,SEARCH(法术查询!$J$9,N348)),IF(法术查询!$J$10="",1,IF(法术查询!$J$10=$AF$11,IF($M348=1,1,0),IF($M348="",1,0))),IF(法术查询!$J$11="",1,IF(法术查询!$J$11=$AF$11,IF($D348=1,1,0),IF($D348="",1,0))),IF(法术查询!$J$12="",1,SEARCH(法术查询!$J$12,$B348&amp;$C348&amp;$O348)),IF(法术查询!$J$13="",1,SEARCH(法术查询!$J$13,$B348&amp;$C348&amp;$O348)),IF(法术查询!$J$14="",1,SEARCH(法术查询!$J$14,$B348&amp;$C348&amp;$O348)),IF(法术查询!$J$16="",1,IF(法术查询!$J$16=$AF$11,IF($H348=1,1,0),IF($H348="",1,0))),IF(法术查询!$J$17="",1,IF(法术查询!$J$17=$AF$11,IF($I348=1,1,0),IF($I348="",1,0))),IF(法术查询!$J$18="",1,IF(法术查询!$J$18=$AF$11,IF($J348&lt;&gt;"",1,0),IF($J348="",1,0))),IF(法术查询!$J$19="",1,IF(法术查询!$J$19=$AF$11,IF($L348&lt;&gt;"",1,0),IF($L348="",1,0)))),$B348,""),"")</f>
        <v/>
      </c>
      <c r="AD347" s="192" t="str">
        <f t="array" ref="AD347">INDEX(AC:AC,SMALL(IF($AC$2:$AC$523&lt;&gt;"",ROW($2:$523),524),ROW(AC346)))&amp;""</f>
        <v/>
      </c>
      <c r="AE347" s="200" t="str">
        <f t="shared" si="9"/>
        <v/>
      </c>
    </row>
    <row r="348" customHeight="1" spans="1:31">
      <c r="A348" s="192">
        <v>346</v>
      </c>
      <c r="B348" s="224" t="s">
        <v>8137</v>
      </c>
      <c r="C348" s="224" t="s">
        <v>8138</v>
      </c>
      <c r="E348" s="240" t="s">
        <v>6641</v>
      </c>
      <c r="F348" s="193" t="s">
        <v>6642</v>
      </c>
      <c r="G348" s="193" t="s">
        <v>6658</v>
      </c>
      <c r="H348" s="193">
        <v>1</v>
      </c>
      <c r="I348" s="193">
        <v>1</v>
      </c>
      <c r="M348" s="193">
        <v>1</v>
      </c>
      <c r="N348" s="193" t="s">
        <v>6831</v>
      </c>
      <c r="O348" s="224" t="s">
        <v>8139</v>
      </c>
      <c r="P348" s="224">
        <v>5</v>
      </c>
      <c r="Q348" s="224" t="s">
        <v>249</v>
      </c>
      <c r="W348" s="193">
        <v>1</v>
      </c>
      <c r="X348" s="193">
        <v>1</v>
      </c>
      <c r="AA348" s="223" t="s">
        <v>8140</v>
      </c>
      <c r="AB348" s="200" t="str">
        <f t="array" ref="AB348">INDEX(B:B,SMALL(IF($Q$3:$Q$524&lt;&gt;"",ROW($3:$524),525),ROW(B347)))&amp;""</f>
        <v>召唤元素生物</v>
      </c>
      <c r="AC348" s="225" t="str">
        <f>IFERROR(IF(AND($Q349&lt;&gt;"",IF(法术查询!$J$4="",1,INDEX($R349:$Z349,1,VLOOKUP(法术查询!$J$4,$AF$2:$AG$10,2,0)))&lt;&gt;"",IF(法术查询!$J$5="",1,$P349=VLOOKUP(法术查询!$J$5,$AH$2:$AI$11,2,0)),IF(法术查询!$J$6="",1,IF(法术查询!$J$6=$E349,1,0)),IF(法术查询!$J$7="",1,SEARCH(法术查询!$J$7,$F349)),IF(法术查询!$J$8="",1,SEARCH(法术查询!$J$8,G349)),IF(法术查询!$J$9="",1,SEARCH(法术查询!$J$9,N349)),IF(法术查询!$J$10="",1,IF(法术查询!$J$10=$AF$11,IF($M349=1,1,0),IF($M349="",1,0))),IF(法术查询!$J$11="",1,IF(法术查询!$J$11=$AF$11,IF($D349=1,1,0),IF($D349="",1,0))),IF(法术查询!$J$12="",1,SEARCH(法术查询!$J$12,$B349&amp;$C349&amp;$O349)),IF(法术查询!$J$13="",1,SEARCH(法术查询!$J$13,$B349&amp;$C349&amp;$O349)),IF(法术查询!$J$14="",1,SEARCH(法术查询!$J$14,$B349&amp;$C349&amp;$O349)),IF(法术查询!$J$16="",1,IF(法术查询!$J$16=$AF$11,IF($H349=1,1,0),IF($H349="",1,0))),IF(法术查询!$J$17="",1,IF(法术查询!$J$17=$AF$11,IF($I349=1,1,0),IF($I349="",1,0))),IF(法术查询!$J$18="",1,IF(法术查询!$J$18=$AF$11,IF($J349&lt;&gt;"",1,0),IF($J349="",1,0))),IF(法术查询!$J$19="",1,IF(法术查询!$J$19=$AF$11,IF($L349&lt;&gt;"",1,0),IF($L349="",1,0)))),$B349,""),"")</f>
        <v/>
      </c>
      <c r="AD348" s="192" t="str">
        <f t="array" ref="AD348">INDEX(AC:AC,SMALL(IF($AC$2:$AC$523&lt;&gt;"",ROW($2:$523),524),ROW(AC347)))&amp;""</f>
        <v/>
      </c>
      <c r="AE348" s="200" t="str">
        <f t="shared" si="9"/>
        <v/>
      </c>
    </row>
    <row r="349" customHeight="1" spans="1:31">
      <c r="A349" s="192">
        <v>347</v>
      </c>
      <c r="B349" s="224" t="s">
        <v>8141</v>
      </c>
      <c r="C349" s="224" t="s">
        <v>8142</v>
      </c>
      <c r="D349" s="193">
        <v>1</v>
      </c>
      <c r="E349" s="238" t="s">
        <v>6695</v>
      </c>
      <c r="F349" s="193" t="s">
        <v>6709</v>
      </c>
      <c r="G349" s="193" t="s">
        <v>6651</v>
      </c>
      <c r="H349" s="193">
        <v>1</v>
      </c>
      <c r="I349" s="193">
        <v>1</v>
      </c>
      <c r="J349" s="193">
        <v>1</v>
      </c>
      <c r="K349" s="224" t="s">
        <v>8143</v>
      </c>
      <c r="N349" s="193" t="s">
        <v>6709</v>
      </c>
      <c r="O349" s="224" t="s">
        <v>8144</v>
      </c>
      <c r="P349" s="224">
        <v>5</v>
      </c>
      <c r="Q349" s="224" t="s">
        <v>249</v>
      </c>
      <c r="S349" s="193">
        <v>1</v>
      </c>
      <c r="AA349" s="223" t="s">
        <v>8145</v>
      </c>
      <c r="AB349" s="200" t="str">
        <f t="array" ref="AB349">INDEX(B:B,SMALL(IF($Q$3:$Q$524&lt;&gt;"",ROW($3:$524),525),ROW(B348)))&amp;""</f>
        <v>万箭齐发</v>
      </c>
      <c r="AC349" s="225" t="str">
        <f>IFERROR(IF(AND($Q350&lt;&gt;"",IF(法术查询!$J$4="",1,INDEX($R350:$Z350,1,VLOOKUP(法术查询!$J$4,$AF$2:$AG$10,2,0)))&lt;&gt;"",IF(法术查询!$J$5="",1,$P350=VLOOKUP(法术查询!$J$5,$AH$2:$AI$11,2,0)),IF(法术查询!$J$6="",1,IF(法术查询!$J$6=$E350,1,0)),IF(法术查询!$J$7="",1,SEARCH(法术查询!$J$7,$F350)),IF(法术查询!$J$8="",1,SEARCH(法术查询!$J$8,G350)),IF(法术查询!$J$9="",1,SEARCH(法术查询!$J$9,N350)),IF(法术查询!$J$10="",1,IF(法术查询!$J$10=$AF$11,IF($M350=1,1,0),IF($M350="",1,0))),IF(法术查询!$J$11="",1,IF(法术查询!$J$11=$AF$11,IF($D350=1,1,0),IF($D350="",1,0))),IF(法术查询!$J$12="",1,SEARCH(法术查询!$J$12,$B350&amp;$C350&amp;$O350)),IF(法术查询!$J$13="",1,SEARCH(法术查询!$J$13,$B350&amp;$C350&amp;$O350)),IF(法术查询!$J$14="",1,SEARCH(法术查询!$J$14,$B350&amp;$C350&amp;$O350)),IF(法术查询!$J$16="",1,IF(法术查询!$J$16=$AF$11,IF($H350=1,1,0),IF($H350="",1,0))),IF(法术查询!$J$17="",1,IF(法术查询!$J$17=$AF$11,IF($I350=1,1,0),IF($I350="",1,0))),IF(法术查询!$J$18="",1,IF(法术查询!$J$18=$AF$11,IF($J350&lt;&gt;"",1,0),IF($J350="",1,0))),IF(法术查询!$J$19="",1,IF(法术查询!$J$19=$AF$11,IF($L350&lt;&gt;"",1,0),IF($L350="",1,0)))),$B350,""),"")</f>
        <v/>
      </c>
      <c r="AD349" s="192" t="str">
        <f t="array" ref="AD349">INDEX(AC:AC,SMALL(IF($AC$2:$AC$523&lt;&gt;"",ROW($2:$523),524),ROW(AC348)))&amp;""</f>
        <v/>
      </c>
      <c r="AE349" s="200" t="str">
        <f t="shared" si="9"/>
        <v/>
      </c>
    </row>
    <row r="350" customHeight="1" spans="1:31">
      <c r="A350" s="192">
        <v>348</v>
      </c>
      <c r="B350" s="224" t="s">
        <v>8146</v>
      </c>
      <c r="C350" s="224" t="s">
        <v>8147</v>
      </c>
      <c r="D350" s="193">
        <v>1</v>
      </c>
      <c r="E350" s="238" t="s">
        <v>6695</v>
      </c>
      <c r="F350" s="193" t="s">
        <v>6709</v>
      </c>
      <c r="G350" s="193" t="s">
        <v>6651</v>
      </c>
      <c r="H350" s="193">
        <v>1</v>
      </c>
      <c r="I350" s="193">
        <v>1</v>
      </c>
      <c r="N350" s="193" t="s">
        <v>6644</v>
      </c>
      <c r="O350" s="224" t="s">
        <v>8148</v>
      </c>
      <c r="P350" s="224">
        <v>5</v>
      </c>
      <c r="Q350" s="224" t="s">
        <v>249</v>
      </c>
      <c r="T350" s="193">
        <v>1</v>
      </c>
      <c r="V350" s="193">
        <v>1</v>
      </c>
      <c r="AA350" s="223" t="s">
        <v>8149</v>
      </c>
      <c r="AB350" s="200" t="str">
        <f t="array" ref="AB350">INDEX(B:B,SMALL(IF($Q$3:$Q$524&lt;&gt;"",ROW($3:$524),525),ROW(B349)))&amp;""</f>
        <v>异界探知</v>
      </c>
      <c r="AC350" s="225" t="str">
        <f>IFERROR(IF(AND($Q351&lt;&gt;"",IF(法术查询!$J$4="",1,INDEX($R351:$Z351,1,VLOOKUP(法术查询!$J$4,$AF$2:$AG$10,2,0)))&lt;&gt;"",IF(法术查询!$J$5="",1,$P351=VLOOKUP(法术查询!$J$5,$AH$2:$AI$11,2,0)),IF(法术查询!$J$6="",1,IF(法术查询!$J$6=$E351,1,0)),IF(法术查询!$J$7="",1,SEARCH(法术查询!$J$7,$F351)),IF(法术查询!$J$8="",1,SEARCH(法术查询!$J$8,G351)),IF(法术查询!$J$9="",1,SEARCH(法术查询!$J$9,N351)),IF(法术查询!$J$10="",1,IF(法术查询!$J$10=$AF$11,IF($M351=1,1,0),IF($M351="",1,0))),IF(法术查询!$J$11="",1,IF(法术查询!$J$11=$AF$11,IF($D351=1,1,0),IF($D351="",1,0))),IF(法术查询!$J$12="",1,SEARCH(法术查询!$J$12,$B351&amp;$C351&amp;$O351)),IF(法术查询!$J$13="",1,SEARCH(法术查询!$J$13,$B351&amp;$C351&amp;$O351)),IF(法术查询!$J$14="",1,SEARCH(法术查询!$J$14,$B351&amp;$C351&amp;$O351)),IF(法术查询!$J$16="",1,IF(法术查询!$J$16=$AF$11,IF($H351=1,1,0),IF($H351="",1,0))),IF(法术查询!$J$17="",1,IF(法术查询!$J$17=$AF$11,IF($I351=1,1,0),IF($I351="",1,0))),IF(法术查询!$J$18="",1,IF(法术查询!$J$18=$AF$11,IF($J351&lt;&gt;"",1,0),IF($J351="",1,0))),IF(法术查询!$J$19="",1,IF(法术查询!$J$19=$AF$11,IF($L351&lt;&gt;"",1,0),IF($L351="",1,0)))),$B351,""),"")</f>
        <v/>
      </c>
      <c r="AD350" s="192" t="str">
        <f t="array" ref="AD350">INDEX(AC:AC,SMALL(IF($AC$2:$AC$523&lt;&gt;"",ROW($2:$523),524),ROW(AC349)))&amp;""</f>
        <v/>
      </c>
      <c r="AE350" s="200" t="str">
        <f t="shared" si="9"/>
        <v/>
      </c>
    </row>
    <row r="351" customHeight="1" spans="1:31">
      <c r="A351" s="192">
        <v>349</v>
      </c>
      <c r="B351" s="224" t="s">
        <v>8150</v>
      </c>
      <c r="C351" s="224" t="s">
        <v>8151</v>
      </c>
      <c r="E351" s="229" t="s">
        <v>6664</v>
      </c>
      <c r="F351" s="193" t="s">
        <v>6642</v>
      </c>
      <c r="G351" s="193" t="s">
        <v>6879</v>
      </c>
      <c r="H351" s="193">
        <v>1</v>
      </c>
      <c r="I351" s="193">
        <v>1</v>
      </c>
      <c r="J351" s="193">
        <v>1</v>
      </c>
      <c r="K351" s="224" t="s">
        <v>8152</v>
      </c>
      <c r="N351" s="193" t="s">
        <v>6644</v>
      </c>
      <c r="O351" s="224" t="s">
        <v>8153</v>
      </c>
      <c r="P351" s="224">
        <v>5</v>
      </c>
      <c r="Q351" s="224" t="s">
        <v>249</v>
      </c>
      <c r="T351" s="193" t="str">
        <f>IF(综合数据!$B$14=TRUE,"13","")</f>
        <v>13</v>
      </c>
      <c r="W351" s="193">
        <v>1</v>
      </c>
      <c r="X351" s="193">
        <v>1</v>
      </c>
      <c r="AA351" s="223" t="s">
        <v>8154</v>
      </c>
      <c r="AB351" s="200" t="str">
        <f t="array" ref="AB351">INDEX(B:B,SMALL(IF($Q$3:$Q$524&lt;&gt;"",ROW($3:$524),525),ROW(B350)))&amp;""</f>
        <v>疫病术</v>
      </c>
      <c r="AC351" s="225" t="str">
        <f>IFERROR(IF(AND($Q352&lt;&gt;"",IF(法术查询!$J$4="",1,INDEX($R352:$Z352,1,VLOOKUP(法术查询!$J$4,$AF$2:$AG$10,2,0)))&lt;&gt;"",IF(法术查询!$J$5="",1,$P352=VLOOKUP(法术查询!$J$5,$AH$2:$AI$11,2,0)),IF(法术查询!$J$6="",1,IF(法术查询!$J$6=$E352,1,0)),IF(法术查询!$J$7="",1,SEARCH(法术查询!$J$7,$F352)),IF(法术查询!$J$8="",1,SEARCH(法术查询!$J$8,G352)),IF(法术查询!$J$9="",1,SEARCH(法术查询!$J$9,N352)),IF(法术查询!$J$10="",1,IF(法术查询!$J$10=$AF$11,IF($M352=1,1,0),IF($M352="",1,0))),IF(法术查询!$J$11="",1,IF(法术查询!$J$11=$AF$11,IF($D352=1,1,0),IF($D352="",1,0))),IF(法术查询!$J$12="",1,SEARCH(法术查询!$J$12,$B352&amp;$C352&amp;$O352)),IF(法术查询!$J$13="",1,SEARCH(法术查询!$J$13,$B352&amp;$C352&amp;$O352)),IF(法术查询!$J$14="",1,SEARCH(法术查询!$J$14,$B352&amp;$C352&amp;$O352)),IF(法术查询!$J$16="",1,IF(法术查询!$J$16=$AF$11,IF($H352=1,1,0),IF($H352="",1,0))),IF(法术查询!$J$17="",1,IF(法术查询!$J$17=$AF$11,IF($I352=1,1,0),IF($I352="",1,0))),IF(法术查询!$J$18="",1,IF(法术查询!$J$18=$AF$11,IF($J352&lt;&gt;"",1,0),IF($J352="",1,0))),IF(法术查询!$J$19="",1,IF(法术查询!$J$19=$AF$11,IF($L352&lt;&gt;"",1,0),IF($L352="",1,0)))),$B352,""),"")</f>
        <v/>
      </c>
      <c r="AD351" s="192" t="str">
        <f t="array" ref="AD351">INDEX(AC:AC,SMALL(IF($AC$2:$AC$523&lt;&gt;"",ROW($2:$523),524),ROW(AC350)))&amp;""</f>
        <v/>
      </c>
      <c r="AE351" s="200" t="str">
        <f t="shared" si="9"/>
        <v/>
      </c>
    </row>
    <row r="352" customHeight="1" spans="1:31">
      <c r="A352" s="192">
        <v>350</v>
      </c>
      <c r="B352" s="224" t="s">
        <v>8155</v>
      </c>
      <c r="C352" s="224" t="s">
        <v>8156</v>
      </c>
      <c r="E352" s="240" t="s">
        <v>6641</v>
      </c>
      <c r="F352" s="193" t="s">
        <v>6709</v>
      </c>
      <c r="G352" s="193" t="s">
        <v>6760</v>
      </c>
      <c r="H352" s="193">
        <v>1</v>
      </c>
      <c r="I352" s="193">
        <v>1</v>
      </c>
      <c r="J352" s="193">
        <v>1</v>
      </c>
      <c r="K352" s="224" t="s">
        <v>8157</v>
      </c>
      <c r="M352" s="193">
        <v>1</v>
      </c>
      <c r="N352" s="193" t="s">
        <v>6739</v>
      </c>
      <c r="O352" s="224" t="s">
        <v>8158</v>
      </c>
      <c r="P352" s="224">
        <v>5</v>
      </c>
      <c r="Q352" s="224" t="s">
        <v>249</v>
      </c>
      <c r="T352" s="193">
        <v>1</v>
      </c>
      <c r="X352" s="193">
        <v>1</v>
      </c>
      <c r="AA352" s="223" t="s">
        <v>8159</v>
      </c>
      <c r="AB352" s="200" t="str">
        <f t="array" ref="AB352">INDEX(B:B,SMALL(IF($Q$3:$Q$524&lt;&gt;"",ROW($3:$524),525),ROW(B351)))&amp;""</f>
        <v>造物术</v>
      </c>
      <c r="AC352" s="225" t="str">
        <f>IFERROR(IF(AND($Q353&lt;&gt;"",IF(法术查询!$J$4="",1,INDEX($R353:$Z353,1,VLOOKUP(法术查询!$J$4,$AF$2:$AG$10,2,0)))&lt;&gt;"",IF(法术查询!$J$5="",1,$P353=VLOOKUP(法术查询!$J$5,$AH$2:$AI$11,2,0)),IF(法术查询!$J$6="",1,IF(法术查询!$J$6=$E353,1,0)),IF(法术查询!$J$7="",1,SEARCH(法术查询!$J$7,$F353)),IF(法术查询!$J$8="",1,SEARCH(法术查询!$J$8,G353)),IF(法术查询!$J$9="",1,SEARCH(法术查询!$J$9,N353)),IF(法术查询!$J$10="",1,IF(法术查询!$J$10=$AF$11,IF($M353=1,1,0),IF($M353="",1,0))),IF(法术查询!$J$11="",1,IF(法术查询!$J$11=$AF$11,IF($D353=1,1,0),IF($D353="",1,0))),IF(法术查询!$J$12="",1,SEARCH(法术查询!$J$12,$B353&amp;$C353&amp;$O353)),IF(法术查询!$J$13="",1,SEARCH(法术查询!$J$13,$B353&amp;$C353&amp;$O353)),IF(法术查询!$J$14="",1,SEARCH(法术查询!$J$14,$B353&amp;$C353&amp;$O353)),IF(法术查询!$J$16="",1,IF(法术查询!$J$16=$AF$11,IF($H353=1,1,0),IF($H353="",1,0))),IF(法术查询!$J$17="",1,IF(法术查询!$J$17=$AF$11,IF($I353=1,1,0),IF($I353="",1,0))),IF(法术查询!$J$18="",1,IF(法术查询!$J$18=$AF$11,IF($J353&lt;&gt;"",1,0),IF($J353="",1,0))),IF(法术查询!$J$19="",1,IF(法术查询!$J$19=$AF$11,IF($L353&lt;&gt;"",1,0),IF($L353="",1,0)))),$B353,""),"")</f>
        <v/>
      </c>
      <c r="AD352" s="192" t="str">
        <f t="array" ref="AD352">INDEX(AC:AC,SMALL(IF($AC$2:$AC$523&lt;&gt;"",ROW($2:$523),524),ROW(AC351)))&amp;""</f>
        <v/>
      </c>
      <c r="AE352" s="200" t="str">
        <f t="shared" si="9"/>
        <v/>
      </c>
    </row>
    <row r="353" customHeight="1" spans="1:31">
      <c r="A353" s="192">
        <v>351</v>
      </c>
      <c r="B353" s="224" t="s">
        <v>8160</v>
      </c>
      <c r="C353" s="224" t="s">
        <v>8161</v>
      </c>
      <c r="E353" s="240" t="s">
        <v>6641</v>
      </c>
      <c r="F353" s="193" t="s">
        <v>6642</v>
      </c>
      <c r="G353" s="193" t="s">
        <v>6779</v>
      </c>
      <c r="H353" s="193">
        <v>1</v>
      </c>
      <c r="I353" s="193">
        <v>1</v>
      </c>
      <c r="J353" s="193">
        <v>1</v>
      </c>
      <c r="K353" s="224" t="s">
        <v>7630</v>
      </c>
      <c r="N353" s="193" t="s">
        <v>6644</v>
      </c>
      <c r="O353" s="224" t="s">
        <v>8162</v>
      </c>
      <c r="P353" s="224">
        <v>5</v>
      </c>
      <c r="Q353" s="224" t="s">
        <v>249</v>
      </c>
      <c r="V353" s="193">
        <v>1</v>
      </c>
      <c r="AA353" s="200"/>
      <c r="AB353" s="200" t="str">
        <f t="array" ref="AB353">INDEX(B:B,SMALL(IF($Q$3:$Q$524&lt;&gt;"",ROW($3:$524),525),ROW(B352)))&amp;""</f>
        <v>湮灭波</v>
      </c>
      <c r="AC353" s="225" t="str">
        <f>IFERROR(IF(AND($Q354&lt;&gt;"",IF(法术查询!$J$4="",1,INDEX($R354:$Z354,1,VLOOKUP(法术查询!$J$4,$AF$2:$AG$10,2,0)))&lt;&gt;"",IF(法术查询!$J$5="",1,$P354=VLOOKUP(法术查询!$J$5,$AH$2:$AI$11,2,0)),IF(法术查询!$J$6="",1,IF(法术查询!$J$6=$E354,1,0)),IF(法术查询!$J$7="",1,SEARCH(法术查询!$J$7,$F354)),IF(法术查询!$J$8="",1,SEARCH(法术查询!$J$8,G354)),IF(法术查询!$J$9="",1,SEARCH(法术查询!$J$9,N354)),IF(法术查询!$J$10="",1,IF(法术查询!$J$10=$AF$11,IF($M354=1,1,0),IF($M354="",1,0))),IF(法术查询!$J$11="",1,IF(法术查询!$J$11=$AF$11,IF($D354=1,1,0),IF($D354="",1,0))),IF(法术查询!$J$12="",1,SEARCH(法术查询!$J$12,$B354&amp;$C354&amp;$O354)),IF(法术查询!$J$13="",1,SEARCH(法术查询!$J$13,$B354&amp;$C354&amp;$O354)),IF(法术查询!$J$14="",1,SEARCH(法术查询!$J$14,$B354&amp;$C354&amp;$O354)),IF(法术查询!$J$16="",1,IF(法术查询!$J$16=$AF$11,IF($H354=1,1,0),IF($H354="",1,0))),IF(法术查询!$J$17="",1,IF(法术查询!$J$17=$AF$11,IF($I354=1,1,0),IF($I354="",1,0))),IF(法术查询!$J$18="",1,IF(法术查询!$J$18=$AF$11,IF($J354&lt;&gt;"",1,0),IF($J354="",1,0))),IF(法术查询!$J$19="",1,IF(法术查询!$J$19=$AF$11,IF($L354&lt;&gt;"",1,0),IF($L354="",1,0)))),$B354,""),"")</f>
        <v/>
      </c>
      <c r="AD353" s="192" t="str">
        <f t="array" ref="AD353">INDEX(AC:AC,SMALL(IF($AC$2:$AC$523&lt;&gt;"",ROW($2:$523),524),ROW(AC352)))&amp;""</f>
        <v/>
      </c>
      <c r="AE353" s="200" t="str">
        <f t="shared" si="9"/>
        <v/>
      </c>
    </row>
    <row r="354" customHeight="1" spans="1:31">
      <c r="A354" s="192">
        <v>352</v>
      </c>
      <c r="B354" s="224" t="s">
        <v>8163</v>
      </c>
      <c r="C354" s="224" t="s">
        <v>8164</v>
      </c>
      <c r="D354" s="193">
        <v>1</v>
      </c>
      <c r="E354" s="238" t="s">
        <v>6695</v>
      </c>
      <c r="F354" s="193" t="s">
        <v>6709</v>
      </c>
      <c r="G354" s="193" t="s">
        <v>6651</v>
      </c>
      <c r="H354" s="193">
        <v>1</v>
      </c>
      <c r="N354" s="193" t="s">
        <v>6709</v>
      </c>
      <c r="O354" s="224" t="s">
        <v>8165</v>
      </c>
      <c r="P354" s="224">
        <v>5</v>
      </c>
      <c r="Q354" s="224" t="s">
        <v>249</v>
      </c>
      <c r="X354" s="193">
        <v>1</v>
      </c>
      <c r="Y354" s="193">
        <v>1</v>
      </c>
      <c r="AA354" s="200"/>
      <c r="AB354" s="200" t="str">
        <f t="array" ref="AB354">INDEX(B:B,SMALL(IF($Q$3:$Q$524&lt;&gt;"",ROW($3:$524),525),ROW(B353)))&amp;""</f>
        <v>反制善恶</v>
      </c>
      <c r="AC354" s="225" t="str">
        <f>IFERROR(IF(AND($Q355&lt;&gt;"",IF(法术查询!$J$4="",1,INDEX($R355:$Z355,1,VLOOKUP(法术查询!$J$4,$AF$2:$AG$10,2,0)))&lt;&gt;"",IF(法术查询!$J$5="",1,$P355=VLOOKUP(法术查询!$J$5,$AH$2:$AI$11,2,0)),IF(法术查询!$J$6="",1,IF(法术查询!$J$6=$E355,1,0)),IF(法术查询!$J$7="",1,SEARCH(法术查询!$J$7,$F355)),IF(法术查询!$J$8="",1,SEARCH(法术查询!$J$8,G355)),IF(法术查询!$J$9="",1,SEARCH(法术查询!$J$9,N355)),IF(法术查询!$J$10="",1,IF(法术查询!$J$10=$AF$11,IF($M355=1,1,0),IF($M355="",1,0))),IF(法术查询!$J$11="",1,IF(法术查询!$J$11=$AF$11,IF($D355=1,1,0),IF($D355="",1,0))),IF(法术查询!$J$12="",1,SEARCH(法术查询!$J$12,$B355&amp;$C355&amp;$O355)),IF(法术查询!$J$13="",1,SEARCH(法术查询!$J$13,$B355&amp;$C355&amp;$O355)),IF(法术查询!$J$14="",1,SEARCH(法术查询!$J$14,$B355&amp;$C355&amp;$O355)),IF(法术查询!$J$16="",1,IF(法术查询!$J$16=$AF$11,IF($H355=1,1,0),IF($H355="",1,0))),IF(法术查询!$J$17="",1,IF(法术查询!$J$17=$AF$11,IF($I355=1,1,0),IF($I355="",1,0))),IF(法术查询!$J$18="",1,IF(法术查询!$J$18=$AF$11,IF($J355&lt;&gt;"",1,0),IF($J355="",1,0))),IF(法术查询!$J$19="",1,IF(法术查询!$J$19=$AF$11,IF($L355&lt;&gt;"",1,0),IF($L355="",1,0)))),$B355,""),"")</f>
        <v/>
      </c>
      <c r="AD354" s="192" t="str">
        <f t="array" ref="AD354">INDEX(AC:AC,SMALL(IF($AC$2:$AC$523&lt;&gt;"",ROW($2:$523),524),ROW(AC353)))&amp;""</f>
        <v/>
      </c>
      <c r="AE354" s="200" t="str">
        <f t="shared" si="9"/>
        <v/>
      </c>
    </row>
    <row r="355" customHeight="1" spans="1:31">
      <c r="A355" s="192">
        <v>353</v>
      </c>
      <c r="B355" s="224" t="s">
        <v>8166</v>
      </c>
      <c r="C355" s="224" t="s">
        <v>8167</v>
      </c>
      <c r="E355" s="243" t="s">
        <v>6657</v>
      </c>
      <c r="F355" s="193" t="s">
        <v>6642</v>
      </c>
      <c r="G355" s="193" t="s">
        <v>3760</v>
      </c>
      <c r="H355" s="193">
        <v>1</v>
      </c>
      <c r="I355" s="193">
        <v>1</v>
      </c>
      <c r="N355" s="193" t="s">
        <v>6773</v>
      </c>
      <c r="O355" s="224" t="s">
        <v>8168</v>
      </c>
      <c r="P355" s="224">
        <v>5</v>
      </c>
      <c r="Q355" s="224" t="s">
        <v>249</v>
      </c>
      <c r="S355" s="193">
        <v>1</v>
      </c>
      <c r="T355" s="193">
        <v>1</v>
      </c>
      <c r="AA355" s="223" t="s">
        <v>8169</v>
      </c>
      <c r="AB355" s="200" t="str">
        <f t="array" ref="AB355">INDEX(B:B,SMALL(IF($Q$3:$Q$524&lt;&gt;"",ROW($3:$524),525),ROW(B354)))&amp;""</f>
        <v>支配人类</v>
      </c>
      <c r="AC355" s="225" t="str">
        <f>IFERROR(IF(AND($Q356&lt;&gt;"",IF(法术查询!$J$4="",1,INDEX($R356:$Z356,1,VLOOKUP(法术查询!$J$4,$AF$2:$AG$10,2,0)))&lt;&gt;"",IF(法术查询!$J$5="",1,$P356=VLOOKUP(法术查询!$J$5,$AH$2:$AI$11,2,0)),IF(法术查询!$J$6="",1,IF(法术查询!$J$6=$E356,1,0)),IF(法术查询!$J$7="",1,SEARCH(法术查询!$J$7,$F356)),IF(法术查询!$J$8="",1,SEARCH(法术查询!$J$8,G356)),IF(法术查询!$J$9="",1,SEARCH(法术查询!$J$9,N356)),IF(法术查询!$J$10="",1,IF(法术查询!$J$10=$AF$11,IF($M356=1,1,0),IF($M356="",1,0))),IF(法术查询!$J$11="",1,IF(法术查询!$J$11=$AF$11,IF($D356=1,1,0),IF($D356="",1,0))),IF(法术查询!$J$12="",1,SEARCH(法术查询!$J$12,$B356&amp;$C356&amp;$O356)),IF(法术查询!$J$13="",1,SEARCH(法术查询!$J$13,$B356&amp;$C356&amp;$O356)),IF(法术查询!$J$14="",1,SEARCH(法术查询!$J$14,$B356&amp;$C356&amp;$O356)),IF(法术查询!$J$16="",1,IF(法术查询!$J$16=$AF$11,IF($H356=1,1,0),IF($H356="",1,0))),IF(法术查询!$J$17="",1,IF(法术查询!$J$17=$AF$11,IF($I356=1,1,0),IF($I356="",1,0))),IF(法术查询!$J$18="",1,IF(法术查询!$J$18=$AF$11,IF($J356&lt;&gt;"",1,0),IF($J356="",1,0))),IF(法术查询!$J$19="",1,IF(法术查询!$J$19=$AF$11,IF($L356&lt;&gt;"",1,0),IF($L356="",1,0)))),$B356,""),"")</f>
        <v/>
      </c>
      <c r="AD355" s="192" t="str">
        <f t="array" ref="AD355">INDEX(AC:AC,SMALL(IF($AC$2:$AC$523&lt;&gt;"",ROW($2:$523),524),ROW(AC354)))&amp;""</f>
        <v/>
      </c>
      <c r="AE355" s="200" t="str">
        <f t="shared" si="9"/>
        <v/>
      </c>
    </row>
    <row r="356" customHeight="1" spans="1:31">
      <c r="A356" s="192">
        <v>354</v>
      </c>
      <c r="B356" s="224" t="s">
        <v>8170</v>
      </c>
      <c r="C356" s="224" t="s">
        <v>8171</v>
      </c>
      <c r="E356" s="241" t="s">
        <v>6726</v>
      </c>
      <c r="F356" s="193" t="s">
        <v>6709</v>
      </c>
      <c r="G356" s="193" t="s">
        <v>6673</v>
      </c>
      <c r="H356" s="193">
        <v>1</v>
      </c>
      <c r="I356" s="193">
        <v>1</v>
      </c>
      <c r="J356" s="193">
        <v>1</v>
      </c>
      <c r="K356" s="224" t="s">
        <v>8172</v>
      </c>
      <c r="N356" s="193" t="s">
        <v>6638</v>
      </c>
      <c r="O356" s="224" t="s">
        <v>8173</v>
      </c>
      <c r="P356" s="224">
        <v>5</v>
      </c>
      <c r="Q356" s="224" t="s">
        <v>249</v>
      </c>
      <c r="W356" s="193">
        <v>1</v>
      </c>
      <c r="X356" s="193">
        <v>1</v>
      </c>
      <c r="Z356" s="193">
        <v>9</v>
      </c>
      <c r="AA356" s="223" t="s">
        <v>8174</v>
      </c>
      <c r="AB356" s="200" t="str">
        <f t="array" ref="AB356">INDEX(B:B,SMALL(IF($Q$3:$Q$524&lt;&gt;"",ROW($3:$524),525),ROW(B355)))&amp;""</f>
        <v>托梦术</v>
      </c>
      <c r="AC356" s="225" t="str">
        <f>IFERROR(IF(AND($Q357&lt;&gt;"",IF(法术查询!$J$4="",1,INDEX($R357:$Z357,1,VLOOKUP(法术查询!$J$4,$AF$2:$AG$10,2,0)))&lt;&gt;"",IF(法术查询!$J$5="",1,$P357=VLOOKUP(法术查询!$J$5,$AH$2:$AI$11,2,0)),IF(法术查询!$J$6="",1,IF(法术查询!$J$6=$E357,1,0)),IF(法术查询!$J$7="",1,SEARCH(法术查询!$J$7,$F357)),IF(法术查询!$J$8="",1,SEARCH(法术查询!$J$8,G357)),IF(法术查询!$J$9="",1,SEARCH(法术查询!$J$9,N357)),IF(法术查询!$J$10="",1,IF(法术查询!$J$10=$AF$11,IF($M357=1,1,0),IF($M357="",1,0))),IF(法术查询!$J$11="",1,IF(法术查询!$J$11=$AF$11,IF($D357=1,1,0),IF($D357="",1,0))),IF(法术查询!$J$12="",1,SEARCH(法术查询!$J$12,$B357&amp;$C357&amp;$O357)),IF(法术查询!$J$13="",1,SEARCH(法术查询!$J$13,$B357&amp;$C357&amp;$O357)),IF(法术查询!$J$14="",1,SEARCH(法术查询!$J$14,$B357&amp;$C357&amp;$O357)),IF(法术查询!$J$16="",1,IF(法术查询!$J$16=$AF$11,IF($H357=1,1,0),IF($H357="",1,0))),IF(法术查询!$J$17="",1,IF(法术查询!$J$17=$AF$11,IF($I357=1,1,0),IF($I357="",1,0))),IF(法术查询!$J$18="",1,IF(法术查询!$J$18=$AF$11,IF($J357&lt;&gt;"",1,0),IF($J357="",1,0))),IF(法术查询!$J$19="",1,IF(法术查询!$J$19=$AF$11,IF($L357&lt;&gt;"",1,0),IF($L357="",1,0)))),$B357,""),"")</f>
        <v/>
      </c>
      <c r="AD356" s="192" t="str">
        <f t="array" ref="AD356">INDEX(AC:AC,SMALL(IF($AC$2:$AC$523&lt;&gt;"",ROW($2:$523),524),ROW(AC355)))&amp;""</f>
        <v/>
      </c>
      <c r="AE356" s="200" t="str">
        <f t="shared" si="9"/>
        <v/>
      </c>
    </row>
    <row r="357" customHeight="1" spans="1:31">
      <c r="A357" s="192">
        <v>355</v>
      </c>
      <c r="B357" s="224" t="s">
        <v>8175</v>
      </c>
      <c r="C357" s="224" t="s">
        <v>8176</v>
      </c>
      <c r="E357" s="229" t="s">
        <v>6664</v>
      </c>
      <c r="F357" s="193" t="s">
        <v>6642</v>
      </c>
      <c r="G357" s="193" t="s">
        <v>6867</v>
      </c>
      <c r="H357" s="193">
        <v>1</v>
      </c>
      <c r="N357" s="193" t="s">
        <v>6644</v>
      </c>
      <c r="O357" s="224" t="s">
        <v>8177</v>
      </c>
      <c r="P357" s="224">
        <v>5</v>
      </c>
      <c r="Q357" s="224" t="s">
        <v>249</v>
      </c>
      <c r="U357" s="193">
        <v>1</v>
      </c>
      <c r="AA357" s="223" t="s">
        <v>8178</v>
      </c>
      <c r="AB357" s="200" t="str">
        <f t="array" ref="AB357">INDEX(B:B,SMALL(IF($Q$3:$Q$524&lt;&gt;"",ROW($3:$524),525),ROW(B356)))&amp;""</f>
        <v>焰击术</v>
      </c>
      <c r="AC357" s="225" t="str">
        <f>IFERROR(IF(AND($Q358&lt;&gt;"",IF(法术查询!$J$4="",1,INDEX($R358:$Z358,1,VLOOKUP(法术查询!$J$4,$AF$2:$AG$10,2,0)))&lt;&gt;"",IF(法术查询!$J$5="",1,$P358=VLOOKUP(法术查询!$J$5,$AH$2:$AI$11,2,0)),IF(法术查询!$J$6="",1,IF(法术查询!$J$6=$E358,1,0)),IF(法术查询!$J$7="",1,SEARCH(法术查询!$J$7,$F358)),IF(法术查询!$J$8="",1,SEARCH(法术查询!$J$8,G358)),IF(法术查询!$J$9="",1,SEARCH(法术查询!$J$9,N358)),IF(法术查询!$J$10="",1,IF(法术查询!$J$10=$AF$11,IF($M358=1,1,0),IF($M358="",1,0))),IF(法术查询!$J$11="",1,IF(法术查询!$J$11=$AF$11,IF($D358=1,1,0),IF($D358="",1,0))),IF(法术查询!$J$12="",1,SEARCH(法术查询!$J$12,$B358&amp;$C358&amp;$O358)),IF(法术查询!$J$13="",1,SEARCH(法术查询!$J$13,$B358&amp;$C358&amp;$O358)),IF(法术查询!$J$14="",1,SEARCH(法术查询!$J$14,$B358&amp;$C358&amp;$O358)),IF(法术查询!$J$16="",1,IF(法术查询!$J$16=$AF$11,IF($H358=1,1,0),IF($H358="",1,0))),IF(法术查询!$J$17="",1,IF(法术查询!$J$17=$AF$11,IF($I358=1,1,0),IF($I358="",1,0))),IF(法术查询!$J$18="",1,IF(法术查询!$J$18=$AF$11,IF($J358&lt;&gt;"",1,0),IF($J358="",1,0))),IF(法术查询!$J$19="",1,IF(法术查询!$J$19=$AF$11,IF($L358&lt;&gt;"",1,0),IF($L358="",1,0)))),$B358,""),"")</f>
        <v/>
      </c>
      <c r="AD357" s="192" t="str">
        <f t="array" ref="AD357">INDEX(AC:AC,SMALL(IF($AC$2:$AC$523&lt;&gt;"",ROW($2:$523),524),ROW(AC356)))&amp;""</f>
        <v/>
      </c>
      <c r="AE357" s="200" t="str">
        <f t="shared" si="9"/>
        <v/>
      </c>
    </row>
    <row r="358" customHeight="1" spans="1:31">
      <c r="A358" s="192">
        <v>356</v>
      </c>
      <c r="B358" s="224" t="s">
        <v>8179</v>
      </c>
      <c r="C358" s="224" t="s">
        <v>8180</v>
      </c>
      <c r="E358" s="242" t="s">
        <v>6650</v>
      </c>
      <c r="F358" s="193" t="s">
        <v>6642</v>
      </c>
      <c r="G358" s="193" t="s">
        <v>6651</v>
      </c>
      <c r="H358" s="193">
        <v>1</v>
      </c>
      <c r="I358" s="193">
        <v>1</v>
      </c>
      <c r="J358" s="193">
        <v>1</v>
      </c>
      <c r="K358" s="224" t="s">
        <v>8181</v>
      </c>
      <c r="M358" s="193">
        <v>1</v>
      </c>
      <c r="N358" s="193" t="s">
        <v>6666</v>
      </c>
      <c r="O358" s="224" t="s">
        <v>8182</v>
      </c>
      <c r="P358" s="224">
        <v>5</v>
      </c>
      <c r="Q358" s="224" t="s">
        <v>249</v>
      </c>
      <c r="S358" s="193">
        <v>1</v>
      </c>
      <c r="U358" s="193">
        <v>1</v>
      </c>
      <c r="AA358" s="223" t="s">
        <v>8183</v>
      </c>
      <c r="AB358" s="200" t="str">
        <f t="array" ref="AB358">INDEX(B:B,SMALL(IF($Q$3:$Q$524&lt;&gt;"",ROW($3:$524),525),ROW(B357)))&amp;""</f>
        <v>指使术</v>
      </c>
      <c r="AC358" s="225" t="str">
        <f>IFERROR(IF(AND($Q359&lt;&gt;"",IF(法术查询!$J$4="",1,INDEX($R359:$Z359,1,VLOOKUP(法术查询!$J$4,$AF$2:$AG$10,2,0)))&lt;&gt;"",IF(法术查询!$J$5="",1,$P359=VLOOKUP(法术查询!$J$5,$AH$2:$AI$11,2,0)),IF(法术查询!$J$6="",1,IF(法术查询!$J$6=$E359,1,0)),IF(法术查询!$J$7="",1,SEARCH(法术查询!$J$7,$F359)),IF(法术查询!$J$8="",1,SEARCH(法术查询!$J$8,G359)),IF(法术查询!$J$9="",1,SEARCH(法术查询!$J$9,N359)),IF(法术查询!$J$10="",1,IF(法术查询!$J$10=$AF$11,IF($M359=1,1,0),IF($M359="",1,0))),IF(法术查询!$J$11="",1,IF(法术查询!$J$11=$AF$11,IF($D359=1,1,0),IF($D359="",1,0))),IF(法术查询!$J$12="",1,SEARCH(法术查询!$J$12,$B359&amp;$C359&amp;$O359)),IF(法术查询!$J$13="",1,SEARCH(法术查询!$J$13,$B359&amp;$C359&amp;$O359)),IF(法术查询!$J$14="",1,SEARCH(法术查询!$J$14,$B359&amp;$C359&amp;$O359)),IF(法术查询!$J$16="",1,IF(法术查询!$J$16=$AF$11,IF($H359=1,1,0),IF($H359="",1,0))),IF(法术查询!$J$17="",1,IF(法术查询!$J$17=$AF$11,IF($I359=1,1,0),IF($I359="",1,0))),IF(法术查询!$J$18="",1,IF(法术查询!$J$18=$AF$11,IF($J359&lt;&gt;"",1,0),IF($J359="",1,0))),IF(法术查询!$J$19="",1,IF(法术查询!$J$19=$AF$11,IF($L359&lt;&gt;"",1,0),IF($L359="",1,0)))),$B359,""),"")</f>
        <v/>
      </c>
      <c r="AD358" s="192" t="str">
        <f t="array" ref="AD358">INDEX(AC:AC,SMALL(IF($AC$2:$AC$523&lt;&gt;"",ROW($2:$523),524),ROW(AC357)))&amp;""</f>
        <v/>
      </c>
      <c r="AE358" s="200" t="str">
        <f t="shared" si="9"/>
        <v/>
      </c>
    </row>
    <row r="359" customHeight="1" spans="1:31">
      <c r="A359" s="192">
        <v>357</v>
      </c>
      <c r="B359" s="224" t="s">
        <v>8184</v>
      </c>
      <c r="C359" s="224" t="s">
        <v>8185</v>
      </c>
      <c r="E359" s="233" t="s">
        <v>6688</v>
      </c>
      <c r="F359" s="193" t="s">
        <v>6642</v>
      </c>
      <c r="G359" s="193" t="s">
        <v>6643</v>
      </c>
      <c r="H359" s="193">
        <v>1</v>
      </c>
      <c r="I359" s="193">
        <v>1</v>
      </c>
      <c r="M359" s="193">
        <v>1</v>
      </c>
      <c r="N359" s="193" t="s">
        <v>6666</v>
      </c>
      <c r="O359" s="224" t="s">
        <v>8186</v>
      </c>
      <c r="P359" s="224">
        <v>5</v>
      </c>
      <c r="Q359" s="224" t="s">
        <v>249</v>
      </c>
      <c r="R359" s="193">
        <v>1</v>
      </c>
      <c r="W359" s="193">
        <v>1</v>
      </c>
      <c r="X359" s="193">
        <v>1</v>
      </c>
      <c r="AA359" s="223" t="s">
        <v>8187</v>
      </c>
      <c r="AB359" s="200" t="str">
        <f t="array" ref="AB359">INDEX(B:B,SMALL(IF($Q$3:$Q$524&lt;&gt;"",ROW($3:$524),525),ROW(B358)))&amp;""</f>
        <v>高等复原术</v>
      </c>
      <c r="AC359" s="225" t="str">
        <f>IFERROR(IF(AND($Q360&lt;&gt;"",IF(法术查询!$J$4="",1,INDEX($R360:$Z360,1,VLOOKUP(法术查询!$J$4,$AF$2:$AG$10,2,0)))&lt;&gt;"",IF(法术查询!$J$5="",1,$P360=VLOOKUP(法术查询!$J$5,$AH$2:$AI$11,2,0)),IF(法术查询!$J$6="",1,IF(法术查询!$J$6=$E360,1,0)),IF(法术查询!$J$7="",1,SEARCH(法术查询!$J$7,$F360)),IF(法术查询!$J$8="",1,SEARCH(法术查询!$J$8,G360)),IF(法术查询!$J$9="",1,SEARCH(法术查询!$J$9,N360)),IF(法术查询!$J$10="",1,IF(法术查询!$J$10=$AF$11,IF($M360=1,1,0),IF($M360="",1,0))),IF(法术查询!$J$11="",1,IF(法术查询!$J$11=$AF$11,IF($D360=1,1,0),IF($D360="",1,0))),IF(法术查询!$J$12="",1,SEARCH(法术查询!$J$12,$B360&amp;$C360&amp;$O360)),IF(法术查询!$J$13="",1,SEARCH(法术查询!$J$13,$B360&amp;$C360&amp;$O360)),IF(法术查询!$J$14="",1,SEARCH(法术查询!$J$14,$B360&amp;$C360&amp;$O360)),IF(法术查询!$J$16="",1,IF(法术查询!$J$16=$AF$11,IF($H360=1,1,0),IF($H360="",1,0))),IF(法术查询!$J$17="",1,IF(法术查询!$J$17=$AF$11,IF($I360=1,1,0),IF($I360="",1,0))),IF(法术查询!$J$18="",1,IF(法术查询!$J$18=$AF$11,IF($J360&lt;&gt;"",1,0),IF($J360="",1,0))),IF(法术查询!$J$19="",1,IF(法术查询!$J$19=$AF$11,IF($L360&lt;&gt;"",1,0),IF($L360="",1,0)))),$B360,""),"")</f>
        <v/>
      </c>
      <c r="AD359" s="192" t="str">
        <f t="array" ref="AD359">INDEX(AC:AC,SMALL(IF($AC$2:$AC$523&lt;&gt;"",ROW($2:$523),524),ROW(AC358)))&amp;""</f>
        <v/>
      </c>
      <c r="AE359" s="200" t="str">
        <f t="shared" si="9"/>
        <v/>
      </c>
    </row>
    <row r="360" customHeight="1" spans="1:31">
      <c r="A360" s="192">
        <v>358</v>
      </c>
      <c r="B360" s="224" t="s">
        <v>8188</v>
      </c>
      <c r="C360" s="224" t="s">
        <v>8189</v>
      </c>
      <c r="E360" s="241" t="s">
        <v>6726</v>
      </c>
      <c r="F360" s="193" t="s">
        <v>6709</v>
      </c>
      <c r="G360" s="193" t="s">
        <v>6638</v>
      </c>
      <c r="H360" s="193">
        <v>1</v>
      </c>
      <c r="I360" s="193">
        <v>1</v>
      </c>
      <c r="J360" s="193">
        <v>1</v>
      </c>
      <c r="K360" s="224" t="s">
        <v>8190</v>
      </c>
      <c r="N360" s="193" t="s">
        <v>6748</v>
      </c>
      <c r="O360" s="224" t="s">
        <v>8191</v>
      </c>
      <c r="P360" s="224">
        <v>5</v>
      </c>
      <c r="Q360" s="224" t="s">
        <v>249</v>
      </c>
      <c r="R360" s="193">
        <v>1</v>
      </c>
      <c r="X360" s="193">
        <v>1</v>
      </c>
      <c r="Y360" s="193">
        <v>1</v>
      </c>
      <c r="AA360" s="223" t="s">
        <v>8192</v>
      </c>
      <c r="AB360" s="200" t="str">
        <f t="array" ref="AB360">INDEX(B:B,SMALL(IF($Q$3:$Q$524&lt;&gt;"",ROW($3:$524),525),ROW(B359)))&amp;""</f>
        <v>圣居</v>
      </c>
      <c r="AC360" s="225" t="str">
        <f>IFERROR(IF(AND($Q361&lt;&gt;"",IF(法术查询!$J$4="",1,INDEX($R361:$Z361,1,VLOOKUP(法术查询!$J$4,$AF$2:$AG$10,2,0)))&lt;&gt;"",IF(法术查询!$J$5="",1,$P361=VLOOKUP(法术查询!$J$5,$AH$2:$AI$11,2,0)),IF(法术查询!$J$6="",1,IF(法术查询!$J$6=$E361,1,0)),IF(法术查询!$J$7="",1,SEARCH(法术查询!$J$7,$F361)),IF(法术查询!$J$8="",1,SEARCH(法术查询!$J$8,G361)),IF(法术查询!$J$9="",1,SEARCH(法术查询!$J$9,N361)),IF(法术查询!$J$10="",1,IF(法术查询!$J$10=$AF$11,IF($M361=1,1,0),IF($M361="",1,0))),IF(法术查询!$J$11="",1,IF(法术查询!$J$11=$AF$11,IF($D361=1,1,0),IF($D361="",1,0))),IF(法术查询!$J$12="",1,SEARCH(法术查询!$J$12,$B361&amp;$C361&amp;$O361)),IF(法术查询!$J$13="",1,SEARCH(法术查询!$J$13,$B361&amp;$C361&amp;$O361)),IF(法术查询!$J$14="",1,SEARCH(法术查询!$J$14,$B361&amp;$C361&amp;$O361)),IF(法术查询!$J$16="",1,IF(法术查询!$J$16=$AF$11,IF($H361=1,1,0),IF($H361="",1,0))),IF(法术查询!$J$17="",1,IF(法术查询!$J$17=$AF$11,IF($I361=1,1,0),IF($I361="",1,0))),IF(法术查询!$J$18="",1,IF(法术查询!$J$18=$AF$11,IF($J361&lt;&gt;"",1,0),IF($J361="",1,0))),IF(法术查询!$J$19="",1,IF(法术查询!$J$19=$AF$11,IF($L361&lt;&gt;"",1,0),IF($L361="",1,0)))),$B361,""),"")</f>
        <v/>
      </c>
      <c r="AD360" s="192" t="str">
        <f t="array" ref="AD360">INDEX(AC:AC,SMALL(IF($AC$2:$AC$523&lt;&gt;"",ROW($2:$523),524),ROW(AC359)))&amp;""</f>
        <v/>
      </c>
      <c r="AE360" s="200" t="str">
        <f t="shared" si="9"/>
        <v/>
      </c>
    </row>
    <row r="361" customHeight="1" spans="1:31">
      <c r="A361" s="192">
        <v>359</v>
      </c>
      <c r="B361" s="224" t="s">
        <v>8193</v>
      </c>
      <c r="C361" s="224" t="s">
        <v>8194</v>
      </c>
      <c r="E361" s="229" t="s">
        <v>6664</v>
      </c>
      <c r="F361" s="193" t="s">
        <v>6642</v>
      </c>
      <c r="G361" s="193" t="s">
        <v>6643</v>
      </c>
      <c r="H361" s="193">
        <v>1</v>
      </c>
      <c r="I361" s="193">
        <v>1</v>
      </c>
      <c r="J361" s="193">
        <v>1</v>
      </c>
      <c r="K361" s="224" t="s">
        <v>8195</v>
      </c>
      <c r="N361" s="193" t="s">
        <v>6644</v>
      </c>
      <c r="O361" s="224" t="s">
        <v>8196</v>
      </c>
      <c r="P361" s="224">
        <v>5</v>
      </c>
      <c r="Q361" s="224" t="s">
        <v>249</v>
      </c>
      <c r="S361" s="193">
        <v>1</v>
      </c>
      <c r="AA361" s="223" t="s">
        <v>8197</v>
      </c>
      <c r="AB361" s="200" t="str">
        <f t="array" ref="AB361">INDEX(B:B,SMALL(IF($Q$3:$Q$524&lt;&gt;"",ROW($3:$524),525),ROW(B360)))&amp;""</f>
        <v>怪物定身术</v>
      </c>
      <c r="AC361" s="225" t="str">
        <f>IFERROR(IF(AND($Q362&lt;&gt;"",IF(法术查询!$J$4="",1,INDEX($R362:$Z362,1,VLOOKUP(法术查询!$J$4,$AF$2:$AG$10,2,0)))&lt;&gt;"",IF(法术查询!$J$5="",1,$P362=VLOOKUP(法术查询!$J$5,$AH$2:$AI$11,2,0)),IF(法术查询!$J$6="",1,IF(法术查询!$J$6=$E362,1,0)),IF(法术查询!$J$7="",1,SEARCH(法术查询!$J$7,$F362)),IF(法术查询!$J$8="",1,SEARCH(法术查询!$J$8,G362)),IF(法术查询!$J$9="",1,SEARCH(法术查询!$J$9,N362)),IF(法术查询!$J$10="",1,IF(法术查询!$J$10=$AF$11,IF($M362=1,1,0),IF($M362="",1,0))),IF(法术查询!$J$11="",1,IF(法术查询!$J$11=$AF$11,IF($D362=1,1,0),IF($D362="",1,0))),IF(法术查询!$J$12="",1,SEARCH(法术查询!$J$12,$B362&amp;$C362&amp;$O362)),IF(法术查询!$J$13="",1,SEARCH(法术查询!$J$13,$B362&amp;$C362&amp;$O362)),IF(法术查询!$J$14="",1,SEARCH(法术查询!$J$14,$B362&amp;$C362&amp;$O362)),IF(法术查询!$J$16="",1,IF(法术查询!$J$16=$AF$11,IF($H362=1,1,0),IF($H362="",1,0))),IF(法术查询!$J$17="",1,IF(法术查询!$J$17=$AF$11,IF($I362=1,1,0),IF($I362="",1,0))),IF(法术查询!$J$18="",1,IF(法术查询!$J$18=$AF$11,IF($J362&lt;&gt;"",1,0),IF($J362="",1,0))),IF(法术查询!$J$19="",1,IF(法术查询!$J$19=$AF$11,IF($L362&lt;&gt;"",1,0),IF($L362="",1,0)))),$B362,""),"")</f>
        <v/>
      </c>
      <c r="AD361" s="192" t="str">
        <f t="array" ref="AD361">INDEX(AC:AC,SMALL(IF($AC$2:$AC$523&lt;&gt;"",ROW($2:$523),524),ROW(AC360)))&amp;""</f>
        <v/>
      </c>
      <c r="AE361" s="200" t="str">
        <f t="shared" si="9"/>
        <v/>
      </c>
    </row>
    <row r="362" customHeight="1" spans="1:31">
      <c r="A362" s="192">
        <v>360</v>
      </c>
      <c r="B362" s="224" t="s">
        <v>8198</v>
      </c>
      <c r="C362" s="224" t="s">
        <v>8199</v>
      </c>
      <c r="E362" s="233" t="s">
        <v>6688</v>
      </c>
      <c r="F362" s="193" t="s">
        <v>6709</v>
      </c>
      <c r="G362" s="193" t="s">
        <v>6643</v>
      </c>
      <c r="H362" s="193">
        <v>1</v>
      </c>
      <c r="N362" s="193" t="s">
        <v>6787</v>
      </c>
      <c r="O362" s="224" t="s">
        <v>8200</v>
      </c>
      <c r="P362" s="224">
        <v>5</v>
      </c>
      <c r="Q362" s="224" t="s">
        <v>249</v>
      </c>
      <c r="R362" s="193">
        <v>1</v>
      </c>
      <c r="S362" s="193">
        <v>1</v>
      </c>
      <c r="T362" s="193">
        <v>1</v>
      </c>
      <c r="U362" s="193">
        <v>1</v>
      </c>
      <c r="X362" s="193">
        <v>1</v>
      </c>
      <c r="AA362" s="223" t="s">
        <v>8201</v>
      </c>
      <c r="AB362" s="200" t="str">
        <f t="array" ref="AB362">INDEX(B:B,SMALL(IF($Q$3:$Q$524&lt;&gt;"",ROW($3:$524),525),ROW(B361)))&amp;""</f>
        <v>疫病虫群</v>
      </c>
      <c r="AC362" s="225" t="str">
        <f>IFERROR(IF(AND($Q363&lt;&gt;"",IF(法术查询!$J$4="",1,INDEX($R363:$Z363,1,VLOOKUP(法术查询!$J$4,$AF$2:$AG$10,2,0)))&lt;&gt;"",IF(法术查询!$J$5="",1,$P363=VLOOKUP(法术查询!$J$5,$AH$2:$AI$11,2,0)),IF(法术查询!$J$6="",1,IF(法术查询!$J$6=$E363,1,0)),IF(法术查询!$J$7="",1,SEARCH(法术查询!$J$7,$F363)),IF(法术查询!$J$8="",1,SEARCH(法术查询!$J$8,G363)),IF(法术查询!$J$9="",1,SEARCH(法术查询!$J$9,N363)),IF(法术查询!$J$10="",1,IF(法术查询!$J$10=$AF$11,IF($M363=1,1,0),IF($M363="",1,0))),IF(法术查询!$J$11="",1,IF(法术查询!$J$11=$AF$11,IF($D363=1,1,0),IF($D363="",1,0))),IF(法术查询!$J$12="",1,SEARCH(法术查询!$J$12,$B363&amp;$C363&amp;$O363)),IF(法术查询!$J$13="",1,SEARCH(法术查询!$J$13,$B363&amp;$C363&amp;$O363)),IF(法术查询!$J$14="",1,SEARCH(法术查询!$J$14,$B363&amp;$C363&amp;$O363)),IF(法术查询!$J$16="",1,IF(法术查询!$J$16=$AF$11,IF($H363=1,1,0),IF($H363="",1,0))),IF(法术查询!$J$17="",1,IF(法术查询!$J$17=$AF$11,IF($I363=1,1,0),IF($I363="",1,0))),IF(法术查询!$J$18="",1,IF(法术查询!$J$18=$AF$11,IF($J363&lt;&gt;"",1,0),IF($J363="",1,0))),IF(法术查询!$J$19="",1,IF(法术查询!$J$19=$AF$11,IF($L363&lt;&gt;"",1,0),IF($L363="",1,0)))),$B363,""),"")</f>
        <v/>
      </c>
      <c r="AD362" s="192" t="str">
        <f t="array" ref="AD362">INDEX(AC:AC,SMALL(IF($AC$2:$AC$523&lt;&gt;"",ROW($2:$523),524),ROW(AC361)))&amp;""</f>
        <v/>
      </c>
      <c r="AE362" s="200" t="str">
        <f t="shared" si="9"/>
        <v/>
      </c>
    </row>
    <row r="363" customHeight="1" spans="1:31">
      <c r="A363" s="192">
        <v>361</v>
      </c>
      <c r="B363" s="224" t="s">
        <v>8202</v>
      </c>
      <c r="C363" s="224" t="s">
        <v>8203</v>
      </c>
      <c r="E363" s="242" t="s">
        <v>6650</v>
      </c>
      <c r="F363" s="193" t="s">
        <v>6642</v>
      </c>
      <c r="G363" s="193" t="s">
        <v>3760</v>
      </c>
      <c r="H363" s="193">
        <v>1</v>
      </c>
      <c r="I363" s="193">
        <v>1</v>
      </c>
      <c r="J363" s="193">
        <v>1</v>
      </c>
      <c r="L363" s="224" t="s">
        <v>8204</v>
      </c>
      <c r="N363" s="193" t="s">
        <v>6644</v>
      </c>
      <c r="O363" s="224" t="s">
        <v>8205</v>
      </c>
      <c r="P363" s="224">
        <v>5</v>
      </c>
      <c r="Q363" s="224" t="s">
        <v>249</v>
      </c>
      <c r="R363" s="193">
        <v>1</v>
      </c>
      <c r="S363" s="193">
        <v>1</v>
      </c>
      <c r="T363" s="193">
        <v>1</v>
      </c>
      <c r="V363" s="193" t="str">
        <f>IF(综合数据!$B$14=TRUE,"13","")</f>
        <v>13</v>
      </c>
      <c r="Z363" s="193">
        <v>9</v>
      </c>
      <c r="AA363" s="223" t="s">
        <v>8206</v>
      </c>
      <c r="AB363" s="200" t="str">
        <f t="array" ref="AB363">INDEX(B:B,SMALL(IF($Q$3:$Q$524&lt;&gt;"",ROW($3:$524),525),ROW(B362)))&amp;""</f>
        <v>通晓传奇</v>
      </c>
      <c r="AC363" s="225" t="str">
        <f>IFERROR(IF(AND($Q364&lt;&gt;"",IF(法术查询!$J$4="",1,INDEX($R364:$Z364,1,VLOOKUP(法术查询!$J$4,$AF$2:$AG$10,2,0)))&lt;&gt;"",IF(法术查询!$J$5="",1,$P364=VLOOKUP(法术查询!$J$5,$AH$2:$AI$11,2,0)),IF(法术查询!$J$6="",1,IF(法术查询!$J$6=$E364,1,0)),IF(法术查询!$J$7="",1,SEARCH(法术查询!$J$7,$F364)),IF(法术查询!$J$8="",1,SEARCH(法术查询!$J$8,G364)),IF(法术查询!$J$9="",1,SEARCH(法术查询!$J$9,N364)),IF(法术查询!$J$10="",1,IF(法术查询!$J$10=$AF$11,IF($M364=1,1,0),IF($M364="",1,0))),IF(法术查询!$J$11="",1,IF(法术查询!$J$11=$AF$11,IF($D364=1,1,0),IF($D364="",1,0))),IF(法术查询!$J$12="",1,SEARCH(法术查询!$J$12,$B364&amp;$C364&amp;$O364)),IF(法术查询!$J$13="",1,SEARCH(法术查询!$J$13,$B364&amp;$C364&amp;$O364)),IF(法术查询!$J$14="",1,SEARCH(法术查询!$J$14,$B364&amp;$C364&amp;$O364)),IF(法术查询!$J$16="",1,IF(法术查询!$J$16=$AF$11,IF($H364=1,1,0),IF($H364="",1,0))),IF(法术查询!$J$17="",1,IF(法术查询!$J$17=$AF$11,IF($I364=1,1,0),IF($I364="",1,0))),IF(法术查询!$J$18="",1,IF(法术查询!$J$18=$AF$11,IF($J364&lt;&gt;"",1,0),IF($J364="",1,0))),IF(法术查询!$J$19="",1,IF(法术查询!$J$19=$AF$11,IF($L364&lt;&gt;"",1,0),IF($L364="",1,0)))),$B364,""),"")</f>
        <v/>
      </c>
      <c r="AD363" s="192" t="str">
        <f t="array" ref="AD363">INDEX(AC:AC,SMALL(IF($AC$2:$AC$523&lt;&gt;"",ROW($2:$523),524),ROW(AC362)))&amp;""</f>
        <v/>
      </c>
      <c r="AE363" s="200" t="str">
        <f t="shared" si="9"/>
        <v/>
      </c>
    </row>
    <row r="364" customHeight="1" spans="1:31">
      <c r="A364" s="192">
        <v>362</v>
      </c>
      <c r="B364" s="224" t="s">
        <v>8207</v>
      </c>
      <c r="C364" s="224" t="s">
        <v>8208</v>
      </c>
      <c r="E364" s="229" t="s">
        <v>6664</v>
      </c>
      <c r="F364" s="193" t="s">
        <v>6759</v>
      </c>
      <c r="G364" s="193" t="s">
        <v>3760</v>
      </c>
      <c r="H364" s="193">
        <v>1</v>
      </c>
      <c r="I364" s="193">
        <v>1</v>
      </c>
      <c r="J364" s="193">
        <v>1</v>
      </c>
      <c r="L364" s="224" t="s">
        <v>8209</v>
      </c>
      <c r="N364" s="193" t="s">
        <v>6794</v>
      </c>
      <c r="O364" s="224" t="s">
        <v>8210</v>
      </c>
      <c r="P364" s="224">
        <v>5</v>
      </c>
      <c r="Q364" s="224" t="s">
        <v>249</v>
      </c>
      <c r="S364" s="193">
        <v>1</v>
      </c>
      <c r="AA364" s="223" t="s">
        <v>8211</v>
      </c>
      <c r="AB364" s="200" t="str">
        <f t="array" ref="AB364">INDEX(B:B,SMALL(IF($Q$3:$Q$524&lt;&gt;"",ROW($3:$524),525),ROW(B363)))&amp;""</f>
        <v>群体疗伤术</v>
      </c>
      <c r="AC364" s="225" t="str">
        <f>IFERROR(IF(AND($Q365&lt;&gt;"",IF(法术查询!$J$4="",1,INDEX($R365:$Z365,1,VLOOKUP(法术查询!$J$4,$AF$2:$AG$10,2,0)))&lt;&gt;"",IF(法术查询!$J$5="",1,$P365=VLOOKUP(法术查询!$J$5,$AH$2:$AI$11,2,0)),IF(法术查询!$J$6="",1,IF(法术查询!$J$6=$E365,1,0)),IF(法术查询!$J$7="",1,SEARCH(法术查询!$J$7,$F365)),IF(法术查询!$J$8="",1,SEARCH(法术查询!$J$8,G365)),IF(法术查询!$J$9="",1,SEARCH(法术查询!$J$9,N365)),IF(法术查询!$J$10="",1,IF(法术查询!$J$10=$AF$11,IF($M365=1,1,0),IF($M365="",1,0))),IF(法术查询!$J$11="",1,IF(法术查询!$J$11=$AF$11,IF($D365=1,1,0),IF($D365="",1,0))),IF(法术查询!$J$12="",1,SEARCH(法术查询!$J$12,$B365&amp;$C365&amp;$O365)),IF(法术查询!$J$13="",1,SEARCH(法术查询!$J$13,$B365&amp;$C365&amp;$O365)),IF(法术查询!$J$14="",1,SEARCH(法术查询!$J$14,$B365&amp;$C365&amp;$O365)),IF(法术查询!$J$16="",1,IF(法术查询!$J$16=$AF$11,IF($H365=1,1,0),IF($H365="",1,0))),IF(法术查询!$J$17="",1,IF(法术查询!$J$17=$AF$11,IF($I365=1,1,0),IF($I365="",1,0))),IF(法术查询!$J$18="",1,IF(法术查询!$J$18=$AF$11,IF($J365&lt;&gt;"",1,0),IF($J365="",1,0))),IF(法术查询!$J$19="",1,IF(法术查询!$J$19=$AF$11,IF($L365&lt;&gt;"",1,0),IF($L365="",1,0)))),$B365,""),"")</f>
        <v/>
      </c>
      <c r="AD364" s="192" t="str">
        <f t="array" ref="AD364">INDEX(AC:AC,SMALL(IF($AC$2:$AC$523&lt;&gt;"",ROW($2:$523),524),ROW(AC363)))&amp;""</f>
        <v/>
      </c>
      <c r="AE364" s="200" t="str">
        <f t="shared" si="9"/>
        <v/>
      </c>
    </row>
    <row r="365" customHeight="1" spans="1:31">
      <c r="A365" s="192">
        <v>363</v>
      </c>
      <c r="B365" s="224" t="s">
        <v>8212</v>
      </c>
      <c r="C365" s="224" t="s">
        <v>8213</v>
      </c>
      <c r="E365" s="233" t="s">
        <v>6688</v>
      </c>
      <c r="F365" s="193" t="s">
        <v>6642</v>
      </c>
      <c r="G365" s="193" t="s">
        <v>6760</v>
      </c>
      <c r="H365" s="193">
        <v>1</v>
      </c>
      <c r="I365" s="193">
        <v>1</v>
      </c>
      <c r="J365" s="193">
        <v>1</v>
      </c>
      <c r="K365" s="224" t="s">
        <v>7347</v>
      </c>
      <c r="M365" s="193">
        <v>1</v>
      </c>
      <c r="N365" s="193" t="s">
        <v>6666</v>
      </c>
      <c r="O365" s="224" t="s">
        <v>8214</v>
      </c>
      <c r="P365" s="224">
        <v>5</v>
      </c>
      <c r="Q365" s="224" t="s">
        <v>249</v>
      </c>
      <c r="R365" s="193">
        <v>1</v>
      </c>
      <c r="W365" s="193">
        <v>1</v>
      </c>
      <c r="X365" s="193">
        <v>1</v>
      </c>
      <c r="Y365" s="193">
        <v>1</v>
      </c>
      <c r="AA365" s="223" t="s">
        <v>8215</v>
      </c>
      <c r="AB365" s="200" t="str">
        <f t="array" ref="AB365">INDEX(B:B,SMALL(IF($Q$3:$Q$524&lt;&gt;"",ROW($3:$524),525),ROW(B364)))&amp;""</f>
        <v>假象术</v>
      </c>
      <c r="AC365" s="225" t="str">
        <f>IFERROR(IF(AND($Q366&lt;&gt;"",IF(法术查询!$J$4="",1,INDEX($R366:$Z366,1,VLOOKUP(法术查询!$J$4,$AF$2:$AG$10,2,0)))&lt;&gt;"",IF(法术查询!$J$5="",1,$P366=VLOOKUP(法术查询!$J$5,$AH$2:$AI$11,2,0)),IF(法术查询!$J$6="",1,IF(法术查询!$J$6=$E366,1,0)),IF(法术查询!$J$7="",1,SEARCH(法术查询!$J$7,$F366)),IF(法术查询!$J$8="",1,SEARCH(法术查询!$J$8,G366)),IF(法术查询!$J$9="",1,SEARCH(法术查询!$J$9,N366)),IF(法术查询!$J$10="",1,IF(法术查询!$J$10=$AF$11,IF($M366=1,1,0),IF($M366="",1,0))),IF(法术查询!$J$11="",1,IF(法术查询!$J$11=$AF$11,IF($D366=1,1,0),IF($D366="",1,0))),IF(法术查询!$J$12="",1,SEARCH(法术查询!$J$12,$B366&amp;$C366&amp;$O366)),IF(法术查询!$J$13="",1,SEARCH(法术查询!$J$13,$B366&amp;$C366&amp;$O366)),IF(法术查询!$J$14="",1,SEARCH(法术查询!$J$14,$B366&amp;$C366&amp;$O366)),IF(法术查询!$J$16="",1,IF(法术查询!$J$16=$AF$11,IF($H366=1,1,0),IF($H366="",1,0))),IF(法术查询!$J$17="",1,IF(法术查询!$J$17=$AF$11,IF($I366=1,1,0),IF($I366="",1,0))),IF(法术查询!$J$18="",1,IF(法术查询!$J$18=$AF$11,IF($J366&lt;&gt;"",1,0),IF($J366="",1,0))),IF(法术查询!$J$19="",1,IF(法术查询!$J$19=$AF$11,IF($L366&lt;&gt;"",1,0),IF($L366="",1,0)))),$B366,""),"")</f>
        <v/>
      </c>
      <c r="AD365" s="192" t="str">
        <f t="array" ref="AD365">INDEX(AC:AC,SMALL(IF($AC$2:$AC$523&lt;&gt;"",ROW($2:$523),524),ROW(AC364)))&amp;""</f>
        <v/>
      </c>
      <c r="AE365" s="200" t="str">
        <f t="shared" si="9"/>
        <v/>
      </c>
    </row>
    <row r="366" customHeight="1" spans="1:31">
      <c r="A366" s="192">
        <v>364</v>
      </c>
      <c r="B366" s="224" t="s">
        <v>8216</v>
      </c>
      <c r="C366" s="224" t="s">
        <v>8217</v>
      </c>
      <c r="E366" s="240" t="s">
        <v>6641</v>
      </c>
      <c r="F366" s="193" t="s">
        <v>6642</v>
      </c>
      <c r="G366" s="193" t="s">
        <v>6786</v>
      </c>
      <c r="H366" s="193">
        <v>1</v>
      </c>
      <c r="I366" s="193">
        <v>1</v>
      </c>
      <c r="J366" s="193">
        <v>1</v>
      </c>
      <c r="K366" s="224" t="s">
        <v>8218</v>
      </c>
      <c r="M366" s="193">
        <v>1</v>
      </c>
      <c r="N366" s="193" t="s">
        <v>6831</v>
      </c>
      <c r="O366" s="224" t="s">
        <v>8219</v>
      </c>
      <c r="P366" s="224">
        <v>5</v>
      </c>
      <c r="Q366" s="224" t="s">
        <v>249</v>
      </c>
      <c r="S366" s="193">
        <v>1</v>
      </c>
      <c r="T366" s="193">
        <v>1</v>
      </c>
      <c r="W366" s="193">
        <v>1</v>
      </c>
      <c r="AA366" s="223" t="s">
        <v>8220</v>
      </c>
      <c r="AB366" s="200" t="str">
        <f t="array" ref="AB366">INDEX(B:B,SMALL(IF($Q$3:$Q$524&lt;&gt;"",ROW($3:$524),525),ROW(B365)))&amp;""</f>
        <v>篡改记忆</v>
      </c>
      <c r="AC366" s="225" t="str">
        <f>IFERROR(IF(AND($Q367&lt;&gt;"",IF(法术查询!$J$4="",1,INDEX($R367:$Z367,1,VLOOKUP(法术查询!$J$4,$AF$2:$AG$10,2,0)))&lt;&gt;"",IF(法术查询!$J$5="",1,$P367=VLOOKUP(法术查询!$J$5,$AH$2:$AI$11,2,0)),IF(法术查询!$J$6="",1,IF(法术查询!$J$6=$E367,1,0)),IF(法术查询!$J$7="",1,SEARCH(法术查询!$J$7,$F367)),IF(法术查询!$J$8="",1,SEARCH(法术查询!$J$8,G367)),IF(法术查询!$J$9="",1,SEARCH(法术查询!$J$9,N367)),IF(法术查询!$J$10="",1,IF(法术查询!$J$10=$AF$11,IF($M367=1,1,0),IF($M367="",1,0))),IF(法术查询!$J$11="",1,IF(法术查询!$J$11=$AF$11,IF($D367=1,1,0),IF($D367="",1,0))),IF(法术查询!$J$12="",1,SEARCH(法术查询!$J$12,$B367&amp;$C367&amp;$O367)),IF(法术查询!$J$13="",1,SEARCH(法术查询!$J$13,$B367&amp;$C367&amp;$O367)),IF(法术查询!$J$14="",1,SEARCH(法术查询!$J$14,$B367&amp;$C367&amp;$O367)),IF(法术查询!$J$16="",1,IF(法术查询!$J$16=$AF$11,IF($H367=1,1,0),IF($H367="",1,0))),IF(法术查询!$J$17="",1,IF(法术查询!$J$17=$AF$11,IF($I367=1,1,0),IF($I367="",1,0))),IF(法术查询!$J$18="",1,IF(法术查询!$J$18=$AF$11,IF($J367&lt;&gt;"",1,0),IF($J367="",1,0))),IF(法术查询!$J$19="",1,IF(法术查询!$J$19=$AF$11,IF($L367&lt;&gt;"",1,0),IF($L367="",1,0)))),$B367,""),"")</f>
        <v/>
      </c>
      <c r="AD366" s="192" t="str">
        <f t="array" ref="AD366">INDEX(AC:AC,SMALL(IF($AC$2:$AC$523&lt;&gt;"",ROW($2:$523),524),ROW(AC365)))&amp;""</f>
        <v/>
      </c>
      <c r="AE366" s="200" t="str">
        <f t="shared" si="9"/>
        <v/>
      </c>
    </row>
    <row r="367" customHeight="1" spans="1:31">
      <c r="A367" s="192">
        <v>365</v>
      </c>
      <c r="B367" s="224" t="s">
        <v>8221</v>
      </c>
      <c r="C367" s="224" t="s">
        <v>8222</v>
      </c>
      <c r="E367" s="238" t="s">
        <v>6695</v>
      </c>
      <c r="F367" s="193" t="s">
        <v>6731</v>
      </c>
      <c r="G367" s="193" t="s">
        <v>6651</v>
      </c>
      <c r="H367" s="193">
        <v>1</v>
      </c>
      <c r="I367" s="193">
        <v>1</v>
      </c>
      <c r="J367" s="193">
        <v>1</v>
      </c>
      <c r="K367" s="224" t="s">
        <v>8223</v>
      </c>
      <c r="N367" s="193" t="s">
        <v>6644</v>
      </c>
      <c r="O367" s="224" t="s">
        <v>8224</v>
      </c>
      <c r="P367" s="224">
        <v>5</v>
      </c>
      <c r="Q367" s="224" t="s">
        <v>249</v>
      </c>
      <c r="R367" s="193">
        <v>1</v>
      </c>
      <c r="S367" s="193">
        <v>1</v>
      </c>
      <c r="X367" s="193">
        <v>1</v>
      </c>
      <c r="AA367" s="223" t="s">
        <v>8225</v>
      </c>
      <c r="AB367" s="200" t="str">
        <f t="array" ref="AB367">INDEX(B:B,SMALL(IF($Q$3:$Q$524&lt;&gt;"",ROW($3:$524),525),ROW(B366)))&amp;""</f>
        <v>穿墙术</v>
      </c>
      <c r="AC367" s="225" t="str">
        <f>IFERROR(IF(AND($Q368&lt;&gt;"",IF(法术查询!$J$4="",1,INDEX($R368:$Z368,1,VLOOKUP(法术查询!$J$4,$AF$2:$AG$10,2,0)))&lt;&gt;"",IF(法术查询!$J$5="",1,$P368=VLOOKUP(法术查询!$J$5,$AH$2:$AI$11,2,0)),IF(法术查询!$J$6="",1,IF(法术查询!$J$6=$E368,1,0)),IF(法术查询!$J$7="",1,SEARCH(法术查询!$J$7,$F368)),IF(法术查询!$J$8="",1,SEARCH(法术查询!$J$8,G368)),IF(法术查询!$J$9="",1,SEARCH(法术查询!$J$9,N368)),IF(法术查询!$J$10="",1,IF(法术查询!$J$10=$AF$11,IF($M368=1,1,0),IF($M368="",1,0))),IF(法术查询!$J$11="",1,IF(法术查询!$J$11=$AF$11,IF($D368=1,1,0),IF($D368="",1,0))),IF(法术查询!$J$12="",1,SEARCH(法术查询!$J$12,$B368&amp;$C368&amp;$O368)),IF(法术查询!$J$13="",1,SEARCH(法术查询!$J$13,$B368&amp;$C368&amp;$O368)),IF(法术查询!$J$14="",1,SEARCH(法术查询!$J$14,$B368&amp;$C368&amp;$O368)),IF(法术查询!$J$16="",1,IF(法术查询!$J$16=$AF$11,IF($H368=1,1,0),IF($H368="",1,0))),IF(法术查询!$J$17="",1,IF(法术查询!$J$17=$AF$11,IF($I368=1,1,0),IF($I368="",1,0))),IF(法术查询!$J$18="",1,IF(法术查询!$J$18=$AF$11,IF($J368&lt;&gt;"",1,0),IF($J368="",1,0))),IF(法术查询!$J$19="",1,IF(法术查询!$J$19=$AF$11,IF($L368&lt;&gt;"",1,0),IF($L368="",1,0)))),$B368,""),"")</f>
        <v/>
      </c>
      <c r="AD367" s="192" t="str">
        <f t="array" ref="AD367">INDEX(AC:AC,SMALL(IF($AC$2:$AC$523&lt;&gt;"",ROW($2:$523),524),ROW(AC366)))&amp;""</f>
        <v/>
      </c>
      <c r="AE367" s="200" t="str">
        <f t="shared" si="9"/>
        <v/>
      </c>
    </row>
    <row r="368" customHeight="1" spans="1:31">
      <c r="A368" s="192">
        <v>366</v>
      </c>
      <c r="B368" s="224" t="s">
        <v>8226</v>
      </c>
      <c r="C368" s="224" t="s">
        <v>8227</v>
      </c>
      <c r="E368" s="229" t="s">
        <v>6664</v>
      </c>
      <c r="F368" s="193" t="s">
        <v>6642</v>
      </c>
      <c r="G368" s="193" t="s">
        <v>6643</v>
      </c>
      <c r="H368" s="193">
        <v>1</v>
      </c>
      <c r="I368" s="193">
        <v>1</v>
      </c>
      <c r="N368" s="193" t="s">
        <v>6644</v>
      </c>
      <c r="O368" s="224" t="s">
        <v>8228</v>
      </c>
      <c r="P368" s="224">
        <v>5</v>
      </c>
      <c r="Q368" s="224" t="s">
        <v>249</v>
      </c>
      <c r="R368" s="193">
        <v>1</v>
      </c>
      <c r="S368" s="193">
        <v>1</v>
      </c>
      <c r="T368" s="193">
        <v>1</v>
      </c>
      <c r="AA368" s="223" t="s">
        <v>8229</v>
      </c>
      <c r="AB368" s="200" t="str">
        <f t="array" ref="AB368">INDEX(B:B,SMALL(IF($Q$3:$Q$524&lt;&gt;"",ROW($3:$524),525),ROW(B367)))&amp;""</f>
        <v>异界誓缚</v>
      </c>
      <c r="AC368" s="225" t="str">
        <f>IFERROR(IF(AND($Q369&lt;&gt;"",IF(法术查询!$J$4="",1,INDEX($R369:$Z369,1,VLOOKUP(法术查询!$J$4,$AF$2:$AG$10,2,0)))&lt;&gt;"",IF(法术查询!$J$5="",1,$P369=VLOOKUP(法术查询!$J$5,$AH$2:$AI$11,2,0)),IF(法术查询!$J$6="",1,IF(法术查询!$J$6=$E369,1,0)),IF(法术查询!$J$7="",1,SEARCH(法术查询!$J$7,$F369)),IF(法术查询!$J$8="",1,SEARCH(法术查询!$J$8,G369)),IF(法术查询!$J$9="",1,SEARCH(法术查询!$J$9,N369)),IF(法术查询!$J$10="",1,IF(法术查询!$J$10=$AF$11,IF($M369=1,1,0),IF($M369="",1,0))),IF(法术查询!$J$11="",1,IF(法术查询!$J$11=$AF$11,IF($D369=1,1,0),IF($D369="",1,0))),IF(法术查询!$J$12="",1,SEARCH(法术查询!$J$12,$B369&amp;$C369&amp;$O369)),IF(法术查询!$J$13="",1,SEARCH(法术查询!$J$13,$B369&amp;$C369&amp;$O369)),IF(法术查询!$J$14="",1,SEARCH(法术查询!$J$14,$B369&amp;$C369&amp;$O369)),IF(法术查询!$J$16="",1,IF(法术查询!$J$16=$AF$11,IF($H369=1,1,0),IF($H369="",1,0))),IF(法术查询!$J$17="",1,IF(法术查询!$J$17=$AF$11,IF($I369=1,1,0),IF($I369="",1,0))),IF(法术查询!$J$18="",1,IF(法术查询!$J$18=$AF$11,IF($J369&lt;&gt;"",1,0),IF($J369="",1,0))),IF(法术查询!$J$19="",1,IF(法术查询!$J$19=$AF$11,IF($L369&lt;&gt;"",1,0),IF($L369="",1,0)))),$B369,""),"")</f>
        <v/>
      </c>
      <c r="AD368" s="192" t="str">
        <f t="array" ref="AD368">INDEX(AC:AC,SMALL(IF($AC$2:$AC$523&lt;&gt;"",ROW($2:$523),524),ROW(AC367)))&amp;""</f>
        <v/>
      </c>
      <c r="AE368" s="200" t="str">
        <f t="shared" si="9"/>
        <v/>
      </c>
    </row>
    <row r="369" customHeight="1" spans="1:31">
      <c r="A369" s="192">
        <v>367</v>
      </c>
      <c r="B369" s="224" t="s">
        <v>8230</v>
      </c>
      <c r="C369" s="224" t="s">
        <v>8231</v>
      </c>
      <c r="E369" s="241" t="s">
        <v>6726</v>
      </c>
      <c r="F369" s="193" t="s">
        <v>6642</v>
      </c>
      <c r="G369" s="193" t="s">
        <v>6651</v>
      </c>
      <c r="I369" s="193">
        <v>1</v>
      </c>
      <c r="M369" s="193">
        <v>1</v>
      </c>
      <c r="N369" s="193" t="s">
        <v>6739</v>
      </c>
      <c r="O369" s="224" t="s">
        <v>8232</v>
      </c>
      <c r="P369" s="224">
        <v>5</v>
      </c>
      <c r="Q369" s="224" t="s">
        <v>249</v>
      </c>
      <c r="R369" s="193">
        <v>1</v>
      </c>
      <c r="X369" s="193">
        <v>1</v>
      </c>
      <c r="Y369" s="193" t="str">
        <f>IF(综合数据!$B$14=TRUE,"13","")</f>
        <v>13</v>
      </c>
      <c r="AA369" s="223" t="s">
        <v>8233</v>
      </c>
      <c r="AB369" s="200" t="str">
        <f t="array" ref="AB369">INDEX(B:B,SMALL(IF($Q$3:$Q$524&lt;&gt;"",ROW($3:$524),525),ROW(B368)))&amp;""</f>
        <v>死者复活</v>
      </c>
      <c r="AC369" s="225" t="str">
        <f>IFERROR(IF(AND($Q370&lt;&gt;"",IF(法术查询!$J$4="",1,INDEX($R370:$Z370,1,VLOOKUP(法术查询!$J$4,$AF$2:$AG$10,2,0)))&lt;&gt;"",IF(法术查询!$J$5="",1,$P370=VLOOKUP(法术查询!$J$5,$AH$2:$AI$11,2,0)),IF(法术查询!$J$6="",1,IF(法术查询!$J$6=$E370,1,0)),IF(法术查询!$J$7="",1,SEARCH(法术查询!$J$7,$F370)),IF(法术查询!$J$8="",1,SEARCH(法术查询!$J$8,G370)),IF(法术查询!$J$9="",1,SEARCH(法术查询!$J$9,N370)),IF(法术查询!$J$10="",1,IF(法术查询!$J$10=$AF$11,IF($M370=1,1,0),IF($M370="",1,0))),IF(法术查询!$J$11="",1,IF(法术查询!$J$11=$AF$11,IF($D370=1,1,0),IF($D370="",1,0))),IF(法术查询!$J$12="",1,SEARCH(法术查询!$J$12,$B370&amp;$C370&amp;$O370)),IF(法术查询!$J$13="",1,SEARCH(法术查询!$J$13,$B370&amp;$C370&amp;$O370)),IF(法术查询!$J$14="",1,SEARCH(法术查询!$J$14,$B370&amp;$C370&amp;$O370)),IF(法术查询!$J$16="",1,IF(法术查询!$J$16=$AF$11,IF($H370=1,1,0),IF($H370="",1,0))),IF(法术查询!$J$17="",1,IF(法术查询!$J$17=$AF$11,IF($I370=1,1,0),IF($I370="",1,0))),IF(法术查询!$J$18="",1,IF(法术查询!$J$18=$AF$11,IF($J370&lt;&gt;"",1,0),IF($J370="",1,0))),IF(法术查询!$J$19="",1,IF(法术查询!$J$19=$AF$11,IF($L370&lt;&gt;"",1,0),IF($L370="",1,0)))),$B370,""),"")</f>
        <v/>
      </c>
      <c r="AD369" s="192" t="str">
        <f t="array" ref="AD369">INDEX(AC:AC,SMALL(IF($AC$2:$AC$523&lt;&gt;"",ROW($2:$523),524),ROW(AC368)))&amp;""</f>
        <v/>
      </c>
      <c r="AE369" s="200" t="str">
        <f t="shared" si="9"/>
        <v/>
      </c>
    </row>
    <row r="370" customHeight="1" spans="1:31">
      <c r="A370" s="192">
        <v>368</v>
      </c>
      <c r="B370" s="224" t="s">
        <v>8234</v>
      </c>
      <c r="C370" s="224" t="s">
        <v>8235</v>
      </c>
      <c r="E370" s="233" t="s">
        <v>6688</v>
      </c>
      <c r="F370" s="193" t="s">
        <v>6642</v>
      </c>
      <c r="G370" s="193" t="s">
        <v>6673</v>
      </c>
      <c r="H370" s="193">
        <v>1</v>
      </c>
      <c r="I370" s="193">
        <v>1</v>
      </c>
      <c r="M370" s="193">
        <v>1</v>
      </c>
      <c r="N370" s="193" t="s">
        <v>6666</v>
      </c>
      <c r="O370" s="224" t="s">
        <v>8236</v>
      </c>
      <c r="P370" s="224">
        <v>5</v>
      </c>
      <c r="Q370" s="224" t="s">
        <v>249</v>
      </c>
      <c r="R370" s="193">
        <v>1</v>
      </c>
      <c r="X370" s="193">
        <v>1</v>
      </c>
      <c r="AA370" s="223" t="s">
        <v>8237</v>
      </c>
      <c r="AB370" s="200" t="str">
        <f t="array" ref="AB370">INDEX(B:B,SMALL(IF($Q$3:$Q$524&lt;&gt;"",ROW($3:$524),525),ROW(B369)))&amp;""</f>
        <v>拉瑞心灵联结</v>
      </c>
      <c r="AC370" s="225" t="str">
        <f>IFERROR(IF(AND($Q371&lt;&gt;"",IF(法术查询!$J$4="",1,INDEX($R371:$Z371,1,VLOOKUP(法术查询!$J$4,$AF$2:$AG$10,2,0)))&lt;&gt;"",IF(法术查询!$J$5="",1,$P371=VLOOKUP(法术查询!$J$5,$AH$2:$AI$11,2,0)),IF(法术查询!$J$6="",1,IF(法术查询!$J$6=$E371,1,0)),IF(法术查询!$J$7="",1,SEARCH(法术查询!$J$7,$F371)),IF(法术查询!$J$8="",1,SEARCH(法术查询!$J$8,G371)),IF(法术查询!$J$9="",1,SEARCH(法术查询!$J$9,N371)),IF(法术查询!$J$10="",1,IF(法术查询!$J$10=$AF$11,IF($M371=1,1,0),IF($M371="",1,0))),IF(法术查询!$J$11="",1,IF(法术查询!$J$11=$AF$11,IF($D371=1,1,0),IF($D371="",1,0))),IF(法术查询!$J$12="",1,SEARCH(法术查询!$J$12,$B371&amp;$C371&amp;$O371)),IF(法术查询!$J$13="",1,SEARCH(法术查询!$J$13,$B371&amp;$C371&amp;$O371)),IF(法术查询!$J$14="",1,SEARCH(法术查询!$J$14,$B371&amp;$C371&amp;$O371)),IF(法术查询!$J$16="",1,IF(法术查询!$J$16=$AF$11,IF($H371=1,1,0),IF($H371="",1,0))),IF(法术查询!$J$17="",1,IF(法术查询!$J$17=$AF$11,IF($I371=1,1,0),IF($I371="",1,0))),IF(法术查询!$J$18="",1,IF(法术查询!$J$18=$AF$11,IF($J371&lt;&gt;"",1,0),IF($J371="",1,0))),IF(法术查询!$J$19="",1,IF(法术查询!$J$19=$AF$11,IF($L371&lt;&gt;"",1,0),IF($L371="",1,0)))),$B371,""),"")</f>
        <v/>
      </c>
      <c r="AD370" s="192" t="str">
        <f t="array" ref="AD370">INDEX(AC:AC,SMALL(IF($AC$2:$AC$523&lt;&gt;"",ROW($2:$523),524),ROW(AC369)))&amp;""</f>
        <v/>
      </c>
      <c r="AE370" s="200" t="str">
        <f t="shared" si="9"/>
        <v/>
      </c>
    </row>
    <row r="371" customHeight="1" spans="1:31">
      <c r="A371" s="192">
        <v>369</v>
      </c>
      <c r="B371" s="224" t="s">
        <v>8238</v>
      </c>
      <c r="C371" s="224" t="s">
        <v>8239</v>
      </c>
      <c r="E371" s="231" t="s">
        <v>6672</v>
      </c>
      <c r="F371" s="193" t="s">
        <v>6642</v>
      </c>
      <c r="G371" s="193" t="s">
        <v>6673</v>
      </c>
      <c r="H371" s="193">
        <v>1</v>
      </c>
      <c r="I371" s="193">
        <v>1</v>
      </c>
      <c r="J371" s="193">
        <v>1</v>
      </c>
      <c r="K371" s="224" t="s">
        <v>8240</v>
      </c>
      <c r="N371" s="193" t="s">
        <v>6704</v>
      </c>
      <c r="O371" s="224" t="s">
        <v>8241</v>
      </c>
      <c r="P371" s="224">
        <v>5</v>
      </c>
      <c r="Q371" s="224" t="s">
        <v>249</v>
      </c>
      <c r="X371" s="193">
        <v>1</v>
      </c>
      <c r="AA371" s="223" t="s">
        <v>8242</v>
      </c>
      <c r="AB371" s="200" t="str">
        <f t="array" ref="AB371">INDEX(B:B,SMALL(IF($Q$3:$Q$524&lt;&gt;"",ROW($3:$524),525),ROW(B370)))&amp;""</f>
        <v>转生术</v>
      </c>
      <c r="AC371" s="225" t="str">
        <f>IFERROR(IF(AND($Q372&lt;&gt;"",IF(法术查询!$J$4="",1,INDEX($R372:$Z372,1,VLOOKUP(法术查询!$J$4,$AF$2:$AG$10,2,0)))&lt;&gt;"",IF(法术查询!$J$5="",1,$P372=VLOOKUP(法术查询!$J$5,$AH$2:$AI$11,2,0)),IF(法术查询!$J$6="",1,IF(法术查询!$J$6=$E372,1,0)),IF(法术查询!$J$7="",1,SEARCH(法术查询!$J$7,$F372)),IF(法术查询!$J$8="",1,SEARCH(法术查询!$J$8,G372)),IF(法术查询!$J$9="",1,SEARCH(法术查询!$J$9,N372)),IF(法术查询!$J$10="",1,IF(法术查询!$J$10=$AF$11,IF($M372=1,1,0),IF($M372="",1,0))),IF(法术查询!$J$11="",1,IF(法术查询!$J$11=$AF$11,IF($D372=1,1,0),IF($D372="",1,0))),IF(法术查询!$J$12="",1,SEARCH(法术查询!$J$12,$B372&amp;$C372&amp;$O372)),IF(法术查询!$J$13="",1,SEARCH(法术查询!$J$13,$B372&amp;$C372&amp;$O372)),IF(法术查询!$J$14="",1,SEARCH(法术查询!$J$14,$B372&amp;$C372&amp;$O372)),IF(法术查询!$J$16="",1,IF(法术查询!$J$16=$AF$11,IF($H372=1,1,0),IF($H372="",1,0))),IF(法术查询!$J$17="",1,IF(法术查询!$J$17=$AF$11,IF($I372=1,1,0),IF($I372="",1,0))),IF(法术查询!$J$18="",1,IF(法术查询!$J$18=$AF$11,IF($J372&lt;&gt;"",1,0),IF($J372="",1,0))),IF(法术查询!$J$19="",1,IF(法术查询!$J$19=$AF$11,IF($L372&lt;&gt;"",1,0),IF($L372="",1,0)))),$B372,""),"")</f>
        <v/>
      </c>
      <c r="AD371" s="192" t="str">
        <f t="array" ref="AD371">INDEX(AC:AC,SMALL(IF($AC$2:$AC$523&lt;&gt;"",ROW($2:$523),524),ROW(AC370)))&amp;""</f>
        <v/>
      </c>
      <c r="AE371" s="200" t="str">
        <f t="shared" si="9"/>
        <v/>
      </c>
    </row>
    <row r="372" customHeight="1" spans="1:31">
      <c r="A372" s="192">
        <v>370</v>
      </c>
      <c r="B372" s="224" t="s">
        <v>8243</v>
      </c>
      <c r="C372" s="224" t="s">
        <v>8244</v>
      </c>
      <c r="E372" s="242" t="s">
        <v>6650</v>
      </c>
      <c r="F372" s="193" t="s">
        <v>6704</v>
      </c>
      <c r="G372" s="193" t="s">
        <v>6643</v>
      </c>
      <c r="H372" s="193">
        <v>1</v>
      </c>
      <c r="I372" s="193">
        <v>1</v>
      </c>
      <c r="J372" s="193">
        <v>1</v>
      </c>
      <c r="L372" s="224" t="s">
        <v>8245</v>
      </c>
      <c r="N372" s="193" t="s">
        <v>6759</v>
      </c>
      <c r="O372" s="224" t="s">
        <v>8246</v>
      </c>
      <c r="P372" s="224">
        <v>5</v>
      </c>
      <c r="Q372" s="224" t="s">
        <v>249</v>
      </c>
      <c r="R372" s="193">
        <v>1</v>
      </c>
      <c r="S372" s="193">
        <v>1</v>
      </c>
      <c r="T372" s="193">
        <v>1</v>
      </c>
      <c r="X372" s="193">
        <v>1</v>
      </c>
      <c r="Y372" s="193" t="str">
        <f>IF(综合数据!$B$14=TRUE,"13","")</f>
        <v>13</v>
      </c>
      <c r="AA372" s="200" t="s">
        <v>2053</v>
      </c>
      <c r="AB372" s="200" t="str">
        <f t="array" ref="AB372">INDEX(B:B,SMALL(IF($Q$3:$Q$524&lt;&gt;"",ROW($3:$524),525),ROW(B371)))&amp;""</f>
        <v>探知</v>
      </c>
      <c r="AC372" s="225" t="str">
        <f>IFERROR(IF(AND($Q373&lt;&gt;"",IF(法术查询!$J$4="",1,INDEX($R373:$Z373,1,VLOOKUP(法术查询!$J$4,$AF$2:$AG$10,2,0)))&lt;&gt;"",IF(法术查询!$J$5="",1,$P373=VLOOKUP(法术查询!$J$5,$AH$2:$AI$11,2,0)),IF(法术查询!$J$6="",1,IF(法术查询!$J$6=$E373,1,0)),IF(法术查询!$J$7="",1,SEARCH(法术查询!$J$7,$F373)),IF(法术查询!$J$8="",1,SEARCH(法术查询!$J$8,G373)),IF(法术查询!$J$9="",1,SEARCH(法术查询!$J$9,N373)),IF(法术查询!$J$10="",1,IF(法术查询!$J$10=$AF$11,IF($M373=1,1,0),IF($M373="",1,0))),IF(法术查询!$J$11="",1,IF(法术查询!$J$11=$AF$11,IF($D373=1,1,0),IF($D373="",1,0))),IF(法术查询!$J$12="",1,SEARCH(法术查询!$J$12,$B373&amp;$C373&amp;$O373)),IF(法术查询!$J$13="",1,SEARCH(法术查询!$J$13,$B373&amp;$C373&amp;$O373)),IF(法术查询!$J$14="",1,SEARCH(法术查询!$J$14,$B373&amp;$C373&amp;$O373)),IF(法术查询!$J$16="",1,IF(法术查询!$J$16=$AF$11,IF($H373=1,1,0),IF($H373="",1,0))),IF(法术查询!$J$17="",1,IF(法术查询!$J$17=$AF$11,IF($I373=1,1,0),IF($I373="",1,0))),IF(法术查询!$J$18="",1,IF(法术查询!$J$18=$AF$11,IF($J373&lt;&gt;"",1,0),IF($J373="",1,0))),IF(法术查询!$J$19="",1,IF(法术查询!$J$19=$AF$11,IF($L373&lt;&gt;"",1,0),IF($L373="",1,0)))),$B373,""),"")</f>
        <v/>
      </c>
      <c r="AD372" s="192" t="str">
        <f t="array" ref="AD372">INDEX(AC:AC,SMALL(IF($AC$2:$AC$523&lt;&gt;"",ROW($2:$523),524),ROW(AC371)))&amp;""</f>
        <v/>
      </c>
      <c r="AE372" s="200" t="str">
        <f t="shared" si="9"/>
        <v/>
      </c>
    </row>
    <row r="373" customHeight="1" spans="1:31">
      <c r="A373" s="192">
        <v>371</v>
      </c>
      <c r="B373" s="224" t="s">
        <v>8247</v>
      </c>
      <c r="C373" s="224" t="s">
        <v>8248</v>
      </c>
      <c r="E373" s="243" t="s">
        <v>6657</v>
      </c>
      <c r="F373" s="193" t="s">
        <v>6704</v>
      </c>
      <c r="G373" s="193" t="s">
        <v>3760</v>
      </c>
      <c r="H373" s="193">
        <v>1</v>
      </c>
      <c r="I373" s="193">
        <v>1</v>
      </c>
      <c r="J373" s="193">
        <v>1</v>
      </c>
      <c r="L373" s="224" t="s">
        <v>8249</v>
      </c>
      <c r="N373" s="193" t="s">
        <v>6644</v>
      </c>
      <c r="O373" s="224" t="s">
        <v>8250</v>
      </c>
      <c r="P373" s="224">
        <v>5</v>
      </c>
      <c r="Q373" s="224" t="s">
        <v>249</v>
      </c>
      <c r="R373" s="193">
        <v>1</v>
      </c>
      <c r="S373" s="193">
        <v>1</v>
      </c>
      <c r="U373" s="193">
        <v>1</v>
      </c>
      <c r="AA373" s="223" t="s">
        <v>8251</v>
      </c>
      <c r="AB373" s="200" t="str">
        <f t="array" ref="AB373">INDEX(B:B,SMALL(IF($Q$3:$Q$524&lt;&gt;"",ROW($3:$524),525),ROW(B372)))&amp;""</f>
        <v>伪装术</v>
      </c>
      <c r="AC373" s="225" t="str">
        <f>IFERROR(IF(AND($Q374&lt;&gt;"",IF(法术查询!$J$4="",1,INDEX($R374:$Z374,1,VLOOKUP(法术查询!$J$4,$AF$2:$AG$10,2,0)))&lt;&gt;"",IF(法术查询!$J$5="",1,$P374=VLOOKUP(法术查询!$J$5,$AH$2:$AI$11,2,0)),IF(法术查询!$J$6="",1,IF(法术查询!$J$6=$E374,1,0)),IF(法术查询!$J$7="",1,SEARCH(法术查询!$J$7,$F374)),IF(法术查询!$J$8="",1,SEARCH(法术查询!$J$8,G374)),IF(法术查询!$J$9="",1,SEARCH(法术查询!$J$9,N374)),IF(法术查询!$J$10="",1,IF(法术查询!$J$10=$AF$11,IF($M374=1,1,0),IF($M374="",1,0))),IF(法术查询!$J$11="",1,IF(法术查询!$J$11=$AF$11,IF($D374=1,1,0),IF($D374="",1,0))),IF(法术查询!$J$12="",1,SEARCH(法术查询!$J$12,$B374&amp;$C374&amp;$O374)),IF(法术查询!$J$13="",1,SEARCH(法术查询!$J$13,$B374&amp;$C374&amp;$O374)),IF(法术查询!$J$14="",1,SEARCH(法术查询!$J$14,$B374&amp;$C374&amp;$O374)),IF(法术查询!$J$16="",1,IF(法术查询!$J$16=$AF$11,IF($H374=1,1,0),IF($H374="",1,0))),IF(法术查询!$J$17="",1,IF(法术查询!$J$17=$AF$11,IF($I374=1,1,0),IF($I374="",1,0))),IF(法术查询!$J$18="",1,IF(法术查询!$J$18=$AF$11,IF($J374&lt;&gt;"",1,0),IF($J374="",1,0))),IF(法术查询!$J$19="",1,IF(法术查询!$J$19=$AF$11,IF($L374&lt;&gt;"",1,0),IF($L374="",1,0)))),$B374,""),"")</f>
        <v/>
      </c>
      <c r="AD373" s="192" t="str">
        <f t="array" ref="AD373">INDEX(AC:AC,SMALL(IF($AC$2:$AC$523&lt;&gt;"",ROW($2:$523),524),ROW(AC372)))&amp;""</f>
        <v/>
      </c>
      <c r="AE373" s="200" t="str">
        <f t="shared" si="9"/>
        <v/>
      </c>
    </row>
    <row r="374" customHeight="1" spans="1:31">
      <c r="A374" s="192">
        <v>372</v>
      </c>
      <c r="B374" s="224" t="s">
        <v>8252</v>
      </c>
      <c r="C374" s="224" t="s">
        <v>8253</v>
      </c>
      <c r="D374" s="193">
        <v>1</v>
      </c>
      <c r="E374" s="238" t="s">
        <v>6695</v>
      </c>
      <c r="F374" s="193" t="s">
        <v>6642</v>
      </c>
      <c r="G374" s="193" t="s">
        <v>6673</v>
      </c>
      <c r="H374" s="193">
        <v>1</v>
      </c>
      <c r="I374" s="193">
        <v>1</v>
      </c>
      <c r="J374" s="193">
        <v>1</v>
      </c>
      <c r="K374" s="224" t="s">
        <v>8254</v>
      </c>
      <c r="N374" s="193" t="s">
        <v>6704</v>
      </c>
      <c r="O374" s="224" t="s">
        <v>8255</v>
      </c>
      <c r="P374" s="224">
        <v>5</v>
      </c>
      <c r="Q374" s="224" t="s">
        <v>249</v>
      </c>
      <c r="R374" s="193" t="str">
        <f>IF(综合数据!$B$14=TRUE,"13","")</f>
        <v>13</v>
      </c>
      <c r="X374" s="193">
        <v>1</v>
      </c>
      <c r="AA374" s="223" t="s">
        <v>8256</v>
      </c>
      <c r="AB374" s="200" t="str">
        <f t="array" ref="AB374">INDEX(B:B,SMALL(IF($Q$3:$Q$524&lt;&gt;"",ROW($3:$524),525),ROW(B373)))&amp;""</f>
        <v>迅捷箭袋</v>
      </c>
      <c r="AC374" s="225" t="str">
        <f>IFERROR(IF(AND($Q375&lt;&gt;"",IF(法术查询!$J$4="",1,INDEX($R375:$Z375,1,VLOOKUP(法术查询!$J$4,$AF$2:$AG$10,2,0)))&lt;&gt;"",IF(法术查询!$J$5="",1,$P375=VLOOKUP(法术查询!$J$5,$AH$2:$AI$11,2,0)),IF(法术查询!$J$6="",1,IF(法术查询!$J$6=$E375,1,0)),IF(法术查询!$J$7="",1,SEARCH(法术查询!$J$7,$F375)),IF(法术查询!$J$8="",1,SEARCH(法术查询!$J$8,G375)),IF(法术查询!$J$9="",1,SEARCH(法术查询!$J$9,N375)),IF(法术查询!$J$10="",1,IF(法术查询!$J$10=$AF$11,IF($M375=1,1,0),IF($M375="",1,0))),IF(法术查询!$J$11="",1,IF(法术查询!$J$11=$AF$11,IF($D375=1,1,0),IF($D375="",1,0))),IF(法术查询!$J$12="",1,SEARCH(法术查询!$J$12,$B375&amp;$C375&amp;$O375)),IF(法术查询!$J$13="",1,SEARCH(法术查询!$J$13,$B375&amp;$C375&amp;$O375)),IF(法术查询!$J$14="",1,SEARCH(法术查询!$J$14,$B375&amp;$C375&amp;$O375)),IF(法术查询!$J$16="",1,IF(法术查询!$J$16=$AF$11,IF($H375=1,1,0),IF($H375="",1,0))),IF(法术查询!$J$17="",1,IF(法术查询!$J$17=$AF$11,IF($I375=1,1,0),IF($I375="",1,0))),IF(法术查询!$J$18="",1,IF(法术查询!$J$18=$AF$11,IF($J375&lt;&gt;"",1,0),IF($J375="",1,0))),IF(法术查询!$J$19="",1,IF(法术查询!$J$19=$AF$11,IF($L375&lt;&gt;"",1,0),IF($L375="",1,0)))),$B375,""),"")</f>
        <v/>
      </c>
      <c r="AD374" s="192" t="str">
        <f t="array" ref="AD374">INDEX(AC:AC,SMALL(IF($AC$2:$AC$523&lt;&gt;"",ROW($2:$523),524),ROW(AC373)))&amp;""</f>
        <v/>
      </c>
      <c r="AE374" s="200" t="str">
        <f t="shared" si="9"/>
        <v/>
      </c>
    </row>
    <row r="375" customHeight="1" spans="1:31">
      <c r="A375" s="192">
        <v>373</v>
      </c>
      <c r="B375" s="224" t="s">
        <v>8257</v>
      </c>
      <c r="C375" s="224" t="s">
        <v>8258</v>
      </c>
      <c r="E375" s="231" t="s">
        <v>6672</v>
      </c>
      <c r="F375" s="193" t="s">
        <v>6704</v>
      </c>
      <c r="G375" s="193" t="s">
        <v>3760</v>
      </c>
      <c r="H375" s="193">
        <v>1</v>
      </c>
      <c r="I375" s="193">
        <v>1</v>
      </c>
      <c r="J375" s="193">
        <v>1</v>
      </c>
      <c r="L375" s="224" t="s">
        <v>8259</v>
      </c>
      <c r="N375" s="193" t="s">
        <v>6644</v>
      </c>
      <c r="O375" s="224" t="s">
        <v>8260</v>
      </c>
      <c r="P375" s="224">
        <v>5</v>
      </c>
      <c r="Q375" s="224" t="s">
        <v>249</v>
      </c>
      <c r="T375" s="193">
        <v>1</v>
      </c>
      <c r="AA375" s="200" t="s">
        <v>2437</v>
      </c>
      <c r="AB375" s="200" t="str">
        <f t="array" ref="AB375">INDEX(B:B,SMALL(IF($Q$3:$Q$524&lt;&gt;"",ROW($3:$524),525),ROW(B374)))&amp;""</f>
        <v>心灵遥控</v>
      </c>
      <c r="AC375" s="225" t="str">
        <f>IFERROR(IF(AND($Q376&lt;&gt;"",IF(法术查询!$J$4="",1,INDEX($R376:$Z376,1,VLOOKUP(法术查询!$J$4,$AF$2:$AG$10,2,0)))&lt;&gt;"",IF(法术查询!$J$5="",1,$P376=VLOOKUP(法术查询!$J$5,$AH$2:$AI$11,2,0)),IF(法术查询!$J$6="",1,IF(法术查询!$J$6=$E376,1,0)),IF(法术查询!$J$7="",1,SEARCH(法术查询!$J$7,$F376)),IF(法术查询!$J$8="",1,SEARCH(法术查询!$J$8,G376)),IF(法术查询!$J$9="",1,SEARCH(法术查询!$J$9,N376)),IF(法术查询!$J$10="",1,IF(法术查询!$J$10=$AF$11,IF($M376=1,1,0),IF($M376="",1,0))),IF(法术查询!$J$11="",1,IF(法术查询!$J$11=$AF$11,IF($D376=1,1,0),IF($D376="",1,0))),IF(法术查询!$J$12="",1,SEARCH(法术查询!$J$12,$B376&amp;$C376&amp;$O376)),IF(法术查询!$J$13="",1,SEARCH(法术查询!$J$13,$B376&amp;$C376&amp;$O376)),IF(法术查询!$J$14="",1,SEARCH(法术查询!$J$14,$B376&amp;$C376&amp;$O376)),IF(法术查询!$J$16="",1,IF(法术查询!$J$16=$AF$11,IF($H376=1,1,0),IF($H376="",1,0))),IF(法术查询!$J$17="",1,IF(法术查询!$J$17=$AF$11,IF($I376=1,1,0),IF($I376="",1,0))),IF(法术查询!$J$18="",1,IF(法术查询!$J$18=$AF$11,IF($J376&lt;&gt;"",1,0),IF($J376="",1,0))),IF(法术查询!$J$19="",1,IF(法术查询!$J$19=$AF$11,IF($L376&lt;&gt;"",1,0),IF($L376="",1,0)))),$B376,""),"")</f>
        <v/>
      </c>
      <c r="AD375" s="192" t="str">
        <f t="array" ref="AD375">INDEX(AC:AC,SMALL(IF($AC$2:$AC$523&lt;&gt;"",ROW($2:$523),524),ROW(AC374)))&amp;""</f>
        <v/>
      </c>
      <c r="AE375" s="200" t="str">
        <f t="shared" si="9"/>
        <v/>
      </c>
    </row>
    <row r="376" customHeight="1" spans="1:31">
      <c r="A376" s="192">
        <v>374</v>
      </c>
      <c r="B376" s="224" t="s">
        <v>8261</v>
      </c>
      <c r="C376" s="224" t="s">
        <v>8262</v>
      </c>
      <c r="E376" s="238" t="s">
        <v>6695</v>
      </c>
      <c r="F376" s="193" t="s">
        <v>6731</v>
      </c>
      <c r="G376" s="193" t="s">
        <v>6651</v>
      </c>
      <c r="H376" s="193">
        <v>1</v>
      </c>
      <c r="I376" s="193">
        <v>1</v>
      </c>
      <c r="J376" s="193">
        <v>1</v>
      </c>
      <c r="K376" s="224" t="s">
        <v>8263</v>
      </c>
      <c r="M376" s="193">
        <v>1</v>
      </c>
      <c r="N376" s="193" t="s">
        <v>6831</v>
      </c>
      <c r="O376" s="224" t="s">
        <v>8264</v>
      </c>
      <c r="P376" s="224">
        <v>5</v>
      </c>
      <c r="Q376" s="224" t="s">
        <v>249</v>
      </c>
      <c r="R376" s="193">
        <v>1</v>
      </c>
      <c r="S376" s="193">
        <v>1</v>
      </c>
      <c r="T376" s="193">
        <v>1</v>
      </c>
      <c r="X376" s="193">
        <v>1</v>
      </c>
      <c r="Y376" s="193">
        <v>1</v>
      </c>
      <c r="AA376" s="223" t="s">
        <v>8265</v>
      </c>
      <c r="AB376" s="200" t="str">
        <f t="array" ref="AB376">INDEX(B:B,SMALL(IF($Q$3:$Q$524&lt;&gt;"",ROW($3:$524),525),ROW(B375)))&amp;""</f>
        <v>传送法阵</v>
      </c>
      <c r="AC376" s="225" t="str">
        <f>IFERROR(IF(AND($Q377&lt;&gt;"",IF(法术查询!$J$4="",1,INDEX($R377:$Z377,1,VLOOKUP(法术查询!$J$4,$AF$2:$AG$10,2,0)))&lt;&gt;"",IF(法术查询!$J$5="",1,$P377=VLOOKUP(法术查询!$J$5,$AH$2:$AI$11,2,0)),IF(法术查询!$J$6="",1,IF(法术查询!$J$6=$E377,1,0)),IF(法术查询!$J$7="",1,SEARCH(法术查询!$J$7,$F377)),IF(法术查询!$J$8="",1,SEARCH(法术查询!$J$8,G377)),IF(法术查询!$J$9="",1,SEARCH(法术查询!$J$9,N377)),IF(法术查询!$J$10="",1,IF(法术查询!$J$10=$AF$11,IF($M377=1,1,0),IF($M377="",1,0))),IF(法术查询!$J$11="",1,IF(法术查询!$J$11=$AF$11,IF($D377=1,1,0),IF($D377="",1,0))),IF(法术查询!$J$12="",1,SEARCH(法术查询!$J$12,$B377&amp;$C377&amp;$O377)),IF(法术查询!$J$13="",1,SEARCH(法术查询!$J$13,$B377&amp;$C377&amp;$O377)),IF(法术查询!$J$14="",1,SEARCH(法术查询!$J$14,$B377&amp;$C377&amp;$O377)),IF(法术查询!$J$16="",1,IF(法术查询!$J$16=$AF$11,IF($H377=1,1,0),IF($H377="",1,0))),IF(法术查询!$J$17="",1,IF(法术查询!$J$17=$AF$11,IF($I377=1,1,0),IF($I377="",1,0))),IF(法术查询!$J$18="",1,IF(法术查询!$J$18=$AF$11,IF($J377&lt;&gt;"",1,0),IF($J377="",1,0))),IF(法术查询!$J$19="",1,IF(法术查询!$J$19=$AF$11,IF($L377&lt;&gt;"",1,0),IF($L377="",1,0)))),$B377,""),"")</f>
        <v/>
      </c>
      <c r="AD376" s="192" t="str">
        <f t="array" ref="AD376">INDEX(AC:AC,SMALL(IF($AC$2:$AC$523&lt;&gt;"",ROW($2:$523),524),ROW(AC375)))&amp;""</f>
        <v/>
      </c>
      <c r="AE376" s="200" t="str">
        <f t="shared" si="9"/>
        <v/>
      </c>
    </row>
    <row r="377" customHeight="1" spans="1:31">
      <c r="A377" s="192">
        <v>375</v>
      </c>
      <c r="B377" s="224" t="s">
        <v>8266</v>
      </c>
      <c r="C377" s="224" t="s">
        <v>8267</v>
      </c>
      <c r="E377" s="241" t="s">
        <v>6726</v>
      </c>
      <c r="F377" s="193" t="s">
        <v>6642</v>
      </c>
      <c r="G377" s="193" t="s">
        <v>6673</v>
      </c>
      <c r="H377" s="193">
        <v>1</v>
      </c>
      <c r="I377" s="193">
        <v>1</v>
      </c>
      <c r="N377" s="193" t="s">
        <v>6748</v>
      </c>
      <c r="O377" s="224" t="s">
        <v>8268</v>
      </c>
      <c r="P377" s="224">
        <v>5</v>
      </c>
      <c r="Q377" s="224" t="s">
        <v>249</v>
      </c>
      <c r="R377" s="193">
        <v>1</v>
      </c>
      <c r="W377" s="193">
        <v>1</v>
      </c>
      <c r="X377" s="193">
        <v>1</v>
      </c>
      <c r="AA377" s="223" t="s">
        <v>8269</v>
      </c>
      <c r="AB377" s="200" t="str">
        <f t="array" ref="AB377">INDEX(B:B,SMALL(IF($Q$3:$Q$524&lt;&gt;"",ROW($3:$524),525),ROW(B376)))&amp;""</f>
        <v>树跃术</v>
      </c>
      <c r="AC377" s="225" t="str">
        <f>IFERROR(IF(AND($Q378&lt;&gt;"",IF(法术查询!$J$4="",1,INDEX($R378:$Z378,1,VLOOKUP(法术查询!$J$4,$AF$2:$AG$10,2,0)))&lt;&gt;"",IF(法术查询!$J$5="",1,$P378=VLOOKUP(法术查询!$J$5,$AH$2:$AI$11,2,0)),IF(法术查询!$J$6="",1,IF(法术查询!$J$6=$E378,1,0)),IF(法术查询!$J$7="",1,SEARCH(法术查询!$J$7,$F378)),IF(法术查询!$J$8="",1,SEARCH(法术查询!$J$8,G378)),IF(法术查询!$J$9="",1,SEARCH(法术查询!$J$9,N378)),IF(法术查询!$J$10="",1,IF(法术查询!$J$10=$AF$11,IF($M378=1,1,0),IF($M378="",1,0))),IF(法术查询!$J$11="",1,IF(法术查询!$J$11=$AF$11,IF($D378=1,1,0),IF($D378="",1,0))),IF(法术查询!$J$12="",1,SEARCH(法术查询!$J$12,$B378&amp;$C378&amp;$O378)),IF(法术查询!$J$13="",1,SEARCH(法术查询!$J$13,$B378&amp;$C378&amp;$O378)),IF(法术查询!$J$14="",1,SEARCH(法术查询!$J$14,$B378&amp;$C378&amp;$O378)),IF(法术查询!$J$16="",1,IF(法术查询!$J$16=$AF$11,IF($H378=1,1,0),IF($H378="",1,0))),IF(法术查询!$J$17="",1,IF(法术查询!$J$17=$AF$11,IF($I378=1,1,0),IF($I378="",1,0))),IF(法术查询!$J$18="",1,IF(法术查询!$J$18=$AF$11,IF($J378&lt;&gt;"",1,0),IF($J378="",1,0))),IF(法术查询!$J$19="",1,IF(法术查询!$J$19=$AF$11,IF($L378&lt;&gt;"",1,0),IF($L378="",1,0)))),$B378,""),"")</f>
        <v/>
      </c>
      <c r="AD377" s="192" t="str">
        <f t="array" ref="AD377">INDEX(AC:AC,SMALL(IF($AC$2:$AC$523&lt;&gt;"",ROW($2:$523),524),ROW(AC376)))&amp;""</f>
        <v/>
      </c>
      <c r="AE377" s="200" t="str">
        <f t="shared" si="9"/>
        <v/>
      </c>
    </row>
    <row r="378" customHeight="1" spans="1:31">
      <c r="A378" s="192">
        <v>376</v>
      </c>
      <c r="B378" s="224" t="s">
        <v>8270</v>
      </c>
      <c r="C378" s="224" t="s">
        <v>8271</v>
      </c>
      <c r="E378" s="231" t="s">
        <v>6672</v>
      </c>
      <c r="F378" s="193" t="s">
        <v>6712</v>
      </c>
      <c r="G378" s="193" t="s">
        <v>3760</v>
      </c>
      <c r="H378" s="193">
        <v>1</v>
      </c>
      <c r="I378" s="193">
        <v>1</v>
      </c>
      <c r="J378" s="193">
        <v>1</v>
      </c>
      <c r="K378" s="224" t="s">
        <v>8272</v>
      </c>
      <c r="M378" s="193">
        <v>1</v>
      </c>
      <c r="N378" s="193" t="s">
        <v>6666</v>
      </c>
      <c r="O378" s="224" t="s">
        <v>8273</v>
      </c>
      <c r="P378" s="224">
        <v>5</v>
      </c>
      <c r="Q378" s="224" t="s">
        <v>249</v>
      </c>
      <c r="V378" s="193">
        <v>1</v>
      </c>
      <c r="AA378" s="200"/>
      <c r="AB378" s="200" t="str">
        <f t="array" ref="AB378">INDEX(B:B,SMALL(IF($Q$3:$Q$524&lt;&gt;"",ROW($3:$524),525),ROW(B377)))&amp;""</f>
        <v>力场墙</v>
      </c>
      <c r="AC378" s="225" t="str">
        <f>IFERROR(IF(AND($Q379&lt;&gt;"",IF(法术查询!$J$4="",1,INDEX($R379:$Z379,1,VLOOKUP(法术查询!$J$4,$AF$2:$AG$10,2,0)))&lt;&gt;"",IF(法术查询!$J$5="",1,$P379=VLOOKUP(法术查询!$J$5,$AH$2:$AI$11,2,0)),IF(法术查询!$J$6="",1,IF(法术查询!$J$6=$E379,1,0)),IF(法术查询!$J$7="",1,SEARCH(法术查询!$J$7,$F379)),IF(法术查询!$J$8="",1,SEARCH(法术查询!$J$8,G379)),IF(法术查询!$J$9="",1,SEARCH(法术查询!$J$9,N379)),IF(法术查询!$J$10="",1,IF(法术查询!$J$10=$AF$11,IF($M379=1,1,0),IF($M379="",1,0))),IF(法术查询!$J$11="",1,IF(法术查询!$J$11=$AF$11,IF($D379=1,1,0),IF($D379="",1,0))),IF(法术查询!$J$12="",1,SEARCH(法术查询!$J$12,$B379&amp;$C379&amp;$O379)),IF(法术查询!$J$13="",1,SEARCH(法术查询!$J$13,$B379&amp;$C379&amp;$O379)),IF(法术查询!$J$14="",1,SEARCH(法术查询!$J$14,$B379&amp;$C379&amp;$O379)),IF(法术查询!$J$16="",1,IF(法术查询!$J$16=$AF$11,IF($H379=1,1,0),IF($H379="",1,0))),IF(法术查询!$J$17="",1,IF(法术查询!$J$17=$AF$11,IF($I379=1,1,0),IF($I379="",1,0))),IF(法术查询!$J$18="",1,IF(法术查询!$J$18=$AF$11,IF($J379&lt;&gt;"",1,0),IF($J379="",1,0))),IF(法术查询!$J$19="",1,IF(法术查询!$J$19=$AF$11,IF($L379&lt;&gt;"",1,0),IF($L379="",1,0)))),$B379,""),"")</f>
        <v/>
      </c>
      <c r="AD378" s="192" t="str">
        <f t="array" ref="AD378">INDEX(AC:AC,SMALL(IF($AC$2:$AC$523&lt;&gt;"",ROW($2:$523),524),ROW(AC377)))&amp;""</f>
        <v/>
      </c>
      <c r="AE378" s="200" t="str">
        <f t="shared" si="9"/>
        <v/>
      </c>
    </row>
    <row r="379" customHeight="1" spans="1:31">
      <c r="A379" s="192">
        <v>377</v>
      </c>
      <c r="B379" s="224" t="s">
        <v>8274</v>
      </c>
      <c r="C379" s="224" t="s">
        <v>8275</v>
      </c>
      <c r="E379" s="231" t="s">
        <v>6672</v>
      </c>
      <c r="F379" s="193" t="s">
        <v>6642</v>
      </c>
      <c r="G379" s="193" t="s">
        <v>6643</v>
      </c>
      <c r="H379" s="193">
        <v>1</v>
      </c>
      <c r="I379" s="193">
        <v>1</v>
      </c>
      <c r="M379" s="193">
        <v>1</v>
      </c>
      <c r="N379" s="193" t="s">
        <v>6831</v>
      </c>
      <c r="O379" s="224" t="s">
        <v>8276</v>
      </c>
      <c r="P379" s="224">
        <v>5</v>
      </c>
      <c r="Q379" s="224" t="s">
        <v>249</v>
      </c>
      <c r="W379" s="193">
        <v>1</v>
      </c>
      <c r="X379" s="193">
        <v>1</v>
      </c>
      <c r="AA379" s="223" t="s">
        <v>8277</v>
      </c>
      <c r="AB379" s="200" t="str">
        <f t="array" ref="AB379">INDEX(B:B,SMALL(IF($Q$3:$Q$524&lt;&gt;"",ROW($3:$524),525),ROW(B378)))&amp;""</f>
        <v>石墙术</v>
      </c>
      <c r="AC379" s="225" t="str">
        <f>IFERROR(IF(AND($Q380&lt;&gt;"",IF(法术查询!$J$4="",1,INDEX($R380:$Z380,1,VLOOKUP(法术查询!$J$4,$AF$2:$AG$10,2,0)))&lt;&gt;"",IF(法术查询!$J$5="",1,$P380=VLOOKUP(法术查询!$J$5,$AH$2:$AI$11,2,0)),IF(法术查询!$J$6="",1,IF(法术查询!$J$6=$E380,1,0)),IF(法术查询!$J$7="",1,SEARCH(法术查询!$J$7,$F380)),IF(法术查询!$J$8="",1,SEARCH(法术查询!$J$8,G380)),IF(法术查询!$J$9="",1,SEARCH(法术查询!$J$9,N380)),IF(法术查询!$J$10="",1,IF(法术查询!$J$10=$AF$11,IF($M380=1,1,0),IF($M380="",1,0))),IF(法术查询!$J$11="",1,IF(法术查询!$J$11=$AF$11,IF($D380=1,1,0),IF($D380="",1,0))),IF(法术查询!$J$12="",1,SEARCH(法术查询!$J$12,$B380&amp;$C380&amp;$O380)),IF(法术查询!$J$13="",1,SEARCH(法术查询!$J$13,$B380&amp;$C380&amp;$O380)),IF(法术查询!$J$14="",1,SEARCH(法术查询!$J$14,$B380&amp;$C380&amp;$O380)),IF(法术查询!$J$16="",1,IF(法术查询!$J$16=$AF$11,IF($H380=1,1,0),IF($H380="",1,0))),IF(法术查询!$J$17="",1,IF(法术查询!$J$17=$AF$11,IF($I380=1,1,0),IF($I380="",1,0))),IF(法术查询!$J$18="",1,IF(法术查询!$J$18=$AF$11,IF($J380&lt;&gt;"",1,0),IF($J380="",1,0))),IF(法术查询!$J$19="",1,IF(法术查询!$J$19=$AF$11,IF($L380&lt;&gt;"",1,0),IF($L380="",1,0)))),$B380,""),"")</f>
        <v/>
      </c>
      <c r="AD379" s="192" t="str">
        <f t="array" ref="AD379">INDEX(AC:AC,SMALL(IF($AC$2:$AC$523&lt;&gt;"",ROW($2:$523),524),ROW(AC378)))&amp;""</f>
        <v/>
      </c>
      <c r="AE379" s="200" t="str">
        <f t="shared" si="9"/>
        <v/>
      </c>
    </row>
    <row r="380" customHeight="1" spans="1:31">
      <c r="A380" s="192">
        <v>378</v>
      </c>
      <c r="B380" s="224" t="s">
        <v>8278</v>
      </c>
      <c r="C380" s="224" t="s">
        <v>8279</v>
      </c>
      <c r="E380" s="240" t="s">
        <v>6641</v>
      </c>
      <c r="F380" s="193" t="s">
        <v>6709</v>
      </c>
      <c r="G380" s="193" t="s">
        <v>6730</v>
      </c>
      <c r="H380" s="193">
        <v>1</v>
      </c>
      <c r="J380" s="193">
        <v>1</v>
      </c>
      <c r="L380" s="224" t="s">
        <v>8280</v>
      </c>
      <c r="N380" s="193" t="s">
        <v>6652</v>
      </c>
      <c r="O380" s="224" t="s">
        <v>8281</v>
      </c>
      <c r="P380" s="224">
        <v>5</v>
      </c>
      <c r="Q380" s="224" t="s">
        <v>249</v>
      </c>
      <c r="R380" s="193">
        <v>1</v>
      </c>
      <c r="W380" s="193">
        <v>1</v>
      </c>
      <c r="X380" s="193">
        <v>1</v>
      </c>
      <c r="Y380" s="193" t="str">
        <f>IF(综合数据!$B$14=TRUE,"13","")</f>
        <v>13</v>
      </c>
      <c r="AA380" s="223" t="s">
        <v>8282</v>
      </c>
      <c r="AB380" s="200" t="str">
        <f t="array" ref="AB380">INDEX(B:B,SMALL(IF($Q$3:$Q$524&lt;&gt;"",ROW($3:$524),525),ROW(B379)))&amp;""</f>
        <v>操控风力</v>
      </c>
      <c r="AC380" s="225" t="str">
        <f>IFERROR(IF(AND($Q381&lt;&gt;"",IF(法术查询!$J$4="",1,INDEX($R381:$Z381,1,VLOOKUP(法术查询!$J$4,$AF$2:$AG$10,2,0)))&lt;&gt;"",IF(法术查询!$J$5="",1,$P381=VLOOKUP(法术查询!$J$5,$AH$2:$AI$11,2,0)),IF(法术查询!$J$6="",1,IF(法术查询!$J$6=$E381,1,0)),IF(法术查询!$J$7="",1,SEARCH(法术查询!$J$7,$F381)),IF(法术查询!$J$8="",1,SEARCH(法术查询!$J$8,G381)),IF(法术查询!$J$9="",1,SEARCH(法术查询!$J$9,N381)),IF(法术查询!$J$10="",1,IF(法术查询!$J$10=$AF$11,IF($M381=1,1,0),IF($M381="",1,0))),IF(法术查询!$J$11="",1,IF(法术查询!$J$11=$AF$11,IF($D381=1,1,0),IF($D381="",1,0))),IF(法术查询!$J$12="",1,SEARCH(法术查询!$J$12,$B381&amp;$C381&amp;$O381)),IF(法术查询!$J$13="",1,SEARCH(法术查询!$J$13,$B381&amp;$C381&amp;$O381)),IF(法术查询!$J$14="",1,SEARCH(法术查询!$J$14,$B381&amp;$C381&amp;$O381)),IF(法术查询!$J$16="",1,IF(法术查询!$J$16=$AF$11,IF($H381=1,1,0),IF($H381="",1,0))),IF(法术查询!$J$17="",1,IF(法术查询!$J$17=$AF$11,IF($I381=1,1,0),IF($I381="",1,0))),IF(法术查询!$J$18="",1,IF(法术查询!$J$18=$AF$11,IF($J381&lt;&gt;"",1,0),IF($J381="",1,0))),IF(法术查询!$J$19="",1,IF(法术查询!$J$19=$AF$11,IF($L381&lt;&gt;"",1,0),IF($L381="",1,0)))),$B381,""),"")</f>
        <v/>
      </c>
      <c r="AD380" s="192" t="str">
        <f t="array" ref="AD380">INDEX(AC:AC,SMALL(IF($AC$2:$AC$523&lt;&gt;"",ROW($2:$523),524),ROW(AC379)))&amp;""</f>
        <v/>
      </c>
      <c r="AE380" s="200" t="str">
        <f t="shared" si="9"/>
        <v/>
      </c>
    </row>
    <row r="381" customHeight="1" spans="1:31">
      <c r="A381" s="192">
        <v>379</v>
      </c>
      <c r="B381" s="224" t="s">
        <v>8283</v>
      </c>
      <c r="C381" s="224" t="s">
        <v>8284</v>
      </c>
      <c r="E381" s="240" t="s">
        <v>6641</v>
      </c>
      <c r="F381" s="193" t="s">
        <v>6642</v>
      </c>
      <c r="G381" s="193" t="s">
        <v>6651</v>
      </c>
      <c r="H381" s="193">
        <v>1</v>
      </c>
      <c r="I381" s="193">
        <v>1</v>
      </c>
      <c r="M381" s="193">
        <v>1</v>
      </c>
      <c r="N381" s="193" t="s">
        <v>6666</v>
      </c>
      <c r="O381" s="224" t="s">
        <v>8285</v>
      </c>
      <c r="P381" s="224">
        <v>5</v>
      </c>
      <c r="Q381" s="224" t="s">
        <v>249</v>
      </c>
      <c r="T381" s="193">
        <v>1</v>
      </c>
      <c r="V381" s="193">
        <v>1</v>
      </c>
      <c r="AA381" s="223" t="s">
        <v>8286</v>
      </c>
      <c r="AB381" s="200" t="str">
        <f t="array" ref="AB381">INDEX(B:B,SMALL(IF($Q$3:$Q$524&lt;&gt;"",ROW($3:$524),525),ROW(B380)))&amp;""</f>
        <v>骷髅之舞</v>
      </c>
      <c r="AC381" s="225" t="str">
        <f>IFERROR(IF(AND($Q382&lt;&gt;"",IF(法术查询!$J$4="",1,INDEX($R382:$Z382,1,VLOOKUP(法术查询!$J$4,$AF$2:$AG$10,2,0)))&lt;&gt;"",IF(法术查询!$J$5="",1,$P382=VLOOKUP(法术查询!$J$5,$AH$2:$AI$11,2,0)),IF(法术查询!$J$6="",1,IF(法术查询!$J$6=$E382,1,0)),IF(法术查询!$J$7="",1,SEARCH(法术查询!$J$7,$F382)),IF(法术查询!$J$8="",1,SEARCH(法术查询!$J$8,G382)),IF(法术查询!$J$9="",1,SEARCH(法术查询!$J$9,N382)),IF(法术查询!$J$10="",1,IF(法术查询!$J$10=$AF$11,IF($M382=1,1,0),IF($M382="",1,0))),IF(法术查询!$J$11="",1,IF(法术查询!$J$11=$AF$11,IF($D382=1,1,0),IF($D382="",1,0))),IF(法术查询!$J$12="",1,SEARCH(法术查询!$J$12,$B382&amp;$C382&amp;$O382)),IF(法术查询!$J$13="",1,SEARCH(法术查询!$J$13,$B382&amp;$C382&amp;$O382)),IF(法术查询!$J$14="",1,SEARCH(法术查询!$J$14,$B382&amp;$C382&amp;$O382)),IF(法术查询!$J$16="",1,IF(法术查询!$J$16=$AF$11,IF($H382=1,1,0),IF($H382="",1,0))),IF(法术查询!$J$17="",1,IF(法术查询!$J$17=$AF$11,IF($I382=1,1,0),IF($I382="",1,0))),IF(法术查询!$J$18="",1,IF(法术查询!$J$18=$AF$11,IF($J382&lt;&gt;"",1,0),IF($J382="",1,0))),IF(法术查询!$J$19="",1,IF(法术查询!$J$19=$AF$11,IF($L382&lt;&gt;"",1,0),IF($L382="",1,0)))),$B382,""),"")</f>
        <v/>
      </c>
      <c r="AD381" s="192" t="str">
        <f t="array" ref="AD381">INDEX(AC:AC,SMALL(IF($AC$2:$AC$523&lt;&gt;"",ROW($2:$523),524),ROW(AC380)))&amp;""</f>
        <v/>
      </c>
      <c r="AE381" s="200" t="str">
        <f t="shared" si="9"/>
        <v/>
      </c>
    </row>
    <row r="382" customHeight="1" spans="1:31">
      <c r="A382" s="192">
        <v>380</v>
      </c>
      <c r="B382" s="224" t="s">
        <v>8287</v>
      </c>
      <c r="C382" s="224" t="s">
        <v>8288</v>
      </c>
      <c r="E382" s="229" t="s">
        <v>6664</v>
      </c>
      <c r="F382" s="193" t="s">
        <v>6642</v>
      </c>
      <c r="G382" s="193" t="s">
        <v>6658</v>
      </c>
      <c r="H382" s="193">
        <v>1</v>
      </c>
      <c r="I382" s="193">
        <v>1</v>
      </c>
      <c r="J382" s="193">
        <v>1</v>
      </c>
      <c r="K382" s="224" t="s">
        <v>8289</v>
      </c>
      <c r="M382" s="193">
        <v>1</v>
      </c>
      <c r="N382" s="193" t="s">
        <v>6831</v>
      </c>
      <c r="O382" s="224" t="s">
        <v>8290</v>
      </c>
      <c r="P382" s="224">
        <v>5</v>
      </c>
      <c r="Q382" s="224" t="s">
        <v>249</v>
      </c>
      <c r="X382" s="193">
        <v>1</v>
      </c>
      <c r="AA382" s="223" t="s">
        <v>8291</v>
      </c>
      <c r="AB382" s="200" t="str">
        <f t="array" ref="AB382">INDEX(B:B,SMALL(IF($Q$3:$Q$524&lt;&gt;"",ROW($3:$524),525),ROW(B381)))&amp;""</f>
        <v>拂晓</v>
      </c>
      <c r="AC382" s="225" t="str">
        <f>IFERROR(IF(AND($Q383&lt;&gt;"",IF(法术查询!$J$4="",1,INDEX($R383:$Z383,1,VLOOKUP(法术查询!$J$4,$AF$2:$AG$10,2,0)))&lt;&gt;"",IF(法术查询!$J$5="",1,$P383=VLOOKUP(法术查询!$J$5,$AH$2:$AI$11,2,0)),IF(法术查询!$J$6="",1,IF(法术查询!$J$6=$E383,1,0)),IF(法术查询!$J$7="",1,SEARCH(法术查询!$J$7,$F383)),IF(法术查询!$J$8="",1,SEARCH(法术查询!$J$8,G383)),IF(法术查询!$J$9="",1,SEARCH(法术查询!$J$9,N383)),IF(法术查询!$J$10="",1,IF(法术查询!$J$10=$AF$11,IF($M383=1,1,0),IF($M383="",1,0))),IF(法术查询!$J$11="",1,IF(法术查询!$J$11=$AF$11,IF($D383=1,1,0),IF($D383="",1,0))),IF(法术查询!$J$12="",1,SEARCH(法术查询!$J$12,$B383&amp;$C383&amp;$O383)),IF(法术查询!$J$13="",1,SEARCH(法术查询!$J$13,$B383&amp;$C383&amp;$O383)),IF(法术查询!$J$14="",1,SEARCH(法术查询!$J$14,$B383&amp;$C383&amp;$O383)),IF(法术查询!$J$16="",1,IF(法术查询!$J$16=$AF$11,IF($H383=1,1,0),IF($H383="",1,0))),IF(法术查询!$J$17="",1,IF(法术查询!$J$17=$AF$11,IF($I383=1,1,0),IF($I383="",1,0))),IF(法术查询!$J$18="",1,IF(法术查询!$J$18=$AF$11,IF($J383&lt;&gt;"",1,0),IF($J383="",1,0))),IF(法术查询!$J$19="",1,IF(法术查询!$J$19=$AF$11,IF($L383&lt;&gt;"",1,0),IF($L383="",1,0)))),$B383,""),"")</f>
        <v/>
      </c>
      <c r="AD382" s="192" t="str">
        <f t="array" ref="AD382">INDEX(AC:AC,SMALL(IF($AC$2:$AC$523&lt;&gt;"",ROW($2:$523),524),ROW(AC381)))&amp;""</f>
        <v/>
      </c>
      <c r="AE382" s="200" t="str">
        <f t="shared" si="9"/>
        <v/>
      </c>
    </row>
    <row r="383" customHeight="1" spans="1:31">
      <c r="A383" s="192">
        <v>381</v>
      </c>
      <c r="B383" s="224" t="s">
        <v>8292</v>
      </c>
      <c r="C383" s="224" t="s">
        <v>8293</v>
      </c>
      <c r="E383" s="229" t="s">
        <v>6664</v>
      </c>
      <c r="F383" s="193" t="s">
        <v>6642</v>
      </c>
      <c r="G383" s="193" t="s">
        <v>6658</v>
      </c>
      <c r="H383" s="193">
        <v>1</v>
      </c>
      <c r="I383" s="193">
        <v>1</v>
      </c>
      <c r="J383" s="193">
        <v>1</v>
      </c>
      <c r="K383" s="224" t="s">
        <v>8294</v>
      </c>
      <c r="M383" s="193">
        <v>1</v>
      </c>
      <c r="N383" s="193" t="s">
        <v>6831</v>
      </c>
      <c r="O383" s="224" t="s">
        <v>8295</v>
      </c>
      <c r="P383" s="224">
        <v>5</v>
      </c>
      <c r="Q383" s="224" t="s">
        <v>249</v>
      </c>
      <c r="T383" s="193">
        <v>1</v>
      </c>
      <c r="W383" s="193">
        <v>1</v>
      </c>
      <c r="X383" s="193">
        <v>1</v>
      </c>
      <c r="Z383" s="193">
        <v>9</v>
      </c>
      <c r="AA383" s="223" t="s">
        <v>8296</v>
      </c>
      <c r="AB383" s="200" t="str">
        <f t="array" ref="AB383">INDEX(B:B,SMALL(IF($Q$3:$Q$524&lt;&gt;"",ROW($3:$524),525),ROW(B382)))&amp;""</f>
        <v>汲能术</v>
      </c>
      <c r="AC383" s="225" t="str">
        <f>IFERROR(IF(AND($Q384&lt;&gt;"",IF(法术查询!$J$4="",1,INDEX($R384:$Z384,1,VLOOKUP(法术查询!$J$4,$AF$2:$AG$10,2,0)))&lt;&gt;"",IF(法术查询!$J$5="",1,$P384=VLOOKUP(法术查询!$J$5,$AH$2:$AI$11,2,0)),IF(法术查询!$J$6="",1,IF(法术查询!$J$6=$E384,1,0)),IF(法术查询!$J$7="",1,SEARCH(法术查询!$J$7,$F384)),IF(法术查询!$J$8="",1,SEARCH(法术查询!$J$8,G384)),IF(法术查询!$J$9="",1,SEARCH(法术查询!$J$9,N384)),IF(法术查询!$J$10="",1,IF(法术查询!$J$10=$AF$11,IF($M384=1,1,0),IF($M384="",1,0))),IF(法术查询!$J$11="",1,IF(法术查询!$J$11=$AF$11,IF($D384=1,1,0),IF($D384="",1,0))),IF(法术查询!$J$12="",1,SEARCH(法术查询!$J$12,$B384&amp;$C384&amp;$O384)),IF(法术查询!$J$13="",1,SEARCH(法术查询!$J$13,$B384&amp;$C384&amp;$O384)),IF(法术查询!$J$14="",1,SEARCH(法术查询!$J$14,$B384&amp;$C384&amp;$O384)),IF(法术查询!$J$16="",1,IF(法术查询!$J$16=$AF$11,IF($H384=1,1,0),IF($H384="",1,0))),IF(法术查询!$J$17="",1,IF(法术查询!$J$17=$AF$11,IF($I384=1,1,0),IF($I384="",1,0))),IF(法术查询!$J$18="",1,IF(法术查询!$J$18=$AF$11,IF($J384&lt;&gt;"",1,0),IF($J384="",1,0))),IF(法术查询!$J$19="",1,IF(法术查询!$J$19=$AF$11,IF($L384&lt;&gt;"",1,0),IF($L384="",1,0)))),$B384,""),"")</f>
        <v/>
      </c>
      <c r="AD383" s="192" t="str">
        <f t="array" ref="AD383">INDEX(AC:AC,SMALL(IF($AC$2:$AC$523&lt;&gt;"",ROW($2:$523),524),ROW(AC382)))&amp;""</f>
        <v/>
      </c>
      <c r="AE383" s="200" t="str">
        <f t="shared" si="9"/>
        <v/>
      </c>
    </row>
    <row r="384" customHeight="1" spans="1:31">
      <c r="A384" s="192">
        <v>382</v>
      </c>
      <c r="B384" s="224" t="s">
        <v>8297</v>
      </c>
      <c r="C384" s="224" t="s">
        <v>8298</v>
      </c>
      <c r="E384" s="231" t="s">
        <v>6672</v>
      </c>
      <c r="F384" s="193" t="s">
        <v>6642</v>
      </c>
      <c r="G384" s="193" t="s">
        <v>6786</v>
      </c>
      <c r="H384" s="193">
        <v>1</v>
      </c>
      <c r="I384" s="193">
        <v>1</v>
      </c>
      <c r="K384" s="224"/>
      <c r="M384" s="193">
        <v>1</v>
      </c>
      <c r="N384" s="193" t="s">
        <v>6739</v>
      </c>
      <c r="O384" s="224" t="s">
        <v>8299</v>
      </c>
      <c r="P384" s="224">
        <v>5</v>
      </c>
      <c r="Q384" s="245" t="str">
        <f>IF(综合数据!$B$7=TRUE,"XGE","")</f>
        <v>XGE</v>
      </c>
      <c r="T384" s="193">
        <v>6</v>
      </c>
      <c r="W384" s="193">
        <v>6</v>
      </c>
      <c r="X384" s="193">
        <v>6</v>
      </c>
      <c r="AA384" s="200"/>
      <c r="AB384" s="200" t="str">
        <f t="array" ref="AB384">INDEX(B:B,SMALL(IF($Q$3:$Q$524&lt;&gt;"",ROW($3:$524),525),ROW(B383)))&amp;""</f>
        <v>渺远步</v>
      </c>
      <c r="AC384" s="225" t="str">
        <f>IFERROR(IF(AND($Q385&lt;&gt;"",IF(法术查询!$J$4="",1,INDEX($R385:$Z385,1,VLOOKUP(法术查询!$J$4,$AF$2:$AG$10,2,0)))&lt;&gt;"",IF(法术查询!$J$5="",1,$P385=VLOOKUP(法术查询!$J$5,$AH$2:$AI$11,2,0)),IF(法术查询!$J$6="",1,IF(法术查询!$J$6=$E385,1,0)),IF(法术查询!$J$7="",1,SEARCH(法术查询!$J$7,$F385)),IF(法术查询!$J$8="",1,SEARCH(法术查询!$J$8,G385)),IF(法术查询!$J$9="",1,SEARCH(法术查询!$J$9,N385)),IF(法术查询!$J$10="",1,IF(法术查询!$J$10=$AF$11,IF($M385=1,1,0),IF($M385="",1,0))),IF(法术查询!$J$11="",1,IF(法术查询!$J$11=$AF$11,IF($D385=1,1,0),IF($D385="",1,0))),IF(法术查询!$J$12="",1,SEARCH(法术查询!$J$12,$B385&amp;$C385&amp;$O385)),IF(法术查询!$J$13="",1,SEARCH(法术查询!$J$13,$B385&amp;$C385&amp;$O385)),IF(法术查询!$J$14="",1,SEARCH(法术查询!$J$14,$B385&amp;$C385&amp;$O385)),IF(法术查询!$J$16="",1,IF(法术查询!$J$16=$AF$11,IF($H385=1,1,0),IF($H385="",1,0))),IF(法术查询!$J$17="",1,IF(法术查询!$J$17=$AF$11,IF($I385=1,1,0),IF($I385="",1,0))),IF(法术查询!$J$18="",1,IF(法术查询!$J$18=$AF$11,IF($J385&lt;&gt;"",1,0),IF($J385="",1,0))),IF(法术查询!$J$19="",1,IF(法术查询!$J$19=$AF$11,IF($L385&lt;&gt;"",1,0),IF($L385="",1,0)))),$B385,""),"")</f>
        <v/>
      </c>
      <c r="AD384" s="192" t="str">
        <f t="array" ref="AD384">INDEX(AC:AC,SMALL(IF($AC$2:$AC$523&lt;&gt;"",ROW($2:$523),524),ROW(AC383)))&amp;""</f>
        <v/>
      </c>
      <c r="AE384" s="200" t="str">
        <f t="shared" si="9"/>
        <v/>
      </c>
    </row>
    <row r="385" customHeight="1" spans="1:31">
      <c r="A385" s="192">
        <v>383</v>
      </c>
      <c r="B385" s="224" t="s">
        <v>8300</v>
      </c>
      <c r="C385" s="224" t="s">
        <v>8301</v>
      </c>
      <c r="E385" s="243" t="s">
        <v>6657</v>
      </c>
      <c r="F385" s="193" t="s">
        <v>6642</v>
      </c>
      <c r="G385" s="193" t="s">
        <v>6643</v>
      </c>
      <c r="H385" s="193">
        <v>1</v>
      </c>
      <c r="I385" s="193">
        <v>1</v>
      </c>
      <c r="K385" s="224"/>
      <c r="M385" s="193">
        <v>1</v>
      </c>
      <c r="N385" s="193" t="s">
        <v>6739</v>
      </c>
      <c r="O385" s="224" t="s">
        <v>8302</v>
      </c>
      <c r="P385" s="224">
        <v>5</v>
      </c>
      <c r="Q385" s="245" t="str">
        <f>IF(综合数据!$B$7=TRUE,"XGE","")</f>
        <v>XGE</v>
      </c>
      <c r="X385" s="193">
        <v>6</v>
      </c>
      <c r="Y385" s="193">
        <v>6</v>
      </c>
      <c r="AA385" s="200"/>
      <c r="AB385" s="200" t="str">
        <f t="array" ref="AB385">INDEX(B:B,SMALL(IF($Q$3:$Q$524&lt;&gt;"",ROW($3:$524),525),ROW(B384)))&amp;""</f>
        <v>神圣武器</v>
      </c>
      <c r="AC385" s="225" t="str">
        <f>IFERROR(IF(AND($Q386&lt;&gt;"",IF(法术查询!$J$4="",1,INDEX($R386:$Z386,1,VLOOKUP(法术查询!$J$4,$AF$2:$AG$10,2,0)))&lt;&gt;"",IF(法术查询!$J$5="",1,$P386=VLOOKUP(法术查询!$J$5,$AH$2:$AI$11,2,0)),IF(法术查询!$J$6="",1,IF(法术查询!$J$6=$E386,1,0)),IF(法术查询!$J$7="",1,SEARCH(法术查询!$J$7,$F386)),IF(法术查询!$J$8="",1,SEARCH(法术查询!$J$8,G386)),IF(法术查询!$J$9="",1,SEARCH(法术查询!$J$9,N386)),IF(法术查询!$J$10="",1,IF(法术查询!$J$10=$AF$11,IF($M386=1,1,0),IF($M386="",1,0))),IF(法术查询!$J$11="",1,IF(法术查询!$J$11=$AF$11,IF($D386=1,1,0),IF($D386="",1,0))),IF(法术查询!$J$12="",1,SEARCH(法术查询!$J$12,$B386&amp;$C386&amp;$O386)),IF(法术查询!$J$13="",1,SEARCH(法术查询!$J$13,$B386&amp;$C386&amp;$O386)),IF(法术查询!$J$14="",1,SEARCH(法术查询!$J$14,$B386&amp;$C386&amp;$O386)),IF(法术查询!$J$16="",1,IF(法术查询!$J$16=$AF$11,IF($H386=1,1,0),IF($H386="",1,0))),IF(法术查询!$J$17="",1,IF(法术查询!$J$17=$AF$11,IF($I386=1,1,0),IF($I386="",1,0))),IF(法术查询!$J$18="",1,IF(法术查询!$J$18=$AF$11,IF($J386&lt;&gt;"",1,0),IF($J386="",1,0))),IF(法术查询!$J$19="",1,IF(法术查询!$J$19=$AF$11,IF($L386&lt;&gt;"",1,0),IF($L386="",1,0)))),$B386,""),"")</f>
        <v/>
      </c>
      <c r="AD385" s="192" t="str">
        <f t="array" ref="AD385">INDEX(AC:AC,SMALL(IF($AC$2:$AC$523&lt;&gt;"",ROW($2:$523),524),ROW(AC384)))&amp;""</f>
        <v/>
      </c>
      <c r="AE385" s="200" t="str">
        <f t="shared" si="9"/>
        <v/>
      </c>
    </row>
    <row r="386" customHeight="1" spans="1:31">
      <c r="A386" s="192">
        <v>384</v>
      </c>
      <c r="B386" s="224" t="s">
        <v>8303</v>
      </c>
      <c r="C386" s="224" t="s">
        <v>8304</v>
      </c>
      <c r="E386" s="229" t="s">
        <v>6664</v>
      </c>
      <c r="F386" s="193" t="s">
        <v>6642</v>
      </c>
      <c r="G386" s="193" t="s">
        <v>6643</v>
      </c>
      <c r="H386" s="193">
        <v>1</v>
      </c>
      <c r="I386" s="193">
        <v>1</v>
      </c>
      <c r="J386" s="193">
        <v>1</v>
      </c>
      <c r="K386" s="224" t="s">
        <v>8305</v>
      </c>
      <c r="M386" s="193">
        <v>1</v>
      </c>
      <c r="N386" s="193" t="s">
        <v>6666</v>
      </c>
      <c r="O386" s="224" t="s">
        <v>8306</v>
      </c>
      <c r="P386" s="224">
        <v>5</v>
      </c>
      <c r="Q386" s="245" t="str">
        <f>IF(综合数据!$B$7=TRUE,"XGE","")</f>
        <v>XGE</v>
      </c>
      <c r="S386" s="193">
        <v>6</v>
      </c>
      <c r="X386" s="193">
        <v>6</v>
      </c>
      <c r="AA386" s="200"/>
      <c r="AB386" s="200" t="str">
        <f t="array" ref="AB386">INDEX(B:B,SMALL(IF($Q$3:$Q$524&lt;&gt;"",ROW($3:$524),525),ROW(B385)))&amp;""</f>
        <v>焚烧</v>
      </c>
      <c r="AC386" s="225" t="str">
        <f>IFERROR(IF(AND($Q387&lt;&gt;"",IF(法术查询!$J$4="",1,INDEX($R387:$Z387,1,VLOOKUP(法术查询!$J$4,$AF$2:$AG$10,2,0)))&lt;&gt;"",IF(法术查询!$J$5="",1,$P387=VLOOKUP(法术查询!$J$5,$AH$2:$AI$11,2,0)),IF(法术查询!$J$6="",1,IF(法术查询!$J$6=$E387,1,0)),IF(法术查询!$J$7="",1,SEARCH(法术查询!$J$7,$F387)),IF(法术查询!$J$8="",1,SEARCH(法术查询!$J$8,G387)),IF(法术查询!$J$9="",1,SEARCH(法术查询!$J$9,N387)),IF(法术查询!$J$10="",1,IF(法术查询!$J$10=$AF$11,IF($M387=1,1,0),IF($M387="",1,0))),IF(法术查询!$J$11="",1,IF(法术查询!$J$11=$AF$11,IF($D387=1,1,0),IF($D387="",1,0))),IF(法术查询!$J$12="",1,SEARCH(法术查询!$J$12,$B387&amp;$C387&amp;$O387)),IF(法术查询!$J$13="",1,SEARCH(法术查询!$J$13,$B387&amp;$C387&amp;$O387)),IF(法术查询!$J$14="",1,SEARCH(法术查询!$J$14,$B387&amp;$C387&amp;$O387)),IF(法术查询!$J$16="",1,IF(法术查询!$J$16=$AF$11,IF($H387=1,1,0),IF($H387="",1,0))),IF(法术查询!$J$17="",1,IF(法术查询!$J$17=$AF$11,IF($I387=1,1,0),IF($I387="",1,0))),IF(法术查询!$J$18="",1,IF(法术查询!$J$18=$AF$11,IF($J387&lt;&gt;"",1,0),IF($J387="",1,0))),IF(法术查询!$J$19="",1,IF(法术查询!$J$19=$AF$11,IF($L387&lt;&gt;"",1,0),IF($L387="",1,0)))),$B387,""),"")</f>
        <v/>
      </c>
      <c r="AD386" s="192" t="str">
        <f t="array" ref="AD386">INDEX(AC:AC,SMALL(IF($AC$2:$AC$523&lt;&gt;"",ROW($2:$523),524),ROW(AC385)))&amp;""</f>
        <v/>
      </c>
      <c r="AE386" s="200" t="str">
        <f t="shared" si="9"/>
        <v/>
      </c>
    </row>
    <row r="387" customHeight="1" spans="1:31">
      <c r="A387" s="192">
        <v>385</v>
      </c>
      <c r="B387" s="224" t="s">
        <v>8307</v>
      </c>
      <c r="C387" s="224" t="s">
        <v>8308</v>
      </c>
      <c r="E387" s="243" t="s">
        <v>6657</v>
      </c>
      <c r="F387" s="193" t="s">
        <v>6642</v>
      </c>
      <c r="G387" s="193" t="s">
        <v>6643</v>
      </c>
      <c r="H387" s="193">
        <v>1</v>
      </c>
      <c r="I387" s="193">
        <v>1</v>
      </c>
      <c r="K387" s="224"/>
      <c r="M387" s="193">
        <v>1</v>
      </c>
      <c r="N387" s="193" t="s">
        <v>6666</v>
      </c>
      <c r="O387" s="224" t="s">
        <v>8309</v>
      </c>
      <c r="P387" s="224">
        <v>5</v>
      </c>
      <c r="Q387" s="245" t="str">
        <f>IF(综合数据!$B$7=TRUE,"XGE","")</f>
        <v>XGE</v>
      </c>
      <c r="W387" s="193">
        <v>6</v>
      </c>
      <c r="X387" s="193">
        <v>6</v>
      </c>
      <c r="Y387" s="193">
        <v>6</v>
      </c>
      <c r="AA387" s="200"/>
      <c r="AB387" s="200" t="str">
        <f t="array" ref="AB387">INDEX(B:B,SMALL(IF($Q$3:$Q$524&lt;&gt;"",ROW($3:$524),525),ROW(B386)))&amp;""</f>
        <v>地狱呼唤</v>
      </c>
      <c r="AC387" s="225" t="str">
        <f>IFERROR(IF(AND($Q388&lt;&gt;"",IF(法术查询!$J$4="",1,INDEX($R388:$Z388,1,VLOOKUP(法术查询!$J$4,$AF$2:$AG$10,2,0)))&lt;&gt;"",IF(法术查询!$J$5="",1,$P388=VLOOKUP(法术查询!$J$5,$AH$2:$AI$11,2,0)),IF(法术查询!$J$6="",1,IF(法术查询!$J$6=$E388,1,0)),IF(法术查询!$J$7="",1,SEARCH(法术查询!$J$7,$F388)),IF(法术查询!$J$8="",1,SEARCH(法术查询!$J$8,G388)),IF(法术查询!$J$9="",1,SEARCH(法术查询!$J$9,N388)),IF(法术查询!$J$10="",1,IF(法术查询!$J$10=$AF$11,IF($M388=1,1,0),IF($M388="",1,0))),IF(法术查询!$J$11="",1,IF(法术查询!$J$11=$AF$11,IF($D388=1,1,0),IF($D388="",1,0))),IF(法术查询!$J$12="",1,SEARCH(法术查询!$J$12,$B388&amp;$C388&amp;$O388)),IF(法术查询!$J$13="",1,SEARCH(法术查询!$J$13,$B388&amp;$C388&amp;$O388)),IF(法术查询!$J$14="",1,SEARCH(法术查询!$J$14,$B388&amp;$C388&amp;$O388)),IF(法术查询!$J$16="",1,IF(法术查询!$J$16=$AF$11,IF($H388=1,1,0),IF($H388="",1,0))),IF(法术查询!$J$17="",1,IF(法术查询!$J$17=$AF$11,IF($I388=1,1,0),IF($I388="",1,0))),IF(法术查询!$J$18="",1,IF(法术查询!$J$18=$AF$11,IF($J388&lt;&gt;"",1,0),IF($J388="",1,0))),IF(法术查询!$J$19="",1,IF(法术查询!$J$19=$AF$11,IF($L388&lt;&gt;"",1,0),IF($L388="",1,0)))),$B388,""),"")</f>
        <v/>
      </c>
      <c r="AD387" s="192" t="str">
        <f t="array" ref="AD387">INDEX(AC:AC,SMALL(IF($AC$2:$AC$523&lt;&gt;"",ROW($2:$523),524),ROW(AC386)))&amp;""</f>
        <v/>
      </c>
      <c r="AE387" s="200" t="str">
        <f t="shared" ref="AE387:AE450" si="10">IF(AD387="","",VLOOKUP(AD387,B:C,2,0))</f>
        <v/>
      </c>
    </row>
    <row r="388" customHeight="1" spans="1:31">
      <c r="A388" s="192">
        <v>386</v>
      </c>
      <c r="B388" s="224" t="s">
        <v>8310</v>
      </c>
      <c r="C388" s="224" t="s">
        <v>8311</v>
      </c>
      <c r="E388" s="240" t="s">
        <v>6641</v>
      </c>
      <c r="F388" s="193" t="s">
        <v>6712</v>
      </c>
      <c r="G388" s="193" t="s">
        <v>6651</v>
      </c>
      <c r="H388" s="193">
        <v>1</v>
      </c>
      <c r="K388" s="224"/>
      <c r="M388" s="193">
        <v>1</v>
      </c>
      <c r="N388" s="193" t="s">
        <v>6666</v>
      </c>
      <c r="O388" s="224" t="s">
        <v>8312</v>
      </c>
      <c r="P388" s="224">
        <v>5</v>
      </c>
      <c r="Q388" s="245" t="str">
        <f>IF(综合数据!$B$7=TRUE,"XGE","")</f>
        <v>XGE</v>
      </c>
      <c r="W388" s="193">
        <v>6</v>
      </c>
      <c r="X388" s="193">
        <v>6</v>
      </c>
      <c r="Y388" s="193">
        <v>6</v>
      </c>
      <c r="AA388" s="200"/>
      <c r="AB388" s="200" t="str">
        <f t="array" ref="AB388">INDEX(B:B,SMALL(IF($Q$3:$Q$524&lt;&gt;"",ROW($3:$524),525),ROW(B387)))&amp;""</f>
        <v>大漩涡</v>
      </c>
      <c r="AC388" s="225" t="str">
        <f>IFERROR(IF(AND($Q389&lt;&gt;"",IF(法术查询!$J$4="",1,INDEX($R389:$Z389,1,VLOOKUP(法术查询!$J$4,$AF$2:$AG$10,2,0)))&lt;&gt;"",IF(法术查询!$J$5="",1,$P389=VLOOKUP(法术查询!$J$5,$AH$2:$AI$11,2,0)),IF(法术查询!$J$6="",1,IF(法术查询!$J$6=$E389,1,0)),IF(法术查询!$J$7="",1,SEARCH(法术查询!$J$7,$F389)),IF(法术查询!$J$8="",1,SEARCH(法术查询!$J$8,G389)),IF(法术查询!$J$9="",1,SEARCH(法术查询!$J$9,N389)),IF(法术查询!$J$10="",1,IF(法术查询!$J$10=$AF$11,IF($M389=1,1,0),IF($M389="",1,0))),IF(法术查询!$J$11="",1,IF(法术查询!$J$11=$AF$11,IF($D389=1,1,0),IF($D389="",1,0))),IF(法术查询!$J$12="",1,SEARCH(法术查询!$J$12,$B389&amp;$C389&amp;$O389)),IF(法术查询!$J$13="",1,SEARCH(法术查询!$J$13,$B389&amp;$C389&amp;$O389)),IF(法术查询!$J$14="",1,SEARCH(法术查询!$J$14,$B389&amp;$C389&amp;$O389)),IF(法术查询!$J$16="",1,IF(法术查询!$J$16=$AF$11,IF($H389=1,1,0),IF($H389="",1,0))),IF(法术查询!$J$17="",1,IF(法术查询!$J$17=$AF$11,IF($I389=1,1,0),IF($I389="",1,0))),IF(法术查询!$J$18="",1,IF(法术查询!$J$18=$AF$11,IF($J389&lt;&gt;"",1,0),IF($J389="",1,0))),IF(法术查询!$J$19="",1,IF(法术查询!$J$19=$AF$11,IF($L389&lt;&gt;"",1,0),IF($L389="",1,0)))),$B389,""),"")</f>
        <v/>
      </c>
      <c r="AD388" s="192" t="str">
        <f t="array" ref="AD388">INDEX(AC:AC,SMALL(IF($AC$2:$AC$523&lt;&gt;"",ROW($2:$523),524),ROW(AC387)))&amp;""</f>
        <v/>
      </c>
      <c r="AE388" s="200" t="str">
        <f t="shared" si="10"/>
        <v/>
      </c>
    </row>
    <row r="389" customHeight="1" spans="1:31">
      <c r="A389" s="192">
        <v>387</v>
      </c>
      <c r="B389" s="224" t="s">
        <v>8313</v>
      </c>
      <c r="C389" s="224" t="s">
        <v>8314</v>
      </c>
      <c r="E389" s="229" t="s">
        <v>6664</v>
      </c>
      <c r="F389" s="193" t="s">
        <v>6712</v>
      </c>
      <c r="G389" s="193" t="s">
        <v>3760</v>
      </c>
      <c r="H389" s="193">
        <v>1</v>
      </c>
      <c r="I389" s="193">
        <v>1</v>
      </c>
      <c r="K389" s="224"/>
      <c r="M389" s="193">
        <v>1</v>
      </c>
      <c r="N389" s="193" t="s">
        <v>6739</v>
      </c>
      <c r="O389" s="224" t="s">
        <v>8315</v>
      </c>
      <c r="P389" s="224">
        <v>5</v>
      </c>
      <c r="Q389" s="245" t="str">
        <f>IF(综合数据!$B$7=TRUE,"XGE","")</f>
        <v>XGE</v>
      </c>
      <c r="S389" s="193">
        <v>6</v>
      </c>
      <c r="U389" s="193">
        <v>6</v>
      </c>
      <c r="AA389" s="200"/>
      <c r="AB389" s="200" t="str">
        <f t="array" ref="AB389">INDEX(B:B,SMALL(IF($Q$3:$Q$524&lt;&gt;"",ROW($3:$524),525),ROW(B388)))&amp;""</f>
        <v>负能量洪流</v>
      </c>
      <c r="AC389" s="225" t="str">
        <f>IFERROR(IF(AND($Q390&lt;&gt;"",IF(法术查询!$J$4="",1,INDEX($R390:$Z390,1,VLOOKUP(法术查询!$J$4,$AF$2:$AG$10,2,0)))&lt;&gt;"",IF(法术查询!$J$5="",1,$P390=VLOOKUP(法术查询!$J$5,$AH$2:$AI$11,2,0)),IF(法术查询!$J$6="",1,IF(法术查询!$J$6=$E390,1,0)),IF(法术查询!$J$7="",1,SEARCH(法术查询!$J$7,$F390)),IF(法术查询!$J$8="",1,SEARCH(法术查询!$J$8,G390)),IF(法术查询!$J$9="",1,SEARCH(法术查询!$J$9,N390)),IF(法术查询!$J$10="",1,IF(法术查询!$J$10=$AF$11,IF($M390=1,1,0),IF($M390="",1,0))),IF(法术查询!$J$11="",1,IF(法术查询!$J$11=$AF$11,IF($D390=1,1,0),IF($D390="",1,0))),IF(法术查询!$J$12="",1,SEARCH(法术查询!$J$12,$B390&amp;$C390&amp;$O390)),IF(法术查询!$J$13="",1,SEARCH(法术查询!$J$13,$B390&amp;$C390&amp;$O390)),IF(法术查询!$J$14="",1,SEARCH(法术查询!$J$14,$B390&amp;$C390&amp;$O390)),IF(法术查询!$J$16="",1,IF(法术查询!$J$16=$AF$11,IF($H390=1,1,0),IF($H390="",1,0))),IF(法术查询!$J$17="",1,IF(法术查询!$J$17=$AF$11,IF($I390=1,1,0),IF($I390="",1,0))),IF(法术查询!$J$18="",1,IF(法术查询!$J$18=$AF$11,IF($J390&lt;&gt;"",1,0),IF($J390="",1,0))),IF(法术查询!$J$19="",1,IF(法术查询!$J$19=$AF$11,IF($L390&lt;&gt;"",1,0),IF($L390="",1,0)))),$B390,""),"")</f>
        <v/>
      </c>
      <c r="AD389" s="192" t="str">
        <f t="array" ref="AD389">INDEX(AC:AC,SMALL(IF($AC$2:$AC$523&lt;&gt;"",ROW($2:$523),524),ROW(AC388)))&amp;""</f>
        <v/>
      </c>
      <c r="AE389" s="200" t="str">
        <f t="shared" si="10"/>
        <v/>
      </c>
    </row>
    <row r="390" customHeight="1" spans="1:31">
      <c r="A390" s="192">
        <v>388</v>
      </c>
      <c r="B390" s="224" t="s">
        <v>8316</v>
      </c>
      <c r="C390" s="224" t="s">
        <v>8317</v>
      </c>
      <c r="E390" s="229" t="s">
        <v>6664</v>
      </c>
      <c r="F390" s="193" t="s">
        <v>6642</v>
      </c>
      <c r="G390" s="193" t="s">
        <v>6760</v>
      </c>
      <c r="H390" s="193">
        <v>1</v>
      </c>
      <c r="K390" s="224"/>
      <c r="M390" s="193">
        <v>1</v>
      </c>
      <c r="N390" s="193" t="s">
        <v>6666</v>
      </c>
      <c r="O390" s="224" t="s">
        <v>8318</v>
      </c>
      <c r="P390" s="224">
        <v>5</v>
      </c>
      <c r="Q390" s="245" t="str">
        <f>IF(综合数据!$B$7=TRUE,"XGE","")</f>
        <v>XGE</v>
      </c>
      <c r="W390" s="193">
        <v>6</v>
      </c>
      <c r="X390" s="193">
        <v>6</v>
      </c>
      <c r="AA390" s="200"/>
      <c r="AB390" s="200" t="str">
        <f t="array" ref="AB390">INDEX(B:B,SMALL(IF($Q$3:$Q$524&lt;&gt;"",ROW($3:$524),525),ROW(B389)))&amp;""</f>
        <v>授予技能</v>
      </c>
      <c r="AC390" s="225" t="str">
        <f>IFERROR(IF(AND($Q391&lt;&gt;"",IF(法术查询!$J$4="",1,INDEX($R391:$Z391,1,VLOOKUP(法术查询!$J$4,$AF$2:$AG$10,2,0)))&lt;&gt;"",IF(法术查询!$J$5="",1,$P391=VLOOKUP(法术查询!$J$5,$AH$2:$AI$11,2,0)),IF(法术查询!$J$6="",1,IF(法术查询!$J$6=$E391,1,0)),IF(法术查询!$J$7="",1,SEARCH(法术查询!$J$7,$F391)),IF(法术查询!$J$8="",1,SEARCH(法术查询!$J$8,G391)),IF(法术查询!$J$9="",1,SEARCH(法术查询!$J$9,N391)),IF(法术查询!$J$10="",1,IF(法术查询!$J$10=$AF$11,IF($M391=1,1,0),IF($M391="",1,0))),IF(法术查询!$J$11="",1,IF(法术查询!$J$11=$AF$11,IF($D391=1,1,0),IF($D391="",1,0))),IF(法术查询!$J$12="",1,SEARCH(法术查询!$J$12,$B391&amp;$C391&amp;$O391)),IF(法术查询!$J$13="",1,SEARCH(法术查询!$J$13,$B391&amp;$C391&amp;$O391)),IF(法术查询!$J$14="",1,SEARCH(法术查询!$J$14,$B391&amp;$C391&amp;$O391)),IF(法术查询!$J$16="",1,IF(法术查询!$J$16=$AF$11,IF($H391=1,1,0),IF($H391="",1,0))),IF(法术查询!$J$17="",1,IF(法术查询!$J$17=$AF$11,IF($I391=1,1,0),IF($I391="",1,0))),IF(法术查询!$J$18="",1,IF(法术查询!$J$18=$AF$11,IF($J391&lt;&gt;"",1,0),IF($J391="",1,0))),IF(法术查询!$J$19="",1,IF(法术查询!$J$19=$AF$11,IF($L391&lt;&gt;"",1,0),IF($L391="",1,0)))),$B391,""),"")</f>
        <v/>
      </c>
      <c r="AD390" s="192" t="str">
        <f t="array" ref="AD390">INDEX(AC:AC,SMALL(IF($AC$2:$AC$523&lt;&gt;"",ROW($2:$523),524),ROW(AC389)))&amp;""</f>
        <v/>
      </c>
      <c r="AE390" s="200" t="str">
        <f t="shared" si="10"/>
        <v/>
      </c>
    </row>
    <row r="391" customHeight="1" spans="1:31">
      <c r="A391" s="192">
        <v>389</v>
      </c>
      <c r="B391" s="224" t="s">
        <v>8319</v>
      </c>
      <c r="C391" s="224" t="s">
        <v>8320</v>
      </c>
      <c r="E391" s="240" t="s">
        <v>6641</v>
      </c>
      <c r="F391" s="193" t="s">
        <v>6709</v>
      </c>
      <c r="G391" s="193" t="s">
        <v>6760</v>
      </c>
      <c r="H391" s="193">
        <v>1</v>
      </c>
      <c r="I391" s="193">
        <v>1</v>
      </c>
      <c r="J391" s="193">
        <v>1</v>
      </c>
      <c r="K391" s="224" t="s">
        <v>8321</v>
      </c>
      <c r="M391" s="193">
        <v>1</v>
      </c>
      <c r="N391" s="193" t="s">
        <v>6739</v>
      </c>
      <c r="O391" s="224" t="s">
        <v>8322</v>
      </c>
      <c r="P391" s="224">
        <v>5</v>
      </c>
      <c r="Q391" s="245" t="str">
        <f>IF(综合数据!$B$7=TRUE,"XGE","")</f>
        <v>XGE</v>
      </c>
      <c r="X391" s="193">
        <v>6</v>
      </c>
      <c r="Y391" s="193">
        <v>6</v>
      </c>
      <c r="AA391" s="200"/>
      <c r="AB391" s="200" t="str">
        <f t="array" ref="AB391">INDEX(B:B,SMALL(IF($Q$3:$Q$524&lt;&gt;"",ROW($3:$524),525),ROW(B390)))&amp;""</f>
        <v>钢风斩</v>
      </c>
      <c r="AC391" s="225" t="str">
        <f>IFERROR(IF(AND($Q392&lt;&gt;"",IF(法术查询!$J$4="",1,INDEX($R392:$Z392,1,VLOOKUP(法术查询!$J$4,$AF$2:$AG$10,2,0)))&lt;&gt;"",IF(法术查询!$J$5="",1,$P392=VLOOKUP(法术查询!$J$5,$AH$2:$AI$11,2,0)),IF(法术查询!$J$6="",1,IF(法术查询!$J$6=$E392,1,0)),IF(法术查询!$J$7="",1,SEARCH(法术查询!$J$7,$F392)),IF(法术查询!$J$8="",1,SEARCH(法术查询!$J$8,G392)),IF(法术查询!$J$9="",1,SEARCH(法术查询!$J$9,N392)),IF(法术查询!$J$10="",1,IF(法术查询!$J$10=$AF$11,IF($M392=1,1,0),IF($M392="",1,0))),IF(法术查询!$J$11="",1,IF(法术查询!$J$11=$AF$11,IF($D392=1,1,0),IF($D392="",1,0))),IF(法术查询!$J$12="",1,SEARCH(法术查询!$J$12,$B392&amp;$C392&amp;$O392)),IF(法术查询!$J$13="",1,SEARCH(法术查询!$J$13,$B392&amp;$C392&amp;$O392)),IF(法术查询!$J$14="",1,SEARCH(法术查询!$J$14,$B392&amp;$C392&amp;$O392)),IF(法术查询!$J$16="",1,IF(法术查询!$J$16=$AF$11,IF($H392=1,1,0),IF($H392="",1,0))),IF(法术查询!$J$17="",1,IF(法术查询!$J$17=$AF$11,IF($I392=1,1,0),IF($I392="",1,0))),IF(法术查询!$J$18="",1,IF(法术查询!$J$18=$AF$11,IF($J392&lt;&gt;"",1,0),IF($J392="",1,0))),IF(法术查询!$J$19="",1,IF(法术查询!$J$19=$AF$11,IF($L392&lt;&gt;"",1,0),IF($L392="",1,0)))),$B392,""),"")</f>
        <v/>
      </c>
      <c r="AD391" s="192" t="str">
        <f t="array" ref="AD391">INDEX(AC:AC,SMALL(IF($AC$2:$AC$523&lt;&gt;"",ROW($2:$523),524),ROW(AC390)))&amp;""</f>
        <v/>
      </c>
      <c r="AE391" s="200" t="str">
        <f t="shared" si="10"/>
        <v/>
      </c>
    </row>
    <row r="392" customHeight="1" spans="1:31">
      <c r="A392" s="192">
        <v>390</v>
      </c>
      <c r="B392" s="224" t="s">
        <v>8323</v>
      </c>
      <c r="C392" s="224" t="s">
        <v>8324</v>
      </c>
      <c r="E392" s="229" t="s">
        <v>6664</v>
      </c>
      <c r="F392" s="193" t="s">
        <v>6642</v>
      </c>
      <c r="G392" s="193" t="s">
        <v>6658</v>
      </c>
      <c r="H392" s="193">
        <v>1</v>
      </c>
      <c r="I392" s="193">
        <v>1</v>
      </c>
      <c r="J392" s="193">
        <v>1</v>
      </c>
      <c r="K392" s="224" t="s">
        <v>8325</v>
      </c>
      <c r="M392" s="193">
        <v>1</v>
      </c>
      <c r="N392" s="193" t="s">
        <v>6666</v>
      </c>
      <c r="O392" s="224" t="s">
        <v>8326</v>
      </c>
      <c r="P392" s="224">
        <v>5</v>
      </c>
      <c r="Q392" s="245" t="str">
        <f>IF(综合数据!$B$7=TRUE,"XGE","")</f>
        <v>XGE</v>
      </c>
      <c r="T392" s="193">
        <v>6</v>
      </c>
      <c r="AA392" s="200"/>
      <c r="AB392" s="200" t="str">
        <f t="array" ref="AB392">INDEX(B:B,SMALL(IF($Q$3:$Q$524&lt;&gt;"",ROW($3:$524),525),ROW(B391)))&amp;""</f>
        <v>突触静止</v>
      </c>
      <c r="AC392" s="225" t="str">
        <f>IFERROR(IF(AND($Q393&lt;&gt;"",IF(法术查询!$J$4="",1,INDEX($R393:$Z393,1,VLOOKUP(法术查询!$J$4,$AF$2:$AG$10,2,0)))&lt;&gt;"",IF(法术查询!$J$5="",1,$P393=VLOOKUP(法术查询!$J$5,$AH$2:$AI$11,2,0)),IF(法术查询!$J$6="",1,IF(法术查询!$J$6=$E393,1,0)),IF(法术查询!$J$7="",1,SEARCH(法术查询!$J$7,$F393)),IF(法术查询!$J$8="",1,SEARCH(法术查询!$J$8,G393)),IF(法术查询!$J$9="",1,SEARCH(法术查询!$J$9,N393)),IF(法术查询!$J$10="",1,IF(法术查询!$J$10=$AF$11,IF($M393=1,1,0),IF($M393="",1,0))),IF(法术查询!$J$11="",1,IF(法术查询!$J$11=$AF$11,IF($D393=1,1,0),IF($D393="",1,0))),IF(法术查询!$J$12="",1,SEARCH(法术查询!$J$12,$B393&amp;$C393&amp;$O393)),IF(法术查询!$J$13="",1,SEARCH(法术查询!$J$13,$B393&amp;$C393&amp;$O393)),IF(法术查询!$J$14="",1,SEARCH(法术查询!$J$14,$B393&amp;$C393&amp;$O393)),IF(法术查询!$J$16="",1,IF(法术查询!$J$16=$AF$11,IF($H393=1,1,0),IF($H393="",1,0))),IF(法术查询!$J$17="",1,IF(法术查询!$J$17=$AF$11,IF($I393=1,1,0),IF($I393="",1,0))),IF(法术查询!$J$18="",1,IF(法术查询!$J$18=$AF$11,IF($J393&lt;&gt;"",1,0),IF($J393="",1,0))),IF(法术查询!$J$19="",1,IF(法术查询!$J$19=$AF$11,IF($L393&lt;&gt;"",1,0),IF($L393="",1,0)))),$B393,""),"")</f>
        <v/>
      </c>
      <c r="AD392" s="192" t="str">
        <f t="array" ref="AD392">INDEX(AC:AC,SMALL(IF($AC$2:$AC$523&lt;&gt;"",ROW($2:$523),524),ROW(AC391)))&amp;""</f>
        <v/>
      </c>
      <c r="AE392" s="200" t="str">
        <f t="shared" si="10"/>
        <v/>
      </c>
    </row>
    <row r="393" customHeight="1" spans="1:31">
      <c r="A393" s="192">
        <v>391</v>
      </c>
      <c r="B393" s="224" t="s">
        <v>8327</v>
      </c>
      <c r="C393" s="224" t="s">
        <v>8328</v>
      </c>
      <c r="E393" s="243" t="s">
        <v>6657</v>
      </c>
      <c r="F393" s="193" t="s">
        <v>6642</v>
      </c>
      <c r="G393" s="193" t="s">
        <v>6643</v>
      </c>
      <c r="H393" s="193">
        <v>1</v>
      </c>
      <c r="J393" s="193">
        <v>1</v>
      </c>
      <c r="K393" s="224" t="s">
        <v>8329</v>
      </c>
      <c r="N393" s="193" t="s">
        <v>6644</v>
      </c>
      <c r="O393" s="224" t="s">
        <v>8330</v>
      </c>
      <c r="P393" s="224">
        <v>5</v>
      </c>
      <c r="Q393" s="245" t="str">
        <f>IF(综合数据!$B$7=TRUE,"XGE","")</f>
        <v>XGE</v>
      </c>
      <c r="X393" s="193">
        <v>6</v>
      </c>
      <c r="Y393" s="193">
        <v>6</v>
      </c>
      <c r="AA393" s="200"/>
      <c r="AB393" s="200" t="str">
        <f t="array" ref="AB393">INDEX(B:B,SMALL(IF($Q$3:$Q$524&lt;&gt;"",ROW($3:$524),525),ROW(B392)))&amp;""</f>
        <v>转化岩石</v>
      </c>
      <c r="AC393" s="225" t="str">
        <f>IFERROR(IF(AND($Q394&lt;&gt;"",IF(法术查询!$J$4="",1,INDEX($R394:$Z394,1,VLOOKUP(法术查询!$J$4,$AF$2:$AG$10,2,0)))&lt;&gt;"",IF(法术查询!$J$5="",1,$P394=VLOOKUP(法术查询!$J$5,$AH$2:$AI$11,2,0)),IF(法术查询!$J$6="",1,IF(法术查询!$J$6=$E394,1,0)),IF(法术查询!$J$7="",1,SEARCH(法术查询!$J$7,$F394)),IF(法术查询!$J$8="",1,SEARCH(法术查询!$J$8,G394)),IF(法术查询!$J$9="",1,SEARCH(法术查询!$J$9,N394)),IF(法术查询!$J$10="",1,IF(法术查询!$J$10=$AF$11,IF($M394=1,1,0),IF($M394="",1,0))),IF(法术查询!$J$11="",1,IF(法术查询!$J$11=$AF$11,IF($D394=1,1,0),IF($D394="",1,0))),IF(法术查询!$J$12="",1,SEARCH(法术查询!$J$12,$B394&amp;$C394&amp;$O394)),IF(法术查询!$J$13="",1,SEARCH(法术查询!$J$13,$B394&amp;$C394&amp;$O394)),IF(法术查询!$J$14="",1,SEARCH(法术查询!$J$14,$B394&amp;$C394&amp;$O394)),IF(法术查询!$J$16="",1,IF(法术查询!$J$16=$AF$11,IF($H394=1,1,0),IF($H394="",1,0))),IF(法术查询!$J$17="",1,IF(法术查询!$J$17=$AF$11,IF($I394=1,1,0),IF($I394="",1,0))),IF(法术查询!$J$18="",1,IF(法术查询!$J$18=$AF$11,IF($J394&lt;&gt;"",1,0),IF($J394="",1,0))),IF(法术查询!$J$19="",1,IF(法术查询!$J$19=$AF$11,IF($L394&lt;&gt;"",1,0),IF($L394="",1,0)))),$B394,""),"")</f>
        <v/>
      </c>
      <c r="AD393" s="192" t="str">
        <f t="array" ref="AD393">INDEX(AC:AC,SMALL(IF($AC$2:$AC$523&lt;&gt;"",ROW($2:$523),524),ROW(AC392)))&amp;""</f>
        <v/>
      </c>
      <c r="AE393" s="200" t="str">
        <f t="shared" si="10"/>
        <v/>
      </c>
    </row>
    <row r="394" customHeight="1" spans="1:31">
      <c r="A394" s="192">
        <v>392</v>
      </c>
      <c r="B394" s="224" t="s">
        <v>8331</v>
      </c>
      <c r="C394" s="224" t="s">
        <v>8332</v>
      </c>
      <c r="E394" s="231" t="s">
        <v>6672</v>
      </c>
      <c r="F394" s="193" t="s">
        <v>6642</v>
      </c>
      <c r="G394" s="193" t="s">
        <v>3760</v>
      </c>
      <c r="H394" s="193">
        <v>1</v>
      </c>
      <c r="I394" s="193">
        <v>1</v>
      </c>
      <c r="K394" s="224"/>
      <c r="M394" s="193">
        <v>1</v>
      </c>
      <c r="N394" s="193" t="s">
        <v>6739</v>
      </c>
      <c r="O394" s="224" t="s">
        <v>8333</v>
      </c>
      <c r="P394" s="224">
        <v>5</v>
      </c>
      <c r="Q394" s="245" t="str">
        <f>IF(综合数据!$B$7=TRUE,"XGE","")</f>
        <v>XGE</v>
      </c>
      <c r="R394" s="193">
        <v>6</v>
      </c>
      <c r="W394" s="193">
        <v>6</v>
      </c>
      <c r="X394" s="193">
        <v>6</v>
      </c>
      <c r="Z394" s="193">
        <v>9</v>
      </c>
      <c r="AA394" s="200"/>
      <c r="AB394" s="200" t="str">
        <f t="array" ref="AB394">INDEX(B:B,SMALL(IF($Q$3:$Q$524&lt;&gt;"",ROW($3:$524),525),ROW(B393)))&amp;""</f>
        <v>光墙术</v>
      </c>
      <c r="AC394" s="225" t="str">
        <f>IFERROR(IF(AND($Q395&lt;&gt;"",IF(法术查询!$J$4="",1,INDEX($R395:$Z395,1,VLOOKUP(法术查询!$J$4,$AF$2:$AG$10,2,0)))&lt;&gt;"",IF(法术查询!$J$5="",1,$P395=VLOOKUP(法术查询!$J$5,$AH$2:$AI$11,2,0)),IF(法术查询!$J$6="",1,IF(法术查询!$J$6=$E395,1,0)),IF(法术查询!$J$7="",1,SEARCH(法术查询!$J$7,$F395)),IF(法术查询!$J$8="",1,SEARCH(法术查询!$J$8,G395)),IF(法术查询!$J$9="",1,SEARCH(法术查询!$J$9,N395)),IF(法术查询!$J$10="",1,IF(法术查询!$J$10=$AF$11,IF($M395=1,1,0),IF($M395="",1,0))),IF(法术查询!$J$11="",1,IF(法术查询!$J$11=$AF$11,IF($D395=1,1,0),IF($D395="",1,0))),IF(法术查询!$J$12="",1,SEARCH(法术查询!$J$12,$B395&amp;$C395&amp;$O395)),IF(法术查询!$J$13="",1,SEARCH(法术查询!$J$13,$B395&amp;$C395&amp;$O395)),IF(法术查询!$J$14="",1,SEARCH(法术查询!$J$14,$B395&amp;$C395&amp;$O395)),IF(法术查询!$J$16="",1,IF(法术查询!$J$16=$AF$11,IF($H395=1,1,0),IF($H395="",1,0))),IF(法术查询!$J$17="",1,IF(法术查询!$J$17=$AF$11,IF($I395=1,1,0),IF($I395="",1,0))),IF(法术查询!$J$18="",1,IF(法术查询!$J$18=$AF$11,IF($J395&lt;&gt;"",1,0),IF($J395="",1,0))),IF(法术查询!$J$19="",1,IF(法术查询!$J$19=$AF$11,IF($L395&lt;&gt;"",1,0),IF($L395="",1,0)))),$B395,""),"")</f>
        <v/>
      </c>
      <c r="AD394" s="192" t="str">
        <f t="array" ref="AD394">INDEX(AC:AC,SMALL(IF($AC$2:$AC$523&lt;&gt;"",ROW($2:$523),524),ROW(AC393)))&amp;""</f>
        <v/>
      </c>
      <c r="AE394" s="200" t="str">
        <f t="shared" si="10"/>
        <v/>
      </c>
    </row>
    <row r="395" customHeight="1" spans="1:31">
      <c r="A395" s="192">
        <v>393</v>
      </c>
      <c r="B395" s="224" t="s">
        <v>8334</v>
      </c>
      <c r="C395" s="224" t="s">
        <v>8335</v>
      </c>
      <c r="E395" s="240" t="s">
        <v>6641</v>
      </c>
      <c r="F395" s="193" t="s">
        <v>6642</v>
      </c>
      <c r="G395" s="193" t="s">
        <v>6673</v>
      </c>
      <c r="I395" s="193">
        <v>1</v>
      </c>
      <c r="J395" s="193">
        <v>1</v>
      </c>
      <c r="K395" s="224" t="s">
        <v>8336</v>
      </c>
      <c r="N395" s="193" t="s">
        <v>6644</v>
      </c>
      <c r="O395" s="224" t="s">
        <v>8337</v>
      </c>
      <c r="P395" s="224">
        <v>5</v>
      </c>
      <c r="Q395" s="245" t="str">
        <f>IF(综合数据!$B$7=TRUE,"XGE","")</f>
        <v>XGE</v>
      </c>
      <c r="V395" s="193">
        <v>6</v>
      </c>
      <c r="X395" s="193">
        <v>6</v>
      </c>
      <c r="AA395" s="200"/>
      <c r="AB395" s="200" t="str">
        <f t="array" ref="AB395">INDEX(B:B,SMALL(IF($Q$3:$Q$524&lt;&gt;"",ROW($3:$524),525),ROW(B394)))&amp;""</f>
        <v>自然之怒</v>
      </c>
      <c r="AC395" s="225" t="str">
        <f>IFERROR(IF(AND($Q396&lt;&gt;"",IF(法术查询!$J$4="",1,INDEX($R396:$Z396,1,VLOOKUP(法术查询!$J$4,$AF$2:$AG$10,2,0)))&lt;&gt;"",IF(法术查询!$J$5="",1,$P396=VLOOKUP(法术查询!$J$5,$AH$2:$AI$11,2,0)),IF(法术查询!$J$6="",1,IF(法术查询!$J$6=$E396,1,0)),IF(法术查询!$J$7="",1,SEARCH(法术查询!$J$7,$F396)),IF(法术查询!$J$8="",1,SEARCH(法术查询!$J$8,G396)),IF(法术查询!$J$9="",1,SEARCH(法术查询!$J$9,N396)),IF(法术查询!$J$10="",1,IF(法术查询!$J$10=$AF$11,IF($M396=1,1,0),IF($M396="",1,0))),IF(法术查询!$J$11="",1,IF(法术查询!$J$11=$AF$11,IF($D396=1,1,0),IF($D396="",1,0))),IF(法术查询!$J$12="",1,SEARCH(法术查询!$J$12,$B396&amp;$C396&amp;$O396)),IF(法术查询!$J$13="",1,SEARCH(法术查询!$J$13,$B396&amp;$C396&amp;$O396)),IF(法术查询!$J$14="",1,SEARCH(法术查询!$J$14,$B396&amp;$C396&amp;$O396)),IF(法术查询!$J$16="",1,IF(法术查询!$J$16=$AF$11,IF($H396=1,1,0),IF($H396="",1,0))),IF(法术查询!$J$17="",1,IF(法术查询!$J$17=$AF$11,IF($I396=1,1,0),IF($I396="",1,0))),IF(法术查询!$J$18="",1,IF(法术查询!$J$18=$AF$11,IF($J396&lt;&gt;"",1,0),IF($J396="",1,0))),IF(法术查询!$J$19="",1,IF(法术查询!$J$19=$AF$11,IF($L396&lt;&gt;"",1,0),IF($L396="",1,0)))),$B396,""),"")</f>
        <v/>
      </c>
      <c r="AD395" s="192" t="str">
        <f t="array" ref="AD395">INDEX(AC:AC,SMALL(IF($AC$2:$AC$523&lt;&gt;"",ROW($2:$523),524),ROW(AC394)))&amp;""</f>
        <v/>
      </c>
      <c r="AE395" s="200" t="str">
        <f t="shared" si="10"/>
        <v/>
      </c>
    </row>
    <row r="396" customHeight="1" spans="1:31">
      <c r="A396" s="192">
        <v>394</v>
      </c>
      <c r="B396" s="224" t="s">
        <v>8338</v>
      </c>
      <c r="C396" s="224" t="s">
        <v>8339</v>
      </c>
      <c r="E396" s="233" t="s">
        <v>6688</v>
      </c>
      <c r="F396" s="193" t="s">
        <v>6642</v>
      </c>
      <c r="G396" s="193" t="s">
        <v>6658</v>
      </c>
      <c r="H396" s="193">
        <v>1</v>
      </c>
      <c r="I396" s="193">
        <v>1</v>
      </c>
      <c r="K396" s="224"/>
      <c r="N396" s="193" t="s">
        <v>6644</v>
      </c>
      <c r="O396" s="224" t="s">
        <v>8340</v>
      </c>
      <c r="P396" s="224">
        <v>5</v>
      </c>
      <c r="Q396" s="245" t="str">
        <f>IF(综合数据!$B$7=TRUE,"XGE","")</f>
        <v>XGE</v>
      </c>
      <c r="R396" s="193">
        <v>6</v>
      </c>
      <c r="W396" s="193">
        <v>6</v>
      </c>
      <c r="X396" s="193">
        <v>6</v>
      </c>
      <c r="Y396" s="193">
        <v>6</v>
      </c>
      <c r="AA396" s="200"/>
      <c r="AB396" s="200" t="str">
        <f t="array" ref="AB396">INDEX(B:B,SMALL(IF($Q$3:$Q$524&lt;&gt;"",ROW($3:$524),525),ROW(B395)))&amp;""</f>
        <v>时流刹转</v>
      </c>
      <c r="AC396" s="225" t="str">
        <f>IFERROR(IF(AND($Q397&lt;&gt;"",IF(法术查询!$J$4="",1,INDEX($R397:$Z397,1,VLOOKUP(法术查询!$J$4,$AF$2:$AG$10,2,0)))&lt;&gt;"",IF(法术查询!$J$5="",1,$P397=VLOOKUP(法术查询!$J$5,$AH$2:$AI$11,2,0)),IF(法术查询!$J$6="",1,IF(法术查询!$J$6=$E397,1,0)),IF(法术查询!$J$7="",1,SEARCH(法术查询!$J$7,$F397)),IF(法术查询!$J$8="",1,SEARCH(法术查询!$J$8,G397)),IF(法术查询!$J$9="",1,SEARCH(法术查询!$J$9,N397)),IF(法术查询!$J$10="",1,IF(法术查询!$J$10=$AF$11,IF($M397=1,1,0),IF($M397="",1,0))),IF(法术查询!$J$11="",1,IF(法术查询!$J$11=$AF$11,IF($D397=1,1,0),IF($D397="",1,0))),IF(法术查询!$J$12="",1,SEARCH(法术查询!$J$12,$B397&amp;$C397&amp;$O397)),IF(法术查询!$J$13="",1,SEARCH(法术查询!$J$13,$B397&amp;$C397&amp;$O397)),IF(法术查询!$J$14="",1,SEARCH(法术查询!$J$14,$B397&amp;$C397&amp;$O397)),IF(法术查询!$J$16="",1,IF(法术查询!$J$16=$AF$11,IF($H397=1,1,0),IF($H397="",1,0))),IF(法术查询!$J$17="",1,IF(法术查询!$J$17=$AF$11,IF($I397=1,1,0),IF($I397="",1,0))),IF(法术查询!$J$18="",1,IF(法术查询!$J$18=$AF$11,IF($J397&lt;&gt;"",1,0),IF($J397="",1,0))),IF(法术查询!$J$19="",1,IF(法术查询!$J$19=$AF$11,IF($L397&lt;&gt;"",1,0),IF($L397="",1,0)))),$B397,""),"")</f>
        <v/>
      </c>
      <c r="AD396" s="192" t="str">
        <f t="array" ref="AD396">INDEX(AC:AC,SMALL(IF($AC$2:$AC$523&lt;&gt;"",ROW($2:$523),524),ROW(AC395)))&amp;""</f>
        <v/>
      </c>
      <c r="AE396" s="200" t="str">
        <f t="shared" si="10"/>
        <v/>
      </c>
    </row>
    <row r="397" customHeight="1" spans="1:31">
      <c r="A397" s="192">
        <v>395</v>
      </c>
      <c r="B397" s="224" t="s">
        <v>8341</v>
      </c>
      <c r="C397" s="224" t="s">
        <v>8342</v>
      </c>
      <c r="E397" s="231" t="s">
        <v>6672</v>
      </c>
      <c r="F397" s="193" t="s">
        <v>6642</v>
      </c>
      <c r="G397" s="193" t="s">
        <v>6658</v>
      </c>
      <c r="H397" s="193">
        <v>1</v>
      </c>
      <c r="I397" s="193">
        <v>1</v>
      </c>
      <c r="J397" s="193">
        <v>1</v>
      </c>
      <c r="K397" s="224" t="s">
        <v>8343</v>
      </c>
      <c r="N397" s="193" t="s">
        <v>6794</v>
      </c>
      <c r="O397" s="224" t="s">
        <v>8344</v>
      </c>
      <c r="P397" s="224">
        <v>5</v>
      </c>
      <c r="Q397" s="245" t="str">
        <f>IF(综合数据!$B$7=TRUE,"XGE","")</f>
        <v>XGE</v>
      </c>
      <c r="T397" s="193">
        <v>6</v>
      </c>
      <c r="X397" s="193">
        <v>6</v>
      </c>
      <c r="Z397" s="193">
        <v>9</v>
      </c>
      <c r="AA397" s="200"/>
      <c r="AB397" s="200" t="str">
        <f t="array" ref="AB397">INDEX(B:B,SMALL(IF($Q$3:$Q$524&lt;&gt;"",ROW($3:$524),525),ROW(B396)))&amp;""</f>
        <v>天界召唤术</v>
      </c>
      <c r="AC397" s="225" t="str">
        <f>IFERROR(IF(AND($Q398&lt;&gt;"",IF(法术查询!$J$4="",1,INDEX($R398:$Z398,1,VLOOKUP(法术查询!$J$4,$AF$2:$AG$10,2,0)))&lt;&gt;"",IF(法术查询!$J$5="",1,$P398=VLOOKUP(法术查询!$J$5,$AH$2:$AI$11,2,0)),IF(法术查询!$J$6="",1,IF(法术查询!$J$6=$E398,1,0)),IF(法术查询!$J$7="",1,SEARCH(法术查询!$J$7,$F398)),IF(法术查询!$J$8="",1,SEARCH(法术查询!$J$8,G398)),IF(法术查询!$J$9="",1,SEARCH(法术查询!$J$9,N398)),IF(法术查询!$J$10="",1,IF(法术查询!$J$10=$AF$11,IF($M398=1,1,0),IF($M398="",1,0))),IF(法术查询!$J$11="",1,IF(法术查询!$J$11=$AF$11,IF($D398=1,1,0),IF($D398="",1,0))),IF(法术查询!$J$12="",1,SEARCH(法术查询!$J$12,$B398&amp;$C398&amp;$O398)),IF(法术查询!$J$13="",1,SEARCH(法术查询!$J$13,$B398&amp;$C398&amp;$O398)),IF(法术查询!$J$14="",1,SEARCH(法术查询!$J$14,$B398&amp;$C398&amp;$O398)),IF(法术查询!$J$16="",1,IF(法术查询!$J$16=$AF$11,IF($H398=1,1,0),IF($H398="",1,0))),IF(法术查询!$J$17="",1,IF(法术查询!$J$17=$AF$11,IF($I398=1,1,0),IF($I398="",1,0))),IF(法术查询!$J$18="",1,IF(法术查询!$J$18=$AF$11,IF($J398&lt;&gt;"",1,0),IF($J398="",1,0))),IF(法术查询!$J$19="",1,IF(法术查询!$J$19=$AF$11,IF($L398&lt;&gt;"",1,0),IF($L398="",1,0)))),$B398,""),"")</f>
        <v/>
      </c>
      <c r="AD397" s="192" t="str">
        <f t="array" ref="AD397">INDEX(AC:AC,SMALL(IF($AC$2:$AC$523&lt;&gt;"",ROW($2:$523),524),ROW(AC396)))&amp;""</f>
        <v/>
      </c>
      <c r="AE397" s="200" t="str">
        <f t="shared" si="10"/>
        <v/>
      </c>
    </row>
    <row r="398" customHeight="1" spans="1:31">
      <c r="A398" s="192">
        <v>396</v>
      </c>
      <c r="B398" s="224" t="s">
        <v>8345</v>
      </c>
      <c r="C398" s="224" t="s">
        <v>8346</v>
      </c>
      <c r="E398" s="229" t="s">
        <v>6664</v>
      </c>
      <c r="F398" s="193" t="s">
        <v>6642</v>
      </c>
      <c r="G398" s="193" t="s">
        <v>6658</v>
      </c>
      <c r="H398" s="193">
        <v>1</v>
      </c>
      <c r="I398" s="193">
        <v>1</v>
      </c>
      <c r="J398" s="193">
        <v>1</v>
      </c>
      <c r="K398" s="224" t="s">
        <v>8347</v>
      </c>
      <c r="M398" s="193">
        <v>1</v>
      </c>
      <c r="N398" s="193" t="s">
        <v>6831</v>
      </c>
      <c r="O398" s="224" t="s">
        <v>8348</v>
      </c>
      <c r="P398" s="224">
        <v>5</v>
      </c>
      <c r="Q398" s="245" t="str">
        <f>IF(综合数据!$B$7=TRUE,"XGE","")</f>
        <v>XGE</v>
      </c>
      <c r="W398" s="193">
        <v>6</v>
      </c>
      <c r="X398" s="193">
        <v>6</v>
      </c>
      <c r="Y398" s="193">
        <v>6</v>
      </c>
      <c r="AA398" s="200"/>
      <c r="AB398" s="200" t="str">
        <f t="array" ref="AB398">INDEX(B:B,SMALL(IF($Q$3:$Q$524&lt;&gt;"",ROW($3:$524),525),ROW(B397)))&amp;""</f>
        <v>龙类精魂召唤术</v>
      </c>
      <c r="AC398" s="225" t="str">
        <f>IFERROR(IF(AND($Q399&lt;&gt;"",IF(法术查询!$J$4="",1,INDEX($R399:$Z399,1,VLOOKUP(法术查询!$J$4,$AF$2:$AG$10,2,0)))&lt;&gt;"",IF(法术查询!$J$5="",1,$P399=VLOOKUP(法术查询!$J$5,$AH$2:$AI$11,2,0)),IF(法术查询!$J$6="",1,IF(法术查询!$J$6=$E399,1,0)),IF(法术查询!$J$7="",1,SEARCH(法术查询!$J$7,$F399)),IF(法术查询!$J$8="",1,SEARCH(法术查询!$J$8,G399)),IF(法术查询!$J$9="",1,SEARCH(法术查询!$J$9,N399)),IF(法术查询!$J$10="",1,IF(法术查询!$J$10=$AF$11,IF($M399=1,1,0),IF($M399="",1,0))),IF(法术查询!$J$11="",1,IF(法术查询!$J$11=$AF$11,IF($D399=1,1,0),IF($D399="",1,0))),IF(法术查询!$J$12="",1,SEARCH(法术查询!$J$12,$B399&amp;$C399&amp;$O399)),IF(法术查询!$J$13="",1,SEARCH(法术查询!$J$13,$B399&amp;$C399&amp;$O399)),IF(法术查询!$J$14="",1,SEARCH(法术查询!$J$14,$B399&amp;$C399&amp;$O399)),IF(法术查询!$J$16="",1,IF(法术查询!$J$16=$AF$11,IF($H399=1,1,0),IF($H399="",1,0))),IF(法术查询!$J$17="",1,IF(法术查询!$J$17=$AF$11,IF($I399=1,1,0),IF($I399="",1,0))),IF(法术查询!$J$18="",1,IF(法术查询!$J$18=$AF$11,IF($J399&lt;&gt;"",1,0),IF($J399="",1,0))),IF(法术查询!$J$19="",1,IF(法术查询!$J$19=$AF$11,IF($L399&lt;&gt;"",1,0),IF($L399="",1,0)))),$B399,""),"")</f>
        <v/>
      </c>
      <c r="AD398" s="192" t="str">
        <f t="array" ref="AD398">INDEX(AC:AC,SMALL(IF($AC$2:$AC$523&lt;&gt;"",ROW($2:$523),524),ROW(AC397)))&amp;""</f>
        <v/>
      </c>
      <c r="AE398" s="200" t="str">
        <f t="shared" si="10"/>
        <v/>
      </c>
    </row>
    <row r="399" customHeight="1" spans="1:31">
      <c r="A399" s="192">
        <v>397</v>
      </c>
      <c r="B399" s="224" t="s">
        <v>8349</v>
      </c>
      <c r="C399" s="224" t="s">
        <v>8350</v>
      </c>
      <c r="E399" s="229" t="s">
        <v>6664</v>
      </c>
      <c r="F399" s="193" t="s">
        <v>6642</v>
      </c>
      <c r="G399" s="193" t="s">
        <v>6658</v>
      </c>
      <c r="H399" s="193">
        <v>1</v>
      </c>
      <c r="I399" s="193">
        <v>1</v>
      </c>
      <c r="K399" s="224"/>
      <c r="M399" s="193">
        <v>1</v>
      </c>
      <c r="N399" s="193" t="s">
        <v>6666</v>
      </c>
      <c r="O399" s="224" t="s">
        <v>8351</v>
      </c>
      <c r="P399" s="224">
        <v>5</v>
      </c>
      <c r="Q399" s="245" t="str">
        <f>IF(综合数据!$B$7=TRUE,"XGE","")</f>
        <v>XGE</v>
      </c>
      <c r="T399" s="193">
        <v>6</v>
      </c>
      <c r="V399" s="193">
        <v>6</v>
      </c>
      <c r="AA399" s="200"/>
      <c r="AB399" s="200" t="str">
        <f t="array" ref="AB399">INDEX(B:B,SMALL(IF($Q$3:$Q$524&lt;&gt;"",ROW($3:$524),525),ROW(B398)))&amp;""</f>
        <v>创造法驱魔舵 </v>
      </c>
      <c r="AC399" s="225" t="str">
        <f>IFERROR(IF(AND($Q400&lt;&gt;"",IF(法术查询!$J$4="",1,INDEX($R400:$Z400,1,VLOOKUP(法术查询!$J$4,$AF$2:$AG$10,2,0)))&lt;&gt;"",IF(法术查询!$J$5="",1,$P400=VLOOKUP(法术查询!$J$5,$AH$2:$AI$11,2,0)),IF(法术查询!$J$6="",1,IF(法术查询!$J$6=$E400,1,0)),IF(法术查询!$J$7="",1,SEARCH(法术查询!$J$7,$F400)),IF(法术查询!$J$8="",1,SEARCH(法术查询!$J$8,G400)),IF(法术查询!$J$9="",1,SEARCH(法术查询!$J$9,N400)),IF(法术查询!$J$10="",1,IF(法术查询!$J$10=$AF$11,IF($M400=1,1,0),IF($M400="",1,0))),IF(法术查询!$J$11="",1,IF(法术查询!$J$11=$AF$11,IF($D400=1,1,0),IF($D400="",1,0))),IF(法术查询!$J$12="",1,SEARCH(法术查询!$J$12,$B400&amp;$C400&amp;$O400)),IF(法术查询!$J$13="",1,SEARCH(法术查询!$J$13,$B400&amp;$C400&amp;$O400)),IF(法术查询!$J$14="",1,SEARCH(法术查询!$J$14,$B400&amp;$C400&amp;$O400)),IF(法术查询!$J$16="",1,IF(法术查询!$J$16=$AF$11,IF($H400=1,1,0),IF($H400="",1,0))),IF(法术查询!$J$17="",1,IF(法术查询!$J$17=$AF$11,IF($I400=1,1,0),IF($I400="",1,0))),IF(法术查询!$J$18="",1,IF(法术查询!$J$18=$AF$11,IF($J400&lt;&gt;"",1,0),IF($J400="",1,0))),IF(法术查询!$J$19="",1,IF(法术查询!$J$19=$AF$11,IF($L400&lt;&gt;"",1,0),IF($L400="",1,0)))),$B400,""),"")</f>
        <v/>
      </c>
      <c r="AD399" s="192" t="str">
        <f t="array" ref="AD399">INDEX(AC:AC,SMALL(IF($AC$2:$AC$523&lt;&gt;"",ROW($2:$523),524),ROW(AC398)))&amp;""</f>
        <v/>
      </c>
      <c r="AE399" s="200" t="str">
        <f t="shared" si="10"/>
        <v/>
      </c>
    </row>
    <row r="400" customHeight="1" spans="1:31">
      <c r="A400" s="192">
        <v>398</v>
      </c>
      <c r="B400" s="224" t="s">
        <v>8352</v>
      </c>
      <c r="C400" s="224" t="s">
        <v>8353</v>
      </c>
      <c r="E400" s="231" t="s">
        <v>6672</v>
      </c>
      <c r="F400" s="193" t="s">
        <v>6806</v>
      </c>
      <c r="G400" s="193" t="s">
        <v>6658</v>
      </c>
      <c r="H400" s="193">
        <v>1</v>
      </c>
      <c r="I400" s="193">
        <v>1</v>
      </c>
      <c r="K400" s="224"/>
      <c r="N400" s="193" t="s">
        <v>6652</v>
      </c>
      <c r="O400" s="224" t="s">
        <v>8354</v>
      </c>
      <c r="P400" s="224">
        <v>5</v>
      </c>
      <c r="Q400" s="247" t="str">
        <f>IF(综合数据!$B$11=TRUE,"EGW","")</f>
        <v>EGW</v>
      </c>
      <c r="AA400" s="223" t="s">
        <v>3635</v>
      </c>
      <c r="AB400" s="200" t="str">
        <f t="array" ref="AB400">INDEX(B:B,SMALL(IF($Q$3:$Q$524&lt;&gt;"",ROW($3:$524),525),ROW(B399)))&amp;""</f>
        <v>秘法门</v>
      </c>
      <c r="AC400" s="225" t="str">
        <f>IFERROR(IF(AND($Q401&lt;&gt;"",IF(法术查询!$J$4="",1,INDEX($R401:$Z401,1,VLOOKUP(法术查询!$J$4,$AF$2:$AG$10,2,0)))&lt;&gt;"",IF(法术查询!$J$5="",1,$P401=VLOOKUP(法术查询!$J$5,$AH$2:$AI$11,2,0)),IF(法术查询!$J$6="",1,IF(法术查询!$J$6=$E401,1,0)),IF(法术查询!$J$7="",1,SEARCH(法术查询!$J$7,$F401)),IF(法术查询!$J$8="",1,SEARCH(法术查询!$J$8,G401)),IF(法术查询!$J$9="",1,SEARCH(法术查询!$J$9,N401)),IF(法术查询!$J$10="",1,IF(法术查询!$J$10=$AF$11,IF($M401=1,1,0),IF($M401="",1,0))),IF(法术查询!$J$11="",1,IF(法术查询!$J$11=$AF$11,IF($D401=1,1,0),IF($D401="",1,0))),IF(法术查询!$J$12="",1,SEARCH(法术查询!$J$12,$B401&amp;$C401&amp;$O401)),IF(法术查询!$J$13="",1,SEARCH(法术查询!$J$13,$B401&amp;$C401&amp;$O401)),IF(法术查询!$J$14="",1,SEARCH(法术查询!$J$14,$B401&amp;$C401&amp;$O401)),IF(法术查询!$J$16="",1,IF(法术查询!$J$16=$AF$11,IF($H401=1,1,0),IF($H401="",1,0))),IF(法术查询!$J$17="",1,IF(法术查询!$J$17=$AF$11,IF($I401=1,1,0),IF($I401="",1,0))),IF(法术查询!$J$18="",1,IF(法术查询!$J$18=$AF$11,IF($J401&lt;&gt;"",1,0),IF($J401="",1,0))),IF(法术查询!$J$19="",1,IF(法术查询!$J$19=$AF$11,IF($L401&lt;&gt;"",1,0),IF($L401="",1,0)))),$B401,""),"")</f>
        <v/>
      </c>
      <c r="AD400" s="192" t="str">
        <f t="array" ref="AD400">INDEX(AC:AC,SMALL(IF($AC$2:$AC$523&lt;&gt;"",ROW($2:$523),524),ROW(AC399)))&amp;""</f>
        <v/>
      </c>
      <c r="AE400" s="200" t="str">
        <f t="shared" si="10"/>
        <v/>
      </c>
    </row>
    <row r="401" customHeight="1" spans="1:31">
      <c r="A401" s="192">
        <v>399</v>
      </c>
      <c r="B401" s="224" t="s">
        <v>8355</v>
      </c>
      <c r="C401" s="224" t="s">
        <v>8356</v>
      </c>
      <c r="E401" s="240" t="s">
        <v>6641</v>
      </c>
      <c r="F401" s="193" t="s">
        <v>6642</v>
      </c>
      <c r="G401" s="193" t="s">
        <v>6760</v>
      </c>
      <c r="H401" s="193">
        <v>1</v>
      </c>
      <c r="I401" s="193">
        <v>1</v>
      </c>
      <c r="J401" s="193">
        <v>1</v>
      </c>
      <c r="K401" s="224" t="s">
        <v>8357</v>
      </c>
      <c r="M401" s="193">
        <v>1</v>
      </c>
      <c r="N401" s="193" t="s">
        <v>6739</v>
      </c>
      <c r="O401" s="224" t="s">
        <v>8358</v>
      </c>
      <c r="P401" s="224">
        <v>5</v>
      </c>
      <c r="Q401" s="248" t="str">
        <f>IF(综合数据!$B$14=TRUE,"TCE","")</f>
        <v>TCE</v>
      </c>
      <c r="S401" s="193">
        <v>13</v>
      </c>
      <c r="U401" s="193">
        <v>13</v>
      </c>
      <c r="AA401" s="223"/>
      <c r="AB401" s="200" t="str">
        <f t="array" ref="AB401">INDEX(B:B,SMALL(IF($Q$3:$Q$524&lt;&gt;"",ROW($3:$524),525),ROW(B400)))&amp;""</f>
        <v>剑刃护壁</v>
      </c>
      <c r="AC401" s="225" t="str">
        <f>IFERROR(IF(AND($Q402&lt;&gt;"",IF(法术查询!$J$4="",1,INDEX($R402:$Z402,1,VLOOKUP(法术查询!$J$4,$AF$2:$AG$10,2,0)))&lt;&gt;"",IF(法术查询!$J$5="",1,$P402=VLOOKUP(法术查询!$J$5,$AH$2:$AI$11,2,0)),IF(法术查询!$J$6="",1,IF(法术查询!$J$6=$E402,1,0)),IF(法术查询!$J$7="",1,SEARCH(法术查询!$J$7,$F402)),IF(法术查询!$J$8="",1,SEARCH(法术查询!$J$8,G402)),IF(法术查询!$J$9="",1,SEARCH(法术查询!$J$9,N402)),IF(法术查询!$J$10="",1,IF(法术查询!$J$10=$AF$11,IF($M402=1,1,0),IF($M402="",1,0))),IF(法术查询!$J$11="",1,IF(法术查询!$J$11=$AF$11,IF($D402=1,1,0),IF($D402="",1,0))),IF(法术查询!$J$12="",1,SEARCH(法术查询!$J$12,$B402&amp;$C402&amp;$O402)),IF(法术查询!$J$13="",1,SEARCH(法术查询!$J$13,$B402&amp;$C402&amp;$O402)),IF(法术查询!$J$14="",1,SEARCH(法术查询!$J$14,$B402&amp;$C402&amp;$O402)),IF(法术查询!$J$16="",1,IF(法术查询!$J$16=$AF$11,IF($H402=1,1,0),IF($H402="",1,0))),IF(法术查询!$J$17="",1,IF(法术查询!$J$17=$AF$11,IF($I402=1,1,0),IF($I402="",1,0))),IF(法术查询!$J$18="",1,IF(法术查询!$J$18=$AF$11,IF($J402&lt;&gt;"",1,0),IF($J402="",1,0))),IF(法术查询!$J$19="",1,IF(法术查询!$J$19=$AF$11,IF($L402&lt;&gt;"",1,0),IF($L402="",1,0)))),$B402,""),"")</f>
        <v/>
      </c>
      <c r="AD401" s="192" t="str">
        <f t="array" ref="AD401">INDEX(AC:AC,SMALL(IF($AC$2:$AC$523&lt;&gt;"",ROW($2:$523),524),ROW(AC400)))&amp;""</f>
        <v/>
      </c>
      <c r="AE401" s="200" t="str">
        <f t="shared" si="10"/>
        <v/>
      </c>
    </row>
    <row r="402" customHeight="1" spans="1:31">
      <c r="A402" s="192">
        <v>400</v>
      </c>
      <c r="B402" s="224" t="s">
        <v>8359</v>
      </c>
      <c r="C402" s="224" t="s">
        <v>8360</v>
      </c>
      <c r="E402" s="240" t="s">
        <v>6641</v>
      </c>
      <c r="F402" s="193" t="s">
        <v>6642</v>
      </c>
      <c r="G402" s="193" t="s">
        <v>6643</v>
      </c>
      <c r="H402" s="193">
        <v>1</v>
      </c>
      <c r="I402" s="193">
        <v>1</v>
      </c>
      <c r="J402" s="193">
        <v>1</v>
      </c>
      <c r="K402" s="224" t="s">
        <v>8361</v>
      </c>
      <c r="M402" s="193">
        <v>1</v>
      </c>
      <c r="N402" s="193" t="s">
        <v>6739</v>
      </c>
      <c r="O402" s="224" t="s">
        <v>8362</v>
      </c>
      <c r="P402" s="193">
        <v>5</v>
      </c>
      <c r="Q402" s="253" t="str">
        <f>IF(综合数据!$B$16=TRUE,"FTD","")</f>
        <v>FTD</v>
      </c>
      <c r="T402" s="193">
        <v>15</v>
      </c>
      <c r="W402" s="193">
        <v>15</v>
      </c>
      <c r="X402" s="193">
        <v>15</v>
      </c>
      <c r="AA402" s="200"/>
      <c r="AB402" s="200" t="str">
        <f t="array" ref="AB402">INDEX(B:B,SMALL(IF($Q$3:$Q$524&lt;&gt;"",ROW($3:$524),525),ROW(B401)))&amp;""</f>
        <v>连锁闪电</v>
      </c>
      <c r="AC402" s="225" t="str">
        <f>IFERROR(IF(AND($Q403&lt;&gt;"",IF(法术查询!$J$4="",1,INDEX($R403:$Z403,1,VLOOKUP(法术查询!$J$4,$AF$2:$AG$10,2,0)))&lt;&gt;"",IF(法术查询!$J$5="",1,$P403=VLOOKUP(法术查询!$J$5,$AH$2:$AI$11,2,0)),IF(法术查询!$J$6="",1,IF(法术查询!$J$6=$E403,1,0)),IF(法术查询!$J$7="",1,SEARCH(法术查询!$J$7,$F403)),IF(法术查询!$J$8="",1,SEARCH(法术查询!$J$8,G403)),IF(法术查询!$J$9="",1,SEARCH(法术查询!$J$9,N403)),IF(法术查询!$J$10="",1,IF(法术查询!$J$10=$AF$11,IF($M403=1,1,0),IF($M403="",1,0))),IF(法术查询!$J$11="",1,IF(法术查询!$J$11=$AF$11,IF($D403=1,1,0),IF($D403="",1,0))),IF(法术查询!$J$12="",1,SEARCH(法术查询!$J$12,$B403&amp;$C403&amp;$O403)),IF(法术查询!$J$13="",1,SEARCH(法术查询!$J$13,$B403&amp;$C403&amp;$O403)),IF(法术查询!$J$14="",1,SEARCH(法术查询!$J$14,$B403&amp;$C403&amp;$O403)),IF(法术查询!$J$16="",1,IF(法术查询!$J$16=$AF$11,IF($H403=1,1,0),IF($H403="",1,0))),IF(法术查询!$J$17="",1,IF(法术查询!$J$17=$AF$11,IF($I403=1,1,0),IF($I403="",1,0))),IF(法术查询!$J$18="",1,IF(法术查询!$J$18=$AF$11,IF($J403&lt;&gt;"",1,0),IF($J403="",1,0))),IF(法术查询!$J$19="",1,IF(法术查询!$J$19=$AF$11,IF($L403&lt;&gt;"",1,0),IF($L403="",1,0)))),$B403,""),"")</f>
        <v/>
      </c>
      <c r="AD402" s="192" t="str">
        <f t="array" ref="AD402">INDEX(AC:AC,SMALL(IF($AC$2:$AC$523&lt;&gt;"",ROW($2:$523),524),ROW(AC401)))&amp;""</f>
        <v/>
      </c>
      <c r="AE402" s="200" t="str">
        <f t="shared" si="10"/>
        <v/>
      </c>
    </row>
    <row r="403" customHeight="1" spans="1:31">
      <c r="A403" s="192">
        <v>401</v>
      </c>
      <c r="B403" s="224" t="s">
        <v>8363</v>
      </c>
      <c r="C403" s="224" t="s">
        <v>8364</v>
      </c>
      <c r="E403" s="231" t="s">
        <v>6672</v>
      </c>
      <c r="F403" s="193" t="s">
        <v>6642</v>
      </c>
      <c r="G403" s="193" t="s">
        <v>3760</v>
      </c>
      <c r="H403" s="193">
        <v>1</v>
      </c>
      <c r="I403" s="193">
        <v>1</v>
      </c>
      <c r="J403" s="193">
        <v>1</v>
      </c>
      <c r="K403" s="224"/>
      <c r="L403" s="224" t="s">
        <v>8365</v>
      </c>
      <c r="N403" s="193" t="s">
        <v>6644</v>
      </c>
      <c r="O403" s="224" t="s">
        <v>8366</v>
      </c>
      <c r="P403" s="193">
        <v>5</v>
      </c>
      <c r="Q403" s="254" t="s">
        <v>266</v>
      </c>
      <c r="X403" s="193">
        <v>18</v>
      </c>
      <c r="Z403" s="193">
        <v>18</v>
      </c>
      <c r="AA403" s="200"/>
      <c r="AB403" s="200" t="str">
        <f t="array" ref="AB403">INDEX(B:B,SMALL(IF($Q$3:$Q$524&lt;&gt;"",ROW($3:$524),525),ROW(B402)))&amp;""</f>
        <v>死亡法阵</v>
      </c>
      <c r="AC403" s="225" t="str">
        <f>IFERROR(IF(AND($Q404&lt;&gt;"",IF(法术查询!$J$4="",1,INDEX($R404:$Z404,1,VLOOKUP(法术查询!$J$4,$AF$2:$AG$10,2,0)))&lt;&gt;"",IF(法术查询!$J$5="",1,$P404=VLOOKUP(法术查询!$J$5,$AH$2:$AI$11,2,0)),IF(法术查询!$J$6="",1,IF(法术查询!$J$6=$E404,1,0)),IF(法术查询!$J$7="",1,SEARCH(法术查询!$J$7,$F404)),IF(法术查询!$J$8="",1,SEARCH(法术查询!$J$8,G404)),IF(法术查询!$J$9="",1,SEARCH(法术查询!$J$9,N404)),IF(法术查询!$J$10="",1,IF(法术查询!$J$10=$AF$11,IF($M404=1,1,0),IF($M404="",1,0))),IF(法术查询!$J$11="",1,IF(法术查询!$J$11=$AF$11,IF($D404=1,1,0),IF($D404="",1,0))),IF(法术查询!$J$12="",1,SEARCH(法术查询!$J$12,$B404&amp;$C404&amp;$O404)),IF(法术查询!$J$13="",1,SEARCH(法术查询!$J$13,$B404&amp;$C404&amp;$O404)),IF(法术查询!$J$14="",1,SEARCH(法术查询!$J$14,$B404&amp;$C404&amp;$O404)),IF(法术查询!$J$16="",1,IF(法术查询!$J$16=$AF$11,IF($H404=1,1,0),IF($H404="",1,0))),IF(法术查询!$J$17="",1,IF(法术查询!$J$17=$AF$11,IF($I404=1,1,0),IF($I404="",1,0))),IF(法术查询!$J$18="",1,IF(法术查询!$J$18=$AF$11,IF($J404&lt;&gt;"",1,0),IF($J404="",1,0))),IF(法术查询!$J$19="",1,IF(法术查询!$J$19=$AF$11,IF($L404&lt;&gt;"",1,0),IF($L404="",1,0)))),$B404,""),"")</f>
        <v/>
      </c>
      <c r="AD403" s="192" t="str">
        <f t="array" ref="AD403">INDEX(AC:AC,SMALL(IF($AC$2:$AC$523&lt;&gt;"",ROW($2:$523),524),ROW(AC402)))&amp;""</f>
        <v/>
      </c>
      <c r="AE403" s="200" t="str">
        <f t="shared" si="10"/>
        <v/>
      </c>
    </row>
    <row r="404" customHeight="1" spans="1:31">
      <c r="A404" s="192">
        <v>402</v>
      </c>
      <c r="B404" s="224" t="s">
        <v>8367</v>
      </c>
      <c r="C404" s="224" t="s">
        <v>8368</v>
      </c>
      <c r="E404" s="240" t="s">
        <v>6641</v>
      </c>
      <c r="F404" s="193" t="s">
        <v>6642</v>
      </c>
      <c r="G404" s="193" t="s">
        <v>6793</v>
      </c>
      <c r="H404" s="193">
        <v>1</v>
      </c>
      <c r="I404" s="193">
        <v>1</v>
      </c>
      <c r="M404" s="193">
        <v>1</v>
      </c>
      <c r="N404" s="193" t="s">
        <v>6831</v>
      </c>
      <c r="O404" s="224" t="s">
        <v>8369</v>
      </c>
      <c r="P404" s="224">
        <v>6</v>
      </c>
      <c r="Q404" s="224" t="s">
        <v>249</v>
      </c>
      <c r="W404" s="193">
        <v>1</v>
      </c>
      <c r="X404" s="193">
        <v>1</v>
      </c>
      <c r="Y404" s="193">
        <v>1</v>
      </c>
      <c r="AA404" s="200"/>
      <c r="AB404" s="200" t="str">
        <f t="array" ref="AB404">INDEX(B:B,SMALL(IF($Q$3:$Q$524&lt;&gt;"",ROW($3:$524),525),ROW(B403)))&amp;""</f>
        <v>召唤精类生物</v>
      </c>
      <c r="AC404" s="225" t="str">
        <f>IFERROR(IF(AND($Q405&lt;&gt;"",IF(法术查询!$J$4="",1,INDEX($R405:$Z405,1,VLOOKUP(法术查询!$J$4,$AF$2:$AG$10,2,0)))&lt;&gt;"",IF(法术查询!$J$5="",1,$P405=VLOOKUP(法术查询!$J$5,$AH$2:$AI$11,2,0)),IF(法术查询!$J$6="",1,IF(法术查询!$J$6=$E405,1,0)),IF(法术查询!$J$7="",1,SEARCH(法术查询!$J$7,$F405)),IF(法术查询!$J$8="",1,SEARCH(法术查询!$J$8,G405)),IF(法术查询!$J$9="",1,SEARCH(法术查询!$J$9,N405)),IF(法术查询!$J$10="",1,IF(法术查询!$J$10=$AF$11,IF($M405=1,1,0),IF($M405="",1,0))),IF(法术查询!$J$11="",1,IF(法术查询!$J$11=$AF$11,IF($D405=1,1,0),IF($D405="",1,0))),IF(法术查询!$J$12="",1,SEARCH(法术查询!$J$12,$B405&amp;$C405&amp;$O405)),IF(法术查询!$J$13="",1,SEARCH(法术查询!$J$13,$B405&amp;$C405&amp;$O405)),IF(法术查询!$J$14="",1,SEARCH(法术查询!$J$14,$B405&amp;$C405&amp;$O405)),IF(法术查询!$J$16="",1,IF(法术查询!$J$16=$AF$11,IF($H405=1,1,0),IF($H405="",1,0))),IF(法术查询!$J$17="",1,IF(法术查询!$J$17=$AF$11,IF($I405=1,1,0),IF($I405="",1,0))),IF(法术查询!$J$18="",1,IF(法术查询!$J$18=$AF$11,IF($J405&lt;&gt;"",1,0),IF($J405="",1,0))),IF(法术查询!$J$19="",1,IF(法术查询!$J$19=$AF$11,IF($L405&lt;&gt;"",1,0),IF($L405="",1,0)))),$B405,""),"")</f>
        <v/>
      </c>
      <c r="AD404" s="192" t="str">
        <f t="array" ref="AD404">INDEX(AC:AC,SMALL(IF($AC$2:$AC$523&lt;&gt;"",ROW($2:$523),524),ROW(AC403)))&amp;""</f>
        <v/>
      </c>
      <c r="AE404" s="200" t="str">
        <f t="shared" si="10"/>
        <v/>
      </c>
    </row>
    <row r="405" customHeight="1" spans="1:31">
      <c r="A405" s="192">
        <v>403</v>
      </c>
      <c r="B405" s="224" t="s">
        <v>8370</v>
      </c>
      <c r="C405" s="224" t="s">
        <v>8371</v>
      </c>
      <c r="E405" s="229" t="s">
        <v>6664</v>
      </c>
      <c r="F405" s="193" t="s">
        <v>6642</v>
      </c>
      <c r="G405" s="193" t="s">
        <v>6760</v>
      </c>
      <c r="H405" s="193">
        <v>1</v>
      </c>
      <c r="I405" s="193">
        <v>1</v>
      </c>
      <c r="M405" s="193">
        <v>1</v>
      </c>
      <c r="N405" s="193" t="s">
        <v>6831</v>
      </c>
      <c r="O405" s="224" t="s">
        <v>8372</v>
      </c>
      <c r="P405" s="224">
        <v>6</v>
      </c>
      <c r="Q405" s="224" t="s">
        <v>249</v>
      </c>
      <c r="S405" s="193">
        <v>1</v>
      </c>
      <c r="AA405" s="200"/>
      <c r="AB405" s="200" t="str">
        <f t="array" ref="AB405">INDEX(B:B,SMALL(IF($Q$3:$Q$524&lt;&gt;"",ROW($3:$524),525),ROW(B404)))&amp;""</f>
        <v>触发术</v>
      </c>
      <c r="AC405" s="225" t="str">
        <f>IFERROR(IF(AND($Q406&lt;&gt;"",IF(法术查询!$J$4="",1,INDEX($R406:$Z406,1,VLOOKUP(法术查询!$J$4,$AF$2:$AG$10,2,0)))&lt;&gt;"",IF(法术查询!$J$5="",1,$P406=VLOOKUP(法术查询!$J$5,$AH$2:$AI$11,2,0)),IF(法术查询!$J$6="",1,IF(法术查询!$J$6=$E406,1,0)),IF(法术查询!$J$7="",1,SEARCH(法术查询!$J$7,$F406)),IF(法术查询!$J$8="",1,SEARCH(法术查询!$J$8,G406)),IF(法术查询!$J$9="",1,SEARCH(法术查询!$J$9,N406)),IF(法术查询!$J$10="",1,IF(法术查询!$J$10=$AF$11,IF($M406=1,1,0),IF($M406="",1,0))),IF(法术查询!$J$11="",1,IF(法术查询!$J$11=$AF$11,IF($D406=1,1,0),IF($D406="",1,0))),IF(法术查询!$J$12="",1,SEARCH(法术查询!$J$12,$B406&amp;$C406&amp;$O406)),IF(法术查询!$J$13="",1,SEARCH(法术查询!$J$13,$B406&amp;$C406&amp;$O406)),IF(法术查询!$J$14="",1,SEARCH(法术查询!$J$14,$B406&amp;$C406&amp;$O406)),IF(法术查询!$J$16="",1,IF(法术查询!$J$16=$AF$11,IF($H406=1,1,0),IF($H406="",1,0))),IF(法术查询!$J$17="",1,IF(法术查询!$J$17=$AF$11,IF($I406=1,1,0),IF($I406="",1,0))),IF(法术查询!$J$18="",1,IF(法术查询!$J$18=$AF$11,IF($J406&lt;&gt;"",1,0),IF($J406="",1,0))),IF(法术查询!$J$19="",1,IF(法术查询!$J$19=$AF$11,IF($L406&lt;&gt;"",1,0),IF($L406="",1,0)))),$B406,""),"")</f>
        <v/>
      </c>
      <c r="AD405" s="192" t="str">
        <f t="array" ref="AD405">INDEX(AC:AC,SMALL(IF($AC$2:$AC$523&lt;&gt;"",ROW($2:$523),524),ROW(AC404)))&amp;""</f>
        <v/>
      </c>
      <c r="AE405" s="200" t="str">
        <f t="shared" si="10"/>
        <v/>
      </c>
    </row>
    <row r="406" customHeight="1" spans="1:31">
      <c r="A406" s="192">
        <v>404</v>
      </c>
      <c r="B406" s="224" t="s">
        <v>8373</v>
      </c>
      <c r="C406" s="224" t="s">
        <v>8374</v>
      </c>
      <c r="E406" s="229" t="s">
        <v>6664</v>
      </c>
      <c r="F406" s="193" t="s">
        <v>6642</v>
      </c>
      <c r="G406" s="193" t="s">
        <v>6779</v>
      </c>
      <c r="H406" s="193">
        <v>1</v>
      </c>
      <c r="I406" s="193">
        <v>1</v>
      </c>
      <c r="J406" s="193">
        <v>1</v>
      </c>
      <c r="K406" s="224" t="s">
        <v>8375</v>
      </c>
      <c r="N406" s="193" t="s">
        <v>6644</v>
      </c>
      <c r="O406" s="224" t="s">
        <v>8376</v>
      </c>
      <c r="P406" s="224">
        <v>6</v>
      </c>
      <c r="Q406" s="224" t="s">
        <v>249</v>
      </c>
      <c r="W406" s="193">
        <v>1</v>
      </c>
      <c r="X406" s="193">
        <v>1</v>
      </c>
      <c r="AA406" s="200"/>
      <c r="AB406" s="200" t="str">
        <f t="array" ref="AB406">INDEX(B:B,SMALL(IF($Q$3:$Q$524&lt;&gt;"",ROW($3:$524),525),ROW(B405)))&amp;""</f>
        <v>唤起死灵</v>
      </c>
      <c r="AC406" s="225" t="str">
        <f>IFERROR(IF(AND($Q407&lt;&gt;"",IF(法术查询!$J$4="",1,INDEX($R407:$Z407,1,VLOOKUP(法术查询!$J$4,$AF$2:$AG$10,2,0)))&lt;&gt;"",IF(法术查询!$J$5="",1,$P407=VLOOKUP(法术查询!$J$5,$AH$2:$AI$11,2,0)),IF(法术查询!$J$6="",1,IF(法术查询!$J$6=$E407,1,0)),IF(法术查询!$J$7="",1,SEARCH(法术查询!$J$7,$F407)),IF(法术查询!$J$8="",1,SEARCH(法术查询!$J$8,G407)),IF(法术查询!$J$9="",1,SEARCH(法术查询!$J$9,N407)),IF(法术查询!$J$10="",1,IF(法术查询!$J$10=$AF$11,IF($M407=1,1,0),IF($M407="",1,0))),IF(法术查询!$J$11="",1,IF(法术查询!$J$11=$AF$11,IF($D407=1,1,0),IF($D407="",1,0))),IF(法术查询!$J$12="",1,SEARCH(法术查询!$J$12,$B407&amp;$C407&amp;$O407)),IF(法术查询!$J$13="",1,SEARCH(法术查询!$J$13,$B407&amp;$C407&amp;$O407)),IF(法术查询!$J$14="",1,SEARCH(法术查询!$J$14,$B407&amp;$C407&amp;$O407)),IF(法术查询!$J$16="",1,IF(法术查询!$J$16=$AF$11,IF($H407=1,1,0),IF($H407="",1,0))),IF(法术查询!$J$17="",1,IF(法术查询!$J$17=$AF$11,IF($I407=1,1,0),IF($I407="",1,0))),IF(法术查询!$J$18="",1,IF(法术查询!$J$18=$AF$11,IF($J407&lt;&gt;"",1,0),IF($J407="",1,0))),IF(法术查询!$J$19="",1,IF(法术查询!$J$19=$AF$11,IF($L407&lt;&gt;"",1,0),IF($L407="",1,0)))),$B407,""),"")</f>
        <v/>
      </c>
      <c r="AD406" s="192" t="str">
        <f t="array" ref="AD406">INDEX(AC:AC,SMALL(IF($AC$2:$AC$523&lt;&gt;"",ROW($2:$523),524),ROW(AC405)))&amp;""</f>
        <v/>
      </c>
      <c r="AE406" s="200" t="str">
        <f t="shared" si="10"/>
        <v/>
      </c>
    </row>
    <row r="407" customHeight="1" spans="1:31">
      <c r="A407" s="192">
        <v>405</v>
      </c>
      <c r="B407" s="224" t="s">
        <v>8377</v>
      </c>
      <c r="C407" s="224" t="s">
        <v>8378</v>
      </c>
      <c r="E407" s="243" t="s">
        <v>6657</v>
      </c>
      <c r="F407" s="193" t="s">
        <v>6642</v>
      </c>
      <c r="G407" s="193" t="s">
        <v>6779</v>
      </c>
      <c r="H407" s="193">
        <v>1</v>
      </c>
      <c r="I407" s="193">
        <v>1</v>
      </c>
      <c r="J407" s="193">
        <v>1</v>
      </c>
      <c r="K407" s="224" t="s">
        <v>8379</v>
      </c>
      <c r="N407" s="193" t="s">
        <v>6644</v>
      </c>
      <c r="O407" s="224" t="s">
        <v>8380</v>
      </c>
      <c r="P407" s="224">
        <v>6</v>
      </c>
      <c r="Q407" s="224" t="s">
        <v>249</v>
      </c>
      <c r="W407" s="193">
        <v>1</v>
      </c>
      <c r="X407" s="193">
        <v>1</v>
      </c>
      <c r="Y407" s="193">
        <v>1</v>
      </c>
      <c r="AA407" s="200"/>
      <c r="AB407" s="200" t="str">
        <f t="array" ref="AB407">INDEX(B:B,SMALL(IF($Q$3:$Q$524&lt;&gt;"",ROW($3:$524),525),ROW(B406)))&amp;""</f>
        <v>解离术</v>
      </c>
      <c r="AC407" s="225" t="str">
        <f>IFERROR(IF(AND($Q408&lt;&gt;"",IF(法术查询!$J$4="",1,INDEX($R408:$Z408,1,VLOOKUP(法术查询!$J$4,$AF$2:$AG$10,2,0)))&lt;&gt;"",IF(法术查询!$J$5="",1,$P408=VLOOKUP(法术查询!$J$5,$AH$2:$AI$11,2,0)),IF(法术查询!$J$6="",1,IF(法术查询!$J$6=$E408,1,0)),IF(法术查询!$J$7="",1,SEARCH(法术查询!$J$7,$F408)),IF(法术查询!$J$8="",1,SEARCH(法术查询!$J$8,G408)),IF(法术查询!$J$9="",1,SEARCH(法术查询!$J$9,N408)),IF(法术查询!$J$10="",1,IF(法术查询!$J$10=$AF$11,IF($M408=1,1,0),IF($M408="",1,0))),IF(法术查询!$J$11="",1,IF(法术查询!$J$11=$AF$11,IF($D408=1,1,0),IF($D408="",1,0))),IF(法术查询!$J$12="",1,SEARCH(法术查询!$J$12,$B408&amp;$C408&amp;$O408)),IF(法术查询!$J$13="",1,SEARCH(法术查询!$J$13,$B408&amp;$C408&amp;$O408)),IF(法术查询!$J$14="",1,SEARCH(法术查询!$J$14,$B408&amp;$C408&amp;$O408)),IF(法术查询!$J$16="",1,IF(法术查询!$J$16=$AF$11,IF($H408=1,1,0),IF($H408="",1,0))),IF(法术查询!$J$17="",1,IF(法术查询!$J$17=$AF$11,IF($I408=1,1,0),IF($I408="",1,0))),IF(法术查询!$J$18="",1,IF(法术查询!$J$18=$AF$11,IF($J408&lt;&gt;"",1,0),IF($J408="",1,0))),IF(法术查询!$J$19="",1,IF(法术查询!$J$19=$AF$11,IF($L408&lt;&gt;"",1,0),IF($L408="",1,0)))),$B408,""),"")</f>
        <v/>
      </c>
      <c r="AD407" s="192" t="str">
        <f t="array" ref="AD407">INDEX(AC:AC,SMALL(IF($AC$2:$AC$523&lt;&gt;"",ROW($2:$523),524),ROW(AC406)))&amp;""</f>
        <v/>
      </c>
      <c r="AE407" s="200" t="str">
        <f t="shared" si="10"/>
        <v/>
      </c>
    </row>
    <row r="408" customHeight="1" spans="1:31">
      <c r="A408" s="192">
        <v>406</v>
      </c>
      <c r="B408" s="224" t="s">
        <v>8381</v>
      </c>
      <c r="C408" s="224" t="s">
        <v>8382</v>
      </c>
      <c r="E408" s="240" t="s">
        <v>6641</v>
      </c>
      <c r="F408" s="193" t="s">
        <v>6709</v>
      </c>
      <c r="G408" s="193" t="s">
        <v>6760</v>
      </c>
      <c r="H408" s="193">
        <v>1</v>
      </c>
      <c r="I408" s="193">
        <v>1</v>
      </c>
      <c r="M408" s="193">
        <v>1</v>
      </c>
      <c r="N408" s="193" t="s">
        <v>6739</v>
      </c>
      <c r="O408" s="224" t="s">
        <v>8383</v>
      </c>
      <c r="P408" s="224">
        <v>6</v>
      </c>
      <c r="Q408" s="224" t="s">
        <v>249</v>
      </c>
      <c r="T408" s="193">
        <v>1</v>
      </c>
      <c r="Y408" s="193">
        <v>1</v>
      </c>
      <c r="AA408" s="200"/>
      <c r="AB408" s="200" t="str">
        <f t="array" ref="AB408">INDEX(B:B,SMALL(IF($Q$3:$Q$524&lt;&gt;"",ROW($3:$524),525),ROW(B407)))&amp;""</f>
        <v>卓姆吉瞬间召唤</v>
      </c>
      <c r="AC408" s="225" t="str">
        <f>IFERROR(IF(AND($Q409&lt;&gt;"",IF(法术查询!$J$4="",1,INDEX($R409:$Z409,1,VLOOKUP(法术查询!$J$4,$AF$2:$AG$10,2,0)))&lt;&gt;"",IF(法术查询!$J$5="",1,$P409=VLOOKUP(法术查询!$J$5,$AH$2:$AI$11,2,0)),IF(法术查询!$J$6="",1,IF(法术查询!$J$6=$E409,1,0)),IF(法术查询!$J$7="",1,SEARCH(法术查询!$J$7,$F409)),IF(法术查询!$J$8="",1,SEARCH(法术查询!$J$8,G409)),IF(法术查询!$J$9="",1,SEARCH(法术查询!$J$9,N409)),IF(法术查询!$J$10="",1,IF(法术查询!$J$10=$AF$11,IF($M409=1,1,0),IF($M409="",1,0))),IF(法术查询!$J$11="",1,IF(法术查询!$J$11=$AF$11,IF($D409=1,1,0),IF($D409="",1,0))),IF(法术查询!$J$12="",1,SEARCH(法术查询!$J$12,$B409&amp;$C409&amp;$O409)),IF(法术查询!$J$13="",1,SEARCH(法术查询!$J$13,$B409&amp;$C409&amp;$O409)),IF(法术查询!$J$14="",1,SEARCH(法术查询!$J$14,$B409&amp;$C409&amp;$O409)),IF(法术查询!$J$16="",1,IF(法术查询!$J$16=$AF$11,IF($H409=1,1,0),IF($H409="",1,0))),IF(法术查询!$J$17="",1,IF(法术查询!$J$17=$AF$11,IF($I409=1,1,0),IF($I409="",1,0))),IF(法术查询!$J$18="",1,IF(法术查询!$J$18=$AF$11,IF($J409&lt;&gt;"",1,0),IF($J409="",1,0))),IF(法术查询!$J$19="",1,IF(法术查询!$J$19=$AF$11,IF($L409&lt;&gt;"",1,0),IF($L409="",1,0)))),$B409,""),"")</f>
        <v/>
      </c>
      <c r="AD408" s="192" t="str">
        <f t="array" ref="AD408">INDEX(AC:AC,SMALL(IF($AC$2:$AC$523&lt;&gt;"",ROW($2:$523),524),ROW(AC407)))&amp;""</f>
        <v/>
      </c>
      <c r="AE408" s="200" t="str">
        <f t="shared" si="10"/>
        <v/>
      </c>
    </row>
    <row r="409" customHeight="1" spans="1:31">
      <c r="A409" s="192">
        <v>407</v>
      </c>
      <c r="B409" s="224" t="s">
        <v>8384</v>
      </c>
      <c r="C409" s="224" t="s">
        <v>8385</v>
      </c>
      <c r="E409" s="229" t="s">
        <v>6664</v>
      </c>
      <c r="F409" s="193" t="s">
        <v>6731</v>
      </c>
      <c r="G409" s="193" t="s">
        <v>6651</v>
      </c>
      <c r="H409" s="193">
        <v>1</v>
      </c>
      <c r="I409" s="193">
        <v>1</v>
      </c>
      <c r="J409" s="193">
        <v>1</v>
      </c>
      <c r="K409" s="224" t="s">
        <v>8386</v>
      </c>
      <c r="N409" s="193" t="s">
        <v>6780</v>
      </c>
      <c r="O409" s="224" t="s">
        <v>8387</v>
      </c>
      <c r="P409" s="224">
        <v>6</v>
      </c>
      <c r="Q409" s="224" t="s">
        <v>249</v>
      </c>
      <c r="X409" s="193">
        <v>1</v>
      </c>
      <c r="AA409" s="200"/>
      <c r="AB409" s="200" t="str">
        <f t="array" ref="AB409">INDEX(B:B,SMALL(IF($Q$3:$Q$524&lt;&gt;"",ROW($3:$524),525),ROW(B408)))&amp;""</f>
        <v>摄心目光</v>
      </c>
      <c r="AC409" s="225" t="str">
        <f>IFERROR(IF(AND($Q410&lt;&gt;"",IF(法术查询!$J$4="",1,INDEX($R410:$Z410,1,VLOOKUP(法术查询!$J$4,$AF$2:$AG$10,2,0)))&lt;&gt;"",IF(法术查询!$J$5="",1,$P410=VLOOKUP(法术查询!$J$5,$AH$2:$AI$11,2,0)),IF(法术查询!$J$6="",1,IF(法术查询!$J$6=$E410,1,0)),IF(法术查询!$J$7="",1,SEARCH(法术查询!$J$7,$F410)),IF(法术查询!$J$8="",1,SEARCH(法术查询!$J$8,G410)),IF(法术查询!$J$9="",1,SEARCH(法术查询!$J$9,N410)),IF(法术查询!$J$10="",1,IF(法术查询!$J$10=$AF$11,IF($M410=1,1,0),IF($M410="",1,0))),IF(法术查询!$J$11="",1,IF(法术查询!$J$11=$AF$11,IF($D410=1,1,0),IF($D410="",1,0))),IF(法术查询!$J$12="",1,SEARCH(法术查询!$J$12,$B410&amp;$C410&amp;$O410)),IF(法术查询!$J$13="",1,SEARCH(法术查询!$J$13,$B410&amp;$C410&amp;$O410)),IF(法术查询!$J$14="",1,SEARCH(法术查询!$J$14,$B410&amp;$C410&amp;$O410)),IF(法术查询!$J$16="",1,IF(法术查询!$J$16=$AF$11,IF($H410=1,1,0),IF($H410="",1,0))),IF(法术查询!$J$17="",1,IF(法术查询!$J$17=$AF$11,IF($I410=1,1,0),IF($I410="",1,0))),IF(法术查询!$J$18="",1,IF(法术查询!$J$18=$AF$11,IF($J410&lt;&gt;"",1,0),IF($J410="",1,0))),IF(法术查询!$J$19="",1,IF(法术查询!$J$19=$AF$11,IF($L410&lt;&gt;"",1,0),IF($L410="",1,0)))),$B410,""),"")</f>
        <v/>
      </c>
      <c r="AD409" s="192" t="str">
        <f t="array" ref="AD409">INDEX(AC:AC,SMALL(IF($AC$2:$AC$523&lt;&gt;"",ROW($2:$523),524),ROW(AC408)))&amp;""</f>
        <v/>
      </c>
      <c r="AE409" s="200" t="str">
        <f t="shared" si="10"/>
        <v/>
      </c>
    </row>
    <row r="410" customHeight="1" spans="1:31">
      <c r="A410" s="192">
        <v>408</v>
      </c>
      <c r="B410" s="224" t="s">
        <v>8388</v>
      </c>
      <c r="C410" s="224" t="s">
        <v>8389</v>
      </c>
      <c r="E410" s="243" t="s">
        <v>6657</v>
      </c>
      <c r="F410" s="193" t="s">
        <v>6709</v>
      </c>
      <c r="G410" s="193" t="s">
        <v>6730</v>
      </c>
      <c r="H410" s="193">
        <v>1</v>
      </c>
      <c r="I410" s="193">
        <v>1</v>
      </c>
      <c r="J410" s="193">
        <v>1</v>
      </c>
      <c r="K410" s="224" t="s">
        <v>8390</v>
      </c>
      <c r="N410" s="193" t="s">
        <v>6644</v>
      </c>
      <c r="O410" s="224" t="s">
        <v>8391</v>
      </c>
      <c r="P410" s="224">
        <v>6</v>
      </c>
      <c r="Q410" s="224" t="s">
        <v>249</v>
      </c>
      <c r="S410" s="193">
        <v>1</v>
      </c>
      <c r="X410" s="193">
        <v>1</v>
      </c>
      <c r="Y410" s="193">
        <v>1</v>
      </c>
      <c r="AA410" s="200"/>
      <c r="AB410" s="200" t="str">
        <f t="array" ref="AB410">INDEX(B:B,SMALL(IF($Q$3:$Q$524&lt;&gt;"",ROW($3:$524),525),ROW(B409)))&amp;""</f>
        <v>寻路术</v>
      </c>
      <c r="AC410" s="225" t="str">
        <f>IFERROR(IF(AND($Q411&lt;&gt;"",IF(法术查询!$J$4="",1,INDEX($R411:$Z411,1,VLOOKUP(法术查询!$J$4,$AF$2:$AG$10,2,0)))&lt;&gt;"",IF(法术查询!$J$5="",1,$P411=VLOOKUP(法术查询!$J$5,$AH$2:$AI$11,2,0)),IF(法术查询!$J$6="",1,IF(法术查询!$J$6=$E411,1,0)),IF(法术查询!$J$7="",1,SEARCH(法术查询!$J$7,$F411)),IF(法术查询!$J$8="",1,SEARCH(法术查询!$J$8,G411)),IF(法术查询!$J$9="",1,SEARCH(法术查询!$J$9,N411)),IF(法术查询!$J$10="",1,IF(法术查询!$J$10=$AF$11,IF($M411=1,1,0),IF($M411="",1,0))),IF(法术查询!$J$11="",1,IF(法术查询!$J$11=$AF$11,IF($D411=1,1,0),IF($D411="",1,0))),IF(法术查询!$J$12="",1,SEARCH(法术查询!$J$12,$B411&amp;$C411&amp;$O411)),IF(法术查询!$J$13="",1,SEARCH(法术查询!$J$13,$B411&amp;$C411&amp;$O411)),IF(法术查询!$J$14="",1,SEARCH(法术查询!$J$14,$B411&amp;$C411&amp;$O411)),IF(法术查询!$J$16="",1,IF(法术查询!$J$16=$AF$11,IF($H411=1,1,0),IF($H411="",1,0))),IF(法术查询!$J$17="",1,IF(法术查询!$J$17=$AF$11,IF($I411=1,1,0),IF($I411="",1,0))),IF(法术查询!$J$18="",1,IF(法术查询!$J$18=$AF$11,IF($J411&lt;&gt;"",1,0),IF($J411="",1,0))),IF(法术查询!$J$19="",1,IF(法术查询!$J$19=$AF$11,IF($L411&lt;&gt;"",1,0),IF($L411="",1,0)))),$B411,""),"")</f>
        <v/>
      </c>
      <c r="AD410" s="192" t="str">
        <f t="array" ref="AD410">INDEX(AC:AC,SMALL(IF($AC$2:$AC$523&lt;&gt;"",ROW($2:$523),524),ROW(AC409)))&amp;""</f>
        <v/>
      </c>
      <c r="AE410" s="200" t="str">
        <f t="shared" si="10"/>
        <v/>
      </c>
    </row>
    <row r="411" customHeight="1" spans="1:31">
      <c r="A411" s="192">
        <v>409</v>
      </c>
      <c r="B411" s="224" t="s">
        <v>8392</v>
      </c>
      <c r="C411" s="224" t="s">
        <v>8393</v>
      </c>
      <c r="E411" s="231" t="s">
        <v>6672</v>
      </c>
      <c r="F411" s="193" t="s">
        <v>6642</v>
      </c>
      <c r="G411" s="193" t="s">
        <v>6643</v>
      </c>
      <c r="H411" s="193">
        <v>1</v>
      </c>
      <c r="I411" s="193">
        <v>1</v>
      </c>
      <c r="J411" s="193">
        <v>1</v>
      </c>
      <c r="K411" s="224" t="s">
        <v>8394</v>
      </c>
      <c r="N411" s="193" t="s">
        <v>6644</v>
      </c>
      <c r="O411" s="224" t="s">
        <v>8395</v>
      </c>
      <c r="P411" s="224">
        <v>6</v>
      </c>
      <c r="Q411" s="224" t="s">
        <v>249</v>
      </c>
      <c r="W411" s="193">
        <v>1</v>
      </c>
      <c r="X411" s="193">
        <v>1</v>
      </c>
      <c r="AA411" s="200"/>
      <c r="AB411" s="200" t="str">
        <f t="array" ref="AB411">INDEX(B:B,SMALL(IF($Q$3:$Q$524&lt;&gt;"",ROW($3:$524),525),ROW(B410)))&amp;""</f>
        <v>石化术</v>
      </c>
      <c r="AC411" s="225" t="str">
        <f>IFERROR(IF(AND($Q412&lt;&gt;"",IF(法术查询!$J$4="",1,INDEX($R412:$Z412,1,VLOOKUP(法术查询!$J$4,$AF$2:$AG$10,2,0)))&lt;&gt;"",IF(法术查询!$J$5="",1,$P412=VLOOKUP(法术查询!$J$5,$AH$2:$AI$11,2,0)),IF(法术查询!$J$6="",1,IF(法术查询!$J$6=$E412,1,0)),IF(法术查询!$J$7="",1,SEARCH(法术查询!$J$7,$F412)),IF(法术查询!$J$8="",1,SEARCH(法术查询!$J$8,G412)),IF(法术查询!$J$9="",1,SEARCH(法术查询!$J$9,N412)),IF(法术查询!$J$10="",1,IF(法术查询!$J$10=$AF$11,IF($M412=1,1,0),IF($M412="",1,0))),IF(法术查询!$J$11="",1,IF(法术查询!$J$11=$AF$11,IF($D412=1,1,0),IF($D412="",1,0))),IF(法术查询!$J$12="",1,SEARCH(法术查询!$J$12,$B412&amp;$C412&amp;$O412)),IF(法术查询!$J$13="",1,SEARCH(法术查询!$J$13,$B412&amp;$C412&amp;$O412)),IF(法术查询!$J$14="",1,SEARCH(法术查询!$J$14,$B412&amp;$C412&amp;$O412)),IF(法术查询!$J$16="",1,IF(法术查询!$J$16=$AF$11,IF($H412=1,1,0),IF($H412="",1,0))),IF(法术查询!$J$17="",1,IF(法术查询!$J$17=$AF$11,IF($I412=1,1,0),IF($I412="",1,0))),IF(法术查询!$J$18="",1,IF(法术查询!$J$18=$AF$11,IF($J412&lt;&gt;"",1,0),IF($J412="",1,0))),IF(法术查询!$J$19="",1,IF(法术查询!$J$19=$AF$11,IF($L412&lt;&gt;"",1,0),IF($L412="",1,0)))),$B412,""),"")</f>
        <v/>
      </c>
      <c r="AD411" s="192" t="str">
        <f t="array" ref="AD411">INDEX(AC:AC,SMALL(IF($AC$2:$AC$523&lt;&gt;"",ROW($2:$523),524),ROW(AC410)))&amp;""</f>
        <v/>
      </c>
      <c r="AE411" s="200" t="str">
        <f t="shared" si="10"/>
        <v/>
      </c>
    </row>
    <row r="412" customHeight="1" spans="1:31">
      <c r="A412" s="192">
        <v>410</v>
      </c>
      <c r="B412" s="224" t="s">
        <v>8396</v>
      </c>
      <c r="C412" s="224" t="s">
        <v>8397</v>
      </c>
      <c r="D412" s="193">
        <v>1</v>
      </c>
      <c r="E412" s="240" t="s">
        <v>6641</v>
      </c>
      <c r="F412" s="193" t="s">
        <v>6709</v>
      </c>
      <c r="G412" s="193" t="s">
        <v>3760</v>
      </c>
      <c r="H412" s="193">
        <v>1</v>
      </c>
      <c r="I412" s="193">
        <v>1</v>
      </c>
      <c r="J412" s="193">
        <v>1</v>
      </c>
      <c r="K412" s="224" t="s">
        <v>8398</v>
      </c>
      <c r="N412" s="193" t="s">
        <v>6794</v>
      </c>
      <c r="O412" s="224" t="s">
        <v>8399</v>
      </c>
      <c r="P412" s="224">
        <v>6</v>
      </c>
      <c r="Q412" s="224" t="s">
        <v>249</v>
      </c>
      <c r="X412" s="193">
        <v>1</v>
      </c>
      <c r="AA412" s="200"/>
      <c r="AB412" s="200" t="str">
        <f t="array" ref="AB412">INDEX(B:B,SMALL(IF($Q$3:$Q$524&lt;&gt;"",ROW($3:$524),525),ROW(B411)))&amp;""</f>
        <v>禁制术</v>
      </c>
      <c r="AC412" s="225" t="str">
        <f>IFERROR(IF(AND($Q413&lt;&gt;"",IF(法术查询!$J$4="",1,INDEX($R413:$Z413,1,VLOOKUP(法术查询!$J$4,$AF$2:$AG$10,2,0)))&lt;&gt;"",IF(法术查询!$J$5="",1,$P413=VLOOKUP(法术查询!$J$5,$AH$2:$AI$11,2,0)),IF(法术查询!$J$6="",1,IF(法术查询!$J$6=$E413,1,0)),IF(法术查询!$J$7="",1,SEARCH(法术查询!$J$7,$F413)),IF(法术查询!$J$8="",1,SEARCH(法术查询!$J$8,G413)),IF(法术查询!$J$9="",1,SEARCH(法术查询!$J$9,N413)),IF(法术查询!$J$10="",1,IF(法术查询!$J$10=$AF$11,IF($M413=1,1,0),IF($M413="",1,0))),IF(法术查询!$J$11="",1,IF(法术查询!$J$11=$AF$11,IF($D413=1,1,0),IF($D413="",1,0))),IF(法术查询!$J$12="",1,SEARCH(法术查询!$J$12,$B413&amp;$C413&amp;$O413)),IF(法术查询!$J$13="",1,SEARCH(法术查询!$J$13,$B413&amp;$C413&amp;$O413)),IF(法术查询!$J$14="",1,SEARCH(法术查询!$J$14,$B413&amp;$C413&amp;$O413)),IF(法术查询!$J$16="",1,IF(法术查询!$J$16=$AF$11,IF($H413=1,1,0),IF($H413="",1,0))),IF(法术查询!$J$17="",1,IF(法术查询!$J$17=$AF$11,IF($I413=1,1,0),IF($I413="",1,0))),IF(法术查询!$J$18="",1,IF(法术查询!$J$18=$AF$11,IF($J413&lt;&gt;"",1,0),IF($J413="",1,0))),IF(法术查询!$J$19="",1,IF(法术查询!$J$19=$AF$11,IF($L413&lt;&gt;"",1,0),IF($L413="",1,0)))),$B413,""),"")</f>
        <v/>
      </c>
      <c r="AD412" s="192" t="str">
        <f t="array" ref="AD412">INDEX(AC:AC,SMALL(IF($AC$2:$AC$523&lt;&gt;"",ROW($2:$523),524),ROW(AC411)))&amp;""</f>
        <v/>
      </c>
      <c r="AE412" s="200" t="str">
        <f t="shared" si="10"/>
        <v/>
      </c>
    </row>
    <row r="413" customHeight="1" spans="1:31">
      <c r="A413" s="192">
        <v>411</v>
      </c>
      <c r="B413" s="224" t="s">
        <v>8400</v>
      </c>
      <c r="C413" s="224" t="s">
        <v>8401</v>
      </c>
      <c r="E413" s="243" t="s">
        <v>6657</v>
      </c>
      <c r="F413" s="193" t="s">
        <v>6642</v>
      </c>
      <c r="G413" s="193" t="s">
        <v>6651</v>
      </c>
      <c r="H413" s="193">
        <v>1</v>
      </c>
      <c r="I413" s="193">
        <v>1</v>
      </c>
      <c r="M413" s="193">
        <v>1</v>
      </c>
      <c r="N413" s="193" t="s">
        <v>6666</v>
      </c>
      <c r="O413" s="224" t="s">
        <v>8402</v>
      </c>
      <c r="P413" s="224">
        <v>6</v>
      </c>
      <c r="Q413" s="224" t="s">
        <v>249</v>
      </c>
      <c r="R413" s="193">
        <v>1</v>
      </c>
      <c r="W413" s="193">
        <v>1</v>
      </c>
      <c r="X413" s="193">
        <v>1</v>
      </c>
      <c r="Y413" s="193">
        <v>1</v>
      </c>
      <c r="AA413" s="200"/>
      <c r="AB413" s="200" t="str">
        <f t="array" ref="AB413">INDEX(B:B,SMALL(IF($Q$3:$Q$524&lt;&gt;"",ROW($3:$524),525),ROW(B412)))&amp;""</f>
        <v>法术无效结界</v>
      </c>
      <c r="AC413" s="225" t="str">
        <f>IFERROR(IF(AND($Q414&lt;&gt;"",IF(法术查询!$J$4="",1,INDEX($R414:$Z414,1,VLOOKUP(法术查询!$J$4,$AF$2:$AG$10,2,0)))&lt;&gt;"",IF(法术查询!$J$5="",1,$P414=VLOOKUP(法术查询!$J$5,$AH$2:$AI$11,2,0)),IF(法术查询!$J$6="",1,IF(法术查询!$J$6=$E414,1,0)),IF(法术查询!$J$7="",1,SEARCH(法术查询!$J$7,$F414)),IF(法术查询!$J$8="",1,SEARCH(法术查询!$J$8,G414)),IF(法术查询!$J$9="",1,SEARCH(法术查询!$J$9,N414)),IF(法术查询!$J$10="",1,IF(法术查询!$J$10=$AF$11,IF($M414=1,1,0),IF($M414="",1,0))),IF(法术查询!$J$11="",1,IF(法术查询!$J$11=$AF$11,IF($D414=1,1,0),IF($D414="",1,0))),IF(法术查询!$J$12="",1,SEARCH(法术查询!$J$12,$B414&amp;$C414&amp;$O414)),IF(法术查询!$J$13="",1,SEARCH(法术查询!$J$13,$B414&amp;$C414&amp;$O414)),IF(法术查询!$J$14="",1,SEARCH(法术查询!$J$14,$B414&amp;$C414&amp;$O414)),IF(法术查询!$J$16="",1,IF(法术查询!$J$16=$AF$11,IF($H414=1,1,0),IF($H414="",1,0))),IF(法术查询!$J$17="",1,IF(法术查询!$J$17=$AF$11,IF($I414=1,1,0),IF($I414="",1,0))),IF(法术查询!$J$18="",1,IF(法术查询!$J$18=$AF$11,IF($J414&lt;&gt;"",1,0),IF($J414="",1,0))),IF(法术查询!$J$19="",1,IF(法术查询!$J$19=$AF$11,IF($L414&lt;&gt;"",1,0),IF($L414="",1,0)))),$B414,""),"")</f>
        <v/>
      </c>
      <c r="AD413" s="192" t="str">
        <f t="array" ref="AD413">INDEX(AC:AC,SMALL(IF($AC$2:$AC$523&lt;&gt;"",ROW($2:$523),524),ROW(AC412)))&amp;""</f>
        <v/>
      </c>
      <c r="AE413" s="200" t="str">
        <f t="shared" si="10"/>
        <v/>
      </c>
    </row>
    <row r="414" customHeight="1" spans="1:31">
      <c r="A414" s="192">
        <v>412</v>
      </c>
      <c r="B414" s="224" t="s">
        <v>8403</v>
      </c>
      <c r="C414" s="224" t="s">
        <v>8404</v>
      </c>
      <c r="E414" s="238" t="s">
        <v>6695</v>
      </c>
      <c r="F414" s="193" t="s">
        <v>6709</v>
      </c>
      <c r="G414" s="193" t="s">
        <v>6651</v>
      </c>
      <c r="H414" s="193">
        <v>1</v>
      </c>
      <c r="I414" s="193">
        <v>1</v>
      </c>
      <c r="J414" s="193">
        <v>1</v>
      </c>
      <c r="K414" s="224" t="s">
        <v>8405</v>
      </c>
      <c r="M414" s="193">
        <v>1</v>
      </c>
      <c r="N414" s="193" t="s">
        <v>6855</v>
      </c>
      <c r="O414" s="224" t="s">
        <v>8406</v>
      </c>
      <c r="P414" s="224">
        <v>6</v>
      </c>
      <c r="Q414" s="224" t="s">
        <v>249</v>
      </c>
      <c r="R414" s="193">
        <v>1</v>
      </c>
      <c r="S414" s="193">
        <v>1</v>
      </c>
      <c r="T414" s="193">
        <v>1</v>
      </c>
      <c r="AA414" s="200"/>
      <c r="AB414" s="200" t="str">
        <f t="array" ref="AB414">INDEX(B:B,SMALL(IF($Q$3:$Q$524&lt;&gt;"",ROW($3:$524),525),ROW(B413)))&amp;""</f>
        <v>铜墙铁壁</v>
      </c>
      <c r="AC414" s="225" t="str">
        <f>IFERROR(IF(AND($Q415&lt;&gt;"",IF(法术查询!$J$4="",1,INDEX($R415:$Z415,1,VLOOKUP(法术查询!$J$4,$AF$2:$AG$10,2,0)))&lt;&gt;"",IF(法术查询!$J$5="",1,$P415=VLOOKUP(法术查询!$J$5,$AH$2:$AI$11,2,0)),IF(法术查询!$J$6="",1,IF(法术查询!$J$6=$E415,1,0)),IF(法术查询!$J$7="",1,SEARCH(法术查询!$J$7,$F415)),IF(法术查询!$J$8="",1,SEARCH(法术查询!$J$8,G415)),IF(法术查询!$J$9="",1,SEARCH(法术查询!$J$9,N415)),IF(法术查询!$J$10="",1,IF(法术查询!$J$10=$AF$11,IF($M415=1,1,0),IF($M415="",1,0))),IF(法术查询!$J$11="",1,IF(法术查询!$J$11=$AF$11,IF($D415=1,1,0),IF($D415="",1,0))),IF(法术查询!$J$12="",1,SEARCH(法术查询!$J$12,$B415&amp;$C415&amp;$O415)),IF(法术查询!$J$13="",1,SEARCH(法术查询!$J$13,$B415&amp;$C415&amp;$O415)),IF(法术查询!$J$14="",1,SEARCH(法术查询!$J$14,$B415&amp;$C415&amp;$O415)),IF(法术查询!$J$16="",1,IF(法术查询!$J$16=$AF$11,IF($H415=1,1,0),IF($H415="",1,0))),IF(法术查询!$J$17="",1,IF(法术查询!$J$17=$AF$11,IF($I415=1,1,0),IF($I415="",1,0))),IF(法术查询!$J$18="",1,IF(法术查询!$J$18=$AF$11,IF($J415&lt;&gt;"",1,0),IF($J415="",1,0))),IF(法术查询!$J$19="",1,IF(法术查询!$J$19=$AF$11,IF($L415&lt;&gt;"",1,0),IF($L415="",1,0)))),$B415,""),"")</f>
        <v/>
      </c>
      <c r="AD414" s="192" t="str">
        <f t="array" ref="AD414">INDEX(AC:AC,SMALL(IF($AC$2:$AC$523&lt;&gt;"",ROW($2:$523),524),ROW(AC413)))&amp;""</f>
        <v/>
      </c>
      <c r="AE414" s="200" t="str">
        <f t="shared" si="10"/>
        <v/>
      </c>
    </row>
    <row r="415" customHeight="1" spans="1:31">
      <c r="A415" s="192">
        <v>413</v>
      </c>
      <c r="B415" s="224" t="s">
        <v>8407</v>
      </c>
      <c r="C415" s="224" t="s">
        <v>8408</v>
      </c>
      <c r="E415" s="231" t="s">
        <v>6672</v>
      </c>
      <c r="F415" s="193" t="s">
        <v>6642</v>
      </c>
      <c r="G415" s="193" t="s">
        <v>6643</v>
      </c>
      <c r="H415" s="193">
        <v>1</v>
      </c>
      <c r="I415" s="193">
        <v>1</v>
      </c>
      <c r="J415" s="193">
        <v>1</v>
      </c>
      <c r="K415" s="224" t="s">
        <v>8409</v>
      </c>
      <c r="M415" s="193">
        <v>1</v>
      </c>
      <c r="N415" s="193" t="s">
        <v>6666</v>
      </c>
      <c r="O415" s="224" t="s">
        <v>8410</v>
      </c>
      <c r="P415" s="224">
        <v>6</v>
      </c>
      <c r="Q415" s="224" t="s">
        <v>249</v>
      </c>
      <c r="T415" s="193" t="str">
        <f>IF(综合数据!$B$14=TRUE,"13","")</f>
        <v>13</v>
      </c>
      <c r="W415" s="193" t="str">
        <f>IF(综合数据!$B$14=TRUE,"13","")</f>
        <v>13</v>
      </c>
      <c r="X415" s="193">
        <v>1</v>
      </c>
      <c r="Y415" s="193">
        <v>1</v>
      </c>
      <c r="AA415" s="200"/>
      <c r="AB415" s="200" t="str">
        <f t="array" ref="AB415">INDEX(B:B,SMALL(IF($Q$3:$Q$524&lt;&gt;"",ROW($3:$524),525),ROW(B414)))&amp;""</f>
        <v>重伤术</v>
      </c>
      <c r="AC415" s="225" t="str">
        <f>IFERROR(IF(AND($Q416&lt;&gt;"",IF(法术查询!$J$4="",1,INDEX($R416:$Z416,1,VLOOKUP(法术查询!$J$4,$AF$2:$AG$10,2,0)))&lt;&gt;"",IF(法术查询!$J$5="",1,$P416=VLOOKUP(法术查询!$J$5,$AH$2:$AI$11,2,0)),IF(法术查询!$J$6="",1,IF(法术查询!$J$6=$E416,1,0)),IF(法术查询!$J$7="",1,SEARCH(法术查询!$J$7,$F416)),IF(法术查询!$J$8="",1,SEARCH(法术查询!$J$8,G416)),IF(法术查询!$J$9="",1,SEARCH(法术查询!$J$9,N416)),IF(法术查询!$J$10="",1,IF(法术查询!$J$10=$AF$11,IF($M416=1,1,0),IF($M416="",1,0))),IF(法术查询!$J$11="",1,IF(法术查询!$J$11=$AF$11,IF($D416=1,1,0),IF($D416="",1,0))),IF(法术查询!$J$12="",1,SEARCH(法术查询!$J$12,$B416&amp;$C416&amp;$O416)),IF(法术查询!$J$13="",1,SEARCH(法术查询!$J$13,$B416&amp;$C416&amp;$O416)),IF(法术查询!$J$14="",1,SEARCH(法术查询!$J$14,$B416&amp;$C416&amp;$O416)),IF(法术查询!$J$16="",1,IF(法术查询!$J$16=$AF$11,IF($H416=1,1,0),IF($H416="",1,0))),IF(法术查询!$J$17="",1,IF(法术查询!$J$17=$AF$11,IF($I416=1,1,0),IF($I416="",1,0))),IF(法术查询!$J$18="",1,IF(法术查询!$J$18=$AF$11,IF($J416&lt;&gt;"",1,0),IF($J416="",1,0))),IF(法术查询!$J$19="",1,IF(法术查询!$J$19=$AF$11,IF($L416&lt;&gt;"",1,0),IF($L416="",1,0)))),$B416,""),"")</f>
        <v/>
      </c>
      <c r="AD415" s="192" t="str">
        <f t="array" ref="AD415">INDEX(AC:AC,SMALL(IF($AC$2:$AC$523&lt;&gt;"",ROW($2:$523),524),ROW(AC414)))&amp;""</f>
        <v/>
      </c>
      <c r="AE415" s="200" t="str">
        <f t="shared" si="10"/>
        <v/>
      </c>
    </row>
    <row r="416" customHeight="1" spans="1:31">
      <c r="A416" s="192">
        <v>414</v>
      </c>
      <c r="B416" s="224" t="s">
        <v>8411</v>
      </c>
      <c r="C416" s="224" t="s">
        <v>8412</v>
      </c>
      <c r="D416" s="193">
        <v>1</v>
      </c>
      <c r="E416" s="242" t="s">
        <v>6650</v>
      </c>
      <c r="F416" s="193" t="s">
        <v>6731</v>
      </c>
      <c r="G416" s="193" t="s">
        <v>3760</v>
      </c>
      <c r="H416" s="193">
        <v>1</v>
      </c>
      <c r="I416" s="193">
        <v>1</v>
      </c>
      <c r="J416" s="193">
        <v>1</v>
      </c>
      <c r="K416" s="224" t="s">
        <v>8413</v>
      </c>
      <c r="N416" s="193" t="s">
        <v>6767</v>
      </c>
      <c r="O416" s="224" t="s">
        <v>8414</v>
      </c>
      <c r="P416" s="224">
        <v>6</v>
      </c>
      <c r="Q416" s="224" t="s">
        <v>249</v>
      </c>
      <c r="S416" s="193">
        <v>1</v>
      </c>
      <c r="AA416" s="200"/>
      <c r="AB416" s="200" t="str">
        <f t="array" ref="AB416">INDEX(B:B,SMALL(IF($Q$3:$Q$524&lt;&gt;"",ROW($3:$524),525),ROW(B415)))&amp;""</f>
        <v>医疗术</v>
      </c>
      <c r="AC416" s="225" t="str">
        <f>IFERROR(IF(AND($Q417&lt;&gt;"",IF(法术查询!$J$4="",1,INDEX($R417:$Z417,1,VLOOKUP(法术查询!$J$4,$AF$2:$AG$10,2,0)))&lt;&gt;"",IF(法术查询!$J$5="",1,$P417=VLOOKUP(法术查询!$J$5,$AH$2:$AI$11,2,0)),IF(法术查询!$J$6="",1,IF(法术查询!$J$6=$E417,1,0)),IF(法术查询!$J$7="",1,SEARCH(法术查询!$J$7,$F417)),IF(法术查询!$J$8="",1,SEARCH(法术查询!$J$8,G417)),IF(法术查询!$J$9="",1,SEARCH(法术查询!$J$9,N417)),IF(法术查询!$J$10="",1,IF(法术查询!$J$10=$AF$11,IF($M417=1,1,0),IF($M417="",1,0))),IF(法术查询!$J$11="",1,IF(法术查询!$J$11=$AF$11,IF($D417=1,1,0),IF($D417="",1,0))),IF(法术查询!$J$12="",1,SEARCH(法术查询!$J$12,$B417&amp;$C417&amp;$O417)),IF(法术查询!$J$13="",1,SEARCH(法术查询!$J$13,$B417&amp;$C417&amp;$O417)),IF(法术查询!$J$14="",1,SEARCH(法术查询!$J$14,$B417&amp;$C417&amp;$O417)),IF(法术查询!$J$16="",1,IF(法术查询!$J$16=$AF$11,IF($H417=1,1,0),IF($H417="",1,0))),IF(法术查询!$J$17="",1,IF(法术查询!$J$17=$AF$11,IF($I417=1,1,0),IF($I417="",1,0))),IF(法术查询!$J$18="",1,IF(法术查询!$J$18=$AF$11,IF($J417&lt;&gt;"",1,0),IF($J417="",1,0))),IF(法术查询!$J$19="",1,IF(法术查询!$J$19=$AF$11,IF($L417&lt;&gt;"",1,0),IF($L417="",1,0)))),$B417,""),"")</f>
        <v/>
      </c>
      <c r="AD416" s="192" t="str">
        <f t="array" ref="AD416">INDEX(AC:AC,SMALL(IF($AC$2:$AC$523&lt;&gt;"",ROW($2:$523),524),ROW(AC415)))&amp;""</f>
        <v/>
      </c>
      <c r="AE416" s="200" t="str">
        <f t="shared" si="10"/>
        <v/>
      </c>
    </row>
    <row r="417" customHeight="1" spans="1:31">
      <c r="A417" s="192">
        <v>415</v>
      </c>
      <c r="B417" s="224" t="s">
        <v>8415</v>
      </c>
      <c r="C417" s="224" t="s">
        <v>8416</v>
      </c>
      <c r="E417" s="242" t="s">
        <v>6650</v>
      </c>
      <c r="F417" s="193" t="s">
        <v>6642</v>
      </c>
      <c r="G417" s="193" t="s">
        <v>6839</v>
      </c>
      <c r="H417" s="193">
        <v>1</v>
      </c>
      <c r="I417" s="193">
        <v>1</v>
      </c>
      <c r="J417" s="193">
        <v>1</v>
      </c>
      <c r="K417" s="224" t="s">
        <v>8417</v>
      </c>
      <c r="M417" s="193">
        <v>1</v>
      </c>
      <c r="N417" s="193" t="s">
        <v>6666</v>
      </c>
      <c r="O417" s="224" t="s">
        <v>8418</v>
      </c>
      <c r="P417" s="224">
        <v>6</v>
      </c>
      <c r="Q417" s="224" t="s">
        <v>249</v>
      </c>
      <c r="W417" s="193">
        <v>1</v>
      </c>
      <c r="X417" s="193">
        <v>1</v>
      </c>
      <c r="AA417" s="200"/>
      <c r="AB417" s="200" t="str">
        <f t="array" ref="AB417">INDEX(B:B,SMALL(IF($Q$3:$Q$524&lt;&gt;"",ROW($3:$524),525),ROW(B416)))&amp;""</f>
        <v>英雄宴</v>
      </c>
      <c r="AC417" s="225" t="str">
        <f>IFERROR(IF(AND($Q418&lt;&gt;"",IF(法术查询!$J$4="",1,INDEX($R418:$Z418,1,VLOOKUP(法术查询!$J$4,$AF$2:$AG$10,2,0)))&lt;&gt;"",IF(法术查询!$J$5="",1,$P418=VLOOKUP(法术查询!$J$5,$AH$2:$AI$11,2,0)),IF(法术查询!$J$6="",1,IF(法术查询!$J$6=$E418,1,0)),IF(法术查询!$J$7="",1,SEARCH(法术查询!$J$7,$F418)),IF(法术查询!$J$8="",1,SEARCH(法术查询!$J$8,G418)),IF(法术查询!$J$9="",1,SEARCH(法术查询!$J$9,N418)),IF(法术查询!$J$10="",1,IF(法术查询!$J$10=$AF$11,IF($M418=1,1,0),IF($M418="",1,0))),IF(法术查询!$J$11="",1,IF(法术查询!$J$11=$AF$11,IF($D418=1,1,0),IF($D418="",1,0))),IF(法术查询!$J$12="",1,SEARCH(法术查询!$J$12,$B418&amp;$C418&amp;$O418)),IF(法术查询!$J$13="",1,SEARCH(法术查询!$J$13,$B418&amp;$C418&amp;$O418)),IF(法术查询!$J$14="",1,SEARCH(法术查询!$J$14,$B418&amp;$C418&amp;$O418)),IF(法术查询!$J$16="",1,IF(法术查询!$J$16=$AF$11,IF($H418=1,1,0),IF($H418="",1,0))),IF(法术查询!$J$17="",1,IF(法术查询!$J$17=$AF$11,IF($I418=1,1,0),IF($I418="",1,0))),IF(法术查询!$J$18="",1,IF(法术查询!$J$18=$AF$11,IF($J418&lt;&gt;"",1,0),IF($J418="",1,0))),IF(法术查询!$J$19="",1,IF(法术查询!$J$19=$AF$11,IF($L418&lt;&gt;"",1,0),IF($L418="",1,0)))),$B418,""),"")</f>
        <v/>
      </c>
      <c r="AD417" s="192" t="str">
        <f t="array" ref="AD417">INDEX(AC:AC,SMALL(IF($AC$2:$AC$523&lt;&gt;"",ROW($2:$523),524),ROW(AC416)))&amp;""</f>
        <v/>
      </c>
      <c r="AE417" s="200" t="str">
        <f t="shared" si="10"/>
        <v/>
      </c>
    </row>
    <row r="418" customHeight="1" spans="1:31">
      <c r="A418" s="192">
        <v>416</v>
      </c>
      <c r="B418" s="224" t="s">
        <v>8419</v>
      </c>
      <c r="C418" s="224" t="s">
        <v>8420</v>
      </c>
      <c r="E418" s="242" t="s">
        <v>6650</v>
      </c>
      <c r="F418" s="193" t="s">
        <v>6731</v>
      </c>
      <c r="G418" s="193" t="s">
        <v>3760</v>
      </c>
      <c r="H418" s="193">
        <v>1</v>
      </c>
      <c r="I418" s="193">
        <v>1</v>
      </c>
      <c r="J418" s="193">
        <v>1</v>
      </c>
      <c r="K418" s="224" t="s">
        <v>8421</v>
      </c>
      <c r="N418" s="193" t="s">
        <v>6759</v>
      </c>
      <c r="O418" s="224" t="s">
        <v>8422</v>
      </c>
      <c r="P418" s="224">
        <v>6</v>
      </c>
      <c r="Q418" s="224" t="s">
        <v>249</v>
      </c>
      <c r="R418" s="193">
        <v>1</v>
      </c>
      <c r="X418" s="193">
        <v>1</v>
      </c>
      <c r="AA418" s="200"/>
      <c r="AB418" s="200" t="str">
        <f t="array" ref="AB418">INDEX(B:B,SMALL(IF($Q$3:$Q$524&lt;&gt;"",ROW($3:$524),525),ROW(B417)))&amp;""</f>
        <v>魔魂壶</v>
      </c>
      <c r="AC418" s="225" t="str">
        <f>IFERROR(IF(AND($Q419&lt;&gt;"",IF(法术查询!$J$4="",1,INDEX($R419:$Z419,1,VLOOKUP(法术查询!$J$4,$AF$2:$AG$10,2,0)))&lt;&gt;"",IF(法术查询!$J$5="",1,$P419=VLOOKUP(法术查询!$J$5,$AH$2:$AI$11,2,0)),IF(法术查询!$J$6="",1,IF(法术查询!$J$6=$E419,1,0)),IF(法术查询!$J$7="",1,SEARCH(法术查询!$J$7,$F419)),IF(法术查询!$J$8="",1,SEARCH(法术查询!$J$8,G419)),IF(法术查询!$J$9="",1,SEARCH(法术查询!$J$9,N419)),IF(法术查询!$J$10="",1,IF(法术查询!$J$10=$AF$11,IF($M419=1,1,0),IF($M419="",1,0))),IF(法术查询!$J$11="",1,IF(法术查询!$J$11=$AF$11,IF($D419=1,1,0),IF($D419="",1,0))),IF(法术查询!$J$12="",1,SEARCH(法术查询!$J$12,$B419&amp;$C419&amp;$O419)),IF(法术查询!$J$13="",1,SEARCH(法术查询!$J$13,$B419&amp;$C419&amp;$O419)),IF(法术查询!$J$14="",1,SEARCH(法术查询!$J$14,$B419&amp;$C419&amp;$O419)),IF(法术查询!$J$16="",1,IF(法术查询!$J$16=$AF$11,IF($H419=1,1,0),IF($H419="",1,0))),IF(法术查询!$J$17="",1,IF(法术查询!$J$17=$AF$11,IF($I419=1,1,0),IF($I419="",1,0))),IF(法术查询!$J$18="",1,IF(法术查询!$J$18=$AF$11,IF($J419&lt;&gt;"",1,0),IF($J419="",1,0))),IF(法术查询!$J$19="",1,IF(法术查询!$J$19=$AF$11,IF($L419&lt;&gt;"",1,0),IF($L419="",1,0)))),$B419,""),"")</f>
        <v/>
      </c>
      <c r="AD418" s="192" t="str">
        <f t="array" ref="AD418">INDEX(AC:AC,SMALL(IF($AC$2:$AC$523&lt;&gt;"",ROW($2:$523),524),ROW(AC417)))&amp;""</f>
        <v/>
      </c>
      <c r="AE418" s="200" t="str">
        <f t="shared" si="10"/>
        <v/>
      </c>
    </row>
    <row r="419" customHeight="1" spans="1:31">
      <c r="A419" s="192">
        <v>417</v>
      </c>
      <c r="B419" s="224" t="s">
        <v>8423</v>
      </c>
      <c r="C419" s="224" t="s">
        <v>8424</v>
      </c>
      <c r="E419" s="243" t="s">
        <v>6657</v>
      </c>
      <c r="F419" s="193" t="s">
        <v>6642</v>
      </c>
      <c r="G419" s="193" t="s">
        <v>6643</v>
      </c>
      <c r="H419" s="193">
        <v>1</v>
      </c>
      <c r="I419" s="193">
        <v>1</v>
      </c>
      <c r="N419" s="193" t="s">
        <v>6644</v>
      </c>
      <c r="O419" s="224" t="s">
        <v>8425</v>
      </c>
      <c r="P419" s="224">
        <v>6</v>
      </c>
      <c r="Q419" s="224" t="s">
        <v>249</v>
      </c>
      <c r="S419" s="193">
        <v>1</v>
      </c>
      <c r="AA419" s="200"/>
      <c r="AB419" s="200" t="str">
        <f t="array" ref="AB419">INDEX(B:B,SMALL(IF($Q$3:$Q$524&lt;&gt;"",ROW($3:$524),525),ROW(B418)))&amp;""</f>
        <v>群体暗示术</v>
      </c>
      <c r="AC419" s="225" t="str">
        <f>IFERROR(IF(AND($Q420&lt;&gt;"",IF(法术查询!$J$4="",1,INDEX($R420:$Z420,1,VLOOKUP(法术查询!$J$4,$AF$2:$AG$10,2,0)))&lt;&gt;"",IF(法术查询!$J$5="",1,$P420=VLOOKUP(法术查询!$J$5,$AH$2:$AI$11,2,0)),IF(法术查询!$J$6="",1,IF(法术查询!$J$6=$E420,1,0)),IF(法术查询!$J$7="",1,SEARCH(法术查询!$J$7,$F420)),IF(法术查询!$J$8="",1,SEARCH(法术查询!$J$8,G420)),IF(法术查询!$J$9="",1,SEARCH(法术查询!$J$9,N420)),IF(法术查询!$J$10="",1,IF(法术查询!$J$10=$AF$11,IF($M420=1,1,0),IF($M420="",1,0))),IF(法术查询!$J$11="",1,IF(法术查询!$J$11=$AF$11,IF($D420=1,1,0),IF($D420="",1,0))),IF(法术查询!$J$12="",1,SEARCH(法术查询!$J$12,$B420&amp;$C420&amp;$O420)),IF(法术查询!$J$13="",1,SEARCH(法术查询!$J$13,$B420&amp;$C420&amp;$O420)),IF(法术查询!$J$14="",1,SEARCH(法术查询!$J$14,$B420&amp;$C420&amp;$O420)),IF(法术查询!$J$16="",1,IF(法术查询!$J$16=$AF$11,IF($H420=1,1,0),IF($H420="",1,0))),IF(法术查询!$J$17="",1,IF(法术查询!$J$17=$AF$11,IF($I420=1,1,0),IF($I420="",1,0))),IF(法术查询!$J$18="",1,IF(法术查询!$J$18=$AF$11,IF($J420&lt;&gt;"",1,0),IF($J420="",1,0))),IF(法术查询!$J$19="",1,IF(法术查询!$J$19=$AF$11,IF($L420&lt;&gt;"",1,0),IF($L420="",1,0)))),$B420,""),"")</f>
        <v/>
      </c>
      <c r="AD419" s="192" t="str">
        <f t="array" ref="AD419">INDEX(AC:AC,SMALL(IF($AC$2:$AC$523&lt;&gt;"",ROW($2:$523),524),ROW(AC418)))&amp;""</f>
        <v/>
      </c>
      <c r="AE419" s="200" t="str">
        <f t="shared" si="10"/>
        <v/>
      </c>
    </row>
    <row r="420" customHeight="1" spans="1:31">
      <c r="A420" s="192">
        <v>418</v>
      </c>
      <c r="B420" s="224" t="s">
        <v>8426</v>
      </c>
      <c r="C420" s="224" t="s">
        <v>8427</v>
      </c>
      <c r="E420" s="229" t="s">
        <v>6664</v>
      </c>
      <c r="F420" s="193" t="s">
        <v>6642</v>
      </c>
      <c r="G420" s="193" t="s">
        <v>6643</v>
      </c>
      <c r="H420" s="193">
        <v>1</v>
      </c>
      <c r="I420" s="193">
        <v>1</v>
      </c>
      <c r="N420" s="193" t="s">
        <v>6644</v>
      </c>
      <c r="O420" s="224" t="s">
        <v>8428</v>
      </c>
      <c r="P420" s="224">
        <v>6</v>
      </c>
      <c r="Q420" s="224" t="s">
        <v>249</v>
      </c>
      <c r="S420" s="193">
        <v>1</v>
      </c>
      <c r="T420" s="193">
        <v>1</v>
      </c>
      <c r="AA420" s="200" t="s">
        <v>1735</v>
      </c>
      <c r="AB420" s="200" t="str">
        <f t="array" ref="AB420">INDEX(B:B,SMALL(IF($Q$3:$Q$524&lt;&gt;"",ROW($3:$524),525),ROW(B419)))&amp;""</f>
        <v>地动术</v>
      </c>
      <c r="AC420" s="225" t="str">
        <f>IFERROR(IF(AND($Q421&lt;&gt;"",IF(法术查询!$J$4="",1,INDEX($R421:$Z421,1,VLOOKUP(法术查询!$J$4,$AF$2:$AG$10,2,0)))&lt;&gt;"",IF(法术查询!$J$5="",1,$P421=VLOOKUP(法术查询!$J$5,$AH$2:$AI$11,2,0)),IF(法术查询!$J$6="",1,IF(法术查询!$J$6=$E421,1,0)),IF(法术查询!$J$7="",1,SEARCH(法术查询!$J$7,$F421)),IF(法术查询!$J$8="",1,SEARCH(法术查询!$J$8,G421)),IF(法术查询!$J$9="",1,SEARCH(法术查询!$J$9,N421)),IF(法术查询!$J$10="",1,IF(法术查询!$J$10=$AF$11,IF($M421=1,1,0),IF($M421="",1,0))),IF(法术查询!$J$11="",1,IF(法术查询!$J$11=$AF$11,IF($D421=1,1,0),IF($D421="",1,0))),IF(法术查询!$J$12="",1,SEARCH(法术查询!$J$12,$B421&amp;$C421&amp;$O421)),IF(法术查询!$J$13="",1,SEARCH(法术查询!$J$13,$B421&amp;$C421&amp;$O421)),IF(法术查询!$J$14="",1,SEARCH(法术查询!$J$14,$B421&amp;$C421&amp;$O421)),IF(法术查询!$J$16="",1,IF(法术查询!$J$16=$AF$11,IF($H421=1,1,0),IF($H421="",1,0))),IF(法术查询!$J$17="",1,IF(法术查询!$J$17=$AF$11,IF($I421=1,1,0),IF($I421="",1,0))),IF(法术查询!$J$18="",1,IF(法术查询!$J$18=$AF$11,IF($J421&lt;&gt;"",1,0),IF($J421="",1,0))),IF(法术查询!$J$19="",1,IF(法术查询!$J$19=$AF$11,IF($L421&lt;&gt;"",1,0),IF($L421="",1,0)))),$B421,""),"")</f>
        <v/>
      </c>
      <c r="AD420" s="192" t="str">
        <f t="array" ref="AD420">INDEX(AC:AC,SMALL(IF($AC$2:$AC$523&lt;&gt;"",ROW($2:$523),524),ROW(AC419)))&amp;""</f>
        <v/>
      </c>
      <c r="AE420" s="200" t="str">
        <f t="shared" si="10"/>
        <v/>
      </c>
    </row>
    <row r="421" customHeight="1" spans="1:31">
      <c r="A421" s="192">
        <v>419</v>
      </c>
      <c r="B421" s="224" t="s">
        <v>8429</v>
      </c>
      <c r="C421" s="224" t="s">
        <v>8430</v>
      </c>
      <c r="E421" s="240" t="s">
        <v>6641</v>
      </c>
      <c r="F421" s="193" t="s">
        <v>6731</v>
      </c>
      <c r="G421" s="193" t="s">
        <v>6673</v>
      </c>
      <c r="H421" s="193">
        <v>1</v>
      </c>
      <c r="I421" s="193">
        <v>1</v>
      </c>
      <c r="J421" s="193">
        <v>1</v>
      </c>
      <c r="L421" s="224" t="s">
        <v>8431</v>
      </c>
      <c r="N421" s="193" t="s">
        <v>6644</v>
      </c>
      <c r="O421" s="224" t="s">
        <v>8432</v>
      </c>
      <c r="P421" s="224">
        <v>6</v>
      </c>
      <c r="Q421" s="224" t="s">
        <v>249</v>
      </c>
      <c r="R421" s="193" t="str">
        <f>IF(综合数据!$B$14=TRUE,"13","")</f>
        <v>13</v>
      </c>
      <c r="S421" s="193">
        <v>1</v>
      </c>
      <c r="T421" s="193">
        <v>1</v>
      </c>
      <c r="AA421" s="200"/>
      <c r="AB421" s="200" t="str">
        <f t="array" ref="AB421">INDEX(B:B,SMALL(IF($Q$3:$Q$524&lt;&gt;"",ROW($3:$524),525),ROW(B420)))&amp;""</f>
        <v>欧提路克冰封法球</v>
      </c>
      <c r="AC421" s="225" t="str">
        <f>IFERROR(IF(AND($Q422&lt;&gt;"",IF(法术查询!$J$4="",1,INDEX($R422:$Z422,1,VLOOKUP(法术查询!$J$4,$AF$2:$AG$10,2,0)))&lt;&gt;"",IF(法术查询!$J$5="",1,$P422=VLOOKUP(法术查询!$J$5,$AH$2:$AI$11,2,0)),IF(法术查询!$J$6="",1,IF(法术查询!$J$6=$E422,1,0)),IF(法术查询!$J$7="",1,SEARCH(法术查询!$J$7,$F422)),IF(法术查询!$J$8="",1,SEARCH(法术查询!$J$8,G422)),IF(法术查询!$J$9="",1,SEARCH(法术查询!$J$9,N422)),IF(法术查询!$J$10="",1,IF(法术查询!$J$10=$AF$11,IF($M422=1,1,0),IF($M422="",1,0))),IF(法术查询!$J$11="",1,IF(法术查询!$J$11=$AF$11,IF($D422=1,1,0),IF($D422="",1,0))),IF(法术查询!$J$12="",1,SEARCH(法术查询!$J$12,$B422&amp;$C422&amp;$O422)),IF(法术查询!$J$13="",1,SEARCH(法术查询!$J$13,$B422&amp;$C422&amp;$O422)),IF(法术查询!$J$14="",1,SEARCH(法术查询!$J$14,$B422&amp;$C422&amp;$O422)),IF(法术查询!$J$16="",1,IF(法术查询!$J$16=$AF$11,IF($H422=1,1,0),IF($H422="",1,0))),IF(法术查询!$J$17="",1,IF(法术查询!$J$17=$AF$11,IF($I422=1,1,0),IF($I422="",1,0))),IF(法术查询!$J$18="",1,IF(法术查询!$J$18=$AF$11,IF($J422&lt;&gt;"",1,0),IF($J422="",1,0))),IF(法术查询!$J$19="",1,IF(法术查询!$J$19=$AF$11,IF($L422&lt;&gt;"",1,0),IF($L422="",1,0)))),$B422,""),"")</f>
        <v/>
      </c>
      <c r="AD421" s="192" t="str">
        <f t="array" ref="AD421">INDEX(AC:AC,SMALL(IF($AC$2:$AC$523&lt;&gt;"",ROW($2:$523),524),ROW(AC420)))&amp;""</f>
        <v/>
      </c>
      <c r="AE421" s="200" t="str">
        <f t="shared" si="10"/>
        <v/>
      </c>
    </row>
    <row r="422" customHeight="1" spans="1:31">
      <c r="A422" s="192">
        <v>420</v>
      </c>
      <c r="B422" s="224" t="s">
        <v>8433</v>
      </c>
      <c r="C422" s="224" t="s">
        <v>8434</v>
      </c>
      <c r="E422" s="243" t="s">
        <v>6657</v>
      </c>
      <c r="F422" s="193" t="s">
        <v>6709</v>
      </c>
      <c r="G422" s="193" t="s">
        <v>6651</v>
      </c>
      <c r="H422" s="193">
        <v>1</v>
      </c>
      <c r="I422" s="193">
        <v>1</v>
      </c>
      <c r="J422" s="193">
        <v>1</v>
      </c>
      <c r="K422" s="224" t="s">
        <v>8435</v>
      </c>
      <c r="N422" s="193" t="s">
        <v>6794</v>
      </c>
      <c r="O422" s="224" t="s">
        <v>8436</v>
      </c>
      <c r="P422" s="224">
        <v>6</v>
      </c>
      <c r="Q422" s="224" t="s">
        <v>249</v>
      </c>
      <c r="X422" s="193">
        <v>1</v>
      </c>
      <c r="AA422" s="200"/>
      <c r="AB422" s="200" t="str">
        <f t="array" ref="AB422">INDEX(B:B,SMALL(IF($Q$3:$Q$524&lt;&gt;"",ROW($3:$524),525),ROW(B421)))&amp;""</f>
        <v>奥图迷舞</v>
      </c>
      <c r="AC422" s="225" t="str">
        <f>IFERROR(IF(AND($Q423&lt;&gt;"",IF(法术查询!$J$4="",1,INDEX($R423:$Z423,1,VLOOKUP(法术查询!$J$4,$AF$2:$AG$10,2,0)))&lt;&gt;"",IF(法术查询!$J$5="",1,$P423=VLOOKUP(法术查询!$J$5,$AH$2:$AI$11,2,0)),IF(法术查询!$J$6="",1,IF(法术查询!$J$6=$E423,1,0)),IF(法术查询!$J$7="",1,SEARCH(法术查询!$J$7,$F423)),IF(法术查询!$J$8="",1,SEARCH(法术查询!$J$8,G423)),IF(法术查询!$J$9="",1,SEARCH(法术查询!$J$9,N423)),IF(法术查询!$J$10="",1,IF(法术查询!$J$10=$AF$11,IF($M423=1,1,0),IF($M423="",1,0))),IF(法术查询!$J$11="",1,IF(法术查询!$J$11=$AF$11,IF($D423=1,1,0),IF($D423="",1,0))),IF(法术查询!$J$12="",1,SEARCH(法术查询!$J$12,$B423&amp;$C423&amp;$O423)),IF(法术查询!$J$13="",1,SEARCH(法术查询!$J$13,$B423&amp;$C423&amp;$O423)),IF(法术查询!$J$14="",1,SEARCH(法术查询!$J$14,$B423&amp;$C423&amp;$O423)),IF(法术查询!$J$16="",1,IF(法术查询!$J$16=$AF$11,IF($H423=1,1,0),IF($H423="",1,0))),IF(法术查询!$J$17="",1,IF(法术查询!$J$17=$AF$11,IF($I423=1,1,0),IF($I423="",1,0))),IF(法术查询!$J$18="",1,IF(法术查询!$J$18=$AF$11,IF($J423&lt;&gt;"",1,0),IF($J423="",1,0))),IF(法术查询!$J$19="",1,IF(法术查询!$J$19=$AF$11,IF($L423&lt;&gt;"",1,0),IF($L423="",1,0)))),$B423,""),"")</f>
        <v/>
      </c>
      <c r="AD422" s="192" t="str">
        <f t="array" ref="AD422">INDEX(AC:AC,SMALL(IF($AC$2:$AC$523&lt;&gt;"",ROW($2:$523),524),ROW(AC421)))&amp;""</f>
        <v/>
      </c>
      <c r="AE422" s="200" t="str">
        <f t="shared" si="10"/>
        <v/>
      </c>
    </row>
    <row r="423" customHeight="1" spans="1:31">
      <c r="A423" s="192">
        <v>421</v>
      </c>
      <c r="B423" s="224" t="s">
        <v>8437</v>
      </c>
      <c r="C423" s="224" t="s">
        <v>8438</v>
      </c>
      <c r="E423" s="233" t="s">
        <v>6688</v>
      </c>
      <c r="F423" s="193" t="s">
        <v>6642</v>
      </c>
      <c r="G423" s="193" t="s">
        <v>6643</v>
      </c>
      <c r="H423" s="193">
        <v>1</v>
      </c>
      <c r="J423" s="193">
        <v>1</v>
      </c>
      <c r="K423" s="224" t="s">
        <v>8439</v>
      </c>
      <c r="N423" s="193" t="s">
        <v>6759</v>
      </c>
      <c r="O423" s="224" t="s">
        <v>8440</v>
      </c>
      <c r="P423" s="224">
        <v>6</v>
      </c>
      <c r="Q423" s="224" t="s">
        <v>249</v>
      </c>
      <c r="R423" s="193">
        <v>1</v>
      </c>
      <c r="W423" s="193">
        <v>1</v>
      </c>
      <c r="X423" s="193">
        <v>1</v>
      </c>
      <c r="Y423" s="193">
        <v>1</v>
      </c>
      <c r="AA423" s="200"/>
      <c r="AB423" s="200" t="str">
        <f t="array" ref="AB423">INDEX(B:B,SMALL(IF($Q$3:$Q$524&lt;&gt;"",ROW($3:$524),525),ROW(B422)))&amp;""</f>
        <v>异界誓盟</v>
      </c>
      <c r="AC423" s="225" t="str">
        <f>IFERROR(IF(AND($Q424&lt;&gt;"",IF(法术查询!$J$4="",1,INDEX($R424:$Z424,1,VLOOKUP(法术查询!$J$4,$AF$2:$AG$10,2,0)))&lt;&gt;"",IF(法术查询!$J$5="",1,$P424=VLOOKUP(法术查询!$J$5,$AH$2:$AI$11,2,0)),IF(法术查询!$J$6="",1,IF(法术查询!$J$6=$E424,1,0)),IF(法术查询!$J$7="",1,SEARCH(法术查询!$J$7,$F424)),IF(法术查询!$J$8="",1,SEARCH(法术查询!$J$8,G424)),IF(法术查询!$J$9="",1,SEARCH(法术查询!$J$9,N424)),IF(法术查询!$J$10="",1,IF(法术查询!$J$10=$AF$11,IF($M424=1,1,0),IF($M424="",1,0))),IF(法术查询!$J$11="",1,IF(法术查询!$J$11=$AF$11,IF($D424=1,1,0),IF($D424="",1,0))),IF(法术查询!$J$12="",1,SEARCH(法术查询!$J$12,$B424&amp;$C424&amp;$O424)),IF(法术查询!$J$13="",1,SEARCH(法术查询!$J$13,$B424&amp;$C424&amp;$O424)),IF(法术查询!$J$14="",1,SEARCH(法术查询!$J$14,$B424&amp;$C424&amp;$O424)),IF(法术查询!$J$16="",1,IF(法术查询!$J$16=$AF$11,IF($H424=1,1,0),IF($H424="",1,0))),IF(法术查询!$J$17="",1,IF(法术查询!$J$17=$AF$11,IF($I424=1,1,0),IF($I424="",1,0))),IF(法术查询!$J$18="",1,IF(法术查询!$J$18=$AF$11,IF($J424&lt;&gt;"",1,0),IF($J424="",1,0))),IF(法术查询!$J$19="",1,IF(法术查询!$J$19=$AF$11,IF($L424&lt;&gt;"",1,0),IF($L424="",1,0)))),$B424,""),"")</f>
        <v/>
      </c>
      <c r="AD423" s="192" t="str">
        <f t="array" ref="AD423">INDEX(AC:AC,SMALL(IF($AC$2:$AC$523&lt;&gt;"",ROW($2:$523),524),ROW(AC422)))&amp;""</f>
        <v/>
      </c>
      <c r="AE423" s="200" t="str">
        <f t="shared" si="10"/>
        <v/>
      </c>
    </row>
    <row r="424" customHeight="1" spans="1:31">
      <c r="A424" s="192">
        <v>422</v>
      </c>
      <c r="B424" s="224" t="s">
        <v>8441</v>
      </c>
      <c r="C424" s="224" t="s">
        <v>8442</v>
      </c>
      <c r="E424" s="231" t="s">
        <v>6672</v>
      </c>
      <c r="F424" s="193" t="s">
        <v>6642</v>
      </c>
      <c r="G424" s="193" t="s">
        <v>6658</v>
      </c>
      <c r="H424" s="193">
        <v>1</v>
      </c>
      <c r="I424" s="193">
        <v>1</v>
      </c>
      <c r="J424" s="193">
        <v>1</v>
      </c>
      <c r="K424" s="224" t="s">
        <v>8443</v>
      </c>
      <c r="M424" s="193">
        <v>1</v>
      </c>
      <c r="N424" s="193" t="s">
        <v>6840</v>
      </c>
      <c r="O424" s="224" t="s">
        <v>8444</v>
      </c>
      <c r="P424" s="224">
        <v>6</v>
      </c>
      <c r="Q424" s="224" t="s">
        <v>249</v>
      </c>
      <c r="T424" s="193">
        <v>1</v>
      </c>
      <c r="W424" s="193">
        <v>1</v>
      </c>
      <c r="X424" s="193">
        <v>1</v>
      </c>
      <c r="AA424" s="200"/>
      <c r="AB424" s="200" t="str">
        <f t="array" ref="AB424">INDEX(B:B,SMALL(IF($Q$3:$Q$524&lt;&gt;"",ROW($3:$524),525),ROW(B423)))&amp;""</f>
        <v>预置幻影</v>
      </c>
      <c r="AC424" s="225" t="str">
        <f>IFERROR(IF(AND($Q425&lt;&gt;"",IF(法术查询!$J$4="",1,INDEX($R425:$Z425,1,VLOOKUP(法术查询!$J$4,$AF$2:$AG$10,2,0)))&lt;&gt;"",IF(法术查询!$J$5="",1,$P425=VLOOKUP(法术查询!$J$5,$AH$2:$AI$11,2,0)),IF(法术查询!$J$6="",1,IF(法术查询!$J$6=$E425,1,0)),IF(法术查询!$J$7="",1,SEARCH(法术查询!$J$7,$F425)),IF(法术查询!$J$8="",1,SEARCH(法术查询!$J$8,G425)),IF(法术查询!$J$9="",1,SEARCH(法术查询!$J$9,N425)),IF(法术查询!$J$10="",1,IF(法术查询!$J$10=$AF$11,IF($M425=1,1,0),IF($M425="",1,0))),IF(法术查询!$J$11="",1,IF(法术查询!$J$11=$AF$11,IF($D425=1,1,0),IF($D425="",1,0))),IF(法术查询!$J$12="",1,SEARCH(法术查询!$J$12,$B425&amp;$C425&amp;$O425)),IF(法术查询!$J$13="",1,SEARCH(法术查询!$J$13,$B425&amp;$C425&amp;$O425)),IF(法术查询!$J$14="",1,SEARCH(法术查询!$J$14,$B425&amp;$C425&amp;$O425)),IF(法术查询!$J$16="",1,IF(法术查询!$J$16=$AF$11,IF($H425=1,1,0),IF($H425="",1,0))),IF(法术查询!$J$17="",1,IF(法术查询!$J$17=$AF$11,IF($I425=1,1,0),IF($I425="",1,0))),IF(法术查询!$J$18="",1,IF(法术查询!$J$18=$AF$11,IF($J425&lt;&gt;"",1,0),IF($J425="",1,0))),IF(法术查询!$J$19="",1,IF(法术查询!$J$19=$AF$11,IF($L425&lt;&gt;"",1,0),IF($L425="",1,0)))),$B425,""),"")</f>
        <v/>
      </c>
      <c r="AD424" s="192" t="str">
        <f t="array" ref="AD424">INDEX(AC:AC,SMALL(IF($AC$2:$AC$523&lt;&gt;"",ROW($2:$523),524),ROW(AC423)))&amp;""</f>
        <v/>
      </c>
      <c r="AE424" s="200" t="str">
        <f t="shared" si="10"/>
        <v/>
      </c>
    </row>
    <row r="425" customHeight="1" spans="1:31">
      <c r="A425" s="192">
        <v>423</v>
      </c>
      <c r="B425" s="224" t="s">
        <v>8445</v>
      </c>
      <c r="C425" s="224" t="s">
        <v>8446</v>
      </c>
      <c r="E425" s="229" t="s">
        <v>6664</v>
      </c>
      <c r="F425" s="193" t="s">
        <v>6642</v>
      </c>
      <c r="G425" s="193" t="s">
        <v>6786</v>
      </c>
      <c r="H425" s="193">
        <v>1</v>
      </c>
      <c r="I425" s="193">
        <v>1</v>
      </c>
      <c r="J425" s="193">
        <v>1</v>
      </c>
      <c r="K425" s="224" t="s">
        <v>8447</v>
      </c>
      <c r="N425" s="193" t="s">
        <v>6644</v>
      </c>
      <c r="O425" s="224" t="s">
        <v>8448</v>
      </c>
      <c r="P425" s="224">
        <v>6</v>
      </c>
      <c r="Q425" s="224" t="s">
        <v>249</v>
      </c>
      <c r="W425" s="193" t="str">
        <f>IF(综合数据!$B$14=TRUE,"13","")</f>
        <v>13</v>
      </c>
      <c r="X425" s="193">
        <v>1</v>
      </c>
      <c r="AA425" s="200"/>
      <c r="AB425" s="200" t="str">
        <f t="array" ref="AB425">INDEX(B:B,SMALL(IF($Q$3:$Q$524&lt;&gt;"",ROW($3:$524),525),ROW(B424)))&amp;""</f>
        <v>阳炎射线</v>
      </c>
      <c r="AC425" s="225" t="str">
        <f>IFERROR(IF(AND($Q426&lt;&gt;"",IF(法术查询!$J$4="",1,INDEX($R426:$Z426,1,VLOOKUP(法术查询!$J$4,$AF$2:$AG$10,2,0)))&lt;&gt;"",IF(法术查询!$J$5="",1,$P426=VLOOKUP(法术查询!$J$5,$AH$2:$AI$11,2,0)),IF(法术查询!$J$6="",1,IF(法术查询!$J$6=$E426,1,0)),IF(法术查询!$J$7="",1,SEARCH(法术查询!$J$7,$F426)),IF(法术查询!$J$8="",1,SEARCH(法术查询!$J$8,G426)),IF(法术查询!$J$9="",1,SEARCH(法术查询!$J$9,N426)),IF(法术查询!$J$10="",1,IF(法术查询!$J$10=$AF$11,IF($M426=1,1,0),IF($M426="",1,0))),IF(法术查询!$J$11="",1,IF(法术查询!$J$11=$AF$11,IF($D426=1,1,0),IF($D426="",1,0))),IF(法术查询!$J$12="",1,SEARCH(法术查询!$J$12,$B426&amp;$C426&amp;$O426)),IF(法术查询!$J$13="",1,SEARCH(法术查询!$J$13,$B426&amp;$C426&amp;$O426)),IF(法术查询!$J$14="",1,SEARCH(法术查询!$J$14,$B426&amp;$C426&amp;$O426)),IF(法术查询!$J$16="",1,IF(法术查询!$J$16=$AF$11,IF($H426=1,1,0),IF($H426="",1,0))),IF(法术查询!$J$17="",1,IF(法术查询!$J$17=$AF$11,IF($I426=1,1,0),IF($I426="",1,0))),IF(法术查询!$J$18="",1,IF(法术查询!$J$18=$AF$11,IF($J426&lt;&gt;"",1,0),IF($J426="",1,0))),IF(法术查询!$J$19="",1,IF(法术查询!$J$19=$AF$11,IF($L426&lt;&gt;"",1,0),IF($L426="",1,0)))),$B426,""),"")</f>
        <v/>
      </c>
      <c r="AD425" s="192" t="str">
        <f t="array" ref="AD425">INDEX(AC:AC,SMALL(IF($AC$2:$AC$523&lt;&gt;"",ROW($2:$523),524),ROW(AC424)))&amp;""</f>
        <v/>
      </c>
      <c r="AE425" s="200" t="str">
        <f t="shared" si="10"/>
        <v/>
      </c>
    </row>
    <row r="426" customHeight="1" spans="1:31">
      <c r="A426" s="192">
        <v>424</v>
      </c>
      <c r="B426" s="224" t="s">
        <v>8449</v>
      </c>
      <c r="C426" s="224" t="s">
        <v>8450</v>
      </c>
      <c r="E426" s="233" t="s">
        <v>6688</v>
      </c>
      <c r="F426" s="193" t="s">
        <v>6642</v>
      </c>
      <c r="G426" s="193" t="s">
        <v>6673</v>
      </c>
      <c r="H426" s="193">
        <v>1</v>
      </c>
      <c r="M426" s="193">
        <v>1</v>
      </c>
      <c r="N426" s="193" t="s">
        <v>6666</v>
      </c>
      <c r="O426" s="224" t="s">
        <v>8451</v>
      </c>
      <c r="P426" s="224">
        <v>6</v>
      </c>
      <c r="Q426" s="224" t="s">
        <v>249</v>
      </c>
      <c r="R426" s="193">
        <v>1</v>
      </c>
      <c r="X426" s="193">
        <v>1</v>
      </c>
      <c r="AA426" s="200"/>
      <c r="AB426" s="200" t="str">
        <f t="array" ref="AB426">INDEX(B:B,SMALL(IF($Q$3:$Q$524&lt;&gt;"",ROW($3:$524),525),ROW(B425)))&amp;""</f>
        <v>木遁术</v>
      </c>
      <c r="AC426" s="225" t="str">
        <f>IFERROR(IF(AND($Q427&lt;&gt;"",IF(法术查询!$J$4="",1,INDEX($R427:$Z427,1,VLOOKUP(法术查询!$J$4,$AF$2:$AG$10,2,0)))&lt;&gt;"",IF(法术查询!$J$5="",1,$P427=VLOOKUP(法术查询!$J$5,$AH$2:$AI$11,2,0)),IF(法术查询!$J$6="",1,IF(法术查询!$J$6=$E427,1,0)),IF(法术查询!$J$7="",1,SEARCH(法术查询!$J$7,$F427)),IF(法术查询!$J$8="",1,SEARCH(法术查询!$J$8,G427)),IF(法术查询!$J$9="",1,SEARCH(法术查询!$J$9,N427)),IF(法术查询!$J$10="",1,IF(法术查询!$J$10=$AF$11,IF($M427=1,1,0),IF($M427="",1,0))),IF(法术查询!$J$11="",1,IF(法术查询!$J$11=$AF$11,IF($D427=1,1,0),IF($D427="",1,0))),IF(法术查询!$J$12="",1,SEARCH(法术查询!$J$12,$B427&amp;$C427&amp;$O427)),IF(法术查询!$J$13="",1,SEARCH(法术查询!$J$13,$B427&amp;$C427&amp;$O427)),IF(法术查询!$J$14="",1,SEARCH(法术查询!$J$14,$B427&amp;$C427&amp;$O427)),IF(法术查询!$J$16="",1,IF(法术查询!$J$16=$AF$11,IF($H427=1,1,0),IF($H427="",1,0))),IF(法术查询!$J$17="",1,IF(法术查询!$J$17=$AF$11,IF($I427=1,1,0),IF($I427="",1,0))),IF(法术查询!$J$18="",1,IF(法术查询!$J$18=$AF$11,IF($J427&lt;&gt;"",1,0),IF($J427="",1,0))),IF(法术查询!$J$19="",1,IF(法术查询!$J$19=$AF$11,IF($L427&lt;&gt;"",1,0),IF($L427="",1,0)))),$B427,""),"")</f>
        <v/>
      </c>
      <c r="AD426" s="192" t="str">
        <f t="array" ref="AD426">INDEX(AC:AC,SMALL(IF($AC$2:$AC$523&lt;&gt;"",ROW($2:$523),524),ROW(AC425)))&amp;""</f>
        <v/>
      </c>
      <c r="AE426" s="200" t="str">
        <f t="shared" si="10"/>
        <v/>
      </c>
    </row>
    <row r="427" customHeight="1" spans="1:31">
      <c r="A427" s="192">
        <v>425</v>
      </c>
      <c r="B427" s="224" t="s">
        <v>8452</v>
      </c>
      <c r="C427" s="224" t="s">
        <v>8453</v>
      </c>
      <c r="E427" s="240" t="s">
        <v>6641</v>
      </c>
      <c r="F427" s="193" t="s">
        <v>6731</v>
      </c>
      <c r="G427" s="193" t="s">
        <v>6643</v>
      </c>
      <c r="H427" s="193">
        <v>1</v>
      </c>
      <c r="I427" s="193">
        <v>1</v>
      </c>
      <c r="N427" s="193" t="s">
        <v>6644</v>
      </c>
      <c r="O427" s="224" t="s">
        <v>8454</v>
      </c>
      <c r="P427" s="224">
        <v>6</v>
      </c>
      <c r="Q427" s="224" t="s">
        <v>249</v>
      </c>
      <c r="S427" s="193">
        <v>1</v>
      </c>
      <c r="AA427" s="200"/>
      <c r="AB427" s="200" t="str">
        <f t="array" ref="AB427">INDEX(B:B,SMALL(IF($Q$3:$Q$524&lt;&gt;"",ROW($3:$524),525),ROW(B426)))&amp;""</f>
        <v>真知术</v>
      </c>
      <c r="AC427" s="225" t="str">
        <f>IFERROR(IF(AND($Q428&lt;&gt;"",IF(法术查询!$J$4="",1,INDEX($R428:$Z428,1,VLOOKUP(法术查询!$J$4,$AF$2:$AG$10,2,0)))&lt;&gt;"",IF(法术查询!$J$5="",1,$P428=VLOOKUP(法术查询!$J$5,$AH$2:$AI$11,2,0)),IF(法术查询!$J$6="",1,IF(法术查询!$J$6=$E428,1,0)),IF(法术查询!$J$7="",1,SEARCH(法术查询!$J$7,$F428)),IF(法术查询!$J$8="",1,SEARCH(法术查询!$J$8,G428)),IF(法术查询!$J$9="",1,SEARCH(法术查询!$J$9,N428)),IF(法术查询!$J$10="",1,IF(法术查询!$J$10=$AF$11,IF($M428=1,1,0),IF($M428="",1,0))),IF(法术查询!$J$11="",1,IF(法术查询!$J$11=$AF$11,IF($D428=1,1,0),IF($D428="",1,0))),IF(法术查询!$J$12="",1,SEARCH(法术查询!$J$12,$B428&amp;$C428&amp;$O428)),IF(法术查询!$J$13="",1,SEARCH(法术查询!$J$13,$B428&amp;$C428&amp;$O428)),IF(法术查询!$J$14="",1,SEARCH(法术查询!$J$14,$B428&amp;$C428&amp;$O428)),IF(法术查询!$J$16="",1,IF(法术查询!$J$16=$AF$11,IF($H428=1,1,0),IF($H428="",1,0))),IF(法术查询!$J$17="",1,IF(法术查询!$J$17=$AF$11,IF($I428=1,1,0),IF($I428="",1,0))),IF(法术查询!$J$18="",1,IF(法术查询!$J$18=$AF$11,IF($J428&lt;&gt;"",1,0),IF($J428="",1,0))),IF(法术查询!$J$19="",1,IF(法术查询!$J$19=$AF$11,IF($L428&lt;&gt;"",1,0),IF($L428="",1,0)))),$B428,""),"")</f>
        <v/>
      </c>
      <c r="AD427" s="192" t="str">
        <f t="array" ref="AD427">INDEX(AC:AC,SMALL(IF($AC$2:$AC$523&lt;&gt;"",ROW($2:$523),524),ROW(AC426)))&amp;""</f>
        <v/>
      </c>
      <c r="AE427" s="200" t="str">
        <f t="shared" si="10"/>
        <v/>
      </c>
    </row>
    <row r="428" customHeight="1" spans="1:31">
      <c r="A428" s="192">
        <v>426</v>
      </c>
      <c r="B428" s="224" t="s">
        <v>8455</v>
      </c>
      <c r="C428" s="224" t="s">
        <v>8456</v>
      </c>
      <c r="E428" s="241" t="s">
        <v>6726</v>
      </c>
      <c r="F428" s="193" t="s">
        <v>6642</v>
      </c>
      <c r="G428" s="193" t="s">
        <v>6658</v>
      </c>
      <c r="H428" s="193">
        <v>1</v>
      </c>
      <c r="I428" s="193">
        <v>1</v>
      </c>
      <c r="J428" s="193">
        <v>1</v>
      </c>
      <c r="K428" s="224" t="s">
        <v>8457</v>
      </c>
      <c r="N428" s="193" t="s">
        <v>6794</v>
      </c>
      <c r="O428" s="224" t="s">
        <v>8458</v>
      </c>
      <c r="P428" s="224">
        <v>6</v>
      </c>
      <c r="Q428" s="224" t="s">
        <v>249</v>
      </c>
      <c r="R428" s="193">
        <v>1</v>
      </c>
      <c r="X428" s="193">
        <v>1</v>
      </c>
      <c r="AA428" s="200"/>
      <c r="AB428" s="200" t="str">
        <f t="array" ref="AB428">INDEX(B:B,SMALL(IF($Q$3:$Q$524&lt;&gt;"",ROW($3:$524),525),ROW(B427)))&amp;""</f>
        <v>冰墙术</v>
      </c>
      <c r="AC428" s="225" t="str">
        <f>IFERROR(IF(AND($Q429&lt;&gt;"",IF(法术查询!$J$4="",1,INDEX($R429:$Z429,1,VLOOKUP(法术查询!$J$4,$AF$2:$AG$10,2,0)))&lt;&gt;"",IF(法术查询!$J$5="",1,$P429=VLOOKUP(法术查询!$J$5,$AH$2:$AI$11,2,0)),IF(法术查询!$J$6="",1,IF(法术查询!$J$6=$E429,1,0)),IF(法术查询!$J$7="",1,SEARCH(法术查询!$J$7,$F429)),IF(法术查询!$J$8="",1,SEARCH(法术查询!$J$8,G429)),IF(法术查询!$J$9="",1,SEARCH(法术查询!$J$9,N429)),IF(法术查询!$J$10="",1,IF(法术查询!$J$10=$AF$11,IF($M429=1,1,0),IF($M429="",1,0))),IF(法术查询!$J$11="",1,IF(法术查询!$J$11=$AF$11,IF($D429=1,1,0),IF($D429="",1,0))),IF(法术查询!$J$12="",1,SEARCH(法术查询!$J$12,$B429&amp;$C429&amp;$O429)),IF(法术查询!$J$13="",1,SEARCH(法术查询!$J$13,$B429&amp;$C429&amp;$O429)),IF(法术查询!$J$14="",1,SEARCH(法术查询!$J$14,$B429&amp;$C429&amp;$O429)),IF(法术查询!$J$16="",1,IF(法术查询!$J$16=$AF$11,IF($H429=1,1,0),IF($H429="",1,0))),IF(法术查询!$J$17="",1,IF(法术查询!$J$17=$AF$11,IF($I429=1,1,0),IF($I429="",1,0))),IF(法术查询!$J$18="",1,IF(法术查询!$J$18=$AF$11,IF($J429&lt;&gt;"",1,0),IF($J429="",1,0))),IF(法术查询!$J$19="",1,IF(法术查询!$J$19=$AF$11,IF($L429&lt;&gt;"",1,0),IF($L429="",1,0)))),$B429,""),"")</f>
        <v/>
      </c>
      <c r="AD428" s="192" t="str">
        <f t="array" ref="AD428">INDEX(AC:AC,SMALL(IF($AC$2:$AC$523&lt;&gt;"",ROW($2:$523),524),ROW(AC427)))&amp;""</f>
        <v/>
      </c>
      <c r="AE428" s="200" t="str">
        <f t="shared" si="10"/>
        <v/>
      </c>
    </row>
    <row r="429" customHeight="1" spans="1:31">
      <c r="A429" s="192">
        <v>427</v>
      </c>
      <c r="B429" s="224" t="s">
        <v>8459</v>
      </c>
      <c r="C429" s="224" t="s">
        <v>8460</v>
      </c>
      <c r="E429" s="229" t="s">
        <v>6664</v>
      </c>
      <c r="F429" s="193" t="s">
        <v>6642</v>
      </c>
      <c r="G429" s="224" t="s">
        <v>6883</v>
      </c>
      <c r="H429" s="193">
        <v>1</v>
      </c>
      <c r="I429" s="193">
        <v>1</v>
      </c>
      <c r="J429" s="193">
        <v>1</v>
      </c>
      <c r="K429" s="224" t="s">
        <v>8461</v>
      </c>
      <c r="M429" s="193">
        <v>1</v>
      </c>
      <c r="N429" s="193" t="s">
        <v>6666</v>
      </c>
      <c r="O429" s="224" t="s">
        <v>8462</v>
      </c>
      <c r="P429" s="224">
        <v>6</v>
      </c>
      <c r="Q429" s="224" t="s">
        <v>249</v>
      </c>
      <c r="S429" s="193" t="str">
        <f>IF(综合数据!$B$14=TRUE,"13","")</f>
        <v>13</v>
      </c>
      <c r="T429" s="193">
        <v>1</v>
      </c>
      <c r="W429" s="193">
        <v>1</v>
      </c>
      <c r="X429" s="193">
        <v>1</v>
      </c>
      <c r="AA429" s="200"/>
      <c r="AB429" s="200" t="str">
        <f t="array" ref="AB429">INDEX(B:B,SMALL(IF($Q$3:$Q$524&lt;&gt;"",ROW($3:$524),525),ROW(B428)))&amp;""</f>
        <v>棘墙术</v>
      </c>
      <c r="AC429" s="225" t="str">
        <f>IFERROR(IF(AND($Q430&lt;&gt;"",IF(法术查询!$J$4="",1,INDEX($R430:$Z430,1,VLOOKUP(法术查询!$J$4,$AF$2:$AG$10,2,0)))&lt;&gt;"",IF(法术查询!$J$5="",1,$P430=VLOOKUP(法术查询!$J$5,$AH$2:$AI$11,2,0)),IF(法术查询!$J$6="",1,IF(法术查询!$J$6=$E430,1,0)),IF(法术查询!$J$7="",1,SEARCH(法术查询!$J$7,$F430)),IF(法术查询!$J$8="",1,SEARCH(法术查询!$J$8,G430)),IF(法术查询!$J$9="",1,SEARCH(法术查询!$J$9,N430)),IF(法术查询!$J$10="",1,IF(法术查询!$J$10=$AF$11,IF($M430=1,1,0),IF($M430="",1,0))),IF(法术查询!$J$11="",1,IF(法术查询!$J$11=$AF$11,IF($D430=1,1,0),IF($D430="",1,0))),IF(法术查询!$J$12="",1,SEARCH(法术查询!$J$12,$B430&amp;$C430&amp;$O430)),IF(法术查询!$J$13="",1,SEARCH(法术查询!$J$13,$B430&amp;$C430&amp;$O430)),IF(法术查询!$J$14="",1,SEARCH(法术查询!$J$14,$B430&amp;$C430&amp;$O430)),IF(法术查询!$J$16="",1,IF(法术查询!$J$16=$AF$11,IF($H430=1,1,0),IF($H430="",1,0))),IF(法术查询!$J$17="",1,IF(法术查询!$J$17=$AF$11,IF($I430=1,1,0),IF($I430="",1,0))),IF(法术查询!$J$18="",1,IF(法术查询!$J$18=$AF$11,IF($J430&lt;&gt;"",1,0),IF($J430="",1,0))),IF(法术查询!$J$19="",1,IF(法术查询!$J$19=$AF$11,IF($L430&lt;&gt;"",1,0),IF($L430="",1,0)))),$B430,""),"")</f>
        <v/>
      </c>
      <c r="AD429" s="192" t="str">
        <f t="array" ref="AD429">INDEX(AC:AC,SMALL(IF($AC$2:$AC$523&lt;&gt;"",ROW($2:$523),524),ROW(AC428)))&amp;""</f>
        <v/>
      </c>
      <c r="AE429" s="200" t="str">
        <f t="shared" si="10"/>
        <v/>
      </c>
    </row>
    <row r="430" customHeight="1" spans="1:31">
      <c r="A430" s="192">
        <v>428</v>
      </c>
      <c r="B430" s="224" t="s">
        <v>8463</v>
      </c>
      <c r="C430" s="224" t="s">
        <v>8464</v>
      </c>
      <c r="E430" s="240" t="s">
        <v>6641</v>
      </c>
      <c r="F430" s="193" t="s">
        <v>6642</v>
      </c>
      <c r="G430" s="193" t="s">
        <v>6730</v>
      </c>
      <c r="H430" s="193">
        <v>1</v>
      </c>
      <c r="I430" s="193">
        <v>1</v>
      </c>
      <c r="N430" s="193" t="s">
        <v>6652</v>
      </c>
      <c r="O430" s="224" t="s">
        <v>8465</v>
      </c>
      <c r="P430" s="224">
        <v>6</v>
      </c>
      <c r="Q430" s="224" t="s">
        <v>249</v>
      </c>
      <c r="T430" s="193">
        <v>1</v>
      </c>
      <c r="AA430" s="200"/>
      <c r="AB430" s="200" t="str">
        <f t="array" ref="AB430">INDEX(B:B,SMALL(IF($Q$3:$Q$524&lt;&gt;"",ROW($3:$524),525),ROW(B429)))&amp;""</f>
        <v>御风而行</v>
      </c>
      <c r="AC430" s="225" t="str">
        <f>IFERROR(IF(AND($Q431&lt;&gt;"",IF(法术查询!$J$4="",1,INDEX($R431:$Z431,1,VLOOKUP(法术查询!$J$4,$AF$2:$AG$10,2,0)))&lt;&gt;"",IF(法术查询!$J$5="",1,$P431=VLOOKUP(法术查询!$J$5,$AH$2:$AI$11,2,0)),IF(法术查询!$J$6="",1,IF(法术查询!$J$6=$E431,1,0)),IF(法术查询!$J$7="",1,SEARCH(法术查询!$J$7,$F431)),IF(法术查询!$J$8="",1,SEARCH(法术查询!$J$8,G431)),IF(法术查询!$J$9="",1,SEARCH(法术查询!$J$9,N431)),IF(法术查询!$J$10="",1,IF(法术查询!$J$10=$AF$11,IF($M431=1,1,0),IF($M431="",1,0))),IF(法术查询!$J$11="",1,IF(法术查询!$J$11=$AF$11,IF($D431=1,1,0),IF($D431="",1,0))),IF(法术查询!$J$12="",1,SEARCH(法术查询!$J$12,$B431&amp;$C431&amp;$O431)),IF(法术查询!$J$13="",1,SEARCH(法术查询!$J$13,$B431&amp;$C431&amp;$O431)),IF(法术查询!$J$14="",1,SEARCH(法术查询!$J$14,$B431&amp;$C431&amp;$O431)),IF(法术查询!$J$16="",1,IF(法术查询!$J$16=$AF$11,IF($H431=1,1,0),IF($H431="",1,0))),IF(法术查询!$J$17="",1,IF(法术查询!$J$17=$AF$11,IF($I431=1,1,0),IF($I431="",1,0))),IF(法术查询!$J$18="",1,IF(法术查询!$J$18=$AF$11,IF($J431&lt;&gt;"",1,0),IF($J431="",1,0))),IF(法术查询!$J$19="",1,IF(法术查询!$J$19=$AF$11,IF($L431&lt;&gt;"",1,0),IF($L431="",1,0)))),$B431,""),"")</f>
        <v/>
      </c>
      <c r="AD430" s="192" t="str">
        <f t="array" ref="AD430">INDEX(AC:AC,SMALL(IF($AC$2:$AC$523&lt;&gt;"",ROW($2:$523),524),ROW(AC429)))&amp;""</f>
        <v/>
      </c>
      <c r="AE430" s="200" t="str">
        <f t="shared" si="10"/>
        <v/>
      </c>
    </row>
    <row r="431" customHeight="1" spans="1:31">
      <c r="A431" s="192">
        <v>429</v>
      </c>
      <c r="B431" s="224" t="s">
        <v>8466</v>
      </c>
      <c r="C431" s="224" t="s">
        <v>8467</v>
      </c>
      <c r="E431" s="238" t="s">
        <v>6695</v>
      </c>
      <c r="F431" s="193" t="s">
        <v>6642</v>
      </c>
      <c r="G431" s="193" t="s">
        <v>3760</v>
      </c>
      <c r="H431" s="193">
        <v>1</v>
      </c>
      <c r="I431" s="193">
        <v>1</v>
      </c>
      <c r="J431" s="193">
        <v>1</v>
      </c>
      <c r="L431" s="224" t="s">
        <v>8468</v>
      </c>
      <c r="N431" s="193" t="s">
        <v>6704</v>
      </c>
      <c r="O431" s="224" t="s">
        <v>8469</v>
      </c>
      <c r="P431" s="224">
        <v>6</v>
      </c>
      <c r="Q431" s="224" t="s">
        <v>249</v>
      </c>
      <c r="R431" s="193">
        <v>1</v>
      </c>
      <c r="S431" s="193">
        <v>1</v>
      </c>
      <c r="W431" s="193">
        <v>1</v>
      </c>
      <c r="X431" s="193">
        <v>1</v>
      </c>
      <c r="Y431" s="193">
        <v>1</v>
      </c>
      <c r="AA431" s="200"/>
      <c r="AB431" s="200" t="str">
        <f t="array" ref="AB431">INDEX(B:B,SMALL(IF($Q$3:$Q$524&lt;&gt;"",ROW($3:$524),525),ROW(B430)))&amp;""</f>
        <v>回返真言</v>
      </c>
      <c r="AC431" s="225" t="str">
        <f>IFERROR(IF(AND($Q432&lt;&gt;"",IF(法术查询!$J$4="",1,INDEX($R432:$Z432,1,VLOOKUP(法术查询!$J$4,$AF$2:$AG$10,2,0)))&lt;&gt;"",IF(法术查询!$J$5="",1,$P432=VLOOKUP(法术查询!$J$5,$AH$2:$AI$11,2,0)),IF(法术查询!$J$6="",1,IF(法术查询!$J$6=$E432,1,0)),IF(法术查询!$J$7="",1,SEARCH(法术查询!$J$7,$F432)),IF(法术查询!$J$8="",1,SEARCH(法术查询!$J$8,G432)),IF(法术查询!$J$9="",1,SEARCH(法术查询!$J$9,N432)),IF(法术查询!$J$10="",1,IF(法术查询!$J$10=$AF$11,IF($M432=1,1,0),IF($M432="",1,0))),IF(法术查询!$J$11="",1,IF(法术查询!$J$11=$AF$11,IF($D432=1,1,0),IF($D432="",1,0))),IF(法术查询!$J$12="",1,SEARCH(法术查询!$J$12,$B432&amp;$C432&amp;$O432)),IF(法术查询!$J$13="",1,SEARCH(法术查询!$J$13,$B432&amp;$C432&amp;$O432)),IF(法术查询!$J$14="",1,SEARCH(法术查询!$J$14,$B432&amp;$C432&amp;$O432)),IF(法术查询!$J$16="",1,IF(法术查询!$J$16=$AF$11,IF($H432=1,1,0),IF($H432="",1,0))),IF(法术查询!$J$17="",1,IF(法术查询!$J$17=$AF$11,IF($I432=1,1,0),IF($I432="",1,0))),IF(法术查询!$J$18="",1,IF(法术查询!$J$18=$AF$11,IF($J432&lt;&gt;"",1,0),IF($J432="",1,0))),IF(法术查询!$J$19="",1,IF(法术查询!$J$19=$AF$11,IF($L432&lt;&gt;"",1,0),IF($L432="",1,0)))),$B432,""),"")</f>
        <v/>
      </c>
      <c r="AD431" s="192" t="str">
        <f t="array" ref="AD431">INDEX(AC:AC,SMALL(IF($AC$2:$AC$523&lt;&gt;"",ROW($2:$523),524),ROW(AC430)))&amp;""</f>
        <v/>
      </c>
      <c r="AE431" s="200" t="str">
        <f t="shared" si="10"/>
        <v/>
      </c>
    </row>
    <row r="432" customHeight="1" spans="1:31">
      <c r="A432" s="192">
        <v>430</v>
      </c>
      <c r="B432" s="224" t="s">
        <v>8470</v>
      </c>
      <c r="C432" s="224" t="s">
        <v>8471</v>
      </c>
      <c r="E432" s="229" t="s">
        <v>6664</v>
      </c>
      <c r="F432" s="193" t="s">
        <v>6642</v>
      </c>
      <c r="G432" s="193" t="s">
        <v>6658</v>
      </c>
      <c r="H432" s="193">
        <v>1</v>
      </c>
      <c r="I432" s="193">
        <v>1</v>
      </c>
      <c r="J432" s="193">
        <v>1</v>
      </c>
      <c r="K432" s="224" t="s">
        <v>8472</v>
      </c>
      <c r="M432" s="193">
        <v>1</v>
      </c>
      <c r="N432" s="193" t="s">
        <v>6831</v>
      </c>
      <c r="O432" s="224" t="s">
        <v>8473</v>
      </c>
      <c r="P432" s="224">
        <v>6</v>
      </c>
      <c r="Q432" s="224" t="s">
        <v>249</v>
      </c>
      <c r="X432" s="193">
        <v>1</v>
      </c>
      <c r="AA432" s="200"/>
      <c r="AB432" s="200" t="str">
        <f t="array" ref="AB432">INDEX(B:B,SMALL(IF($Q$3:$Q$524&lt;&gt;"",ROW($3:$524),525),ROW(B431)))&amp;""</f>
        <v>地之骨</v>
      </c>
      <c r="AC432" s="225" t="str">
        <f>IFERROR(IF(AND($Q433&lt;&gt;"",IF(法术查询!$J$4="",1,INDEX($R433:$Z433,1,VLOOKUP(法术查询!$J$4,$AF$2:$AG$10,2,0)))&lt;&gt;"",IF(法术查询!$J$5="",1,$P433=VLOOKUP(法术查询!$J$5,$AH$2:$AI$11,2,0)),IF(法术查询!$J$6="",1,IF(法术查询!$J$6=$E433,1,0)),IF(法术查询!$J$7="",1,SEARCH(法术查询!$J$7,$F433)),IF(法术查询!$J$8="",1,SEARCH(法术查询!$J$8,G433)),IF(法术查询!$J$9="",1,SEARCH(法术查询!$J$9,N433)),IF(法术查询!$J$10="",1,IF(法术查询!$J$10=$AF$11,IF($M433=1,1,0),IF($M433="",1,0))),IF(法术查询!$J$11="",1,IF(法术查询!$J$11=$AF$11,IF($D433=1,1,0),IF($D433="",1,0))),IF(法术查询!$J$12="",1,SEARCH(法术查询!$J$12,$B433&amp;$C433&amp;$O433)),IF(法术查询!$J$13="",1,SEARCH(法术查询!$J$13,$B433&amp;$C433&amp;$O433)),IF(法术查询!$J$14="",1,SEARCH(法术查询!$J$14,$B433&amp;$C433&amp;$O433)),IF(法术查询!$J$16="",1,IF(法术查询!$J$16=$AF$11,IF($H433=1,1,0),IF($H433="",1,0))),IF(法术查询!$J$17="",1,IF(法术查询!$J$17=$AF$11,IF($I433=1,1,0),IF($I433="",1,0))),IF(法术查询!$J$18="",1,IF(法术查询!$J$18=$AF$11,IF($J433&lt;&gt;"",1,0),IF($J433="",1,0))),IF(法术查询!$J$19="",1,IF(法术查询!$J$19=$AF$11,IF($L433&lt;&gt;"",1,0),IF($L433="",1,0)))),$B433,""),"")</f>
        <v/>
      </c>
      <c r="AD432" s="192" t="str">
        <f t="array" ref="AD432">INDEX(AC:AC,SMALL(IF($AC$2:$AC$523&lt;&gt;"",ROW($2:$523),524),ROW(AC431)))&amp;""</f>
        <v/>
      </c>
      <c r="AE432" s="200" t="str">
        <f t="shared" si="10"/>
        <v/>
      </c>
    </row>
    <row r="433" customHeight="1" spans="1:31">
      <c r="A433" s="192">
        <v>431</v>
      </c>
      <c r="B433" s="224" t="s">
        <v>8474</v>
      </c>
      <c r="C433" s="224" t="s">
        <v>8475</v>
      </c>
      <c r="E433" s="240" t="s">
        <v>6641</v>
      </c>
      <c r="F433" s="193" t="s">
        <v>6642</v>
      </c>
      <c r="G433" s="193" t="s">
        <v>6658</v>
      </c>
      <c r="H433" s="193">
        <v>1</v>
      </c>
      <c r="I433" s="193">
        <v>1</v>
      </c>
      <c r="J433" s="193">
        <v>1</v>
      </c>
      <c r="K433" s="224" t="s">
        <v>8476</v>
      </c>
      <c r="M433" s="193">
        <v>1</v>
      </c>
      <c r="N433" s="193" t="s">
        <v>6831</v>
      </c>
      <c r="O433" s="224" t="s">
        <v>8477</v>
      </c>
      <c r="P433" s="224">
        <v>6</v>
      </c>
      <c r="Q433" s="224" t="s">
        <v>249</v>
      </c>
      <c r="T433" s="193">
        <v>1</v>
      </c>
      <c r="AA433" s="200"/>
      <c r="AB433" s="200" t="str">
        <f t="array" ref="AB433">INDEX(B:B,SMALL(IF($Q$3:$Q$524&lt;&gt;"",ROW($3:$524),525),ROW(B432)))&amp;""</f>
        <v>创造小人</v>
      </c>
      <c r="AC433" s="225" t="str">
        <f>IFERROR(IF(AND($Q434&lt;&gt;"",IF(法术查询!$J$4="",1,INDEX($R434:$Z434,1,VLOOKUP(法术查询!$J$4,$AF$2:$AG$10,2,0)))&lt;&gt;"",IF(法术查询!$J$5="",1,$P434=VLOOKUP(法术查询!$J$5,$AH$2:$AI$11,2,0)),IF(法术查询!$J$6="",1,IF(法术查询!$J$6=$E434,1,0)),IF(法术查询!$J$7="",1,SEARCH(法术查询!$J$7,$F434)),IF(法术查询!$J$8="",1,SEARCH(法术查询!$J$8,G434)),IF(法术查询!$J$9="",1,SEARCH(法术查询!$J$9,N434)),IF(法术查询!$J$10="",1,IF(法术查询!$J$10=$AF$11,IF($M434=1,1,0),IF($M434="",1,0))),IF(法术查询!$J$11="",1,IF(法术查询!$J$11=$AF$11,IF($D434=1,1,0),IF($D434="",1,0))),IF(法术查询!$J$12="",1,SEARCH(法术查询!$J$12,$B434&amp;$C434&amp;$O434)),IF(法术查询!$J$13="",1,SEARCH(法术查询!$J$13,$B434&amp;$C434&amp;$O434)),IF(法术查询!$J$14="",1,SEARCH(法术查询!$J$14,$B434&amp;$C434&amp;$O434)),IF(法术查询!$J$16="",1,IF(法术查询!$J$16=$AF$11,IF($H434=1,1,0),IF($H434="",1,0))),IF(法术查询!$J$17="",1,IF(法术查询!$J$17=$AF$11,IF($I434=1,1,0),IF($I434="",1,0))),IF(法术查询!$J$18="",1,IF(法术查询!$J$18=$AF$11,IF($J434&lt;&gt;"",1,0),IF($J434="",1,0))),IF(法术查询!$J$19="",1,IF(法术查询!$J$19=$AF$11,IF($L434&lt;&gt;"",1,0),IF($L434="",1,0)))),$B434,""),"")</f>
        <v/>
      </c>
      <c r="AD433" s="192" t="str">
        <f t="array" ref="AD433">INDEX(AC:AC,SMALL(IF($AC$2:$AC$523&lt;&gt;"",ROW($2:$523),524),ROW(AC432)))&amp;""</f>
        <v/>
      </c>
      <c r="AE433" s="200" t="str">
        <f t="shared" si="10"/>
        <v/>
      </c>
    </row>
    <row r="434" customHeight="1" spans="1:31">
      <c r="A434" s="192">
        <v>432</v>
      </c>
      <c r="B434" s="224" t="s">
        <v>8478</v>
      </c>
      <c r="C434" s="224" t="s">
        <v>8479</v>
      </c>
      <c r="E434" s="231" t="s">
        <v>6672</v>
      </c>
      <c r="F434" s="193" t="s">
        <v>6709</v>
      </c>
      <c r="G434" s="193" t="s">
        <v>6673</v>
      </c>
      <c r="H434" s="193">
        <v>1</v>
      </c>
      <c r="I434" s="193">
        <v>1</v>
      </c>
      <c r="J434" s="193">
        <v>1</v>
      </c>
      <c r="K434" s="224" t="s">
        <v>8480</v>
      </c>
      <c r="N434" s="193" t="s">
        <v>6748</v>
      </c>
      <c r="O434" s="224" t="s">
        <v>8481</v>
      </c>
      <c r="P434" s="224">
        <v>6</v>
      </c>
      <c r="Q434" s="224" t="s">
        <v>249</v>
      </c>
      <c r="T434" s="193">
        <v>1</v>
      </c>
      <c r="AA434" s="200"/>
      <c r="AB434" s="200" t="str">
        <f t="array" ref="AB434">INDEX(B:B,SMALL(IF($Q$3:$Q$524&lt;&gt;"",ROW($3:$524),525),ROW(B433)))&amp;""</f>
        <v>德鲁伊林地</v>
      </c>
      <c r="AC434" s="225" t="str">
        <f>IFERROR(IF(AND($Q435&lt;&gt;"",IF(法术查询!$J$4="",1,INDEX($R435:$Z435,1,VLOOKUP(法术查询!$J$4,$AF$2:$AG$10,2,0)))&lt;&gt;"",IF(法术查询!$J$5="",1,$P435=VLOOKUP(法术查询!$J$5,$AH$2:$AI$11,2,0)),IF(法术查询!$J$6="",1,IF(法术查询!$J$6=$E435,1,0)),IF(法术查询!$J$7="",1,SEARCH(法术查询!$J$7,$F435)),IF(法术查询!$J$8="",1,SEARCH(法术查询!$J$8,G435)),IF(法术查询!$J$9="",1,SEARCH(法术查询!$J$9,N435)),IF(法术查询!$J$10="",1,IF(法术查询!$J$10=$AF$11,IF($M435=1,1,0),IF($M435="",1,0))),IF(法术查询!$J$11="",1,IF(法术查询!$J$11=$AF$11,IF($D435=1,1,0),IF($D435="",1,0))),IF(法术查询!$J$12="",1,SEARCH(法术查询!$J$12,$B435&amp;$C435&amp;$O435)),IF(法术查询!$J$13="",1,SEARCH(法术查询!$J$13,$B435&amp;$C435&amp;$O435)),IF(法术查询!$J$14="",1,SEARCH(法术查询!$J$14,$B435&amp;$C435&amp;$O435)),IF(法术查询!$J$16="",1,IF(法术查询!$J$16=$AF$11,IF($H435=1,1,0),IF($H435="",1,0))),IF(法术查询!$J$17="",1,IF(法术查询!$J$17=$AF$11,IF($I435=1,1,0),IF($I435="",1,0))),IF(法术查询!$J$18="",1,IF(法术查询!$J$18=$AF$11,IF($J435&lt;&gt;"",1,0),IF($J435="",1,0))),IF(法术查询!$J$19="",1,IF(法术查询!$J$19=$AF$11,IF($L435&lt;&gt;"",1,0),IF($L435="",1,0)))),$B435,""),"")</f>
        <v/>
      </c>
      <c r="AD434" s="192" t="str">
        <f t="array" ref="AD434">INDEX(AC:AC,SMALL(IF($AC$2:$AC$523&lt;&gt;"",ROW($2:$523),524),ROW(AC433)))&amp;""</f>
        <v/>
      </c>
      <c r="AE434" s="200" t="str">
        <f t="shared" si="10"/>
        <v/>
      </c>
    </row>
    <row r="435" customHeight="1" spans="1:31">
      <c r="A435" s="192">
        <v>433</v>
      </c>
      <c r="B435" s="224" t="s">
        <v>8482</v>
      </c>
      <c r="C435" s="224" t="s">
        <v>8483</v>
      </c>
      <c r="E435" s="240" t="s">
        <v>6641</v>
      </c>
      <c r="F435" s="193" t="s">
        <v>6642</v>
      </c>
      <c r="G435" s="193" t="s">
        <v>6723</v>
      </c>
      <c r="H435" s="193">
        <v>1</v>
      </c>
      <c r="N435" s="193" t="s">
        <v>6644</v>
      </c>
      <c r="O435" s="224" t="s">
        <v>8484</v>
      </c>
      <c r="P435" s="224">
        <v>6</v>
      </c>
      <c r="Q435" s="224" t="s">
        <v>249</v>
      </c>
      <c r="S435" s="193">
        <v>1</v>
      </c>
      <c r="AA435" s="200"/>
      <c r="AB435" s="200" t="str">
        <f t="array" ref="AB435">INDEX(B:B,SMALL(IF($Q$3:$Q$524&lt;&gt;"",ROW($3:$524),525),ROW(B434)))&amp;""</f>
        <v>炽焰赋权</v>
      </c>
      <c r="AC435" s="225" t="str">
        <f>IFERROR(IF(AND($Q436&lt;&gt;"",IF(法术查询!$J$4="",1,INDEX($R436:$Z436,1,VLOOKUP(法术查询!$J$4,$AF$2:$AG$10,2,0)))&lt;&gt;"",IF(法术查询!$J$5="",1,$P436=VLOOKUP(法术查询!$J$5,$AH$2:$AI$11,2,0)),IF(法术查询!$J$6="",1,IF(法术查询!$J$6=$E436,1,0)),IF(法术查询!$J$7="",1,SEARCH(法术查询!$J$7,$F436)),IF(法术查询!$J$8="",1,SEARCH(法术查询!$J$8,G436)),IF(法术查询!$J$9="",1,SEARCH(法术查询!$J$9,N436)),IF(法术查询!$J$10="",1,IF(法术查询!$J$10=$AF$11,IF($M436=1,1,0),IF($M436="",1,0))),IF(法术查询!$J$11="",1,IF(法术查询!$J$11=$AF$11,IF($D436=1,1,0),IF($D436="",1,0))),IF(法术查询!$J$12="",1,SEARCH(法术查询!$J$12,$B436&amp;$C436&amp;$O436)),IF(法术查询!$J$13="",1,SEARCH(法术查询!$J$13,$B436&amp;$C436&amp;$O436)),IF(法术查询!$J$14="",1,SEARCH(法术查询!$J$14,$B436&amp;$C436&amp;$O436)),IF(法术查询!$J$16="",1,IF(法术查询!$J$16=$AF$11,IF($H436=1,1,0),IF($H436="",1,0))),IF(法术查询!$J$17="",1,IF(法术查询!$J$17=$AF$11,IF($I436=1,1,0),IF($I436="",1,0))),IF(法术查询!$J$18="",1,IF(法术查询!$J$18=$AF$11,IF($J436&lt;&gt;"",1,0),IF($J436="",1,0))),IF(法术查询!$J$19="",1,IF(法术查询!$J$19=$AF$11,IF($L436&lt;&gt;"",1,0),IF($L436="",1,0)))),$B436,""),"")</f>
        <v/>
      </c>
      <c r="AD435" s="192" t="str">
        <f t="array" ref="AD435">INDEX(AC:AC,SMALL(IF($AC$2:$AC$523&lt;&gt;"",ROW($2:$523),524),ROW(AC434)))&amp;""</f>
        <v/>
      </c>
      <c r="AE435" s="200" t="str">
        <f t="shared" si="10"/>
        <v/>
      </c>
    </row>
    <row r="436" customHeight="1" spans="1:31">
      <c r="A436" s="192">
        <v>434</v>
      </c>
      <c r="B436" s="224" t="s">
        <v>8485</v>
      </c>
      <c r="C436" s="224" t="s">
        <v>8486</v>
      </c>
      <c r="E436" s="231" t="s">
        <v>6672</v>
      </c>
      <c r="F436" s="193" t="s">
        <v>6642</v>
      </c>
      <c r="G436" s="193" t="s">
        <v>6658</v>
      </c>
      <c r="H436" s="193">
        <v>1</v>
      </c>
      <c r="I436" s="193">
        <v>1</v>
      </c>
      <c r="N436" s="193" t="s">
        <v>6644</v>
      </c>
      <c r="O436" s="224" t="s">
        <v>8487</v>
      </c>
      <c r="P436" s="224">
        <v>6</v>
      </c>
      <c r="Q436" s="245" t="str">
        <f>IF(综合数据!$B$7=TRUE,"XGE","")</f>
        <v>XGE</v>
      </c>
      <c r="T436" s="193">
        <v>6</v>
      </c>
      <c r="AA436" s="200"/>
      <c r="AB436" s="200" t="str">
        <f t="array" ref="AB436">INDEX(B:B,SMALL(IF($Q$3:$Q$524&lt;&gt;"",ROW($3:$524),525),ROW(B435)))&amp;""</f>
        <v>寒冰赋权</v>
      </c>
      <c r="AC436" s="225" t="str">
        <f>IFERROR(IF(AND($Q437&lt;&gt;"",IF(法术查询!$J$4="",1,INDEX($R437:$Z437,1,VLOOKUP(法术查询!$J$4,$AF$2:$AG$10,2,0)))&lt;&gt;"",IF(法术查询!$J$5="",1,$P437=VLOOKUP(法术查询!$J$5,$AH$2:$AI$11,2,0)),IF(法术查询!$J$6="",1,IF(法术查询!$J$6=$E437,1,0)),IF(法术查询!$J$7="",1,SEARCH(法术查询!$J$7,$F437)),IF(法术查询!$J$8="",1,SEARCH(法术查询!$J$8,G437)),IF(法术查询!$J$9="",1,SEARCH(法术查询!$J$9,N437)),IF(法术查询!$J$10="",1,IF(法术查询!$J$10=$AF$11,IF($M437=1,1,0),IF($M437="",1,0))),IF(法术查询!$J$11="",1,IF(法术查询!$J$11=$AF$11,IF($D437=1,1,0),IF($D437="",1,0))),IF(法术查询!$J$12="",1,SEARCH(法术查询!$J$12,$B437&amp;$C437&amp;$O437)),IF(法术查询!$J$13="",1,SEARCH(法术查询!$J$13,$B437&amp;$C437&amp;$O437)),IF(法术查询!$J$14="",1,SEARCH(法术查询!$J$14,$B437&amp;$C437&amp;$O437)),IF(法术查询!$J$16="",1,IF(法术查询!$J$16=$AF$11,IF($H437=1,1,0),IF($H437="",1,0))),IF(法术查询!$J$17="",1,IF(法术查询!$J$17=$AF$11,IF($I437=1,1,0),IF($I437="",1,0))),IF(法术查询!$J$18="",1,IF(法术查询!$J$18=$AF$11,IF($J437&lt;&gt;"",1,0),IF($J437="",1,0))),IF(法术查询!$J$19="",1,IF(法术查询!$J$19=$AF$11,IF($L437&lt;&gt;"",1,0),IF($L437="",1,0)))),$B437,""),"")</f>
        <v/>
      </c>
      <c r="AD436" s="192" t="str">
        <f t="array" ref="AD436">INDEX(AC:AC,SMALL(IF($AC$2:$AC$523&lt;&gt;"",ROW($2:$523),524),ROW(AC435)))&amp;""</f>
        <v/>
      </c>
      <c r="AE436" s="200" t="str">
        <f t="shared" si="10"/>
        <v/>
      </c>
    </row>
    <row r="437" customHeight="1" spans="1:31">
      <c r="A437" s="192">
        <v>435</v>
      </c>
      <c r="B437" s="224" t="s">
        <v>8488</v>
      </c>
      <c r="C437" s="224" t="s">
        <v>8489</v>
      </c>
      <c r="E437" s="231" t="s">
        <v>6672</v>
      </c>
      <c r="F437" s="193" t="s">
        <v>6704</v>
      </c>
      <c r="G437" s="193" t="s">
        <v>3760</v>
      </c>
      <c r="H437" s="193">
        <v>1</v>
      </c>
      <c r="I437" s="193">
        <v>1</v>
      </c>
      <c r="J437" s="193">
        <v>2</v>
      </c>
      <c r="K437" s="224" t="s">
        <v>8490</v>
      </c>
      <c r="L437" s="224" t="s">
        <v>8491</v>
      </c>
      <c r="N437" s="193" t="s">
        <v>6644</v>
      </c>
      <c r="O437" s="224" t="s">
        <v>8492</v>
      </c>
      <c r="P437" s="224">
        <v>6</v>
      </c>
      <c r="Q437" s="245" t="str">
        <f>IF(综合数据!$B$7=TRUE,"XGE","")</f>
        <v>XGE</v>
      </c>
      <c r="X437" s="193">
        <v>6</v>
      </c>
      <c r="AA437" s="200"/>
      <c r="AB437" s="200" t="str">
        <f t="array" ref="AB437">INDEX(B:B,SMALL(IF($Q$3:$Q$524&lt;&gt;"",ROW($3:$524),525),ROW(B436)))&amp;""</f>
        <v>磐石赋权</v>
      </c>
      <c r="AC437" s="225" t="str">
        <f>IFERROR(IF(AND($Q438&lt;&gt;"",IF(法术查询!$J$4="",1,INDEX($R438:$Z438,1,VLOOKUP(法术查询!$J$4,$AF$2:$AG$10,2,0)))&lt;&gt;"",IF(法术查询!$J$5="",1,$P438=VLOOKUP(法术查询!$J$5,$AH$2:$AI$11,2,0)),IF(法术查询!$J$6="",1,IF(法术查询!$J$6=$E438,1,0)),IF(法术查询!$J$7="",1,SEARCH(法术查询!$J$7,$F438)),IF(法术查询!$J$8="",1,SEARCH(法术查询!$J$8,G438)),IF(法术查询!$J$9="",1,SEARCH(法术查询!$J$9,N438)),IF(法术查询!$J$10="",1,IF(法术查询!$J$10=$AF$11,IF($M438=1,1,0),IF($M438="",1,0))),IF(法术查询!$J$11="",1,IF(法术查询!$J$11=$AF$11,IF($D438=1,1,0),IF($D438="",1,0))),IF(法术查询!$J$12="",1,SEARCH(法术查询!$J$12,$B438&amp;$C438&amp;$O438)),IF(法术查询!$J$13="",1,SEARCH(法术查询!$J$13,$B438&amp;$C438&amp;$O438)),IF(法术查询!$J$14="",1,SEARCH(法术查询!$J$14,$B438&amp;$C438&amp;$O438)),IF(法术查询!$J$16="",1,IF(法术查询!$J$16=$AF$11,IF($H438=1,1,0),IF($H438="",1,0))),IF(法术查询!$J$17="",1,IF(法术查询!$J$17=$AF$11,IF($I438=1,1,0),IF($I438="",1,0))),IF(法术查询!$J$18="",1,IF(法术查询!$J$18=$AF$11,IF($J438&lt;&gt;"",1,0),IF($J438="",1,0))),IF(法术查询!$J$19="",1,IF(法术查询!$J$19=$AF$11,IF($L438&lt;&gt;"",1,0),IF($L438="",1,0)))),$B438,""),"")</f>
        <v/>
      </c>
      <c r="AD437" s="192" t="str">
        <f t="array" ref="AD437">INDEX(AC:AC,SMALL(IF($AC$2:$AC$523&lt;&gt;"",ROW($2:$523),524),ROW(AC436)))&amp;""</f>
        <v/>
      </c>
      <c r="AE437" s="200" t="str">
        <f t="shared" si="10"/>
        <v/>
      </c>
    </row>
    <row r="438" customHeight="1" spans="1:31">
      <c r="A438" s="192">
        <v>436</v>
      </c>
      <c r="B438" s="224" t="s">
        <v>8493</v>
      </c>
      <c r="C438" s="224" t="s">
        <v>8494</v>
      </c>
      <c r="E438" s="242" t="s">
        <v>6650</v>
      </c>
      <c r="F438" s="193" t="s">
        <v>6731</v>
      </c>
      <c r="G438" s="193" t="s">
        <v>3760</v>
      </c>
      <c r="H438" s="193">
        <v>1</v>
      </c>
      <c r="I438" s="193">
        <v>1</v>
      </c>
      <c r="J438" s="193">
        <v>1</v>
      </c>
      <c r="L438" s="224" t="s">
        <v>8495</v>
      </c>
      <c r="N438" s="193" t="s">
        <v>6759</v>
      </c>
      <c r="O438" s="224" t="s">
        <v>8496</v>
      </c>
      <c r="P438" s="224">
        <v>6</v>
      </c>
      <c r="Q438" s="245" t="str">
        <f>IF(综合数据!$B$7=TRUE,"XGE","")</f>
        <v>XGE</v>
      </c>
      <c r="T438" s="193">
        <v>6</v>
      </c>
      <c r="AA438" s="200"/>
      <c r="AB438" s="200" t="str">
        <f t="array" ref="AB438">INDEX(B:B,SMALL(IF($Q$3:$Q$524&lt;&gt;"",ROW($3:$524),525),ROW(B437)))&amp;""</f>
        <v>清风赋权</v>
      </c>
      <c r="AC438" s="225" t="str">
        <f>IFERROR(IF(AND($Q439&lt;&gt;"",IF(法术查询!$J$4="",1,INDEX($R439:$Z439,1,VLOOKUP(法术查询!$J$4,$AF$2:$AG$10,2,0)))&lt;&gt;"",IF(法术查询!$J$5="",1,$P439=VLOOKUP(法术查询!$J$5,$AH$2:$AI$11,2,0)),IF(法术查询!$J$6="",1,IF(法术查询!$J$6=$E439,1,0)),IF(法术查询!$J$7="",1,SEARCH(法术查询!$J$7,$F439)),IF(法术查询!$J$8="",1,SEARCH(法术查询!$J$8,G439)),IF(法术查询!$J$9="",1,SEARCH(法术查询!$J$9,N439)),IF(法术查询!$J$10="",1,IF(法术查询!$J$10=$AF$11,IF($M439=1,1,0),IF($M439="",1,0))),IF(法术查询!$J$11="",1,IF(法术查询!$J$11=$AF$11,IF($D439=1,1,0),IF($D439="",1,0))),IF(法术查询!$J$12="",1,SEARCH(法术查询!$J$12,$B439&amp;$C439&amp;$O439)),IF(法术查询!$J$13="",1,SEARCH(法术查询!$J$13,$B439&amp;$C439&amp;$O439)),IF(法术查询!$J$14="",1,SEARCH(法术查询!$J$14,$B439&amp;$C439&amp;$O439)),IF(法术查询!$J$16="",1,IF(法术查询!$J$16=$AF$11,IF($H439=1,1,0),IF($H439="",1,0))),IF(法术查询!$J$17="",1,IF(法术查询!$J$17=$AF$11,IF($I439=1,1,0),IF($I439="",1,0))),IF(法术查询!$J$18="",1,IF(法术查询!$J$18=$AF$11,IF($J439&lt;&gt;"",1,0),IF($J439="",1,0))),IF(法术查询!$J$19="",1,IF(法术查询!$J$19=$AF$11,IF($L439&lt;&gt;"",1,0),IF($L439="",1,0)))),$B439,""),"")</f>
        <v/>
      </c>
      <c r="AD438" s="192" t="str">
        <f t="array" ref="AD438">INDEX(AC:AC,SMALL(IF($AC$2:$AC$523&lt;&gt;"",ROW($2:$523),524),ROW(AC437)))&amp;""</f>
        <v/>
      </c>
      <c r="AE438" s="200" t="str">
        <f t="shared" si="10"/>
        <v/>
      </c>
    </row>
    <row r="439" customHeight="1" spans="1:31">
      <c r="A439" s="192">
        <v>437</v>
      </c>
      <c r="B439" s="224" t="s">
        <v>8497</v>
      </c>
      <c r="C439" s="224" t="s">
        <v>8498</v>
      </c>
      <c r="E439" s="231" t="s">
        <v>6672</v>
      </c>
      <c r="F439" s="193" t="s">
        <v>6642</v>
      </c>
      <c r="G439" s="193" t="s">
        <v>6651</v>
      </c>
      <c r="H439" s="193">
        <v>1</v>
      </c>
      <c r="I439" s="193">
        <v>1</v>
      </c>
      <c r="M439" s="193">
        <v>1</v>
      </c>
      <c r="N439" s="193" t="s">
        <v>6831</v>
      </c>
      <c r="O439" s="224" t="s">
        <v>8499</v>
      </c>
      <c r="P439" s="224">
        <v>6</v>
      </c>
      <c r="Q439" s="245" t="str">
        <f>IF(综合数据!$B$7=TRUE,"XGE","")</f>
        <v>XGE</v>
      </c>
      <c r="T439" s="193">
        <v>6</v>
      </c>
      <c r="W439" s="193">
        <v>6</v>
      </c>
      <c r="X439" s="193">
        <v>6</v>
      </c>
      <c r="Y439" s="193">
        <v>6</v>
      </c>
      <c r="AA439" s="200"/>
      <c r="AB439" s="200" t="str">
        <f t="array" ref="AB439">INDEX(B:B,SMALL(IF($Q$3:$Q$524&lt;&gt;"",ROW($3:$524),525),ROW(B438)))&amp;""</f>
        <v>精神监狱</v>
      </c>
      <c r="AC439" s="225" t="str">
        <f>IFERROR(IF(AND($Q440&lt;&gt;"",IF(法术查询!$J$4="",1,INDEX($R440:$Z440,1,VLOOKUP(法术查询!$J$4,$AF$2:$AG$10,2,0)))&lt;&gt;"",IF(法术查询!$J$5="",1,$P440=VLOOKUP(法术查询!$J$5,$AH$2:$AI$11,2,0)),IF(法术查询!$J$6="",1,IF(法术查询!$J$6=$E440,1,0)),IF(法术查询!$J$7="",1,SEARCH(法术查询!$J$7,$F440)),IF(法术查询!$J$8="",1,SEARCH(法术查询!$J$8,G440)),IF(法术查询!$J$9="",1,SEARCH(法术查询!$J$9,N440)),IF(法术查询!$J$10="",1,IF(法术查询!$J$10=$AF$11,IF($M440=1,1,0),IF($M440="",1,0))),IF(法术查询!$J$11="",1,IF(法术查询!$J$11=$AF$11,IF($D440=1,1,0),IF($D440="",1,0))),IF(法术查询!$J$12="",1,SEARCH(法术查询!$J$12,$B440&amp;$C440&amp;$O440)),IF(法术查询!$J$13="",1,SEARCH(法术查询!$J$13,$B440&amp;$C440&amp;$O440)),IF(法术查询!$J$14="",1,SEARCH(法术查询!$J$14,$B440&amp;$C440&amp;$O440)),IF(法术查询!$J$16="",1,IF(法术查询!$J$16=$AF$11,IF($H440=1,1,0),IF($H440="",1,0))),IF(法术查询!$J$17="",1,IF(法术查询!$J$17=$AF$11,IF($I440=1,1,0),IF($I440="",1,0))),IF(法术查询!$J$18="",1,IF(法术查询!$J$18=$AF$11,IF($J440&lt;&gt;"",1,0),IF($J440="",1,0))),IF(法术查询!$J$19="",1,IF(法术查询!$J$19=$AF$11,IF($L440&lt;&gt;"",1,0),IF($L440="",1,0)))),$B440,""),"")</f>
        <v/>
      </c>
      <c r="AD439" s="192" t="str">
        <f t="array" ref="AD439">INDEX(AC:AC,SMALL(IF($AC$2:$AC$523&lt;&gt;"",ROW($2:$523),524),ROW(AC438)))&amp;""</f>
        <v/>
      </c>
      <c r="AE439" s="200" t="str">
        <f t="shared" si="10"/>
        <v/>
      </c>
    </row>
    <row r="440" customHeight="1" spans="1:31">
      <c r="A440" s="192">
        <v>438</v>
      </c>
      <c r="B440" s="224" t="s">
        <v>8500</v>
      </c>
      <c r="C440" s="224" t="s">
        <v>8501</v>
      </c>
      <c r="E440" s="231" t="s">
        <v>6672</v>
      </c>
      <c r="F440" s="193" t="s">
        <v>6642</v>
      </c>
      <c r="G440" s="193" t="s">
        <v>3760</v>
      </c>
      <c r="H440" s="193">
        <v>1</v>
      </c>
      <c r="I440" s="193">
        <v>1</v>
      </c>
      <c r="M440" s="193">
        <v>1</v>
      </c>
      <c r="N440" s="193" t="s">
        <v>6831</v>
      </c>
      <c r="O440" s="224" t="s">
        <v>8502</v>
      </c>
      <c r="P440" s="224">
        <v>6</v>
      </c>
      <c r="Q440" s="245" t="str">
        <f>IF(综合数据!$B$7=TRUE,"XGE","")</f>
        <v>XGE</v>
      </c>
      <c r="T440" s="193">
        <v>6</v>
      </c>
      <c r="W440" s="193">
        <v>6</v>
      </c>
      <c r="X440" s="193">
        <v>6</v>
      </c>
      <c r="Y440" s="193">
        <v>6</v>
      </c>
      <c r="AA440" s="200"/>
      <c r="AB440" s="200" t="str">
        <f t="array" ref="AB440">INDEX(B:B,SMALL(IF($Q$3:$Q$524&lt;&gt;"",ROW($3:$524),525),ROW(B439)))&amp;""</f>
        <v>原初守护</v>
      </c>
      <c r="AC440" s="225" t="str">
        <f>IFERROR(IF(AND($Q441&lt;&gt;"",IF(法术查询!$J$4="",1,INDEX($R441:$Z441,1,VLOOKUP(法术查询!$J$4,$AF$2:$AG$10,2,0)))&lt;&gt;"",IF(法术查询!$J$5="",1,$P441=VLOOKUP(法术查询!$J$5,$AH$2:$AI$11,2,0)),IF(法术查询!$J$6="",1,IF(法术查询!$J$6=$E441,1,0)),IF(法术查询!$J$7="",1,SEARCH(法术查询!$J$7,$F441)),IF(法术查询!$J$8="",1,SEARCH(法术查询!$J$8,G441)),IF(法术查询!$J$9="",1,SEARCH(法术查询!$J$9,N441)),IF(法术查询!$J$10="",1,IF(法术查询!$J$10=$AF$11,IF($M441=1,1,0),IF($M441="",1,0))),IF(法术查询!$J$11="",1,IF(法术查询!$J$11=$AF$11,IF($D441=1,1,0),IF($D441="",1,0))),IF(法术查询!$J$12="",1,SEARCH(法术查询!$J$12,$B441&amp;$C441&amp;$O441)),IF(法术查询!$J$13="",1,SEARCH(法术查询!$J$13,$B441&amp;$C441&amp;$O441)),IF(法术查询!$J$14="",1,SEARCH(法术查询!$J$14,$B441&amp;$C441&amp;$O441)),IF(法术查询!$J$16="",1,IF(法术查询!$J$16=$AF$11,IF($H441=1,1,0),IF($H441="",1,0))),IF(法术查询!$J$17="",1,IF(法术查询!$J$17=$AF$11,IF($I441=1,1,0),IF($I441="",1,0))),IF(法术查询!$J$18="",1,IF(法术查询!$J$18=$AF$11,IF($J441&lt;&gt;"",1,0),IF($J441="",1,0))),IF(法术查询!$J$19="",1,IF(法术查询!$J$19=$AF$11,IF($L441&lt;&gt;"",1,0),IF($L441="",1,0)))),$B441,""),"")</f>
        <v/>
      </c>
      <c r="AD440" s="192" t="str">
        <f t="array" ref="AD440">INDEX(AC:AC,SMALL(IF($AC$2:$AC$523&lt;&gt;"",ROW($2:$523),524),ROW(AC439)))&amp;""</f>
        <v/>
      </c>
      <c r="AE440" s="200" t="str">
        <f t="shared" si="10"/>
        <v/>
      </c>
    </row>
    <row r="441" customHeight="1" spans="1:31">
      <c r="A441" s="192">
        <v>439</v>
      </c>
      <c r="B441" s="224" t="s">
        <v>8503</v>
      </c>
      <c r="C441" s="224" t="s">
        <v>8504</v>
      </c>
      <c r="E441" s="231" t="s">
        <v>6672</v>
      </c>
      <c r="F441" s="193" t="s">
        <v>6642</v>
      </c>
      <c r="G441" s="193" t="s">
        <v>6651</v>
      </c>
      <c r="H441" s="193">
        <v>1</v>
      </c>
      <c r="I441" s="193">
        <v>1</v>
      </c>
      <c r="M441" s="193">
        <v>1</v>
      </c>
      <c r="N441" s="193" t="s">
        <v>6831</v>
      </c>
      <c r="O441" s="224" t="s">
        <v>8505</v>
      </c>
      <c r="P441" s="224">
        <v>6</v>
      </c>
      <c r="Q441" s="245" t="str">
        <f>IF(综合数据!$B$7=TRUE,"XGE","")</f>
        <v>XGE</v>
      </c>
      <c r="T441" s="193">
        <v>6</v>
      </c>
      <c r="W441" s="193">
        <v>6</v>
      </c>
      <c r="X441" s="193">
        <v>6</v>
      </c>
      <c r="Y441" s="193">
        <v>6</v>
      </c>
      <c r="AA441" s="200"/>
      <c r="AB441" s="200" t="str">
        <f t="array" ref="AB441">INDEX(B:B,SMALL(IF($Q$3:$Q$524&lt;&gt;"",ROW($3:$524),525),ROW(B440)))&amp;""</f>
        <v>散射术</v>
      </c>
      <c r="AC441" s="225" t="str">
        <f>IFERROR(IF(AND($Q442&lt;&gt;"",IF(法术查询!$J$4="",1,INDEX($R442:$Z442,1,VLOOKUP(法术查询!$J$4,$AF$2:$AG$10,2,0)))&lt;&gt;"",IF(法术查询!$J$5="",1,$P442=VLOOKUP(法术查询!$J$5,$AH$2:$AI$11,2,0)),IF(法术查询!$J$6="",1,IF(法术查询!$J$6=$E442,1,0)),IF(法术查询!$J$7="",1,SEARCH(法术查询!$J$7,$F442)),IF(法术查询!$J$8="",1,SEARCH(法术查询!$J$8,G442)),IF(法术查询!$J$9="",1,SEARCH(法术查询!$J$9,N442)),IF(法术查询!$J$10="",1,IF(法术查询!$J$10=$AF$11,IF($M442=1,1,0),IF($M442="",1,0))),IF(法术查询!$J$11="",1,IF(法术查询!$J$11=$AF$11,IF($D442=1,1,0),IF($D442="",1,0))),IF(法术查询!$J$12="",1,SEARCH(法术查询!$J$12,$B442&amp;$C442&amp;$O442)),IF(法术查询!$J$13="",1,SEARCH(法术查询!$J$13,$B442&amp;$C442&amp;$O442)),IF(法术查询!$J$14="",1,SEARCH(法术查询!$J$14,$B442&amp;$C442&amp;$O442)),IF(法术查询!$J$16="",1,IF(法术查询!$J$16=$AF$11,IF($H442=1,1,0),IF($H442="",1,0))),IF(法术查询!$J$17="",1,IF(法术查询!$J$17=$AF$11,IF($I442=1,1,0),IF($I442="",1,0))),IF(法术查询!$J$18="",1,IF(法术查询!$J$18=$AF$11,IF($J442&lt;&gt;"",1,0),IF($J442="",1,0))),IF(法术查询!$J$19="",1,IF(法术查询!$J$19=$AF$11,IF($L442&lt;&gt;"",1,0),IF($L442="",1,0)))),$B442,""),"")</f>
        <v/>
      </c>
      <c r="AD441" s="192" t="str">
        <f t="array" ref="AD441">INDEX(AC:AC,SMALL(IF($AC$2:$AC$523&lt;&gt;"",ROW($2:$523),524),ROW(AC440)))&amp;""</f>
        <v/>
      </c>
      <c r="AE441" s="200" t="str">
        <f t="shared" si="10"/>
        <v/>
      </c>
    </row>
    <row r="442" customHeight="1" spans="1:31">
      <c r="A442" s="192">
        <v>440</v>
      </c>
      <c r="B442" s="224" t="s">
        <v>8506</v>
      </c>
      <c r="C442" s="224" t="s">
        <v>8507</v>
      </c>
      <c r="E442" s="231" t="s">
        <v>6672</v>
      </c>
      <c r="F442" s="193" t="s">
        <v>6642</v>
      </c>
      <c r="G442" s="193" t="s">
        <v>6651</v>
      </c>
      <c r="H442" s="193">
        <v>1</v>
      </c>
      <c r="I442" s="193">
        <v>1</v>
      </c>
      <c r="M442" s="193">
        <v>1</v>
      </c>
      <c r="N442" s="193" t="s">
        <v>6831</v>
      </c>
      <c r="O442" s="224" t="s">
        <v>8508</v>
      </c>
      <c r="P442" s="224">
        <v>6</v>
      </c>
      <c r="Q442" s="245" t="str">
        <f>IF(综合数据!$B$7=TRUE,"XGE","")</f>
        <v>XGE</v>
      </c>
      <c r="T442" s="193">
        <v>6</v>
      </c>
      <c r="W442" s="193">
        <v>6</v>
      </c>
      <c r="X442" s="193">
        <v>6</v>
      </c>
      <c r="Y442" s="193">
        <v>6</v>
      </c>
      <c r="AA442" s="200"/>
      <c r="AB442" s="200" t="str">
        <f t="array" ref="AB442">INDEX(B:B,SMALL(IF($Q$3:$Q$524&lt;&gt;"",ROW($3:$524),525),ROW(B441)))&amp;""</f>
        <v>灵魂牢笼</v>
      </c>
      <c r="AC442" s="225" t="str">
        <f>IFERROR(IF(AND($Q443&lt;&gt;"",IF(法术查询!$J$4="",1,INDEX($R443:$Z443,1,VLOOKUP(法术查询!$J$4,$AF$2:$AG$10,2,0)))&lt;&gt;"",IF(法术查询!$J$5="",1,$P443=VLOOKUP(法术查询!$J$5,$AH$2:$AI$11,2,0)),IF(法术查询!$J$6="",1,IF(法术查询!$J$6=$E443,1,0)),IF(法术查询!$J$7="",1,SEARCH(法术查询!$J$7,$F443)),IF(法术查询!$J$8="",1,SEARCH(法术查询!$J$8,G443)),IF(法术查询!$J$9="",1,SEARCH(法术查询!$J$9,N443)),IF(法术查询!$J$10="",1,IF(法术查询!$J$10=$AF$11,IF($M443=1,1,0),IF($M443="",1,0))),IF(法术查询!$J$11="",1,IF(法术查询!$J$11=$AF$11,IF($D443=1,1,0),IF($D443="",1,0))),IF(法术查询!$J$12="",1,SEARCH(法术查询!$J$12,$B443&amp;$C443&amp;$O443)),IF(法术查询!$J$13="",1,SEARCH(法术查询!$J$13,$B443&amp;$C443&amp;$O443)),IF(法术查询!$J$14="",1,SEARCH(法术查询!$J$14,$B443&amp;$C443&amp;$O443)),IF(法术查询!$J$16="",1,IF(法术查询!$J$16=$AF$11,IF($H443=1,1,0),IF($H443="",1,0))),IF(法术查询!$J$17="",1,IF(法术查询!$J$17=$AF$11,IF($I443=1,1,0),IF($I443="",1,0))),IF(法术查询!$J$18="",1,IF(法术查询!$J$18=$AF$11,IF($J443&lt;&gt;"",1,0),IF($J443="",1,0))),IF(法术查询!$J$19="",1,IF(法术查询!$J$19=$AF$11,IF($L443&lt;&gt;"",1,0),IF($L443="",1,0)))),$B443,""),"")</f>
        <v/>
      </c>
      <c r="AD442" s="192" t="str">
        <f t="array" ref="AD442">INDEX(AC:AC,SMALL(IF($AC$2:$AC$523&lt;&gt;"",ROW($2:$523),524),ROW(AC441)))&amp;""</f>
        <v/>
      </c>
      <c r="AE442" s="200" t="str">
        <f t="shared" si="10"/>
        <v/>
      </c>
    </row>
    <row r="443" customHeight="1" spans="1:31">
      <c r="A443" s="192">
        <v>441</v>
      </c>
      <c r="B443" s="224" t="s">
        <v>8509</v>
      </c>
      <c r="C443" s="224" t="s">
        <v>8510</v>
      </c>
      <c r="E443" s="241" t="s">
        <v>6726</v>
      </c>
      <c r="F443" s="193" t="s">
        <v>6642</v>
      </c>
      <c r="G443" s="193" t="s">
        <v>6643</v>
      </c>
      <c r="I443" s="193">
        <v>1</v>
      </c>
      <c r="M443" s="193">
        <v>1</v>
      </c>
      <c r="N443" s="193" t="s">
        <v>6666</v>
      </c>
      <c r="O443" s="224" t="s">
        <v>8511</v>
      </c>
      <c r="P443" s="224">
        <v>6</v>
      </c>
      <c r="Q443" s="245" t="str">
        <f>IF(综合数据!$B$7=TRUE,"XGE","")</f>
        <v>XGE</v>
      </c>
      <c r="W443" s="193">
        <v>6</v>
      </c>
      <c r="X443" s="193">
        <v>6</v>
      </c>
      <c r="Y443" s="193">
        <v>6</v>
      </c>
      <c r="AA443" s="200"/>
      <c r="AB443" s="200" t="str">
        <f t="array" ref="AB443">INDEX(B:B,SMALL(IF($Q$3:$Q$524&lt;&gt;"",ROW($3:$524),525),ROW(B442)))&amp;""</f>
        <v>谭森变形术</v>
      </c>
      <c r="AC443" s="225" t="str">
        <f>IFERROR(IF(AND($Q444&lt;&gt;"",IF(法术查询!$J$4="",1,INDEX($R444:$Z444,1,VLOOKUP(法术查询!$J$4,$AF$2:$AG$10,2,0)))&lt;&gt;"",IF(法术查询!$J$5="",1,$P444=VLOOKUP(法术查询!$J$5,$AH$2:$AI$11,2,0)),IF(法术查询!$J$6="",1,IF(法术查询!$J$6=$E444,1,0)),IF(法术查询!$J$7="",1,SEARCH(法术查询!$J$7,$F444)),IF(法术查询!$J$8="",1,SEARCH(法术查询!$J$8,G444)),IF(法术查询!$J$9="",1,SEARCH(法术查询!$J$9,N444)),IF(法术查询!$J$10="",1,IF(法术查询!$J$10=$AF$11,IF($M444=1,1,0),IF($M444="",1,0))),IF(法术查询!$J$11="",1,IF(法术查询!$J$11=$AF$11,IF($D444=1,1,0),IF($D444="",1,0))),IF(法术查询!$J$12="",1,SEARCH(法术查询!$J$12,$B444&amp;$C444&amp;$O444)),IF(法术查询!$J$13="",1,SEARCH(法术查询!$J$13,$B444&amp;$C444&amp;$O444)),IF(法术查询!$J$14="",1,SEARCH(法术查询!$J$14,$B444&amp;$C444&amp;$O444)),IF(法术查询!$J$16="",1,IF(法术查询!$J$16=$AF$11,IF($H444=1,1,0),IF($H444="",1,0))),IF(法术查询!$J$17="",1,IF(法术查询!$J$17=$AF$11,IF($I444=1,1,0),IF($I444="",1,0))),IF(法术查询!$J$18="",1,IF(法术查询!$J$18=$AF$11,IF($J444&lt;&gt;"",1,0),IF($J444="",1,0))),IF(法术查询!$J$19="",1,IF(法术查询!$J$19=$AF$11,IF($L444&lt;&gt;"",1,0),IF($L444="",1,0)))),$B444,""),"")</f>
        <v/>
      </c>
      <c r="AD443" s="192" t="str">
        <f t="array" ref="AD443">INDEX(AC:AC,SMALL(IF($AC$2:$AC$523&lt;&gt;"",ROW($2:$523),524),ROW(AC442)))&amp;""</f>
        <v/>
      </c>
      <c r="AE443" s="200" t="str">
        <f t="shared" si="10"/>
        <v/>
      </c>
    </row>
    <row r="444" customHeight="1" spans="1:31">
      <c r="A444" s="192">
        <v>442</v>
      </c>
      <c r="B444" s="224" t="s">
        <v>8512</v>
      </c>
      <c r="C444" s="224" t="s">
        <v>8513</v>
      </c>
      <c r="E444" s="242" t="s">
        <v>6650</v>
      </c>
      <c r="F444" s="193" t="s">
        <v>6642</v>
      </c>
      <c r="G444" s="193" t="s">
        <v>6651</v>
      </c>
      <c r="H444" s="193">
        <v>1</v>
      </c>
      <c r="I444" s="193">
        <v>1</v>
      </c>
      <c r="M444" s="193">
        <v>1</v>
      </c>
      <c r="N444" s="193" t="s">
        <v>6666</v>
      </c>
      <c r="O444" s="224" t="s">
        <v>8514</v>
      </c>
      <c r="P444" s="224">
        <v>6</v>
      </c>
      <c r="Q444" s="245" t="str">
        <f>IF(综合数据!$B$7=TRUE,"XGE","")</f>
        <v>XGE</v>
      </c>
      <c r="T444" s="193">
        <v>6</v>
      </c>
      <c r="AA444" s="200"/>
      <c r="AB444" s="200" t="str">
        <f t="array" ref="AB444">INDEX(B:B,SMALL(IF($Q$3:$Q$524&lt;&gt;"",ROW($3:$524),525),ROW(B443)))&amp;""</f>
        <v>重力分裂</v>
      </c>
      <c r="AC444" s="225" t="str">
        <f>IFERROR(IF(AND($Q445&lt;&gt;"",IF(法术查询!$J$4="",1,INDEX($R445:$Z445,1,VLOOKUP(法术查询!$J$4,$AF$2:$AG$10,2,0)))&lt;&gt;"",IF(法术查询!$J$5="",1,$P445=VLOOKUP(法术查询!$J$5,$AH$2:$AI$11,2,0)),IF(法术查询!$J$6="",1,IF(法术查询!$J$6=$E445,1,0)),IF(法术查询!$J$7="",1,SEARCH(法术查询!$J$7,$F445)),IF(法术查询!$J$8="",1,SEARCH(法术查询!$J$8,G445)),IF(法术查询!$J$9="",1,SEARCH(法术查询!$J$9,N445)),IF(法术查询!$J$10="",1,IF(法术查询!$J$10=$AF$11,IF($M445=1,1,0),IF($M445="",1,0))),IF(法术查询!$J$11="",1,IF(法术查询!$J$11=$AF$11,IF($D445=1,1,0),IF($D445="",1,0))),IF(法术查询!$J$12="",1,SEARCH(法术查询!$J$12,$B445&amp;$C445&amp;$O445)),IF(法术查询!$J$13="",1,SEARCH(法术查询!$J$13,$B445&amp;$C445&amp;$O445)),IF(法术查询!$J$14="",1,SEARCH(法术查询!$J$14,$B445&amp;$C445&amp;$O445)),IF(法术查询!$J$16="",1,IF(法术查询!$J$16=$AF$11,IF($H445=1,1,0),IF($H445="",1,0))),IF(法术查询!$J$17="",1,IF(法术查询!$J$17=$AF$11,IF($I445=1,1,0),IF($I445="",1,0))),IF(法术查询!$J$18="",1,IF(法术查询!$J$18=$AF$11,IF($J445&lt;&gt;"",1,0),IF($J445="",1,0))),IF(法术查询!$J$19="",1,IF(法术查询!$J$19=$AF$11,IF($L445&lt;&gt;"",1,0),IF($L445="",1,0)))),$B445,""),"")</f>
        <v/>
      </c>
      <c r="AD444" s="192" t="str">
        <f t="array" ref="AD444">INDEX(AC:AC,SMALL(IF($AC$2:$AC$523&lt;&gt;"",ROW($2:$523),524),ROW(AC443)))&amp;""</f>
        <v/>
      </c>
      <c r="AE444" s="200" t="str">
        <f t="shared" si="10"/>
        <v/>
      </c>
    </row>
    <row r="445" customHeight="1" spans="1:31">
      <c r="A445" s="192">
        <v>443</v>
      </c>
      <c r="B445" s="224" t="s">
        <v>8515</v>
      </c>
      <c r="C445" s="224" t="s">
        <v>8516</v>
      </c>
      <c r="E445" s="240" t="s">
        <v>6641</v>
      </c>
      <c r="F445" s="193" t="s">
        <v>6642</v>
      </c>
      <c r="G445" s="193" t="s">
        <v>6673</v>
      </c>
      <c r="H445" s="193">
        <v>1</v>
      </c>
      <c r="N445" s="193" t="s">
        <v>6644</v>
      </c>
      <c r="O445" s="224" t="s">
        <v>8517</v>
      </c>
      <c r="P445" s="224">
        <v>6</v>
      </c>
      <c r="Q445" s="245" t="str">
        <f>IF(综合数据!$B$7=TRUE,"XGE","")</f>
        <v>XGE</v>
      </c>
      <c r="W445" s="193">
        <v>6</v>
      </c>
      <c r="X445" s="193">
        <v>6</v>
      </c>
      <c r="Y445" s="193">
        <v>6</v>
      </c>
      <c r="AA445" s="200"/>
      <c r="AB445" s="200" t="str">
        <f t="array" ref="AB445">INDEX(B:B,SMALL(IF($Q$3:$Q$524&lt;&gt;"",ROW($3:$524),525),ROW(B444)))&amp;""</f>
        <v>邪魔召唤术</v>
      </c>
      <c r="AC445" s="225" t="str">
        <f>IFERROR(IF(AND($Q446&lt;&gt;"",IF(法术查询!$J$4="",1,INDEX($R446:$Z446,1,VLOOKUP(法术查询!$J$4,$AF$2:$AG$10,2,0)))&lt;&gt;"",IF(法术查询!$J$5="",1,$P446=VLOOKUP(法术查询!$J$5,$AH$2:$AI$11,2,0)),IF(法术查询!$J$6="",1,IF(法术查询!$J$6=$E446,1,0)),IF(法术查询!$J$7="",1,SEARCH(法术查询!$J$7,$F446)),IF(法术查询!$J$8="",1,SEARCH(法术查询!$J$8,G446)),IF(法术查询!$J$9="",1,SEARCH(法术查询!$J$9,N446)),IF(法术查询!$J$10="",1,IF(法术查询!$J$10=$AF$11,IF($M446=1,1,0),IF($M446="",1,0))),IF(法术查询!$J$11="",1,IF(法术查询!$J$11=$AF$11,IF($D446=1,1,0),IF($D446="",1,0))),IF(法术查询!$J$12="",1,SEARCH(法术查询!$J$12,$B446&amp;$C446&amp;$O446)),IF(法术查询!$J$13="",1,SEARCH(法术查询!$J$13,$B446&amp;$C446&amp;$O446)),IF(法术查询!$J$14="",1,SEARCH(法术查询!$J$14,$B446&amp;$C446&amp;$O446)),IF(法术查询!$J$16="",1,IF(法术查询!$J$16=$AF$11,IF($H446=1,1,0),IF($H446="",1,0))),IF(法术查询!$J$17="",1,IF(法术查询!$J$17=$AF$11,IF($I446=1,1,0),IF($I446="",1,0))),IF(法术查询!$J$18="",1,IF(法术查询!$J$18=$AF$11,IF($J446&lt;&gt;"",1,0),IF($J446="",1,0))),IF(法术查询!$J$19="",1,IF(法术查询!$J$19=$AF$11,IF($L446&lt;&gt;"",1,0),IF($L446="",1,0)))),$B446,""),"")</f>
        <v/>
      </c>
      <c r="AD445" s="192" t="str">
        <f t="array" ref="AD445">INDEX(AC:AC,SMALL(IF($AC$2:$AC$523&lt;&gt;"",ROW($2:$523),524),ROW(AC444)))&amp;""</f>
        <v/>
      </c>
      <c r="AE445" s="200" t="str">
        <f t="shared" si="10"/>
        <v/>
      </c>
    </row>
    <row r="446" customHeight="1" spans="1:31">
      <c r="A446" s="192">
        <v>444</v>
      </c>
      <c r="B446" s="224" t="s">
        <v>8518</v>
      </c>
      <c r="C446" s="224" t="s">
        <v>8519</v>
      </c>
      <c r="E446" s="243" t="s">
        <v>6657</v>
      </c>
      <c r="F446" s="193" t="s">
        <v>8520</v>
      </c>
      <c r="G446" s="193" t="s">
        <v>6643</v>
      </c>
      <c r="H446" s="193">
        <v>1</v>
      </c>
      <c r="I446" s="193">
        <v>1</v>
      </c>
      <c r="J446" s="193">
        <v>1</v>
      </c>
      <c r="K446" s="224" t="s">
        <v>8521</v>
      </c>
      <c r="N446" s="193" t="s">
        <v>6748</v>
      </c>
      <c r="O446" s="224" t="s">
        <v>8522</v>
      </c>
      <c r="P446" s="224">
        <v>6</v>
      </c>
      <c r="Q446" s="245" t="str">
        <f>IF(综合数据!$B$7=TRUE,"XGE","")</f>
        <v>XGE</v>
      </c>
      <c r="X446" s="193">
        <v>6</v>
      </c>
      <c r="Y446" s="193">
        <v>6</v>
      </c>
      <c r="AA446" s="200"/>
      <c r="AB446" s="200" t="str">
        <f t="array" ref="AB446">INDEX(B:B,SMALL(IF($Q$3:$Q$524&lt;&gt;"",ROW($3:$524),525),ROW(B445)))&amp;""</f>
        <v>塔莎超凡形态</v>
      </c>
      <c r="AC446" s="225" t="str">
        <f>IFERROR(IF(AND($Q447&lt;&gt;"",IF(法术查询!$J$4="",1,INDEX($R447:$Z447,1,VLOOKUP(法术查询!$J$4,$AF$2:$AG$10,2,0)))&lt;&gt;"",IF(法术查询!$J$5="",1,$P447=VLOOKUP(法术查询!$J$5,$AH$2:$AI$11,2,0)),IF(法术查询!$J$6="",1,IF(法术查询!$J$6=$E447,1,0)),IF(法术查询!$J$7="",1,SEARCH(法术查询!$J$7,$F447)),IF(法术查询!$J$8="",1,SEARCH(法术查询!$J$8,G447)),IF(法术查询!$J$9="",1,SEARCH(法术查询!$J$9,N447)),IF(法术查询!$J$10="",1,IF(法术查询!$J$10=$AF$11,IF($M447=1,1,0),IF($M447="",1,0))),IF(法术查询!$J$11="",1,IF(法术查询!$J$11=$AF$11,IF($D447=1,1,0),IF($D447="",1,0))),IF(法术查询!$J$12="",1,SEARCH(法术查询!$J$12,$B447&amp;$C447&amp;$O447)),IF(法术查询!$J$13="",1,SEARCH(法术查询!$J$13,$B447&amp;$C447&amp;$O447)),IF(法术查询!$J$14="",1,SEARCH(法术查询!$J$14,$B447&amp;$C447&amp;$O447)),IF(法术查询!$J$16="",1,IF(法术查询!$J$16=$AF$11,IF($H447=1,1,0),IF($H447="",1,0))),IF(法术查询!$J$17="",1,IF(法术查询!$J$17=$AF$11,IF($I447=1,1,0),IF($I447="",1,0))),IF(法术查询!$J$18="",1,IF(法术查询!$J$18=$AF$11,IF($J447&lt;&gt;"",1,0),IF($J447="",1,0))),IF(法术查询!$J$19="",1,IF(法术查询!$J$19=$AF$11,IF($L447&lt;&gt;"",1,0),IF($L447="",1,0)))),$B447,""),"")</f>
        <v/>
      </c>
      <c r="AD446" s="192" t="str">
        <f t="array" ref="AD446">INDEX(AC:AC,SMALL(IF($AC$2:$AC$523&lt;&gt;"",ROW($2:$523),524),ROW(AC445)))&amp;""</f>
        <v/>
      </c>
      <c r="AE446" s="200" t="str">
        <f t="shared" si="10"/>
        <v/>
      </c>
    </row>
    <row r="447" customHeight="1" spans="1:31">
      <c r="A447" s="192">
        <v>445</v>
      </c>
      <c r="B447" s="224" t="s">
        <v>8523</v>
      </c>
      <c r="C447" s="224" t="s">
        <v>8524</v>
      </c>
      <c r="E447" s="231" t="s">
        <v>6672</v>
      </c>
      <c r="F447" s="193" t="s">
        <v>6642</v>
      </c>
      <c r="G447" s="193" t="s">
        <v>6651</v>
      </c>
      <c r="H447" s="193">
        <v>1</v>
      </c>
      <c r="I447" s="193">
        <v>1</v>
      </c>
      <c r="J447" s="193">
        <v>1</v>
      </c>
      <c r="K447" s="224" t="s">
        <v>8525</v>
      </c>
      <c r="M447" s="193">
        <v>1</v>
      </c>
      <c r="N447" s="193" t="s">
        <v>6831</v>
      </c>
      <c r="O447" s="224" t="s">
        <v>8526</v>
      </c>
      <c r="P447" s="224">
        <v>6</v>
      </c>
      <c r="Q447" s="245" t="str">
        <f>IF(综合数据!$B$7=TRUE,"XGE","")</f>
        <v>XGE</v>
      </c>
      <c r="X447" s="193">
        <v>6</v>
      </c>
      <c r="AA447" s="200"/>
      <c r="AB447" s="200" t="str">
        <f t="array" ref="AB447">INDEX(B:B,SMALL(IF($Q$3:$Q$524&lt;&gt;"",ROW($3:$524),525),ROW(B446)))&amp;""</f>
        <v>费茨本铂金盾</v>
      </c>
      <c r="AC447" s="225" t="str">
        <f>IFERROR(IF(AND($Q448&lt;&gt;"",IF(法术查询!$J$4="",1,INDEX($R448:$Z448,1,VLOOKUP(法术查询!$J$4,$AF$2:$AG$10,2,0)))&lt;&gt;"",IF(法术查询!$J$5="",1,$P448=VLOOKUP(法术查询!$J$5,$AH$2:$AI$11,2,0)),IF(法术查询!$J$6="",1,IF(法术查询!$J$6=$E448,1,0)),IF(法术查询!$J$7="",1,SEARCH(法术查询!$J$7,$F448)),IF(法术查询!$J$8="",1,SEARCH(法术查询!$J$8,G448)),IF(法术查询!$J$9="",1,SEARCH(法术查询!$J$9,N448)),IF(法术查询!$J$10="",1,IF(法术查询!$J$10=$AF$11,IF($M448=1,1,0),IF($M448="",1,0))),IF(法术查询!$J$11="",1,IF(法术查询!$J$11=$AF$11,IF($D448=1,1,0),IF($D448="",1,0))),IF(法术查询!$J$12="",1,SEARCH(法术查询!$J$12,$B448&amp;$C448&amp;$O448)),IF(法术查询!$J$13="",1,SEARCH(法术查询!$J$13,$B448&amp;$C448&amp;$O448)),IF(法术查询!$J$14="",1,SEARCH(法术查询!$J$14,$B448&amp;$C448&amp;$O448)),IF(法术查询!$J$16="",1,IF(法术查询!$J$16=$AF$11,IF($H448=1,1,0),IF($H448="",1,0))),IF(法术查询!$J$17="",1,IF(法术查询!$J$17=$AF$11,IF($I448=1,1,0),IF($I448="",1,0))),IF(法术查询!$J$18="",1,IF(法术查询!$J$18=$AF$11,IF($J448&lt;&gt;"",1,0),IF($J448="",1,0))),IF(法术查询!$J$19="",1,IF(法术查询!$J$19=$AF$11,IF($L448&lt;&gt;"",1,0),IF($L448="",1,0)))),$B448,""),"")</f>
        <v/>
      </c>
      <c r="AD447" s="192" t="str">
        <f t="array" ref="AD447">INDEX(AC:AC,SMALL(IF($AC$2:$AC$523&lt;&gt;"",ROW($2:$523),524),ROW(AC446)))&amp;""</f>
        <v/>
      </c>
      <c r="AE447" s="200" t="str">
        <f t="shared" si="10"/>
        <v/>
      </c>
    </row>
    <row r="448" customHeight="1" spans="1:31">
      <c r="A448" s="192">
        <v>446</v>
      </c>
      <c r="B448" s="224" t="s">
        <v>8527</v>
      </c>
      <c r="C448" s="224" t="s">
        <v>8528</v>
      </c>
      <c r="E448" s="229" t="s">
        <v>6664</v>
      </c>
      <c r="F448" s="193" t="s">
        <v>6642</v>
      </c>
      <c r="G448" s="193" t="s">
        <v>6888</v>
      </c>
      <c r="H448" s="193">
        <v>1</v>
      </c>
      <c r="I448" s="193">
        <v>1</v>
      </c>
      <c r="J448" s="193">
        <v>1</v>
      </c>
      <c r="K448" s="224" t="s">
        <v>8529</v>
      </c>
      <c r="N448" s="193" t="s">
        <v>6644</v>
      </c>
      <c r="O448" s="224" t="s">
        <v>8530</v>
      </c>
      <c r="P448" s="224">
        <v>6</v>
      </c>
      <c r="Q448" s="247" t="str">
        <f>IF(综合数据!$B$11=TRUE,"EGW","")</f>
        <v>EGW</v>
      </c>
      <c r="AA448" s="223" t="s">
        <v>3640</v>
      </c>
      <c r="AB448" s="200" t="str">
        <f t="array" ref="AB448">INDEX(B:B,SMALL(IF($Q$3:$Q$524&lt;&gt;"",ROW($3:$524),525),ROW(B447)))&amp;""</f>
        <v>召唤天界生物</v>
      </c>
      <c r="AC448" s="225" t="str">
        <f>IFERROR(IF(AND($Q449&lt;&gt;"",IF(法术查询!$J$4="",1,INDEX($R449:$Z449,1,VLOOKUP(法术查询!$J$4,$AF$2:$AG$10,2,0)))&lt;&gt;"",IF(法术查询!$J$5="",1,$P449=VLOOKUP(法术查询!$J$5,$AH$2:$AI$11,2,0)),IF(法术查询!$J$6="",1,IF(法术查询!$J$6=$E449,1,0)),IF(法术查询!$J$7="",1,SEARCH(法术查询!$J$7,$F449)),IF(法术查询!$J$8="",1,SEARCH(法术查询!$J$8,G449)),IF(法术查询!$J$9="",1,SEARCH(法术查询!$J$9,N449)),IF(法术查询!$J$10="",1,IF(法术查询!$J$10=$AF$11,IF($M449=1,1,0),IF($M449="",1,0))),IF(法术查询!$J$11="",1,IF(法术查询!$J$11=$AF$11,IF($D449=1,1,0),IF($D449="",1,0))),IF(法术查询!$J$12="",1,SEARCH(法术查询!$J$12,$B449&amp;$C449&amp;$O449)),IF(法术查询!$J$13="",1,SEARCH(法术查询!$J$13,$B449&amp;$C449&amp;$O449)),IF(法术查询!$J$14="",1,SEARCH(法术查询!$J$14,$B449&amp;$C449&amp;$O449)),IF(法术查询!$J$16="",1,IF(法术查询!$J$16=$AF$11,IF($H449=1,1,0),IF($H449="",1,0))),IF(法术查询!$J$17="",1,IF(法术查询!$J$17=$AF$11,IF($I449=1,1,0),IF($I449="",1,0))),IF(法术查询!$J$18="",1,IF(法术查询!$J$18=$AF$11,IF($J449&lt;&gt;"",1,0),IF($J449="",1,0))),IF(法术查询!$J$19="",1,IF(法术查询!$J$19=$AF$11,IF($L449&lt;&gt;"",1,0),IF($L449="",1,0)))),$B449,""),"")</f>
        <v/>
      </c>
      <c r="AD448" s="192" t="str">
        <f t="array" ref="AD448">INDEX(AC:AC,SMALL(IF($AC$2:$AC$523&lt;&gt;"",ROW($2:$523),524),ROW(AC447)))&amp;""</f>
        <v/>
      </c>
      <c r="AE448" s="200" t="str">
        <f t="shared" si="10"/>
        <v/>
      </c>
    </row>
    <row r="449" customHeight="1" spans="1:31">
      <c r="A449" s="192">
        <v>447</v>
      </c>
      <c r="B449" s="224" t="s">
        <v>8531</v>
      </c>
      <c r="C449" s="224" t="s">
        <v>8532</v>
      </c>
      <c r="E449" s="240" t="s">
        <v>6641</v>
      </c>
      <c r="F449" s="193" t="s">
        <v>6642</v>
      </c>
      <c r="G449" s="193" t="s">
        <v>6760</v>
      </c>
      <c r="H449" s="193">
        <v>1</v>
      </c>
      <c r="I449" s="193">
        <v>1</v>
      </c>
      <c r="J449" s="193">
        <v>1</v>
      </c>
      <c r="K449" s="224" t="s">
        <v>8533</v>
      </c>
      <c r="M449" s="193">
        <v>1</v>
      </c>
      <c r="N449" s="193" t="s">
        <v>6739</v>
      </c>
      <c r="O449" s="224" t="s">
        <v>8534</v>
      </c>
      <c r="P449" s="224">
        <v>6</v>
      </c>
      <c r="Q449" s="248" t="str">
        <f>IF(综合数据!$B$14=TRUE,"TCE","")</f>
        <v>TCE</v>
      </c>
      <c r="X449" s="193">
        <v>13</v>
      </c>
      <c r="Y449" s="193">
        <v>13</v>
      </c>
      <c r="AA449" s="223"/>
      <c r="AB449" s="200" t="str">
        <f t="array" ref="AB449">INDEX(B:B,SMALL(IF($Q$3:$Q$524&lt;&gt;"",ROW($3:$524),525),ROW(B448)))&amp;""</f>
        <v>延迟爆裂火球</v>
      </c>
      <c r="AC449" s="225" t="str">
        <f>IFERROR(IF(AND($Q450&lt;&gt;"",IF(法术查询!$J$4="",1,INDEX($R450:$Z450,1,VLOOKUP(法术查询!$J$4,$AF$2:$AG$10,2,0)))&lt;&gt;"",IF(法术查询!$J$5="",1,$P450=VLOOKUP(法术查询!$J$5,$AH$2:$AI$11,2,0)),IF(法术查询!$J$6="",1,IF(法术查询!$J$6=$E450,1,0)),IF(法术查询!$J$7="",1,SEARCH(法术查询!$J$7,$F450)),IF(法术查询!$J$8="",1,SEARCH(法术查询!$J$8,G450)),IF(法术查询!$J$9="",1,SEARCH(法术查询!$J$9,N450)),IF(法术查询!$J$10="",1,IF(法术查询!$J$10=$AF$11,IF($M450=1,1,0),IF($M450="",1,0))),IF(法术查询!$J$11="",1,IF(法术查询!$J$11=$AF$11,IF($D450=1,1,0),IF($D450="",1,0))),IF(法术查询!$J$12="",1,SEARCH(法术查询!$J$12,$B450&amp;$C450&amp;$O450)),IF(法术查询!$J$13="",1,SEARCH(法术查询!$J$13,$B450&amp;$C450&amp;$O450)),IF(法术查询!$J$14="",1,SEARCH(法术查询!$J$14,$B450&amp;$C450&amp;$O450)),IF(法术查询!$J$16="",1,IF(法术查询!$J$16=$AF$11,IF($H450=1,1,0),IF($H450="",1,0))),IF(法术查询!$J$17="",1,IF(法术查询!$J$17=$AF$11,IF($I450=1,1,0),IF($I450="",1,0))),IF(法术查询!$J$18="",1,IF(法术查询!$J$18=$AF$11,IF($J450&lt;&gt;"",1,0),IF($J450="",1,0))),IF(法术查询!$J$19="",1,IF(法术查询!$J$19=$AF$11,IF($L450&lt;&gt;"",1,0),IF($L450="",1,0)))),$B450,""),"")</f>
        <v/>
      </c>
      <c r="AD449" s="192" t="str">
        <f t="array" ref="AD449">INDEX(AC:AC,SMALL(IF($AC$2:$AC$523&lt;&gt;"",ROW($2:$523),524),ROW(AC448)))&amp;""</f>
        <v/>
      </c>
      <c r="AE449" s="200" t="str">
        <f t="shared" si="10"/>
        <v/>
      </c>
    </row>
    <row r="450" customHeight="1" spans="1:31">
      <c r="A450" s="192">
        <v>448</v>
      </c>
      <c r="B450" s="224" t="s">
        <v>8535</v>
      </c>
      <c r="C450" s="224" t="s">
        <v>8536</v>
      </c>
      <c r="E450" s="231" t="s">
        <v>6672</v>
      </c>
      <c r="F450" s="193" t="s">
        <v>6712</v>
      </c>
      <c r="G450" s="193" t="s">
        <v>6651</v>
      </c>
      <c r="H450" s="193">
        <v>1</v>
      </c>
      <c r="I450" s="193">
        <v>1</v>
      </c>
      <c r="J450" s="193">
        <v>1</v>
      </c>
      <c r="K450" s="224" t="s">
        <v>8537</v>
      </c>
      <c r="M450" s="193">
        <v>1</v>
      </c>
      <c r="N450" s="193" t="s">
        <v>6666</v>
      </c>
      <c r="O450" s="224" t="s">
        <v>8538</v>
      </c>
      <c r="P450" s="224">
        <v>6</v>
      </c>
      <c r="Q450" s="248" t="str">
        <f>IF(综合数据!$B$14=TRUE,"TCE","")</f>
        <v>TCE</v>
      </c>
      <c r="W450" s="193">
        <v>13</v>
      </c>
      <c r="X450" s="193">
        <v>13</v>
      </c>
      <c r="Y450" s="193">
        <v>13</v>
      </c>
      <c r="AA450" s="223"/>
      <c r="AB450" s="200" t="str">
        <f t="array" ref="AB450">INDEX(B:B,SMALL(IF($Q$3:$Q$524&lt;&gt;"",ROW($3:$524),525),ROW(B449)))&amp;""</f>
        <v>圣言术</v>
      </c>
      <c r="AC450" s="225" t="str">
        <f>IFERROR(IF(AND($Q451&lt;&gt;"",IF(法术查询!$J$4="",1,INDEX($R451:$Z451,1,VLOOKUP(法术查询!$J$4,$AF$2:$AG$10,2,0)))&lt;&gt;"",IF(法术查询!$J$5="",1,$P451=VLOOKUP(法术查询!$J$5,$AH$2:$AI$11,2,0)),IF(法术查询!$J$6="",1,IF(法术查询!$J$6=$E451,1,0)),IF(法术查询!$J$7="",1,SEARCH(法术查询!$J$7,$F451)),IF(法术查询!$J$8="",1,SEARCH(法术查询!$J$8,G451)),IF(法术查询!$J$9="",1,SEARCH(法术查询!$J$9,N451)),IF(法术查询!$J$10="",1,IF(法术查询!$J$10=$AF$11,IF($M451=1,1,0),IF($M451="",1,0))),IF(法术查询!$J$11="",1,IF(法术查询!$J$11=$AF$11,IF($D451=1,1,0),IF($D451="",1,0))),IF(法术查询!$J$12="",1,SEARCH(法术查询!$J$12,$B451&amp;$C451&amp;$O451)),IF(法术查询!$J$13="",1,SEARCH(法术查询!$J$13,$B451&amp;$C451&amp;$O451)),IF(法术查询!$J$14="",1,SEARCH(法术查询!$J$14,$B451&amp;$C451&amp;$O451)),IF(法术查询!$J$16="",1,IF(法术查询!$J$16=$AF$11,IF($H451=1,1,0),IF($H451="",1,0))),IF(法术查询!$J$17="",1,IF(法术查询!$J$17=$AF$11,IF($I451=1,1,0),IF($I451="",1,0))),IF(法术查询!$J$18="",1,IF(法术查询!$J$18=$AF$11,IF($J451&lt;&gt;"",1,0),IF($J451="",1,0))),IF(法术查询!$J$19="",1,IF(法术查询!$J$19=$AF$11,IF($L451&lt;&gt;"",1,0),IF($L451="",1,0)))),$B451,""),"")</f>
        <v/>
      </c>
      <c r="AD450" s="192" t="str">
        <f t="array" ref="AD450">INDEX(AC:AC,SMALL(IF($AC$2:$AC$523&lt;&gt;"",ROW($2:$523),524),ROW(AC449)))&amp;""</f>
        <v/>
      </c>
      <c r="AE450" s="200" t="str">
        <f t="shared" si="10"/>
        <v/>
      </c>
    </row>
    <row r="451" customHeight="1" spans="1:31">
      <c r="A451" s="192">
        <v>449</v>
      </c>
      <c r="B451" s="224" t="s">
        <v>8539</v>
      </c>
      <c r="C451" s="224" t="s">
        <v>8540</v>
      </c>
      <c r="E451" s="242" t="s">
        <v>6650</v>
      </c>
      <c r="F451" s="193" t="s">
        <v>6712</v>
      </c>
      <c r="G451" s="193" t="s">
        <v>6643</v>
      </c>
      <c r="H451" s="193">
        <v>1</v>
      </c>
      <c r="I451" s="193">
        <v>1</v>
      </c>
      <c r="J451" s="193">
        <v>1</v>
      </c>
      <c r="K451" s="224" t="s">
        <v>8541</v>
      </c>
      <c r="M451" s="193">
        <v>1</v>
      </c>
      <c r="N451" s="193" t="s">
        <v>6666</v>
      </c>
      <c r="O451" s="224" t="s">
        <v>8542</v>
      </c>
      <c r="P451" s="193">
        <v>6</v>
      </c>
      <c r="Q451" s="253" t="str">
        <f>IF(综合数据!$B$16=TRUE,"FTD","")</f>
        <v>FTD</v>
      </c>
      <c r="W451" s="193">
        <v>15</v>
      </c>
      <c r="X451" s="193">
        <v>15</v>
      </c>
      <c r="AA451" s="200"/>
      <c r="AB451" s="200" t="str">
        <f t="array" ref="AB451">INDEX(B:B,SMALL(IF($Q$3:$Q$524&lt;&gt;"",ROW($3:$524),525),ROW(B450)))&amp;""</f>
        <v>以太化</v>
      </c>
      <c r="AC451" s="225" t="str">
        <f>IFERROR(IF(AND($Q452&lt;&gt;"",IF(法术查询!$J$4="",1,INDEX($R452:$Z452,1,VLOOKUP(法术查询!$J$4,$AF$2:$AG$10,2,0)))&lt;&gt;"",IF(法术查询!$J$5="",1,$P452=VLOOKUP(法术查询!$J$5,$AH$2:$AI$11,2,0)),IF(法术查询!$J$6="",1,IF(法术查询!$J$6=$E452,1,0)),IF(法术查询!$J$7="",1,SEARCH(法术查询!$J$7,$F452)),IF(法术查询!$J$8="",1,SEARCH(法术查询!$J$8,G452)),IF(法术查询!$J$9="",1,SEARCH(法术查询!$J$9,N452)),IF(法术查询!$J$10="",1,IF(法术查询!$J$10=$AF$11,IF($M452=1,1,0),IF($M452="",1,0))),IF(法术查询!$J$11="",1,IF(法术查询!$J$11=$AF$11,IF($D452=1,1,0),IF($D452="",1,0))),IF(法术查询!$J$12="",1,SEARCH(法术查询!$J$12,$B452&amp;$C452&amp;$O452)),IF(法术查询!$J$13="",1,SEARCH(法术查询!$J$13,$B452&amp;$C452&amp;$O452)),IF(法术查询!$J$14="",1,SEARCH(法术查询!$J$14,$B452&amp;$C452&amp;$O452)),IF(法术查询!$J$16="",1,IF(法术查询!$J$16=$AF$11,IF($H452=1,1,0),IF($H452="",1,0))),IF(法术查询!$J$17="",1,IF(法术查询!$J$17=$AF$11,IF($I452=1,1,0),IF($I452="",1,0))),IF(法术查询!$J$18="",1,IF(法术查询!$J$18=$AF$11,IF($J452&lt;&gt;"",1,0),IF($J452="",1,0))),IF(法术查询!$J$19="",1,IF(法术查询!$J$19=$AF$11,IF($L452&lt;&gt;"",1,0),IF($L452="",1,0)))),$B452,""),"")</f>
        <v/>
      </c>
      <c r="AD451" s="192" t="str">
        <f t="array" ref="AD451">INDEX(AC:AC,SMALL(IF($AC$2:$AC$523&lt;&gt;"",ROW($2:$523),524),ROW(AC450)))&amp;""</f>
        <v/>
      </c>
      <c r="AE451" s="200" t="str">
        <f t="shared" ref="AE451:AE514" si="11">IF(AD451="","",VLOOKUP(AD451,B:C,2,0))</f>
        <v/>
      </c>
    </row>
    <row r="452" customHeight="1" spans="1:31">
      <c r="A452" s="192">
        <v>450</v>
      </c>
      <c r="B452" s="224" t="s">
        <v>8543</v>
      </c>
      <c r="C452" s="224" t="s">
        <v>8544</v>
      </c>
      <c r="E452" s="240" t="s">
        <v>6641</v>
      </c>
      <c r="F452" s="193" t="s">
        <v>6709</v>
      </c>
      <c r="G452" s="193" t="s">
        <v>6760</v>
      </c>
      <c r="H452" s="193">
        <v>1</v>
      </c>
      <c r="I452" s="193">
        <v>1</v>
      </c>
      <c r="M452" s="193">
        <v>1</v>
      </c>
      <c r="N452" s="193" t="s">
        <v>6739</v>
      </c>
      <c r="O452" s="224" t="s">
        <v>8545</v>
      </c>
      <c r="P452" s="224">
        <v>7</v>
      </c>
      <c r="Q452" s="224" t="s">
        <v>249</v>
      </c>
      <c r="S452" s="193">
        <v>1</v>
      </c>
      <c r="AA452" s="200"/>
      <c r="AB452" s="200" t="str">
        <f t="array" ref="AB452">INDEX(B:B,SMALL(IF($Q$3:$Q$524&lt;&gt;"",ROW($3:$524),525),ROW(B451)))&amp;""</f>
        <v>死亡一指</v>
      </c>
      <c r="AC452" s="225" t="str">
        <f>IFERROR(IF(AND($Q453&lt;&gt;"",IF(法术查询!$J$4="",1,INDEX($R453:$Z453,1,VLOOKUP(法术查询!$J$4,$AF$2:$AG$10,2,0)))&lt;&gt;"",IF(法术查询!$J$5="",1,$P453=VLOOKUP(法术查询!$J$5,$AH$2:$AI$11,2,0)),IF(法术查询!$J$6="",1,IF(法术查询!$J$6=$E453,1,0)),IF(法术查询!$J$7="",1,SEARCH(法术查询!$J$7,$F453)),IF(法术查询!$J$8="",1,SEARCH(法术查询!$J$8,G453)),IF(法术查询!$J$9="",1,SEARCH(法术查询!$J$9,N453)),IF(法术查询!$J$10="",1,IF(法术查询!$J$10=$AF$11,IF($M453=1,1,0),IF($M453="",1,0))),IF(法术查询!$J$11="",1,IF(法术查询!$J$11=$AF$11,IF($D453=1,1,0),IF($D453="",1,0))),IF(法术查询!$J$12="",1,SEARCH(法术查询!$J$12,$B453&amp;$C453&amp;$O453)),IF(法术查询!$J$13="",1,SEARCH(法术查询!$J$13,$B453&amp;$C453&amp;$O453)),IF(法术查询!$J$14="",1,SEARCH(法术查询!$J$14,$B453&amp;$C453&amp;$O453)),IF(法术查询!$J$16="",1,IF(法术查询!$J$16=$AF$11,IF($H453=1,1,0),IF($H453="",1,0))),IF(法术查询!$J$17="",1,IF(法术查询!$J$17=$AF$11,IF($I453=1,1,0),IF($I453="",1,0))),IF(法术查询!$J$18="",1,IF(法术查询!$J$18=$AF$11,IF($J453&lt;&gt;"",1,0),IF($J453="",1,0))),IF(法术查询!$J$19="",1,IF(法术查询!$J$19=$AF$11,IF($L453&lt;&gt;"",1,0),IF($L453="",1,0)))),$B453,""),"")</f>
        <v/>
      </c>
      <c r="AD452" s="192" t="str">
        <f t="array" ref="AD452">INDEX(AC:AC,SMALL(IF($AC$2:$AC$523&lt;&gt;"",ROW($2:$523),524),ROW(AC451)))&amp;""</f>
        <v/>
      </c>
      <c r="AE452" s="200" t="str">
        <f t="shared" si="11"/>
        <v/>
      </c>
    </row>
    <row r="453" customHeight="1" spans="1:31">
      <c r="A453" s="192">
        <v>451</v>
      </c>
      <c r="B453" s="224" t="s">
        <v>8546</v>
      </c>
      <c r="C453" s="224" t="s">
        <v>8547</v>
      </c>
      <c r="E453" s="229" t="s">
        <v>6664</v>
      </c>
      <c r="F453" s="193" t="s">
        <v>6642</v>
      </c>
      <c r="G453" s="193" t="s">
        <v>6779</v>
      </c>
      <c r="H453" s="193">
        <v>1</v>
      </c>
      <c r="I453" s="193">
        <v>1</v>
      </c>
      <c r="J453" s="193">
        <v>1</v>
      </c>
      <c r="K453" s="224" t="s">
        <v>8548</v>
      </c>
      <c r="M453" s="193">
        <v>1</v>
      </c>
      <c r="N453" s="193" t="s">
        <v>6666</v>
      </c>
      <c r="O453" s="224" t="s">
        <v>8549</v>
      </c>
      <c r="P453" s="224">
        <v>7</v>
      </c>
      <c r="Q453" s="224" t="s">
        <v>249</v>
      </c>
      <c r="W453" s="193">
        <v>1</v>
      </c>
      <c r="X453" s="193">
        <v>1</v>
      </c>
      <c r="AA453" s="200"/>
      <c r="AB453" s="200" t="str">
        <f t="array" ref="AB453">INDEX(B:B,SMALL(IF($Q$3:$Q$524&lt;&gt;"",ROW($3:$524),525),ROW(B452)))&amp;""</f>
        <v>火焰风暴</v>
      </c>
      <c r="AC453" s="225" t="str">
        <f>IFERROR(IF(AND($Q454&lt;&gt;"",IF(法术查询!$J$4="",1,INDEX($R454:$Z454,1,VLOOKUP(法术查询!$J$4,$AF$2:$AG$10,2,0)))&lt;&gt;"",IF(法术查询!$J$5="",1,$P454=VLOOKUP(法术查询!$J$5,$AH$2:$AI$11,2,0)),IF(法术查询!$J$6="",1,IF(法术查询!$J$6=$E454,1,0)),IF(法术查询!$J$7="",1,SEARCH(法术查询!$J$7,$F454)),IF(法术查询!$J$8="",1,SEARCH(法术查询!$J$8,G454)),IF(法术查询!$J$9="",1,SEARCH(法术查询!$J$9,N454)),IF(法术查询!$J$10="",1,IF(法术查询!$J$10=$AF$11,IF($M454=1,1,0),IF($M454="",1,0))),IF(法术查询!$J$11="",1,IF(法术查询!$J$11=$AF$11,IF($D454=1,1,0),IF($D454="",1,0))),IF(法术查询!$J$12="",1,SEARCH(法术查询!$J$12,$B454&amp;$C454&amp;$O454)),IF(法术查询!$J$13="",1,SEARCH(法术查询!$J$13,$B454&amp;$C454&amp;$O454)),IF(法术查询!$J$14="",1,SEARCH(法术查询!$J$14,$B454&amp;$C454&amp;$O454)),IF(法术查询!$J$16="",1,IF(法术查询!$J$16=$AF$11,IF($H454=1,1,0),IF($H454="",1,0))),IF(法术查询!$J$17="",1,IF(法术查询!$J$17=$AF$11,IF($I454=1,1,0),IF($I454="",1,0))),IF(法术查询!$J$18="",1,IF(法术查询!$J$18=$AF$11,IF($J454&lt;&gt;"",1,0),IF($J454="",1,0))),IF(法术查询!$J$19="",1,IF(法术查询!$J$19=$AF$11,IF($L454&lt;&gt;"",1,0),IF($L454="",1,0)))),$B454,""),"")</f>
        <v/>
      </c>
      <c r="AD453" s="192" t="str">
        <f t="array" ref="AD453">INDEX(AC:AC,SMALL(IF($AC$2:$AC$523&lt;&gt;"",ROW($2:$523),524),ROW(AC452)))&amp;""</f>
        <v/>
      </c>
      <c r="AE453" s="200" t="str">
        <f t="shared" si="11"/>
        <v/>
      </c>
    </row>
    <row r="454" customHeight="1" spans="1:31">
      <c r="A454" s="192">
        <v>452</v>
      </c>
      <c r="B454" s="224" t="s">
        <v>8550</v>
      </c>
      <c r="C454" s="224" t="s">
        <v>8551</v>
      </c>
      <c r="E454" s="229" t="s">
        <v>6664</v>
      </c>
      <c r="F454" s="193" t="s">
        <v>6712</v>
      </c>
      <c r="G454" s="193" t="s">
        <v>6673</v>
      </c>
      <c r="H454" s="193">
        <v>1</v>
      </c>
      <c r="N454" s="193" t="s">
        <v>6644</v>
      </c>
      <c r="O454" s="224" t="s">
        <v>8552</v>
      </c>
      <c r="P454" s="224">
        <v>7</v>
      </c>
      <c r="Q454" s="224" t="s">
        <v>249</v>
      </c>
      <c r="S454" s="193">
        <v>1</v>
      </c>
      <c r="AA454" s="200"/>
      <c r="AB454" s="200" t="str">
        <f t="array" ref="AB454">INDEX(B:B,SMALL(IF($Q$3:$Q$524&lt;&gt;"",ROW($3:$524),525),ROW(B453)))&amp;""</f>
        <v>魔力监牢</v>
      </c>
      <c r="AC454" s="225" t="str">
        <f>IFERROR(IF(AND($Q455&lt;&gt;"",IF(法术查询!$J$4="",1,INDEX($R455:$Z455,1,VLOOKUP(法术查询!$J$4,$AF$2:$AG$10,2,0)))&lt;&gt;"",IF(法术查询!$J$5="",1,$P455=VLOOKUP(法术查询!$J$5,$AH$2:$AI$11,2,0)),IF(法术查询!$J$6="",1,IF(法术查询!$J$6=$E455,1,0)),IF(法术查询!$J$7="",1,SEARCH(法术查询!$J$7,$F455)),IF(法术查询!$J$8="",1,SEARCH(法术查询!$J$8,G455)),IF(法术查询!$J$9="",1,SEARCH(法术查询!$J$9,N455)),IF(法术查询!$J$10="",1,IF(法术查询!$J$10=$AF$11,IF($M455=1,1,0),IF($M455="",1,0))),IF(法术查询!$J$11="",1,IF(法术查询!$J$11=$AF$11,IF($D455=1,1,0),IF($D455="",1,0))),IF(法术查询!$J$12="",1,SEARCH(法术查询!$J$12,$B455&amp;$C455&amp;$O455)),IF(法术查询!$J$13="",1,SEARCH(法术查询!$J$13,$B455&amp;$C455&amp;$O455)),IF(法术查询!$J$14="",1,SEARCH(法术查询!$J$14,$B455&amp;$C455&amp;$O455)),IF(法术查询!$J$16="",1,IF(法术查询!$J$16=$AF$11,IF($H455=1,1,0),IF($H455="",1,0))),IF(法术查询!$J$17="",1,IF(法术查询!$J$17=$AF$11,IF($I455=1,1,0),IF($I455="",1,0))),IF(法术查询!$J$18="",1,IF(法术查询!$J$18=$AF$11,IF($J455&lt;&gt;"",1,0),IF($J455="",1,0))),IF(法术查询!$J$19="",1,IF(法术查询!$J$19=$AF$11,IF($L455&lt;&gt;"",1,0),IF($L455="",1,0)))),$B455,""),"")</f>
        <v/>
      </c>
      <c r="AD454" s="192" t="str">
        <f t="array" ref="AD454">INDEX(AC:AC,SMALL(IF($AC$2:$AC$523&lt;&gt;"",ROW($2:$523),524),ROW(AC453)))&amp;""</f>
        <v/>
      </c>
      <c r="AE454" s="200" t="str">
        <f t="shared" si="11"/>
        <v/>
      </c>
    </row>
    <row r="455" customHeight="1" spans="1:31">
      <c r="A455" s="192">
        <v>453</v>
      </c>
      <c r="B455" s="224" t="s">
        <v>8553</v>
      </c>
      <c r="C455" s="224" t="s">
        <v>8554</v>
      </c>
      <c r="E455" s="231" t="s">
        <v>6672</v>
      </c>
      <c r="F455" s="193" t="s">
        <v>6642</v>
      </c>
      <c r="G455" s="193" t="s">
        <v>6651</v>
      </c>
      <c r="H455" s="193">
        <v>1</v>
      </c>
      <c r="I455" s="193">
        <v>1</v>
      </c>
      <c r="N455" s="193" t="s">
        <v>6845</v>
      </c>
      <c r="O455" s="224" t="s">
        <v>8555</v>
      </c>
      <c r="P455" s="224">
        <v>7</v>
      </c>
      <c r="Q455" s="224" t="s">
        <v>249</v>
      </c>
      <c r="R455" s="193">
        <v>1</v>
      </c>
      <c r="S455" s="193">
        <v>1</v>
      </c>
      <c r="W455" s="193">
        <v>1</v>
      </c>
      <c r="X455" s="193">
        <v>1</v>
      </c>
      <c r="Y455" s="193">
        <v>1</v>
      </c>
      <c r="AA455" s="200" t="s">
        <v>3225</v>
      </c>
      <c r="AB455" s="200" t="str">
        <f t="array" ref="AB455">INDEX(B:B,SMALL(IF($Q$3:$Q$524&lt;&gt;"",ROW($3:$524),525),ROW(B454)))&amp;""</f>
        <v>海市蜃楼</v>
      </c>
      <c r="AC455" s="225" t="str">
        <f>IFERROR(IF(AND($Q456&lt;&gt;"",IF(法术查询!$J$4="",1,INDEX($R456:$Z456,1,VLOOKUP(法术查询!$J$4,$AF$2:$AG$10,2,0)))&lt;&gt;"",IF(法术查询!$J$5="",1,$P456=VLOOKUP(法术查询!$J$5,$AH$2:$AI$11,2,0)),IF(法术查询!$J$6="",1,IF(法术查询!$J$6=$E456,1,0)),IF(法术查询!$J$7="",1,SEARCH(法术查询!$J$7,$F456)),IF(法术查询!$J$8="",1,SEARCH(法术查询!$J$8,G456)),IF(法术查询!$J$9="",1,SEARCH(法术查询!$J$9,N456)),IF(法术查询!$J$10="",1,IF(法术查询!$J$10=$AF$11,IF($M456=1,1,0),IF($M456="",1,0))),IF(法术查询!$J$11="",1,IF(法术查询!$J$11=$AF$11,IF($D456=1,1,0),IF($D456="",1,0))),IF(法术查询!$J$12="",1,SEARCH(法术查询!$J$12,$B456&amp;$C456&amp;$O456)),IF(法术查询!$J$13="",1,SEARCH(法术查询!$J$13,$B456&amp;$C456&amp;$O456)),IF(法术查询!$J$14="",1,SEARCH(法术查询!$J$14,$B456&amp;$C456&amp;$O456)),IF(法术查询!$J$16="",1,IF(法术查询!$J$16=$AF$11,IF($H456=1,1,0),IF($H456="",1,0))),IF(法术查询!$J$17="",1,IF(法术查询!$J$17=$AF$11,IF($I456=1,1,0),IF($I456="",1,0))),IF(法术查询!$J$18="",1,IF(法术查询!$J$18=$AF$11,IF($J456&lt;&gt;"",1,0),IF($J456="",1,0))),IF(法术查询!$J$19="",1,IF(法术查询!$J$19=$AF$11,IF($L456&lt;&gt;"",1,0),IF($L456="",1,0)))),$B456,""),"")</f>
        <v/>
      </c>
      <c r="AD455" s="192" t="str">
        <f t="array" ref="AD455">INDEX(AC:AC,SMALL(IF($AC$2:$AC$523&lt;&gt;"",ROW($2:$523),524),ROW(AC454)))&amp;""</f>
        <v/>
      </c>
      <c r="AE455" s="200" t="str">
        <f t="shared" si="11"/>
        <v/>
      </c>
    </row>
    <row r="456" customHeight="1" spans="1:31">
      <c r="A456" s="192">
        <v>454</v>
      </c>
      <c r="B456" s="224" t="s">
        <v>8556</v>
      </c>
      <c r="C456" s="224" t="s">
        <v>8557</v>
      </c>
      <c r="E456" s="243" t="s">
        <v>6657</v>
      </c>
      <c r="F456" s="193" t="s">
        <v>6642</v>
      </c>
      <c r="G456" s="193" t="s">
        <v>6643</v>
      </c>
      <c r="H456" s="193">
        <v>1</v>
      </c>
      <c r="I456" s="193">
        <v>1</v>
      </c>
      <c r="N456" s="193" t="s">
        <v>6644</v>
      </c>
      <c r="O456" s="224" t="s">
        <v>8558</v>
      </c>
      <c r="P456" s="224">
        <v>7</v>
      </c>
      <c r="Q456" s="224" t="s">
        <v>249</v>
      </c>
      <c r="W456" s="193">
        <v>1</v>
      </c>
      <c r="X456" s="193">
        <v>1</v>
      </c>
      <c r="Y456" s="193">
        <v>1</v>
      </c>
      <c r="AA456" s="200"/>
      <c r="AB456" s="200" t="str">
        <f t="array" ref="AB456">INDEX(B:B,SMALL(IF($Q$3:$Q$524&lt;&gt;"",ROW($3:$524),525),ROW(B455)))&amp;""</f>
        <v>摩登肯豪宅术</v>
      </c>
      <c r="AC456" s="225" t="str">
        <f>IFERROR(IF(AND($Q457&lt;&gt;"",IF(法术查询!$J$4="",1,INDEX($R457:$Z457,1,VLOOKUP(法术查询!$J$4,$AF$2:$AG$10,2,0)))&lt;&gt;"",IF(法术查询!$J$5="",1,$P457=VLOOKUP(法术查询!$J$5,$AH$2:$AI$11,2,0)),IF(法术查询!$J$6="",1,IF(法术查询!$J$6=$E457,1,0)),IF(法术查询!$J$7="",1,SEARCH(法术查询!$J$7,$F457)),IF(法术查询!$J$8="",1,SEARCH(法术查询!$J$8,G457)),IF(法术查询!$J$9="",1,SEARCH(法术查询!$J$9,N457)),IF(法术查询!$J$10="",1,IF(法术查询!$J$10=$AF$11,IF($M457=1,1,0),IF($M457="",1,0))),IF(法术查询!$J$11="",1,IF(法术查询!$J$11=$AF$11,IF($D457=1,1,0),IF($D457="",1,0))),IF(法术查询!$J$12="",1,SEARCH(法术查询!$J$12,$B457&amp;$C457&amp;$O457)),IF(法术查询!$J$13="",1,SEARCH(法术查询!$J$13,$B457&amp;$C457&amp;$O457)),IF(法术查询!$J$14="",1,SEARCH(法术查询!$J$14,$B457&amp;$C457&amp;$O457)),IF(法术查询!$J$16="",1,IF(法术查询!$J$16=$AF$11,IF($H457=1,1,0),IF($H457="",1,0))),IF(法术查询!$J$17="",1,IF(法术查询!$J$17=$AF$11,IF($I457=1,1,0),IF($I457="",1,0))),IF(法术查询!$J$18="",1,IF(法术查询!$J$18=$AF$11,IF($J457&lt;&gt;"",1,0),IF($J457="",1,0))),IF(法术查询!$J$19="",1,IF(法术查询!$J$19=$AF$11,IF($L457&lt;&gt;"",1,0),IF($L457="",1,0)))),$B457,""),"")</f>
        <v/>
      </c>
      <c r="AD456" s="192" t="str">
        <f t="array" ref="AD456">INDEX(AC:AC,SMALL(IF($AC$2:$AC$523&lt;&gt;"",ROW($2:$523),524),ROW(AC455)))&amp;""</f>
        <v/>
      </c>
      <c r="AE456" s="200" t="str">
        <f t="shared" si="11"/>
        <v/>
      </c>
    </row>
    <row r="457" customHeight="1" spans="1:31">
      <c r="A457" s="192">
        <v>455</v>
      </c>
      <c r="B457" s="224" t="s">
        <v>8559</v>
      </c>
      <c r="C457" s="224" t="s">
        <v>8560</v>
      </c>
      <c r="E457" s="229" t="s">
        <v>6664</v>
      </c>
      <c r="F457" s="193" t="s">
        <v>6642</v>
      </c>
      <c r="G457" s="193" t="s">
        <v>6779</v>
      </c>
      <c r="H457" s="193">
        <v>1</v>
      </c>
      <c r="I457" s="193">
        <v>1</v>
      </c>
      <c r="N457" s="193" t="s">
        <v>6644</v>
      </c>
      <c r="O457" s="224" t="s">
        <v>8561</v>
      </c>
      <c r="P457" s="224">
        <v>7</v>
      </c>
      <c r="Q457" s="224" t="s">
        <v>249</v>
      </c>
      <c r="S457" s="193">
        <v>1</v>
      </c>
      <c r="T457" s="193">
        <v>1</v>
      </c>
      <c r="W457" s="193">
        <v>1</v>
      </c>
      <c r="AA457" s="200"/>
      <c r="AB457" s="200" t="str">
        <f t="array" ref="AB457">INDEX(B:B,SMALL(IF($Q$3:$Q$524&lt;&gt;"",ROW($3:$524),525),ROW(B456)))&amp;""</f>
        <v>摩登肯之剑</v>
      </c>
      <c r="AC457" s="225" t="str">
        <f>IFERROR(IF(AND($Q458&lt;&gt;"",IF(法术查询!$J$4="",1,INDEX($R458:$Z458,1,VLOOKUP(法术查询!$J$4,$AF$2:$AG$10,2,0)))&lt;&gt;"",IF(法术查询!$J$5="",1,$P458=VLOOKUP(法术查询!$J$5,$AH$2:$AI$11,2,0)),IF(法术查询!$J$6="",1,IF(法术查询!$J$6=$E458,1,0)),IF(法术查询!$J$7="",1,SEARCH(法术查询!$J$7,$F458)),IF(法术查询!$J$8="",1,SEARCH(法术查询!$J$8,G458)),IF(法术查询!$J$9="",1,SEARCH(法术查询!$J$9,N458)),IF(法术查询!$J$10="",1,IF(法术查询!$J$10=$AF$11,IF($M458=1,1,0),IF($M458="",1,0))),IF(法术查询!$J$11="",1,IF(法术查询!$J$11=$AF$11,IF($D458=1,1,0),IF($D458="",1,0))),IF(法术查询!$J$12="",1,SEARCH(法术查询!$J$12,$B458&amp;$C458&amp;$O458)),IF(法术查询!$J$13="",1,SEARCH(法术查询!$J$13,$B458&amp;$C458&amp;$O458)),IF(法术查询!$J$14="",1,SEARCH(法术查询!$J$14,$B458&amp;$C458&amp;$O458)),IF(法术查询!$J$16="",1,IF(法术查询!$J$16=$AF$11,IF($H458=1,1,0),IF($H458="",1,0))),IF(法术查询!$J$17="",1,IF(法术查询!$J$17=$AF$11,IF($I458=1,1,0),IF($I458="",1,0))),IF(法术查询!$J$18="",1,IF(法术查询!$J$18=$AF$11,IF($J458&lt;&gt;"",1,0),IF($J458="",1,0))),IF(法术查询!$J$19="",1,IF(法术查询!$J$19=$AF$11,IF($L458&lt;&gt;"",1,0),IF($L458="",1,0)))),$B458,""),"")</f>
        <v/>
      </c>
      <c r="AD457" s="192" t="str">
        <f t="array" ref="AD457">INDEX(AC:AC,SMALL(IF($AC$2:$AC$523&lt;&gt;"",ROW($2:$523),524),ROW(AC456)))&amp;""</f>
        <v/>
      </c>
      <c r="AE457" s="200" t="str">
        <f t="shared" si="11"/>
        <v/>
      </c>
    </row>
    <row r="458" customHeight="1" spans="1:31">
      <c r="A458" s="192">
        <v>456</v>
      </c>
      <c r="B458" s="224" t="s">
        <v>8562</v>
      </c>
      <c r="C458" s="224" t="s">
        <v>8563</v>
      </c>
      <c r="E458" s="229" t="s">
        <v>6664</v>
      </c>
      <c r="F458" s="193" t="s">
        <v>6642</v>
      </c>
      <c r="G458" s="193" t="s">
        <v>6766</v>
      </c>
      <c r="H458" s="193">
        <v>1</v>
      </c>
      <c r="I458" s="193">
        <v>1</v>
      </c>
      <c r="J458" s="193">
        <v>1</v>
      </c>
      <c r="K458" s="224" t="s">
        <v>8564</v>
      </c>
      <c r="N458" s="193" t="s">
        <v>6704</v>
      </c>
      <c r="O458" s="224" t="s">
        <v>8565</v>
      </c>
      <c r="P458" s="224">
        <v>7</v>
      </c>
      <c r="Q458" s="224" t="s">
        <v>249</v>
      </c>
      <c r="R458" s="193">
        <v>1</v>
      </c>
      <c r="X458" s="193">
        <v>1</v>
      </c>
      <c r="Y458" s="193">
        <v>1</v>
      </c>
      <c r="AA458" s="200"/>
      <c r="AB458" s="200" t="str">
        <f t="array" ref="AB458">INDEX(B:B,SMALL(IF($Q$3:$Q$524&lt;&gt;"",ROW($3:$524),525),ROW(B457)))&amp;""</f>
        <v>异界传送</v>
      </c>
      <c r="AC458" s="225" t="str">
        <f>IFERROR(IF(AND($Q459&lt;&gt;"",IF(法术查询!$J$4="",1,INDEX($R459:$Z459,1,VLOOKUP(法术查询!$J$4,$AF$2:$AG$10,2,0)))&lt;&gt;"",IF(法术查询!$J$5="",1,$P459=VLOOKUP(法术查询!$J$5,$AH$2:$AI$11,2,0)),IF(法术查询!$J$6="",1,IF(法术查询!$J$6=$E459,1,0)),IF(法术查询!$J$7="",1,SEARCH(法术查询!$J$7,$F459)),IF(法术查询!$J$8="",1,SEARCH(法术查询!$J$8,G459)),IF(法术查询!$J$9="",1,SEARCH(法术查询!$J$9,N459)),IF(法术查询!$J$10="",1,IF(法术查询!$J$10=$AF$11,IF($M459=1,1,0),IF($M459="",1,0))),IF(法术查询!$J$11="",1,IF(法术查询!$J$11=$AF$11,IF($D459=1,1,0),IF($D459="",1,0))),IF(法术查询!$J$12="",1,SEARCH(法术查询!$J$12,$B459&amp;$C459&amp;$O459)),IF(法术查询!$J$13="",1,SEARCH(法术查询!$J$13,$B459&amp;$C459&amp;$O459)),IF(法术查询!$J$14="",1,SEARCH(法术查询!$J$14,$B459&amp;$C459&amp;$O459)),IF(法术查询!$J$16="",1,IF(法术查询!$J$16=$AF$11,IF($H459=1,1,0),IF($H459="",1,0))),IF(法术查询!$J$17="",1,IF(法术查询!$J$17=$AF$11,IF($I459=1,1,0),IF($I459="",1,0))),IF(法术查询!$J$18="",1,IF(法术查询!$J$18=$AF$11,IF($J459&lt;&gt;"",1,0),IF($J459="",1,0))),IF(法术查询!$J$19="",1,IF(法术查询!$J$19=$AF$11,IF($L459&lt;&gt;"",1,0),IF($L459="",1,0)))),$B459,""),"")</f>
        <v/>
      </c>
      <c r="AD458" s="192" t="str">
        <f t="array" ref="AD458">INDEX(AC:AC,SMALL(IF($AC$2:$AC$523&lt;&gt;"",ROW($2:$523),524),ROW(AC457)))&amp;""</f>
        <v/>
      </c>
      <c r="AE458" s="200" t="str">
        <f t="shared" si="11"/>
        <v/>
      </c>
    </row>
    <row r="459" customHeight="1" spans="1:31">
      <c r="A459" s="192">
        <v>457</v>
      </c>
      <c r="B459" s="224" t="s">
        <v>8566</v>
      </c>
      <c r="C459" s="224" t="s">
        <v>8567</v>
      </c>
      <c r="E459" s="241" t="s">
        <v>6726</v>
      </c>
      <c r="F459" s="193" t="s">
        <v>6731</v>
      </c>
      <c r="G459" s="193" t="s">
        <v>6820</v>
      </c>
      <c r="H459" s="193">
        <v>1</v>
      </c>
      <c r="I459" s="193">
        <v>1</v>
      </c>
      <c r="N459" s="193" t="s">
        <v>6780</v>
      </c>
      <c r="O459" s="224" t="s">
        <v>8568</v>
      </c>
      <c r="P459" s="224">
        <v>7</v>
      </c>
      <c r="Q459" s="224" t="s">
        <v>249</v>
      </c>
      <c r="R459" s="193">
        <v>1</v>
      </c>
      <c r="T459" s="193">
        <v>1</v>
      </c>
      <c r="X459" s="193">
        <v>1</v>
      </c>
      <c r="AA459" s="200"/>
      <c r="AB459" s="200" t="str">
        <f t="array" ref="AB459">INDEX(B:B,SMALL(IF($Q$3:$Q$524&lt;&gt;"",ROW($3:$524),525),ROW(B458)))&amp;""</f>
        <v>虹光喷射</v>
      </c>
      <c r="AC459" s="225" t="str">
        <f>IFERROR(IF(AND($Q460&lt;&gt;"",IF(法术查询!$J$4="",1,INDEX($R460:$Z460,1,VLOOKUP(法术查询!$J$4,$AF$2:$AG$10,2,0)))&lt;&gt;"",IF(法术查询!$J$5="",1,$P460=VLOOKUP(法术查询!$J$5,$AH$2:$AI$11,2,0)),IF(法术查询!$J$6="",1,IF(法术查询!$J$6=$E460,1,0)),IF(法术查询!$J$7="",1,SEARCH(法术查询!$J$7,$F460)),IF(法术查询!$J$8="",1,SEARCH(法术查询!$J$8,G460)),IF(法术查询!$J$9="",1,SEARCH(法术查询!$J$9,N460)),IF(法术查询!$J$10="",1,IF(法术查询!$J$10=$AF$11,IF($M460=1,1,0),IF($M460="",1,0))),IF(法术查询!$J$11="",1,IF(法术查询!$J$11=$AF$11,IF($D460=1,1,0),IF($D460="",1,0))),IF(法术查询!$J$12="",1,SEARCH(法术查询!$J$12,$B460&amp;$C460&amp;$O460)),IF(法术查询!$J$13="",1,SEARCH(法术查询!$J$13,$B460&amp;$C460&amp;$O460)),IF(法术查询!$J$14="",1,SEARCH(法术查询!$J$14,$B460&amp;$C460&amp;$O460)),IF(法术查询!$J$16="",1,IF(法术查询!$J$16=$AF$11,IF($H460=1,1,0),IF($H460="",1,0))),IF(法术查询!$J$17="",1,IF(法术查询!$J$17=$AF$11,IF($I460=1,1,0),IF($I460="",1,0))),IF(法术查询!$J$18="",1,IF(法术查询!$J$18=$AF$11,IF($J460&lt;&gt;"",1,0),IF($J460="",1,0))),IF(法术查询!$J$19="",1,IF(法术查询!$J$19=$AF$11,IF($L460&lt;&gt;"",1,0),IF($L460="",1,0)))),$B460,""),"")</f>
        <v/>
      </c>
      <c r="AD459" s="192" t="str">
        <f t="array" ref="AD459">INDEX(AC:AC,SMALL(IF($AC$2:$AC$523&lt;&gt;"",ROW($2:$523),524),ROW(AC458)))&amp;""</f>
        <v/>
      </c>
      <c r="AE459" s="200" t="str">
        <f t="shared" si="11"/>
        <v/>
      </c>
    </row>
    <row r="460" customHeight="1" spans="1:31">
      <c r="A460" s="192">
        <v>458</v>
      </c>
      <c r="B460" s="224" t="s">
        <v>8569</v>
      </c>
      <c r="C460" s="224" t="s">
        <v>8570</v>
      </c>
      <c r="E460" s="240" t="s">
        <v>6641</v>
      </c>
      <c r="F460" s="193" t="s">
        <v>6709</v>
      </c>
      <c r="G460" s="193" t="s">
        <v>6786</v>
      </c>
      <c r="H460" s="193">
        <v>1</v>
      </c>
      <c r="I460" s="193">
        <v>1</v>
      </c>
      <c r="J460" s="193">
        <v>1</v>
      </c>
      <c r="K460" s="224" t="s">
        <v>8571</v>
      </c>
      <c r="N460" s="193" t="s">
        <v>6759</v>
      </c>
      <c r="O460" s="224" t="s">
        <v>8572</v>
      </c>
      <c r="P460" s="224">
        <v>7</v>
      </c>
      <c r="Q460" s="224" t="s">
        <v>249</v>
      </c>
      <c r="R460" s="193">
        <v>1</v>
      </c>
      <c r="X460" s="193">
        <v>1</v>
      </c>
      <c r="AA460" s="200"/>
      <c r="AB460" s="200" t="str">
        <f t="array" ref="AB460">INDEX(B:B,SMALL(IF($Q$3:$Q$524&lt;&gt;"",ROW($3:$524),525),ROW(B459)))&amp;""</f>
        <v>投影术</v>
      </c>
      <c r="AC460" s="225" t="str">
        <f>IFERROR(IF(AND($Q461&lt;&gt;"",IF(法术查询!$J$4="",1,INDEX($R461:$Z461,1,VLOOKUP(法术查询!$J$4,$AF$2:$AG$10,2,0)))&lt;&gt;"",IF(法术查询!$J$5="",1,$P461=VLOOKUP(法术查询!$J$5,$AH$2:$AI$11,2,0)),IF(法术查询!$J$6="",1,IF(法术查询!$J$6=$E461,1,0)),IF(法术查询!$J$7="",1,SEARCH(法术查询!$J$7,$F461)),IF(法术查询!$J$8="",1,SEARCH(法术查询!$J$8,G461)),IF(法术查询!$J$9="",1,SEARCH(法术查询!$J$9,N461)),IF(法术查询!$J$10="",1,IF(法术查询!$J$10=$AF$11,IF($M461=1,1,0),IF($M461="",1,0))),IF(法术查询!$J$11="",1,IF(法术查询!$J$11=$AF$11,IF($D461=1,1,0),IF($D461="",1,0))),IF(法术查询!$J$12="",1,SEARCH(法术查询!$J$12,$B461&amp;$C461&amp;$O461)),IF(法术查询!$J$13="",1,SEARCH(法术查询!$J$13,$B461&amp;$C461&amp;$O461)),IF(法术查询!$J$14="",1,SEARCH(法术查询!$J$14,$B461&amp;$C461&amp;$O461)),IF(法术查询!$J$16="",1,IF(法术查询!$J$16=$AF$11,IF($H461=1,1,0),IF($H461="",1,0))),IF(法术查询!$J$17="",1,IF(法术查询!$J$17=$AF$11,IF($I461=1,1,0),IF($I461="",1,0))),IF(法术查询!$J$18="",1,IF(法术查询!$J$18=$AF$11,IF($J461&lt;&gt;"",1,0),IF($J461="",1,0))),IF(法术查询!$J$19="",1,IF(法术查询!$J$19=$AF$11,IF($L461&lt;&gt;"",1,0),IF($L461="",1,0)))),$B461,""),"")</f>
        <v/>
      </c>
      <c r="AD460" s="192" t="str">
        <f t="array" ref="AD460">INDEX(AC:AC,SMALL(IF($AC$2:$AC$523&lt;&gt;"",ROW($2:$523),524),ROW(AC459)))&amp;""</f>
        <v/>
      </c>
      <c r="AE460" s="200" t="str">
        <f t="shared" si="11"/>
        <v/>
      </c>
    </row>
    <row r="461" customHeight="1" spans="1:31">
      <c r="A461" s="192">
        <v>459</v>
      </c>
      <c r="B461" s="224" t="s">
        <v>8573</v>
      </c>
      <c r="C461" s="224" t="s">
        <v>8574</v>
      </c>
      <c r="E461" s="229" t="s">
        <v>6664</v>
      </c>
      <c r="F461" s="193" t="s">
        <v>6642</v>
      </c>
      <c r="G461" s="193" t="s">
        <v>6643</v>
      </c>
      <c r="H461" s="193">
        <v>1</v>
      </c>
      <c r="I461" s="193">
        <v>1</v>
      </c>
      <c r="J461" s="193">
        <v>1</v>
      </c>
      <c r="K461" s="224" t="s">
        <v>8575</v>
      </c>
      <c r="M461" s="193">
        <v>1</v>
      </c>
      <c r="N461" s="193" t="s">
        <v>6666</v>
      </c>
      <c r="O461" s="224" t="s">
        <v>8576</v>
      </c>
      <c r="P461" s="224">
        <v>7</v>
      </c>
      <c r="Q461" s="224" t="s">
        <v>249</v>
      </c>
      <c r="R461" s="193">
        <v>1</v>
      </c>
      <c r="X461" s="193">
        <v>1</v>
      </c>
      <c r="AA461" s="200"/>
      <c r="AB461" s="200" t="str">
        <f t="array" ref="AB461">INDEX(B:B,SMALL(IF($Q$3:$Q$524&lt;&gt;"",ROW($3:$524),525),ROW(B460)))&amp;""</f>
        <v>再生术</v>
      </c>
      <c r="AC461" s="225" t="str">
        <f>IFERROR(IF(AND($Q462&lt;&gt;"",IF(法术查询!$J$4="",1,INDEX($R462:$Z462,1,VLOOKUP(法术查询!$J$4,$AF$2:$AG$10,2,0)))&lt;&gt;"",IF(法术查询!$J$5="",1,$P462=VLOOKUP(法术查询!$J$5,$AH$2:$AI$11,2,0)),IF(法术查询!$J$6="",1,IF(法术查询!$J$6=$E462,1,0)),IF(法术查询!$J$7="",1,SEARCH(法术查询!$J$7,$F462)),IF(法术查询!$J$8="",1,SEARCH(法术查询!$J$8,G462)),IF(法术查询!$J$9="",1,SEARCH(法术查询!$J$9,N462)),IF(法术查询!$J$10="",1,IF(法术查询!$J$10=$AF$11,IF($M462=1,1,0),IF($M462="",1,0))),IF(法术查询!$J$11="",1,IF(法术查询!$J$11=$AF$11,IF($D462=1,1,0),IF($D462="",1,0))),IF(法术查询!$J$12="",1,SEARCH(法术查询!$J$12,$B462&amp;$C462&amp;$O462)),IF(法术查询!$J$13="",1,SEARCH(法术查询!$J$13,$B462&amp;$C462&amp;$O462)),IF(法术查询!$J$14="",1,SEARCH(法术查询!$J$14,$B462&amp;$C462&amp;$O462)),IF(法术查询!$J$16="",1,IF(法术查询!$J$16=$AF$11,IF($H462=1,1,0),IF($H462="",1,0))),IF(法术查询!$J$17="",1,IF(法术查询!$J$17=$AF$11,IF($I462=1,1,0),IF($I462="",1,0))),IF(法术查询!$J$18="",1,IF(法术查询!$J$18=$AF$11,IF($J462&lt;&gt;"",1,0),IF($J462="",1,0))),IF(法术查询!$J$19="",1,IF(法术查询!$J$19=$AF$11,IF($L462&lt;&gt;"",1,0),IF($L462="",1,0)))),$B462,""),"")</f>
        <v/>
      </c>
      <c r="AD461" s="192" t="str">
        <f t="array" ref="AD461">INDEX(AC:AC,SMALL(IF($AC$2:$AC$523&lt;&gt;"",ROW($2:$523),524),ROW(AC460)))&amp;""</f>
        <v/>
      </c>
      <c r="AE461" s="200" t="str">
        <f t="shared" si="11"/>
        <v/>
      </c>
    </row>
    <row r="462" customHeight="1" spans="1:31">
      <c r="A462" s="192">
        <v>460</v>
      </c>
      <c r="B462" s="224" t="s">
        <v>8577</v>
      </c>
      <c r="C462" s="224" t="s">
        <v>8578</v>
      </c>
      <c r="E462" s="240" t="s">
        <v>6641</v>
      </c>
      <c r="F462" s="193" t="s">
        <v>6642</v>
      </c>
      <c r="G462" s="193" t="s">
        <v>3760</v>
      </c>
      <c r="H462" s="193">
        <v>1</v>
      </c>
      <c r="I462" s="193">
        <v>1</v>
      </c>
      <c r="J462" s="193">
        <v>1</v>
      </c>
      <c r="K462" s="224" t="s">
        <v>8579</v>
      </c>
      <c r="N462" s="193" t="s">
        <v>6644</v>
      </c>
      <c r="O462" s="224" t="s">
        <v>8580</v>
      </c>
      <c r="P462" s="224">
        <v>7</v>
      </c>
      <c r="Q462" s="224" t="s">
        <v>249</v>
      </c>
      <c r="S462" s="193">
        <v>1</v>
      </c>
      <c r="T462" s="193">
        <v>1</v>
      </c>
      <c r="W462" s="193">
        <v>1</v>
      </c>
      <c r="X462" s="193">
        <v>1</v>
      </c>
      <c r="Y462" s="193">
        <v>1</v>
      </c>
      <c r="AA462" s="200"/>
      <c r="AB462" s="200" t="str">
        <f t="array" ref="AB462">INDEX(B:B,SMALL(IF($Q$3:$Q$524&lt;&gt;"",ROW($3:$524),525),ROW(B461)))&amp;""</f>
        <v>复生术</v>
      </c>
      <c r="AC462" s="225" t="str">
        <f>IFERROR(IF(AND($Q463&lt;&gt;"",IF(法术查询!$J$4="",1,INDEX($R463:$Z463,1,VLOOKUP(法术查询!$J$4,$AF$2:$AG$10,2,0)))&lt;&gt;"",IF(法术查询!$J$5="",1,$P463=VLOOKUP(法术查询!$J$5,$AH$2:$AI$11,2,0)),IF(法术查询!$J$6="",1,IF(法术查询!$J$6=$E463,1,0)),IF(法术查询!$J$7="",1,SEARCH(法术查询!$J$7,$F463)),IF(法术查询!$J$8="",1,SEARCH(法术查询!$J$8,G463)),IF(法术查询!$J$9="",1,SEARCH(法术查询!$J$9,N463)),IF(法术查询!$J$10="",1,IF(法术查询!$J$10=$AF$11,IF($M463=1,1,0),IF($M463="",1,0))),IF(法术查询!$J$11="",1,IF(法术查询!$J$11=$AF$11,IF($D463=1,1,0),IF($D463="",1,0))),IF(法术查询!$J$12="",1,SEARCH(法术查询!$J$12,$B463&amp;$C463&amp;$O463)),IF(法术查询!$J$13="",1,SEARCH(法术查询!$J$13,$B463&amp;$C463&amp;$O463)),IF(法术查询!$J$14="",1,SEARCH(法术查询!$J$14,$B463&amp;$C463&amp;$O463)),IF(法术查询!$J$16="",1,IF(法术查询!$J$16=$AF$11,IF($H463=1,1,0),IF($H463="",1,0))),IF(法术查询!$J$17="",1,IF(法术查询!$J$17=$AF$11,IF($I463=1,1,0),IF($I463="",1,0))),IF(法术查询!$J$18="",1,IF(法术查询!$J$18=$AF$11,IF($J463&lt;&gt;"",1,0),IF($J463="",1,0))),IF(法术查询!$J$19="",1,IF(法术查询!$J$19=$AF$11,IF($L463&lt;&gt;"",1,0),IF($L463="",1,0)))),$B463,""),"")</f>
        <v/>
      </c>
      <c r="AD462" s="192" t="str">
        <f t="array" ref="AD462">INDEX(AC:AC,SMALL(IF($AC$2:$AC$523&lt;&gt;"",ROW($2:$523),524),ROW(AC461)))&amp;""</f>
        <v/>
      </c>
      <c r="AE462" s="200" t="str">
        <f t="shared" si="11"/>
        <v/>
      </c>
    </row>
    <row r="463" customHeight="1" spans="1:31">
      <c r="A463" s="192">
        <v>461</v>
      </c>
      <c r="B463" s="224" t="s">
        <v>8581</v>
      </c>
      <c r="C463" s="224" t="s">
        <v>8582</v>
      </c>
      <c r="E463" s="229" t="s">
        <v>6664</v>
      </c>
      <c r="F463" s="193" t="s">
        <v>6642</v>
      </c>
      <c r="G463" s="193" t="s">
        <v>6879</v>
      </c>
      <c r="H463" s="193">
        <v>1</v>
      </c>
      <c r="I463" s="193">
        <v>1</v>
      </c>
      <c r="N463" s="193" t="s">
        <v>6644</v>
      </c>
      <c r="O463" s="224" t="s">
        <v>8583</v>
      </c>
      <c r="P463" s="224">
        <v>7</v>
      </c>
      <c r="Q463" s="224" t="s">
        <v>249</v>
      </c>
      <c r="R463" s="193" t="str">
        <f>IF(综合数据!$B$14=TRUE,"13","")</f>
        <v>13</v>
      </c>
      <c r="W463" s="193">
        <v>1</v>
      </c>
      <c r="X463" s="193">
        <v>1</v>
      </c>
      <c r="AA463" s="200"/>
      <c r="AB463" s="200" t="str">
        <f t="array" ref="AB463">INDEX(B:B,SMALL(IF($Q$3:$Q$524&lt;&gt;"",ROW($3:$524),525),ROW(B462)))&amp;""</f>
        <v>反重力</v>
      </c>
      <c r="AC463" s="225" t="str">
        <f>IFERROR(IF(AND($Q464&lt;&gt;"",IF(法术查询!$J$4="",1,INDEX($R464:$Z464,1,VLOOKUP(法术查询!$J$4,$AF$2:$AG$10,2,0)))&lt;&gt;"",IF(法术查询!$J$5="",1,$P464=VLOOKUP(法术查询!$J$5,$AH$2:$AI$11,2,0)),IF(法术查询!$J$6="",1,IF(法术查询!$J$6=$E464,1,0)),IF(法术查询!$J$7="",1,SEARCH(法术查询!$J$7,$F464)),IF(法术查询!$J$8="",1,SEARCH(法术查询!$J$8,G464)),IF(法术查询!$J$9="",1,SEARCH(法术查询!$J$9,N464)),IF(法术查询!$J$10="",1,IF(法术查询!$J$10=$AF$11,IF($M464=1,1,0),IF($M464="",1,0))),IF(法术查询!$J$11="",1,IF(法术查询!$J$11=$AF$11,IF($D464=1,1,0),IF($D464="",1,0))),IF(法术查询!$J$12="",1,SEARCH(法术查询!$J$12,$B464&amp;$C464&amp;$O464)),IF(法术查询!$J$13="",1,SEARCH(法术查询!$J$13,$B464&amp;$C464&amp;$O464)),IF(法术查询!$J$14="",1,SEARCH(法术查询!$J$14,$B464&amp;$C464&amp;$O464)),IF(法术查询!$J$16="",1,IF(法术查询!$J$16=$AF$11,IF($H464=1,1,0),IF($H464="",1,0))),IF(法术查询!$J$17="",1,IF(法术查询!$J$17=$AF$11,IF($I464=1,1,0),IF($I464="",1,0))),IF(法术查询!$J$18="",1,IF(法术查询!$J$18=$AF$11,IF($J464&lt;&gt;"",1,0),IF($J464="",1,0))),IF(法术查询!$J$19="",1,IF(法术查询!$J$19=$AF$11,IF($L464&lt;&gt;"",1,0),IF($L464="",1,0)))),$B464,""),"")</f>
        <v/>
      </c>
      <c r="AD463" s="192" t="str">
        <f t="array" ref="AD463">INDEX(AC:AC,SMALL(IF($AC$2:$AC$523&lt;&gt;"",ROW($2:$523),524),ROW(AC462)))&amp;""</f>
        <v/>
      </c>
      <c r="AE463" s="200" t="str">
        <f t="shared" si="11"/>
        <v/>
      </c>
    </row>
    <row r="464" customHeight="1" spans="1:31">
      <c r="A464" s="192">
        <v>462</v>
      </c>
      <c r="B464" s="224" t="s">
        <v>8584</v>
      </c>
      <c r="C464" s="224" t="s">
        <v>8585</v>
      </c>
      <c r="E464" s="241" t="s">
        <v>6726</v>
      </c>
      <c r="F464" s="193" t="s">
        <v>6642</v>
      </c>
      <c r="G464" s="193" t="s">
        <v>6807</v>
      </c>
      <c r="H464" s="193">
        <v>1</v>
      </c>
      <c r="I464" s="193">
        <v>1</v>
      </c>
      <c r="J464" s="193">
        <v>1</v>
      </c>
      <c r="K464" s="224" t="s">
        <v>8586</v>
      </c>
      <c r="M464" s="193">
        <v>1</v>
      </c>
      <c r="N464" s="193" t="s">
        <v>6855</v>
      </c>
      <c r="O464" s="224" t="s">
        <v>8587</v>
      </c>
      <c r="P464" s="224">
        <v>7</v>
      </c>
      <c r="Q464" s="224" t="s">
        <v>249</v>
      </c>
      <c r="R464" s="193">
        <v>1</v>
      </c>
      <c r="X464" s="193">
        <v>1</v>
      </c>
      <c r="AA464" s="200"/>
      <c r="AB464" s="200" t="str">
        <f t="array" ref="AB464">INDEX(B:B,SMALL(IF($Q$3:$Q$524&lt;&gt;"",ROW($3:$524),525),ROW(B463)))&amp;""</f>
        <v>隔离术</v>
      </c>
      <c r="AC464" s="225" t="str">
        <f>IFERROR(IF(AND($Q465&lt;&gt;"",IF(法术查询!$J$4="",1,INDEX($R465:$Z465,1,VLOOKUP(法术查询!$J$4,$AF$2:$AG$10,2,0)))&lt;&gt;"",IF(法术查询!$J$5="",1,$P465=VLOOKUP(法术查询!$J$5,$AH$2:$AI$11,2,0)),IF(法术查询!$J$6="",1,IF(法术查询!$J$6=$E465,1,0)),IF(法术查询!$J$7="",1,SEARCH(法术查询!$J$7,$F465)),IF(法术查询!$J$8="",1,SEARCH(法术查询!$J$8,G465)),IF(法术查询!$J$9="",1,SEARCH(法术查询!$J$9,N465)),IF(法术查询!$J$10="",1,IF(法术查询!$J$10=$AF$11,IF($M465=1,1,0),IF($M465="",1,0))),IF(法术查询!$J$11="",1,IF(法术查询!$J$11=$AF$11,IF($D465=1,1,0),IF($D465="",1,0))),IF(法术查询!$J$12="",1,SEARCH(法术查询!$J$12,$B465&amp;$C465&amp;$O465)),IF(法术查询!$J$13="",1,SEARCH(法术查询!$J$13,$B465&amp;$C465&amp;$O465)),IF(法术查询!$J$14="",1,SEARCH(法术查询!$J$14,$B465&amp;$C465&amp;$O465)),IF(法术查询!$J$16="",1,IF(法术查询!$J$16=$AF$11,IF($H465=1,1,0),IF($H465="",1,0))),IF(法术查询!$J$17="",1,IF(法术查询!$J$17=$AF$11,IF($I465=1,1,0),IF($I465="",1,0))),IF(法术查询!$J$18="",1,IF(法术查询!$J$18=$AF$11,IF($J465&lt;&gt;"",1,0),IF($J465="",1,0))),IF(法术查询!$J$19="",1,IF(法术查询!$J$19=$AF$11,IF($L465&lt;&gt;"",1,0),IF($L465="",1,0)))),$B465,""),"")</f>
        <v/>
      </c>
      <c r="AD464" s="192" t="str">
        <f t="array" ref="AD464">INDEX(AC:AC,SMALL(IF($AC$2:$AC$523&lt;&gt;"",ROW($2:$523),524),ROW(AC463)))&amp;""</f>
        <v/>
      </c>
      <c r="AE464" s="200" t="str">
        <f t="shared" si="11"/>
        <v/>
      </c>
    </row>
    <row r="465" customHeight="1" spans="1:31">
      <c r="A465" s="192">
        <v>463</v>
      </c>
      <c r="B465" s="224" t="s">
        <v>8588</v>
      </c>
      <c r="C465" s="224" t="s">
        <v>8589</v>
      </c>
      <c r="E465" s="231" t="s">
        <v>6672</v>
      </c>
      <c r="F465" s="193" t="s">
        <v>6709</v>
      </c>
      <c r="G465" s="193" t="s">
        <v>3760</v>
      </c>
      <c r="H465" s="193">
        <v>1</v>
      </c>
      <c r="I465" s="193">
        <v>1</v>
      </c>
      <c r="J465" s="193">
        <v>1</v>
      </c>
      <c r="K465" s="224" t="s">
        <v>8590</v>
      </c>
      <c r="N465" s="193" t="s">
        <v>6704</v>
      </c>
      <c r="O465" s="224" t="s">
        <v>8591</v>
      </c>
      <c r="P465" s="224">
        <v>7</v>
      </c>
      <c r="Q465" s="224" t="s">
        <v>249</v>
      </c>
      <c r="R465" s="193">
        <v>1</v>
      </c>
      <c r="S465" s="193">
        <v>1</v>
      </c>
      <c r="T465" s="193">
        <v>1</v>
      </c>
      <c r="AA465" s="200"/>
      <c r="AB465" s="200" t="str">
        <f t="array" ref="AB465">INDEX(B:B,SMALL(IF($Q$3:$Q$524&lt;&gt;"",ROW($3:$524),525),ROW(B464)))&amp;""</f>
        <v>拟像术</v>
      </c>
      <c r="AC465" s="225" t="str">
        <f>IFERROR(IF(AND($Q466&lt;&gt;"",IF(法术查询!$J$4="",1,INDEX($R466:$Z466,1,VLOOKUP(法术查询!$J$4,$AF$2:$AG$10,2,0)))&lt;&gt;"",IF(法术查询!$J$5="",1,$P466=VLOOKUP(法术查询!$J$5,$AH$2:$AI$11,2,0)),IF(法术查询!$J$6="",1,IF(法术查询!$J$6=$E466,1,0)),IF(法术查询!$J$7="",1,SEARCH(法术查询!$J$7,$F466)),IF(法术查询!$J$8="",1,SEARCH(法术查询!$J$8,G466)),IF(法术查询!$J$9="",1,SEARCH(法术查询!$J$9,N466)),IF(法术查询!$J$10="",1,IF(法术查询!$J$10=$AF$11,IF($M466=1,1,0),IF($M466="",1,0))),IF(法术查询!$J$11="",1,IF(法术查询!$J$11=$AF$11,IF($D466=1,1,0),IF($D466="",1,0))),IF(法术查询!$J$12="",1,SEARCH(法术查询!$J$12,$B466&amp;$C466&amp;$O466)),IF(法术查询!$J$13="",1,SEARCH(法术查询!$J$13,$B466&amp;$C466&amp;$O466)),IF(法术查询!$J$14="",1,SEARCH(法术查询!$J$14,$B466&amp;$C466&amp;$O466)),IF(法术查询!$J$16="",1,IF(法术查询!$J$16=$AF$11,IF($H466=1,1,0),IF($H466="",1,0))),IF(法术查询!$J$17="",1,IF(法术查询!$J$17=$AF$11,IF($I466=1,1,0),IF($I466="",1,0))),IF(法术查询!$J$18="",1,IF(法术查询!$J$18=$AF$11,IF($J466&lt;&gt;"",1,0),IF($J466="",1,0))),IF(法术查询!$J$19="",1,IF(法术查询!$J$19=$AF$11,IF($L466&lt;&gt;"",1,0),IF($L466="",1,0)))),$B466,""),"")</f>
        <v/>
      </c>
      <c r="AD465" s="192" t="str">
        <f t="array" ref="AD465">INDEX(AC:AC,SMALL(IF($AC$2:$AC$523&lt;&gt;"",ROW($2:$523),524),ROW(AC464)))&amp;""</f>
        <v/>
      </c>
      <c r="AE465" s="200" t="str">
        <f t="shared" si="11"/>
        <v/>
      </c>
    </row>
    <row r="466" customHeight="1" spans="1:31">
      <c r="A466" s="192">
        <v>464</v>
      </c>
      <c r="B466" s="224" t="s">
        <v>8592</v>
      </c>
      <c r="C466" s="224" t="s">
        <v>8593</v>
      </c>
      <c r="E466" s="243" t="s">
        <v>6657</v>
      </c>
      <c r="F466" s="193" t="s">
        <v>6704</v>
      </c>
      <c r="G466" s="193" t="s">
        <v>3760</v>
      </c>
      <c r="H466" s="193">
        <v>1</v>
      </c>
      <c r="I466" s="193">
        <v>1</v>
      </c>
      <c r="J466" s="193">
        <v>1</v>
      </c>
      <c r="L466" s="224" t="s">
        <v>8594</v>
      </c>
      <c r="N466" s="193" t="s">
        <v>6644</v>
      </c>
      <c r="O466" s="224" t="s">
        <v>8595</v>
      </c>
      <c r="P466" s="224">
        <v>7</v>
      </c>
      <c r="Q466" s="224" t="s">
        <v>249</v>
      </c>
      <c r="R466" s="193">
        <v>1</v>
      </c>
      <c r="S466" s="193">
        <v>1</v>
      </c>
      <c r="AA466" s="200"/>
      <c r="AB466" s="200" t="str">
        <f t="array" ref="AB466">INDEX(B:B,SMALL(IF($Q$3:$Q$524&lt;&gt;"",ROW($3:$524),525),ROW(B465)))&amp;""</f>
        <v>魔法徽记</v>
      </c>
      <c r="AC466" s="225" t="str">
        <f>IFERROR(IF(AND($Q467&lt;&gt;"",IF(法术查询!$J$4="",1,INDEX($R467:$Z467,1,VLOOKUP(法术查询!$J$4,$AF$2:$AG$10,2,0)))&lt;&gt;"",IF(法术查询!$J$5="",1,$P467=VLOOKUP(法术查询!$J$5,$AH$2:$AI$11,2,0)),IF(法术查询!$J$6="",1,IF(法术查询!$J$6=$E467,1,0)),IF(法术查询!$J$7="",1,SEARCH(法术查询!$J$7,$F467)),IF(法术查询!$J$8="",1,SEARCH(法术查询!$J$8,G467)),IF(法术查询!$J$9="",1,SEARCH(法术查询!$J$9,N467)),IF(法术查询!$J$10="",1,IF(法术查询!$J$10=$AF$11,IF($M467=1,1,0),IF($M467="",1,0))),IF(法术查询!$J$11="",1,IF(法术查询!$J$11=$AF$11,IF($D467=1,1,0),IF($D467="",1,0))),IF(法术查询!$J$12="",1,SEARCH(法术查询!$J$12,$B467&amp;$C467&amp;$O467)),IF(法术查询!$J$13="",1,SEARCH(法术查询!$J$13,$B467&amp;$C467&amp;$O467)),IF(法术查询!$J$14="",1,SEARCH(法术查询!$J$14,$B467&amp;$C467&amp;$O467)),IF(法术查询!$J$16="",1,IF(法术查询!$J$16=$AF$11,IF($H467=1,1,0),IF($H467="",1,0))),IF(法术查询!$J$17="",1,IF(法术查询!$J$17=$AF$11,IF($I467=1,1,0),IF($I467="",1,0))),IF(法术查询!$J$18="",1,IF(法术查询!$J$18=$AF$11,IF($J467&lt;&gt;"",1,0),IF($J467="",1,0))),IF(法术查询!$J$19="",1,IF(法术查询!$J$19=$AF$11,IF($L467&lt;&gt;"",1,0),IF($L467="",1,0)))),$B467,""),"")</f>
        <v/>
      </c>
      <c r="AD466" s="192" t="str">
        <f t="array" ref="AD466">INDEX(AC:AC,SMALL(IF($AC$2:$AC$523&lt;&gt;"",ROW($2:$523),524),ROW(AC465)))&amp;""</f>
        <v/>
      </c>
      <c r="AE466" s="200" t="str">
        <f t="shared" si="11"/>
        <v/>
      </c>
    </row>
    <row r="467" customHeight="1" spans="1:31">
      <c r="A467" s="192">
        <v>465</v>
      </c>
      <c r="B467" s="224" t="s">
        <v>8596</v>
      </c>
      <c r="C467" s="224" t="s">
        <v>8597</v>
      </c>
      <c r="E467" s="231" t="s">
        <v>6672</v>
      </c>
      <c r="F467" s="193" t="s">
        <v>6642</v>
      </c>
      <c r="G467" s="193" t="s">
        <v>6766</v>
      </c>
      <c r="H467" s="193">
        <v>1</v>
      </c>
      <c r="I467" s="193">
        <v>1</v>
      </c>
      <c r="J467" s="193">
        <v>1</v>
      </c>
      <c r="K467" s="224" t="s">
        <v>8598</v>
      </c>
      <c r="M467" s="193">
        <v>1</v>
      </c>
      <c r="N467" s="193" t="s">
        <v>6666</v>
      </c>
      <c r="O467" s="224" t="s">
        <v>8599</v>
      </c>
      <c r="P467" s="224">
        <v>7</v>
      </c>
      <c r="Q467" s="224" t="s">
        <v>249</v>
      </c>
      <c r="T467" s="193">
        <v>1</v>
      </c>
      <c r="W467" s="193">
        <v>1</v>
      </c>
      <c r="X467" s="193">
        <v>1</v>
      </c>
      <c r="AA467" s="200"/>
      <c r="AB467" s="200" t="str">
        <f t="array" ref="AB467">INDEX(B:B,SMALL(IF($Q$3:$Q$524&lt;&gt;"",ROW($3:$524),525),ROW(B466)))&amp;""</f>
        <v>传送术</v>
      </c>
      <c r="AC467" s="225" t="str">
        <f>IFERROR(IF(AND($Q468&lt;&gt;"",IF(法术查询!$J$4="",1,INDEX($R468:$Z468,1,VLOOKUP(法术查询!$J$4,$AF$2:$AG$10,2,0)))&lt;&gt;"",IF(法术查询!$J$5="",1,$P468=VLOOKUP(法术查询!$J$5,$AH$2:$AI$11,2,0)),IF(法术查询!$J$6="",1,IF(法术查询!$J$6=$E468,1,0)),IF(法术查询!$J$7="",1,SEARCH(法术查询!$J$7,$F468)),IF(法术查询!$J$8="",1,SEARCH(法术查询!$J$8,G468)),IF(法术查询!$J$9="",1,SEARCH(法术查询!$J$9,N468)),IF(法术查询!$J$10="",1,IF(法术查询!$J$10=$AF$11,IF($M468=1,1,0),IF($M468="",1,0))),IF(法术查询!$J$11="",1,IF(法术查询!$J$11=$AF$11,IF($D468=1,1,0),IF($D468="",1,0))),IF(法术查询!$J$12="",1,SEARCH(法术查询!$J$12,$B468&amp;$C468&amp;$O468)),IF(法术查询!$J$13="",1,SEARCH(法术查询!$J$13,$B468&amp;$C468&amp;$O468)),IF(法术查询!$J$14="",1,SEARCH(法术查询!$J$14,$B468&amp;$C468&amp;$O468)),IF(法术查询!$J$16="",1,IF(法术查询!$J$16=$AF$11,IF($H468=1,1,0),IF($H468="",1,0))),IF(法术查询!$J$17="",1,IF(法术查询!$J$17=$AF$11,IF($I468=1,1,0),IF($I468="",1,0))),IF(法术查询!$J$18="",1,IF(法术查询!$J$18=$AF$11,IF($J468&lt;&gt;"",1,0),IF($J468="",1,0))),IF(法术查询!$J$19="",1,IF(法术查询!$J$19=$AF$11,IF($L468&lt;&gt;"",1,0),IF($L468="",1,0)))),$B468,""),"")</f>
        <v/>
      </c>
      <c r="AD467" s="192" t="str">
        <f t="array" ref="AD467">INDEX(AC:AC,SMALL(IF($AC$2:$AC$523&lt;&gt;"",ROW($2:$523),524),ROW(AC466)))&amp;""</f>
        <v/>
      </c>
      <c r="AE467" s="200" t="str">
        <f t="shared" si="11"/>
        <v/>
      </c>
    </row>
    <row r="468" customHeight="1" spans="1:31">
      <c r="A468" s="192">
        <v>466</v>
      </c>
      <c r="B468" s="224" t="s">
        <v>8600</v>
      </c>
      <c r="C468" s="224" t="s">
        <v>8601</v>
      </c>
      <c r="E468" s="231" t="s">
        <v>6672</v>
      </c>
      <c r="F468" s="193" t="s">
        <v>6642</v>
      </c>
      <c r="G468" s="193" t="s">
        <v>3760</v>
      </c>
      <c r="H468" s="193">
        <v>1</v>
      </c>
      <c r="I468" s="193">
        <v>1</v>
      </c>
      <c r="J468" s="193">
        <v>1</v>
      </c>
      <c r="L468" s="224" t="s">
        <v>8602</v>
      </c>
      <c r="N468" s="193" t="s">
        <v>6794</v>
      </c>
      <c r="O468" s="224" t="s">
        <v>8603</v>
      </c>
      <c r="P468" s="224">
        <v>7</v>
      </c>
      <c r="Q468" s="224" t="s">
        <v>249</v>
      </c>
      <c r="X468" s="193">
        <v>1</v>
      </c>
      <c r="AA468" s="200"/>
      <c r="AB468" s="200" t="str">
        <f t="array" ref="AB468">INDEX(B:B,SMALL(IF($Q$3:$Q$524&lt;&gt;"",ROW($3:$524),525),ROW(B467)))&amp;""</f>
        <v>众星冠冕</v>
      </c>
      <c r="AC468" s="225" t="str">
        <f>IFERROR(IF(AND($Q469&lt;&gt;"",IF(法术查询!$J$4="",1,INDEX($R469:$Z469,1,VLOOKUP(法术查询!$J$4,$AF$2:$AG$10,2,0)))&lt;&gt;"",IF(法术查询!$J$5="",1,$P469=VLOOKUP(法术查询!$J$5,$AH$2:$AI$11,2,0)),IF(法术查询!$J$6="",1,IF(法术查询!$J$6=$E469,1,0)),IF(法术查询!$J$7="",1,SEARCH(法术查询!$J$7,$F469)),IF(法术查询!$J$8="",1,SEARCH(法术查询!$J$8,G469)),IF(法术查询!$J$9="",1,SEARCH(法术查询!$J$9,N469)),IF(法术查询!$J$10="",1,IF(法术查询!$J$10=$AF$11,IF($M469=1,1,0),IF($M469="",1,0))),IF(法术查询!$J$11="",1,IF(法术查询!$J$11=$AF$11,IF($D469=1,1,0),IF($D469="",1,0))),IF(法术查询!$J$12="",1,SEARCH(法术查询!$J$12,$B469&amp;$C469&amp;$O469)),IF(法术查询!$J$13="",1,SEARCH(法术查询!$J$13,$B469&amp;$C469&amp;$O469)),IF(法术查询!$J$14="",1,SEARCH(法术查询!$J$14,$B469&amp;$C469&amp;$O469)),IF(法术查询!$J$16="",1,IF(法术查询!$J$16=$AF$11,IF($H469=1,1,0),IF($H469="",1,0))),IF(法术查询!$J$17="",1,IF(法术查询!$J$17=$AF$11,IF($I469=1,1,0),IF($I469="",1,0))),IF(法术查询!$J$18="",1,IF(法术查询!$J$18=$AF$11,IF($J469&lt;&gt;"",1,0),IF($J469="",1,0))),IF(法术查询!$J$19="",1,IF(法术查询!$J$19=$AF$11,IF($L469&lt;&gt;"",1,0),IF($L469="",1,0)))),$B469,""),"")</f>
        <v/>
      </c>
      <c r="AD468" s="192" t="str">
        <f t="array" ref="AD468">INDEX(AC:AC,SMALL(IF($AC$2:$AC$523&lt;&gt;"",ROW($2:$523),524),ROW(AC467)))&amp;""</f>
        <v/>
      </c>
      <c r="AE468" s="200" t="str">
        <f t="shared" si="11"/>
        <v/>
      </c>
    </row>
    <row r="469" customHeight="1" spans="1:31">
      <c r="A469" s="192">
        <v>467</v>
      </c>
      <c r="B469" s="224" t="s">
        <v>8604</v>
      </c>
      <c r="C469" s="224" t="s">
        <v>8605</v>
      </c>
      <c r="E469" s="241" t="s">
        <v>6726</v>
      </c>
      <c r="F469" s="193" t="s">
        <v>6754</v>
      </c>
      <c r="G469" s="193" t="s">
        <v>3760</v>
      </c>
      <c r="H469" s="193">
        <v>1</v>
      </c>
      <c r="I469" s="193">
        <v>1</v>
      </c>
      <c r="J469" s="193">
        <v>1</v>
      </c>
      <c r="L469" s="224" t="s">
        <v>8606</v>
      </c>
      <c r="N469" s="193" t="s">
        <v>6794</v>
      </c>
      <c r="O469" s="224" t="s">
        <v>8607</v>
      </c>
      <c r="P469" s="224">
        <v>7</v>
      </c>
      <c r="Q469" s="224" t="s">
        <v>249</v>
      </c>
      <c r="X469" s="193">
        <v>1</v>
      </c>
      <c r="AA469" s="200"/>
      <c r="AB469" s="200" t="str">
        <f t="array" ref="AB469">INDEX(B:B,SMALL(IF($Q$3:$Q$524&lt;&gt;"",ROW($3:$524),525),ROW(B468)))&amp;""</f>
        <v>律令痛苦</v>
      </c>
      <c r="AC469" s="225" t="str">
        <f>IFERROR(IF(AND($Q470&lt;&gt;"",IF(法术查询!$J$4="",1,INDEX($R470:$Z470,1,VLOOKUP(法术查询!$J$4,$AF$2:$AG$10,2,0)))&lt;&gt;"",IF(法术查询!$J$5="",1,$P470=VLOOKUP(法术查询!$J$5,$AH$2:$AI$11,2,0)),IF(法术查询!$J$6="",1,IF(法术查询!$J$6=$E470,1,0)),IF(法术查询!$J$7="",1,SEARCH(法术查询!$J$7,$F470)),IF(法术查询!$J$8="",1,SEARCH(法术查询!$J$8,G470)),IF(法术查询!$J$9="",1,SEARCH(法术查询!$J$9,N470)),IF(法术查询!$J$10="",1,IF(法术查询!$J$10=$AF$11,IF($M470=1,1,0),IF($M470="",1,0))),IF(法术查询!$J$11="",1,IF(法术查询!$J$11=$AF$11,IF($D470=1,1,0),IF($D470="",1,0))),IF(法术查询!$J$12="",1,SEARCH(法术查询!$J$12,$B470&amp;$C470&amp;$O470)),IF(法术查询!$J$13="",1,SEARCH(法术查询!$J$13,$B470&amp;$C470&amp;$O470)),IF(法术查询!$J$14="",1,SEARCH(法术查询!$J$14,$B470&amp;$C470&amp;$O470)),IF(法术查询!$J$16="",1,IF(法术查询!$J$16=$AF$11,IF($H470=1,1,0),IF($H470="",1,0))),IF(法术查询!$J$17="",1,IF(法术查询!$J$17=$AF$11,IF($I470=1,1,0),IF($I470="",1,0))),IF(法术查询!$J$18="",1,IF(法术查询!$J$18=$AF$11,IF($J470&lt;&gt;"",1,0),IF($J470="",1,0))),IF(法术查询!$J$19="",1,IF(法术查询!$J$19=$AF$11,IF($L470&lt;&gt;"",1,0),IF($L470="",1,0)))),$B470,""),"")</f>
        <v/>
      </c>
      <c r="AD469" s="192" t="str">
        <f t="array" ref="AD469">INDEX(AC:AC,SMALL(IF($AC$2:$AC$523&lt;&gt;"",ROW($2:$523),524),ROW(AC468)))&amp;""</f>
        <v/>
      </c>
      <c r="AE469" s="200" t="str">
        <f t="shared" si="11"/>
        <v/>
      </c>
    </row>
    <row r="470" customHeight="1" spans="1:31">
      <c r="A470" s="192">
        <v>468</v>
      </c>
      <c r="B470" s="224" t="s">
        <v>8608</v>
      </c>
      <c r="C470" s="224" t="s">
        <v>8609</v>
      </c>
      <c r="E470" s="242" t="s">
        <v>6650</v>
      </c>
      <c r="F470" s="193" t="s">
        <v>6709</v>
      </c>
      <c r="G470" s="193" t="s">
        <v>3760</v>
      </c>
      <c r="H470" s="193">
        <v>1</v>
      </c>
      <c r="I470" s="193">
        <v>1</v>
      </c>
      <c r="J470" s="193">
        <v>1</v>
      </c>
      <c r="L470" s="224" t="s">
        <v>8610</v>
      </c>
      <c r="N470" s="193" t="s">
        <v>6801</v>
      </c>
      <c r="O470" s="224" t="s">
        <v>8611</v>
      </c>
      <c r="P470" s="224">
        <v>7</v>
      </c>
      <c r="Q470" s="224" t="s">
        <v>249</v>
      </c>
      <c r="R470" s="193">
        <v>1</v>
      </c>
      <c r="S470" s="193">
        <v>1</v>
      </c>
      <c r="T470" s="193" t="str">
        <f>IF(综合数据!$B$14=TRUE,"13","")</f>
        <v>13</v>
      </c>
      <c r="AA470" s="200"/>
      <c r="AB470" s="200" t="str">
        <f t="array" ref="AB470">INDEX(B:B,SMALL(IF($Q$3:$Q$524&lt;&gt;"",ROW($3:$524),525),ROW(B469)))&amp;""</f>
        <v>神庙术</v>
      </c>
      <c r="AC470" s="225" t="str">
        <f>IFERROR(IF(AND($Q471&lt;&gt;"",IF(法术查询!$J$4="",1,INDEX($R471:$Z471,1,VLOOKUP(法术查询!$J$4,$AF$2:$AG$10,2,0)))&lt;&gt;"",IF(法术查询!$J$5="",1,$P471=VLOOKUP(法术查询!$J$5,$AH$2:$AI$11,2,0)),IF(法术查询!$J$6="",1,IF(法术查询!$J$6=$E471,1,0)),IF(法术查询!$J$7="",1,SEARCH(法术查询!$J$7,$F471)),IF(法术查询!$J$8="",1,SEARCH(法术查询!$J$8,G471)),IF(法术查询!$J$9="",1,SEARCH(法术查询!$J$9,N471)),IF(法术查询!$J$10="",1,IF(法术查询!$J$10=$AF$11,IF($M471=1,1,0),IF($M471="",1,0))),IF(法术查询!$J$11="",1,IF(法术查询!$J$11=$AF$11,IF($D471=1,1,0),IF($D471="",1,0))),IF(法术查询!$J$12="",1,SEARCH(法术查询!$J$12,$B471&amp;$C471&amp;$O471)),IF(法术查询!$J$13="",1,SEARCH(法术查询!$J$13,$B471&amp;$C471&amp;$O471)),IF(法术查询!$J$14="",1,SEARCH(法术查询!$J$14,$B471&amp;$C471&amp;$O471)),IF(法术查询!$J$16="",1,IF(法术查询!$J$16=$AF$11,IF($H471=1,1,0),IF($H471="",1,0))),IF(法术查询!$J$17="",1,IF(法术查询!$J$17=$AF$11,IF($I471=1,1,0),IF($I471="",1,0))),IF(法术查询!$J$18="",1,IF(法术查询!$J$18=$AF$11,IF($J471&lt;&gt;"",1,0),IF($J471="",1,0))),IF(法术查询!$J$19="",1,IF(法术查询!$J$19=$AF$11,IF($L471&lt;&gt;"",1,0),IF($L471="",1,0)))),$B471,""),"")</f>
        <v/>
      </c>
      <c r="AD470" s="192" t="str">
        <f t="array" ref="AD470">INDEX(AC:AC,SMALL(IF($AC$2:$AC$523&lt;&gt;"",ROW($2:$523),524),ROW(AC469)))&amp;""</f>
        <v/>
      </c>
      <c r="AE470" s="200" t="str">
        <f t="shared" si="11"/>
        <v/>
      </c>
    </row>
    <row r="471" customHeight="1" spans="1:31">
      <c r="A471" s="192">
        <v>469</v>
      </c>
      <c r="B471" s="224" t="s">
        <v>8612</v>
      </c>
      <c r="C471" s="224" t="s">
        <v>8613</v>
      </c>
      <c r="E471" s="240" t="s">
        <v>6641</v>
      </c>
      <c r="F471" s="193" t="s">
        <v>6642</v>
      </c>
      <c r="G471" s="193" t="s">
        <v>6730</v>
      </c>
      <c r="H471" s="193">
        <v>1</v>
      </c>
      <c r="N471" s="193" t="s">
        <v>6644</v>
      </c>
      <c r="O471" s="224" t="s">
        <v>8614</v>
      </c>
      <c r="P471" s="224">
        <v>7</v>
      </c>
      <c r="Q471" s="224" t="s">
        <v>249</v>
      </c>
      <c r="R471" s="193">
        <v>1</v>
      </c>
      <c r="W471" s="193">
        <v>1</v>
      </c>
      <c r="X471" s="193">
        <v>1</v>
      </c>
      <c r="AA471" s="200"/>
      <c r="AB471" s="200" t="str">
        <f t="array" ref="AB471">INDEX(B:B,SMALL(IF($Q$3:$Q$524&lt;&gt;"",ROW($3:$524),525),ROW(B470)))&amp;""</f>
        <v>旋风</v>
      </c>
      <c r="AC471" s="225" t="str">
        <f>IFERROR(IF(AND($Q472&lt;&gt;"",IF(法术查询!$J$4="",1,INDEX($R472:$Z472,1,VLOOKUP(法术查询!$J$4,$AF$2:$AG$10,2,0)))&lt;&gt;"",IF(法术查询!$J$5="",1,$P472=VLOOKUP(法术查询!$J$5,$AH$2:$AI$11,2,0)),IF(法术查询!$J$6="",1,IF(法术查询!$J$6=$E472,1,0)),IF(法术查询!$J$7="",1,SEARCH(法术查询!$J$7,$F472)),IF(法术查询!$J$8="",1,SEARCH(法术查询!$J$8,G472)),IF(法术查询!$J$9="",1,SEARCH(法术查询!$J$9,N472)),IF(法术查询!$J$10="",1,IF(法术查询!$J$10=$AF$11,IF($M472=1,1,0),IF($M472="",1,0))),IF(法术查询!$J$11="",1,IF(法术查询!$J$11=$AF$11,IF($D472=1,1,0),IF($D472="",1,0))),IF(法术查询!$J$12="",1,SEARCH(法术查询!$J$12,$B472&amp;$C472&amp;$O472)),IF(法术查询!$J$13="",1,SEARCH(法术查询!$J$13,$B472&amp;$C472&amp;$O472)),IF(法术查询!$J$14="",1,SEARCH(法术查询!$J$14,$B472&amp;$C472&amp;$O472)),IF(法术查询!$J$16="",1,IF(法术查询!$J$16=$AF$11,IF($H472=1,1,0),IF($H472="",1,0))),IF(法术查询!$J$17="",1,IF(法术查询!$J$17=$AF$11,IF($I472=1,1,0),IF($I472="",1,0))),IF(法术查询!$J$18="",1,IF(法术查询!$J$18=$AF$11,IF($J472&lt;&gt;"",1,0),IF($J472="",1,0))),IF(法术查询!$J$19="",1,IF(法术查询!$J$19=$AF$11,IF($L472&lt;&gt;"",1,0),IF($L472="",1,0)))),$B472,""),"")</f>
        <v/>
      </c>
      <c r="AD471" s="192" t="str">
        <f t="array" ref="AD471">INDEX(AC:AC,SMALL(IF($AC$2:$AC$523&lt;&gt;"",ROW($2:$523),524),ROW(AC470)))&amp;""</f>
        <v/>
      </c>
      <c r="AE471" s="200" t="str">
        <f t="shared" si="11"/>
        <v/>
      </c>
    </row>
    <row r="472" customHeight="1" spans="1:31">
      <c r="A472" s="192">
        <v>470</v>
      </c>
      <c r="B472" s="224" t="s">
        <v>8615</v>
      </c>
      <c r="C472" s="224" t="s">
        <v>8616</v>
      </c>
      <c r="E472" s="229" t="s">
        <v>6664</v>
      </c>
      <c r="F472" s="193" t="s">
        <v>6642</v>
      </c>
      <c r="G472" s="193" t="s">
        <v>6651</v>
      </c>
      <c r="H472" s="193">
        <v>1</v>
      </c>
      <c r="I472" s="193">
        <v>1</v>
      </c>
      <c r="N472" s="193" t="s">
        <v>6704</v>
      </c>
      <c r="O472" s="224" t="s">
        <v>8617</v>
      </c>
      <c r="P472" s="224">
        <v>7</v>
      </c>
      <c r="Q472" s="245" t="str">
        <f>IF(综合数据!$B$7=TRUE,"XGE","")</f>
        <v>XGE</v>
      </c>
      <c r="W472" s="193">
        <v>6</v>
      </c>
      <c r="X472" s="193">
        <v>6</v>
      </c>
      <c r="Y472" s="193">
        <v>6</v>
      </c>
      <c r="AA472" s="200"/>
      <c r="AB472" s="200" t="str">
        <f t="array" ref="AB472">INDEX(B:B,SMALL(IF($Q$3:$Q$524&lt;&gt;"",ROW($3:$524),525),ROW(B471)))&amp;""</f>
        <v>系结本源</v>
      </c>
      <c r="AC472" s="225" t="str">
        <f>IFERROR(IF(AND($Q473&lt;&gt;"",IF(法术查询!$J$4="",1,INDEX($R473:$Z473,1,VLOOKUP(法术查询!$J$4,$AF$2:$AG$10,2,0)))&lt;&gt;"",IF(法术查询!$J$5="",1,$P473=VLOOKUP(法术查询!$J$5,$AH$2:$AI$11,2,0)),IF(法术查询!$J$6="",1,IF(法术查询!$J$6=$E473,1,0)),IF(法术查询!$J$7="",1,SEARCH(法术查询!$J$7,$F473)),IF(法术查询!$J$8="",1,SEARCH(法术查询!$J$8,G473)),IF(法术查询!$J$9="",1,SEARCH(法术查询!$J$9,N473)),IF(法术查询!$J$10="",1,IF(法术查询!$J$10=$AF$11,IF($M473=1,1,0),IF($M473="",1,0))),IF(法术查询!$J$11="",1,IF(法术查询!$J$11=$AF$11,IF($D473=1,1,0),IF($D473="",1,0))),IF(法术查询!$J$12="",1,SEARCH(法术查询!$J$12,$B473&amp;$C473&amp;$O473)),IF(法术查询!$J$13="",1,SEARCH(法术查询!$J$13,$B473&amp;$C473&amp;$O473)),IF(法术查询!$J$14="",1,SEARCH(法术查询!$J$14,$B473&amp;$C473&amp;$O473)),IF(法术查询!$J$16="",1,IF(法术查询!$J$16=$AF$11,IF($H473=1,1,0),IF($H473="",1,0))),IF(法术查询!$J$17="",1,IF(法术查询!$J$17=$AF$11,IF($I473=1,1,0),IF($I473="",1,0))),IF(法术查询!$J$18="",1,IF(法术查询!$J$18=$AF$11,IF($J473&lt;&gt;"",1,0),IF($J473="",1,0))),IF(法术查询!$J$19="",1,IF(法术查询!$J$19=$AF$11,IF($L473&lt;&gt;"",1,0),IF($L473="",1,0)))),$B473,""),"")</f>
        <v/>
      </c>
      <c r="AD472" s="192" t="str">
        <f t="array" ref="AD472">INDEX(AC:AC,SMALL(IF($AC$2:$AC$523&lt;&gt;"",ROW($2:$523),524),ROW(AC471)))&amp;""</f>
        <v/>
      </c>
      <c r="AE472" s="200" t="str">
        <f t="shared" si="11"/>
        <v/>
      </c>
    </row>
    <row r="473" customHeight="1" spans="1:31">
      <c r="A473" s="192">
        <v>471</v>
      </c>
      <c r="B473" s="224" t="s">
        <v>8618</v>
      </c>
      <c r="C473" s="224" t="s">
        <v>8619</v>
      </c>
      <c r="E473" s="233" t="s">
        <v>6688</v>
      </c>
      <c r="F473" s="193" t="s">
        <v>6642</v>
      </c>
      <c r="G473" s="193" t="s">
        <v>6643</v>
      </c>
      <c r="H473" s="193">
        <v>1</v>
      </c>
      <c r="N473" s="193" t="s">
        <v>6644</v>
      </c>
      <c r="O473" s="224" t="s">
        <v>8620</v>
      </c>
      <c r="P473" s="224">
        <v>7</v>
      </c>
      <c r="Q473" s="245" t="str">
        <f>IF(综合数据!$B$7=TRUE,"XGE","")</f>
        <v>XGE</v>
      </c>
      <c r="W473" s="193">
        <v>6</v>
      </c>
      <c r="X473" s="193">
        <v>6</v>
      </c>
      <c r="Y473" s="193">
        <v>6</v>
      </c>
      <c r="AA473" s="200"/>
      <c r="AB473" s="200" t="str">
        <f t="array" ref="AB473">INDEX(B:B,SMALL(IF($Q$3:$Q$524&lt;&gt;"",ROW($3:$524),525),ROW(B472)))&amp;""</f>
        <v>蓝纱一梦</v>
      </c>
      <c r="AC473" s="225" t="str">
        <f>IFERROR(IF(AND($Q474&lt;&gt;"",IF(法术查询!$J$4="",1,INDEX($R474:$Z474,1,VLOOKUP(法术查询!$J$4,$AF$2:$AG$10,2,0)))&lt;&gt;"",IF(法术查询!$J$5="",1,$P474=VLOOKUP(法术查询!$J$5,$AH$2:$AI$11,2,0)),IF(法术查询!$J$6="",1,IF(法术查询!$J$6=$E474,1,0)),IF(法术查询!$J$7="",1,SEARCH(法术查询!$J$7,$F474)),IF(法术查询!$J$8="",1,SEARCH(法术查询!$J$8,G474)),IF(法术查询!$J$9="",1,SEARCH(法术查询!$J$9,N474)),IF(法术查询!$J$10="",1,IF(法术查询!$J$10=$AF$11,IF($M474=1,1,0),IF($M474="",1,0))),IF(法术查询!$J$11="",1,IF(法术查询!$J$11=$AF$11,IF($D474=1,1,0),IF($D474="",1,0))),IF(法术查询!$J$12="",1,SEARCH(法术查询!$J$12,$B474&amp;$C474&amp;$O474)),IF(法术查询!$J$13="",1,SEARCH(法术查询!$J$13,$B474&amp;$C474&amp;$O474)),IF(法术查询!$J$14="",1,SEARCH(法术查询!$J$14,$B474&amp;$C474&amp;$O474)),IF(法术查询!$J$16="",1,IF(法术查询!$J$16=$AF$11,IF($H474=1,1,0),IF($H474="",1,0))),IF(法术查询!$J$17="",1,IF(法术查询!$J$17=$AF$11,IF($I474=1,1,0),IF($I474="",1,0))),IF(法术查询!$J$18="",1,IF(法术查询!$J$18=$AF$11,IF($J474&lt;&gt;"",1,0),IF($J474="",1,0))),IF(法术查询!$J$19="",1,IF(法术查询!$J$19=$AF$11,IF($L474&lt;&gt;"",1,0),IF($L474="",1,0)))),$B474,""),"")</f>
        <v/>
      </c>
      <c r="AD473" s="192" t="str">
        <f t="array" ref="AD473">INDEX(AC:AC,SMALL(IF($AC$2:$AC$523&lt;&gt;"",ROW($2:$523),524),ROW(AC472)))&amp;""</f>
        <v/>
      </c>
      <c r="AE473" s="200" t="str">
        <f t="shared" si="11"/>
        <v/>
      </c>
    </row>
    <row r="474" customHeight="1" spans="1:31">
      <c r="A474" s="192">
        <v>472</v>
      </c>
      <c r="B474" s="224" t="s">
        <v>8621</v>
      </c>
      <c r="C474" s="224" t="s">
        <v>8622</v>
      </c>
      <c r="E474" s="240" t="s">
        <v>6641</v>
      </c>
      <c r="F474" s="193" t="s">
        <v>6704</v>
      </c>
      <c r="G474" s="193" t="s">
        <v>6658</v>
      </c>
      <c r="H474" s="193">
        <v>1</v>
      </c>
      <c r="I474" s="193">
        <v>1</v>
      </c>
      <c r="J474" s="193">
        <v>1</v>
      </c>
      <c r="K474" s="224" t="s">
        <v>8623</v>
      </c>
      <c r="N474" s="193" t="s">
        <v>6759</v>
      </c>
      <c r="O474" s="224" t="s">
        <v>8624</v>
      </c>
      <c r="P474" s="224">
        <v>7</v>
      </c>
      <c r="Q474" s="245" t="str">
        <f>IF(综合数据!$B$7=TRUE,"XGE","")</f>
        <v>XGE</v>
      </c>
      <c r="S474" s="193">
        <v>6</v>
      </c>
      <c r="AA474" s="200"/>
      <c r="AB474" s="200" t="str">
        <f t="array" ref="AB474">INDEX(B:B,SMALL(IF($Q$3:$Q$524&lt;&gt;"",ROW($3:$524),525),ROW(B473)))&amp;""</f>
        <v>龙类变形</v>
      </c>
      <c r="AC474" s="225" t="str">
        <f>IFERROR(IF(AND($Q475&lt;&gt;"",IF(法术查询!$J$4="",1,INDEX($R475:$Z475,1,VLOOKUP(法术查询!$J$4,$AF$2:$AG$10,2,0)))&lt;&gt;"",IF(法术查询!$J$5="",1,$P475=VLOOKUP(法术查询!$J$5,$AH$2:$AI$11,2,0)),IF(法术查询!$J$6="",1,IF(法术查询!$J$6=$E475,1,0)),IF(法术查询!$J$7="",1,SEARCH(法术查询!$J$7,$F475)),IF(法术查询!$J$8="",1,SEARCH(法术查询!$J$8,G475)),IF(法术查询!$J$9="",1,SEARCH(法术查询!$J$9,N475)),IF(法术查询!$J$10="",1,IF(法术查询!$J$10=$AF$11,IF($M475=1,1,0),IF($M475="",1,0))),IF(法术查询!$J$11="",1,IF(法术查询!$J$11=$AF$11,IF($D475=1,1,0),IF($D475="",1,0))),IF(法术查询!$J$12="",1,SEARCH(法术查询!$J$12,$B475&amp;$C475&amp;$O475)),IF(法术查询!$J$13="",1,SEARCH(法术查询!$J$13,$B475&amp;$C475&amp;$O475)),IF(法术查询!$J$14="",1,SEARCH(法术查询!$J$14,$B475&amp;$C475&amp;$O475)),IF(法术查询!$J$16="",1,IF(法术查询!$J$16=$AF$11,IF($H475=1,1,0),IF($H475="",1,0))),IF(法术查询!$J$17="",1,IF(法术查询!$J$17=$AF$11,IF($I475=1,1,0),IF($I475="",1,0))),IF(法术查询!$J$18="",1,IF(法术查询!$J$18=$AF$11,IF($J475&lt;&gt;"",1,0),IF($J475="",1,0))),IF(法术查询!$J$19="",1,IF(法术查询!$J$19=$AF$11,IF($L475&lt;&gt;"",1,0),IF($L475="",1,0)))),$B475,""),"")</f>
        <v/>
      </c>
      <c r="AD474" s="192" t="str">
        <f t="array" ref="AD474">INDEX(AC:AC,SMALL(IF($AC$2:$AC$523&lt;&gt;"",ROW($2:$523),524),ROW(AC473)))&amp;""</f>
        <v/>
      </c>
      <c r="AE474" s="200" t="str">
        <f t="shared" si="11"/>
        <v/>
      </c>
    </row>
    <row r="475" customHeight="1" spans="1:31">
      <c r="A475" s="192">
        <v>473</v>
      </c>
      <c r="B475" s="224" t="s">
        <v>8625</v>
      </c>
      <c r="C475" s="224" t="s">
        <v>8626</v>
      </c>
      <c r="E475" s="229" t="s">
        <v>6664</v>
      </c>
      <c r="F475" s="193" t="s">
        <v>6642</v>
      </c>
      <c r="G475" s="193" t="s">
        <v>6786</v>
      </c>
      <c r="H475" s="193">
        <v>1</v>
      </c>
      <c r="J475" s="193">
        <v>1</v>
      </c>
      <c r="K475" s="224" t="s">
        <v>8627</v>
      </c>
      <c r="M475" s="193">
        <v>1</v>
      </c>
      <c r="N475" s="193" t="s">
        <v>6666</v>
      </c>
      <c r="O475" s="224" t="s">
        <v>8628</v>
      </c>
      <c r="P475" s="224">
        <v>7</v>
      </c>
      <c r="Q475" s="245" t="str">
        <f>IF(综合数据!$B$7=TRUE,"XGE","")</f>
        <v>XGE</v>
      </c>
      <c r="T475" s="193">
        <v>6</v>
      </c>
      <c r="W475" s="193">
        <v>6</v>
      </c>
      <c r="X475" s="193">
        <v>6</v>
      </c>
      <c r="AA475" s="200"/>
      <c r="AB475" s="200" t="str">
        <f t="array" ref="AB475">INDEX(B:B,SMALL(IF($Q$3:$Q$524&lt;&gt;"",ROW($3:$524),525),ROW(B474)))&amp;""</f>
        <v>动物形态</v>
      </c>
      <c r="AC475" s="225" t="str">
        <f>IFERROR(IF(AND($Q476&lt;&gt;"",IF(法术查询!$J$4="",1,INDEX($R476:$Z476,1,VLOOKUP(法术查询!$J$4,$AF$2:$AG$10,2,0)))&lt;&gt;"",IF(法术查询!$J$5="",1,$P476=VLOOKUP(法术查询!$J$5,$AH$2:$AI$11,2,0)),IF(法术查询!$J$6="",1,IF(法术查询!$J$6=$E476,1,0)),IF(法术查询!$J$7="",1,SEARCH(法术查询!$J$7,$F476)),IF(法术查询!$J$8="",1,SEARCH(法术查询!$J$8,G476)),IF(法术查询!$J$9="",1,SEARCH(法术查询!$J$9,N476)),IF(法术查询!$J$10="",1,IF(法术查询!$J$10=$AF$11,IF($M476=1,1,0),IF($M476="",1,0))),IF(法术查询!$J$11="",1,IF(法术查询!$J$11=$AF$11,IF($D476=1,1,0),IF($D476="",1,0))),IF(法术查询!$J$12="",1,SEARCH(法术查询!$J$12,$B476&amp;$C476&amp;$O476)),IF(法术查询!$J$13="",1,SEARCH(法术查询!$J$13,$B476&amp;$C476&amp;$O476)),IF(法术查询!$J$14="",1,SEARCH(法术查询!$J$14,$B476&amp;$C476&amp;$O476)),IF(法术查询!$J$16="",1,IF(法术查询!$J$16=$AF$11,IF($H476=1,1,0),IF($H476="",1,0))),IF(法术查询!$J$17="",1,IF(法术查询!$J$17=$AF$11,IF($I476=1,1,0),IF($I476="",1,0))),IF(法术查询!$J$18="",1,IF(法术查询!$J$18=$AF$11,IF($J476&lt;&gt;"",1,0),IF($J476="",1,0))),IF(法术查询!$J$19="",1,IF(法术查询!$J$19=$AF$11,IF($L476&lt;&gt;"",1,0),IF($L476="",1,0)))),$B476,""),"")</f>
        <v/>
      </c>
      <c r="AD475" s="192" t="str">
        <f t="array" ref="AD475">INDEX(AC:AC,SMALL(IF($AC$2:$AC$523&lt;&gt;"",ROW($2:$523),524),ROW(AC474)))&amp;""</f>
        <v/>
      </c>
      <c r="AE475" s="200" t="str">
        <f t="shared" si="11"/>
        <v/>
      </c>
    </row>
    <row r="476" customHeight="1" spans="1:31">
      <c r="A476" s="192">
        <v>474</v>
      </c>
      <c r="B476" s="224" t="s">
        <v>8629</v>
      </c>
      <c r="C476" s="224" t="s">
        <v>8630</v>
      </c>
      <c r="E476" s="243" t="s">
        <v>6657</v>
      </c>
      <c r="F476" s="193" t="s">
        <v>6642</v>
      </c>
      <c r="G476" s="193" t="s">
        <v>6643</v>
      </c>
      <c r="H476" s="193">
        <v>1</v>
      </c>
      <c r="I476" s="193">
        <v>1</v>
      </c>
      <c r="J476" s="193">
        <v>1</v>
      </c>
      <c r="L476" s="224" t="s">
        <v>8631</v>
      </c>
      <c r="M476" s="193">
        <v>1</v>
      </c>
      <c r="N476" s="193" t="s">
        <v>6739</v>
      </c>
      <c r="O476" s="224" t="s">
        <v>8632</v>
      </c>
      <c r="P476" s="224">
        <v>7</v>
      </c>
      <c r="Q476" s="247" t="str">
        <f>IF(综合数据!$B$11=TRUE,"EGW","")</f>
        <v>EGW</v>
      </c>
      <c r="AA476" s="223" t="s">
        <v>6897</v>
      </c>
      <c r="AB476" s="200" t="str">
        <f t="array" ref="AB476">INDEX(B:B,SMALL(IF($Q$3:$Q$524&lt;&gt;"",ROW($3:$524),525),ROW(B475)))&amp;""</f>
        <v>反魔法力场</v>
      </c>
      <c r="AC476" s="225" t="str">
        <f>IFERROR(IF(AND($Q477&lt;&gt;"",IF(法术查询!$J$4="",1,INDEX($R477:$Z477,1,VLOOKUP(法术查询!$J$4,$AF$2:$AG$10,2,0)))&lt;&gt;"",IF(法术查询!$J$5="",1,$P477=VLOOKUP(法术查询!$J$5,$AH$2:$AI$11,2,0)),IF(法术查询!$J$6="",1,IF(法术查询!$J$6=$E477,1,0)),IF(法术查询!$J$7="",1,SEARCH(法术查询!$J$7,$F477)),IF(法术查询!$J$8="",1,SEARCH(法术查询!$J$8,G477)),IF(法术查询!$J$9="",1,SEARCH(法术查询!$J$9,N477)),IF(法术查询!$J$10="",1,IF(法术查询!$J$10=$AF$11,IF($M477=1,1,0),IF($M477="",1,0))),IF(法术查询!$J$11="",1,IF(法术查询!$J$11=$AF$11,IF($D477=1,1,0),IF($D477="",1,0))),IF(法术查询!$J$12="",1,SEARCH(法术查询!$J$12,$B477&amp;$C477&amp;$O477)),IF(法术查询!$J$13="",1,SEARCH(法术查询!$J$13,$B477&amp;$C477&amp;$O477)),IF(法术查询!$J$14="",1,SEARCH(法术查询!$J$14,$B477&amp;$C477&amp;$O477)),IF(法术查询!$J$16="",1,IF(法术查询!$J$16=$AF$11,IF($H477=1,1,0),IF($H477="",1,0))),IF(法术查询!$J$17="",1,IF(法术查询!$J$17=$AF$11,IF($I477=1,1,0),IF($I477="",1,0))),IF(法术查询!$J$18="",1,IF(法术查询!$J$18=$AF$11,IF($J477&lt;&gt;"",1,0),IF($J477="",1,0))),IF(法术查询!$J$19="",1,IF(法术查询!$J$19=$AF$11,IF($L477&lt;&gt;"",1,0),IF($L477="",1,0)))),$B477,""),"")</f>
        <v/>
      </c>
      <c r="AD476" s="192" t="str">
        <f t="array" ref="AD476">INDEX(AC:AC,SMALL(IF($AC$2:$AC$523&lt;&gt;"",ROW($2:$523),524),ROW(AC475)))&amp;""</f>
        <v/>
      </c>
      <c r="AE476" s="200" t="str">
        <f t="shared" si="11"/>
        <v/>
      </c>
    </row>
    <row r="477" customHeight="1" spans="1:31">
      <c r="A477" s="192">
        <v>475</v>
      </c>
      <c r="B477" s="224" t="s">
        <v>8633</v>
      </c>
      <c r="C477" s="224" t="s">
        <v>8634</v>
      </c>
      <c r="E477" s="240" t="s">
        <v>6641</v>
      </c>
      <c r="F477" s="193" t="s">
        <v>6731</v>
      </c>
      <c r="G477" s="193" t="s">
        <v>6742</v>
      </c>
      <c r="H477" s="193">
        <v>1</v>
      </c>
      <c r="I477" s="193">
        <v>1</v>
      </c>
      <c r="J477" s="193">
        <v>1</v>
      </c>
      <c r="K477" s="224" t="s">
        <v>8635</v>
      </c>
      <c r="L477" s="224"/>
      <c r="N477" s="193" t="s">
        <v>6749</v>
      </c>
      <c r="O477" s="224" t="s">
        <v>8636</v>
      </c>
      <c r="P477" s="224">
        <v>7</v>
      </c>
      <c r="Q477" s="248" t="str">
        <f>IF(综合数据!$B$14=TRUE,"TCE","")</f>
        <v>TCE</v>
      </c>
      <c r="R477" s="193">
        <v>13</v>
      </c>
      <c r="W477" s="193">
        <v>13</v>
      </c>
      <c r="X477" s="193">
        <v>13</v>
      </c>
      <c r="Y477" s="193">
        <v>13</v>
      </c>
      <c r="AA477" s="223"/>
      <c r="AB477" s="200" t="str">
        <f t="array" ref="AB477">INDEX(B:B,SMALL(IF($Q$3:$Q$524&lt;&gt;"",ROW($3:$524),525),ROW(B476)))&amp;""</f>
        <v>嫌恶/关怀术</v>
      </c>
      <c r="AC477" s="225" t="str">
        <f>IFERROR(IF(AND($Q478&lt;&gt;"",IF(法术查询!$J$4="",1,INDEX($R478:$Z478,1,VLOOKUP(法术查询!$J$4,$AF$2:$AG$10,2,0)))&lt;&gt;"",IF(法术查询!$J$5="",1,$P478=VLOOKUP(法术查询!$J$5,$AH$2:$AI$11,2,0)),IF(法术查询!$J$6="",1,IF(法术查询!$J$6=$E478,1,0)),IF(法术查询!$J$7="",1,SEARCH(法术查询!$J$7,$F478)),IF(法术查询!$J$8="",1,SEARCH(法术查询!$J$8,G478)),IF(法术查询!$J$9="",1,SEARCH(法术查询!$J$9,N478)),IF(法术查询!$J$10="",1,IF(法术查询!$J$10=$AF$11,IF($M478=1,1,0),IF($M478="",1,0))),IF(法术查询!$J$11="",1,IF(法术查询!$J$11=$AF$11,IF($D478=1,1,0),IF($D478="",1,0))),IF(法术查询!$J$12="",1,SEARCH(法术查询!$J$12,$B478&amp;$C478&amp;$O478)),IF(法术查询!$J$13="",1,SEARCH(法术查询!$J$13,$B478&amp;$C478&amp;$O478)),IF(法术查询!$J$14="",1,SEARCH(法术查询!$J$14,$B478&amp;$C478&amp;$O478)),IF(法术查询!$J$16="",1,IF(法术查询!$J$16=$AF$11,IF($H478=1,1,0),IF($H478="",1,0))),IF(法术查询!$J$17="",1,IF(法术查询!$J$17=$AF$11,IF($I478=1,1,0),IF($I478="",1,0))),IF(法术查询!$J$18="",1,IF(法术查询!$J$18=$AF$11,IF($J478&lt;&gt;"",1,0),IF($J478="",1,0))),IF(法术查询!$J$19="",1,IF(法术查询!$J$19=$AF$11,IF($L478&lt;&gt;"",1,0),IF($L478="",1,0)))),$B478,""),"")</f>
        <v/>
      </c>
      <c r="AD477" s="192" t="str">
        <f t="array" ref="AD477">INDEX(AC:AC,SMALL(IF($AC$2:$AC$523&lt;&gt;"",ROW($2:$523),524),ROW(AC476)))&amp;""</f>
        <v/>
      </c>
      <c r="AE477" s="200" t="str">
        <f t="shared" si="11"/>
        <v/>
      </c>
    </row>
    <row r="478" customHeight="1" spans="1:31">
      <c r="A478" s="192">
        <v>476</v>
      </c>
      <c r="B478" s="224" t="s">
        <v>8637</v>
      </c>
      <c r="C478" s="224" t="s">
        <v>8638</v>
      </c>
      <c r="E478" s="231" t="s">
        <v>6672</v>
      </c>
      <c r="F478" s="193" t="s">
        <v>6712</v>
      </c>
      <c r="G478" s="193" t="s">
        <v>6651</v>
      </c>
      <c r="H478" s="193">
        <v>1</v>
      </c>
      <c r="I478" s="193">
        <v>1</v>
      </c>
      <c r="J478" s="193">
        <v>1</v>
      </c>
      <c r="K478" s="224" t="s">
        <v>8639</v>
      </c>
      <c r="M478" s="193">
        <v>1</v>
      </c>
      <c r="N478" s="193" t="s">
        <v>6666</v>
      </c>
      <c r="O478" s="224" t="s">
        <v>8640</v>
      </c>
      <c r="P478" s="193">
        <v>7</v>
      </c>
      <c r="Q478" s="253" t="str">
        <f>IF(综合数据!$B$16=TRUE,"FTD","")</f>
        <v>FTD</v>
      </c>
      <c r="T478" s="224">
        <v>15</v>
      </c>
      <c r="W478" s="193">
        <v>15</v>
      </c>
      <c r="X478" s="193">
        <v>15</v>
      </c>
      <c r="AA478" s="200"/>
      <c r="AB478" s="200" t="str">
        <f t="array" ref="AB478">INDEX(B:B,SMALL(IF($Q$3:$Q$524&lt;&gt;"",ROW($3:$524),525),ROW(B477)))&amp;""</f>
        <v>克隆术</v>
      </c>
      <c r="AC478" s="225" t="str">
        <f>IFERROR(IF(AND($Q479&lt;&gt;"",IF(法术查询!$J$4="",1,INDEX($R479:$Z479,1,VLOOKUP(法术查询!$J$4,$AF$2:$AG$10,2,0)))&lt;&gt;"",IF(法术查询!$J$5="",1,$P479=VLOOKUP(法术查询!$J$5,$AH$2:$AI$11,2,0)),IF(法术查询!$J$6="",1,IF(法术查询!$J$6=$E479,1,0)),IF(法术查询!$J$7="",1,SEARCH(法术查询!$J$7,$F479)),IF(法术查询!$J$8="",1,SEARCH(法术查询!$J$8,G479)),IF(法术查询!$J$9="",1,SEARCH(法术查询!$J$9,N479)),IF(法术查询!$J$10="",1,IF(法术查询!$J$10=$AF$11,IF($M479=1,1,0),IF($M479="",1,0))),IF(法术查询!$J$11="",1,IF(法术查询!$J$11=$AF$11,IF($D479=1,1,0),IF($D479="",1,0))),IF(法术查询!$J$12="",1,SEARCH(法术查询!$J$12,$B479&amp;$C479&amp;$O479)),IF(法术查询!$J$13="",1,SEARCH(法术查询!$J$13,$B479&amp;$C479&amp;$O479)),IF(法术查询!$J$14="",1,SEARCH(法术查询!$J$14,$B479&amp;$C479&amp;$O479)),IF(法术查询!$J$16="",1,IF(法术查询!$J$16=$AF$11,IF($H479=1,1,0),IF($H479="",1,0))),IF(法术查询!$J$17="",1,IF(法术查询!$J$17=$AF$11,IF($I479=1,1,0),IF($I479="",1,0))),IF(法术查询!$J$18="",1,IF(法术查询!$J$18=$AF$11,IF($J479&lt;&gt;"",1,0),IF($J479="",1,0))),IF(法术查询!$J$19="",1,IF(法术查询!$J$19=$AF$11,IF($L479&lt;&gt;"",1,0),IF($L479="",1,0)))),$B479,""),"")</f>
        <v/>
      </c>
      <c r="AD478" s="192" t="str">
        <f t="array" ref="AD478">INDEX(AC:AC,SMALL(IF($AC$2:$AC$523&lt;&gt;"",ROW($2:$523),524),ROW(AC477)))&amp;""</f>
        <v/>
      </c>
      <c r="AE478" s="200" t="str">
        <f t="shared" si="11"/>
        <v/>
      </c>
    </row>
    <row r="479" customHeight="1" spans="1:31">
      <c r="A479" s="192">
        <v>477</v>
      </c>
      <c r="B479" s="224" t="s">
        <v>8641</v>
      </c>
      <c r="C479" s="224" t="s">
        <v>8642</v>
      </c>
      <c r="E479" s="231" t="s">
        <v>6672</v>
      </c>
      <c r="F479" s="193" t="s">
        <v>6642</v>
      </c>
      <c r="G479" s="193" t="s">
        <v>6673</v>
      </c>
      <c r="H479" s="193">
        <v>1</v>
      </c>
      <c r="I479" s="193">
        <v>1</v>
      </c>
      <c r="M479" s="193">
        <v>1</v>
      </c>
      <c r="N479" s="193" t="s">
        <v>6850</v>
      </c>
      <c r="O479" s="224" t="s">
        <v>8643</v>
      </c>
      <c r="P479" s="224">
        <v>8</v>
      </c>
      <c r="Q479" s="224" t="s">
        <v>249</v>
      </c>
      <c r="T479" s="193">
        <v>1</v>
      </c>
      <c r="AA479" s="200"/>
      <c r="AB479" s="200" t="str">
        <f t="array" ref="AB479">INDEX(B:B,SMALL(IF($Q$3:$Q$524&lt;&gt;"",ROW($3:$524),525),ROW(B478)))&amp;""</f>
        <v>操控天气</v>
      </c>
      <c r="AC479" s="225" t="str">
        <f>IFERROR(IF(AND($Q480&lt;&gt;"",IF(法术查询!$J$4="",1,INDEX($R480:$Z480,1,VLOOKUP(法术查询!$J$4,$AF$2:$AG$10,2,0)))&lt;&gt;"",IF(法术查询!$J$5="",1,$P480=VLOOKUP(法术查询!$J$5,$AH$2:$AI$11,2,0)),IF(法术查询!$J$6="",1,IF(法术查询!$J$6=$E480,1,0)),IF(法术查询!$J$7="",1,SEARCH(法术查询!$J$7,$F480)),IF(法术查询!$J$8="",1,SEARCH(法术查询!$J$8,G480)),IF(法术查询!$J$9="",1,SEARCH(法术查询!$J$9,N480)),IF(法术查询!$J$10="",1,IF(法术查询!$J$10=$AF$11,IF($M480=1,1,0),IF($M480="",1,0))),IF(法术查询!$J$11="",1,IF(法术查询!$J$11=$AF$11,IF($D480=1,1,0),IF($D480="",1,0))),IF(法术查询!$J$12="",1,SEARCH(法术查询!$J$12,$B480&amp;$C480&amp;$O480)),IF(法术查询!$J$13="",1,SEARCH(法术查询!$J$13,$B480&amp;$C480&amp;$O480)),IF(法术查询!$J$14="",1,SEARCH(法术查询!$J$14,$B480&amp;$C480&amp;$O480)),IF(法术查询!$J$16="",1,IF(法术查询!$J$16=$AF$11,IF($H480=1,1,0),IF($H480="",1,0))),IF(法术查询!$J$17="",1,IF(法术查询!$J$17=$AF$11,IF($I480=1,1,0),IF($I480="",1,0))),IF(法术查询!$J$18="",1,IF(法术查询!$J$18=$AF$11,IF($J480&lt;&gt;"",1,0),IF($J480="",1,0))),IF(法术查询!$J$19="",1,IF(法术查询!$J$19=$AF$11,IF($L480&lt;&gt;"",1,0),IF($L480="",1,0)))),$B480,""),"")</f>
        <v/>
      </c>
      <c r="AD479" s="192" t="str">
        <f t="array" ref="AD479">INDEX(AC:AC,SMALL(IF($AC$2:$AC$523&lt;&gt;"",ROW($2:$523),524),ROW(AC478)))&amp;""</f>
        <v/>
      </c>
      <c r="AE479" s="200" t="str">
        <f t="shared" si="11"/>
        <v/>
      </c>
    </row>
    <row r="480" customHeight="1" spans="1:31">
      <c r="A480" s="192">
        <v>478</v>
      </c>
      <c r="B480" s="224" t="s">
        <v>8644</v>
      </c>
      <c r="C480" s="224" t="s">
        <v>8645</v>
      </c>
      <c r="E480" s="242" t="s">
        <v>6650</v>
      </c>
      <c r="F480" s="193" t="s">
        <v>6642</v>
      </c>
      <c r="G480" s="193" t="s">
        <v>6849</v>
      </c>
      <c r="H480" s="193">
        <v>1</v>
      </c>
      <c r="I480" s="193">
        <v>1</v>
      </c>
      <c r="J480" s="193">
        <v>1</v>
      </c>
      <c r="K480" s="224" t="s">
        <v>8646</v>
      </c>
      <c r="M480" s="193">
        <v>1</v>
      </c>
      <c r="N480" s="193" t="s">
        <v>6739</v>
      </c>
      <c r="O480" s="224" t="s">
        <v>8647</v>
      </c>
      <c r="P480" s="224">
        <v>8</v>
      </c>
      <c r="Q480" s="224" t="s">
        <v>249</v>
      </c>
      <c r="S480" s="193">
        <v>1</v>
      </c>
      <c r="X480" s="193">
        <v>1</v>
      </c>
      <c r="AA480" s="223" t="s">
        <v>8183</v>
      </c>
      <c r="AB480" s="200" t="str">
        <f t="array" ref="AB480">INDEX(B:B,SMALL(IF($Q$3:$Q$524&lt;&gt;"",ROW($3:$524),525),ROW(B479)))&amp;""</f>
        <v>创造半位面</v>
      </c>
      <c r="AC480" s="225" t="str">
        <f>IFERROR(IF(AND($Q481&lt;&gt;"",IF(法术查询!$J$4="",1,INDEX($R481:$Z481,1,VLOOKUP(法术查询!$J$4,$AF$2:$AG$10,2,0)))&lt;&gt;"",IF(法术查询!$J$5="",1,$P481=VLOOKUP(法术查询!$J$5,$AH$2:$AI$11,2,0)),IF(法术查询!$J$6="",1,IF(法术查询!$J$6=$E481,1,0)),IF(法术查询!$J$7="",1,SEARCH(法术查询!$J$7,$F481)),IF(法术查询!$J$8="",1,SEARCH(法术查询!$J$8,G481)),IF(法术查询!$J$9="",1,SEARCH(法术查询!$J$9,N481)),IF(法术查询!$J$10="",1,IF(法术查询!$J$10=$AF$11,IF($M481=1,1,0),IF($M481="",1,0))),IF(法术查询!$J$11="",1,IF(法术查询!$J$11=$AF$11,IF($D481=1,1,0),IF($D481="",1,0))),IF(法术查询!$J$12="",1,SEARCH(法术查询!$J$12,$B481&amp;$C481&amp;$O481)),IF(法术查询!$J$13="",1,SEARCH(法术查询!$J$13,$B481&amp;$C481&amp;$O481)),IF(法术查询!$J$14="",1,SEARCH(法术查询!$J$14,$B481&amp;$C481&amp;$O481)),IF(法术查询!$J$16="",1,IF(法术查询!$J$16=$AF$11,IF($H481=1,1,0),IF($H481="",1,0))),IF(法术查询!$J$17="",1,IF(法术查询!$J$17=$AF$11,IF($I481=1,1,0),IF($I481="",1,0))),IF(法术查询!$J$18="",1,IF(法术查询!$J$18=$AF$11,IF($J481&lt;&gt;"",1,0),IF($J481="",1,0))),IF(法术查询!$J$19="",1,IF(法术查询!$J$19=$AF$11,IF($L481&lt;&gt;"",1,0),IF($L481="",1,0)))),$B481,""),"")</f>
        <v/>
      </c>
      <c r="AD480" s="192" t="str">
        <f t="array" ref="AD480">INDEX(AC:AC,SMALL(IF($AC$2:$AC$523&lt;&gt;"",ROW($2:$523),524),ROW(AC479)))&amp;""</f>
        <v/>
      </c>
      <c r="AE480" s="200" t="str">
        <f t="shared" si="11"/>
        <v/>
      </c>
    </row>
    <row r="481" customHeight="1" spans="1:31">
      <c r="A481" s="192">
        <v>479</v>
      </c>
      <c r="B481" s="224" t="s">
        <v>8648</v>
      </c>
      <c r="C481" s="224" t="s">
        <v>8649</v>
      </c>
      <c r="E481" s="233" t="s">
        <v>6688</v>
      </c>
      <c r="F481" s="193" t="s">
        <v>6704</v>
      </c>
      <c r="G481" s="193" t="s">
        <v>6643</v>
      </c>
      <c r="H481" s="193">
        <v>1</v>
      </c>
      <c r="I481" s="193">
        <v>1</v>
      </c>
      <c r="J481" s="193">
        <v>1</v>
      </c>
      <c r="K481" s="224" t="s">
        <v>8650</v>
      </c>
      <c r="N481" s="193" t="s">
        <v>6780</v>
      </c>
      <c r="O481" s="224" t="s">
        <v>8651</v>
      </c>
      <c r="P481" s="224">
        <v>8</v>
      </c>
      <c r="Q481" s="224" t="s">
        <v>249</v>
      </c>
      <c r="R481" s="193" t="str">
        <f>IF(综合数据!$B$14=TRUE,"13","")</f>
        <v>13</v>
      </c>
      <c r="T481" s="193">
        <v>1</v>
      </c>
      <c r="X481" s="193">
        <v>1</v>
      </c>
      <c r="AA481" s="200"/>
      <c r="AB481" s="200" t="str">
        <f t="array" ref="AB481">INDEX(B:B,SMALL(IF($Q$3:$Q$524&lt;&gt;"",ROW($3:$524),525),ROW(B480)))&amp;""</f>
        <v>支配怪物</v>
      </c>
      <c r="AC481" s="225" t="str">
        <f>IFERROR(IF(AND($Q482&lt;&gt;"",IF(法术查询!$J$4="",1,INDEX($R482:$Z482,1,VLOOKUP(法术查询!$J$4,$AF$2:$AG$10,2,0)))&lt;&gt;"",IF(法术查询!$J$5="",1,$P482=VLOOKUP(法术查询!$J$5,$AH$2:$AI$11,2,0)),IF(法术查询!$J$6="",1,IF(法术查询!$J$6=$E482,1,0)),IF(法术查询!$J$7="",1,SEARCH(法术查询!$J$7,$F482)),IF(法术查询!$J$8="",1,SEARCH(法术查询!$J$8,G482)),IF(法术查询!$J$9="",1,SEARCH(法术查询!$J$9,N482)),IF(法术查询!$J$10="",1,IF(法术查询!$J$10=$AF$11,IF($M482=1,1,0),IF($M482="",1,0))),IF(法术查询!$J$11="",1,IF(法术查询!$J$11=$AF$11,IF($D482=1,1,0),IF($D482="",1,0))),IF(法术查询!$J$12="",1,SEARCH(法术查询!$J$12,$B482&amp;$C482&amp;$O482)),IF(法术查询!$J$13="",1,SEARCH(法术查询!$J$13,$B482&amp;$C482&amp;$O482)),IF(法术查询!$J$14="",1,SEARCH(法术查询!$J$14,$B482&amp;$C482&amp;$O482)),IF(法术查询!$J$16="",1,IF(法术查询!$J$16=$AF$11,IF($H482=1,1,0),IF($H482="",1,0))),IF(法术查询!$J$17="",1,IF(法术查询!$J$17=$AF$11,IF($I482=1,1,0),IF($I482="",1,0))),IF(法术查询!$J$18="",1,IF(法术查询!$J$18=$AF$11,IF($J482&lt;&gt;"",1,0),IF($J482="",1,0))),IF(法术查询!$J$19="",1,IF(法术查询!$J$19=$AF$11,IF($L482&lt;&gt;"",1,0),IF($L482="",1,0)))),$B482,""),"")</f>
        <v/>
      </c>
      <c r="AD481" s="192" t="str">
        <f t="array" ref="AD481">INDEX(AC:AC,SMALL(IF($AC$2:$AC$523&lt;&gt;"",ROW($2:$523),524),ROW(AC480)))&amp;""</f>
        <v/>
      </c>
      <c r="AE481" s="200" t="str">
        <f t="shared" si="11"/>
        <v/>
      </c>
    </row>
    <row r="482" customHeight="1" spans="1:31">
      <c r="A482" s="192">
        <v>480</v>
      </c>
      <c r="B482" s="224" t="s">
        <v>8652</v>
      </c>
      <c r="C482" s="224" t="s">
        <v>8653</v>
      </c>
      <c r="E482" s="243" t="s">
        <v>6657</v>
      </c>
      <c r="F482" s="193" t="s">
        <v>6704</v>
      </c>
      <c r="G482" s="193" t="s">
        <v>3760</v>
      </c>
      <c r="H482" s="193">
        <v>1</v>
      </c>
      <c r="I482" s="193">
        <v>1</v>
      </c>
      <c r="J482" s="193">
        <v>2</v>
      </c>
      <c r="K482" s="224" t="s">
        <v>8654</v>
      </c>
      <c r="L482" s="224" t="s">
        <v>8655</v>
      </c>
      <c r="N482" s="193" t="s">
        <v>6644</v>
      </c>
      <c r="O482" s="224" t="s">
        <v>8656</v>
      </c>
      <c r="P482" s="224">
        <v>8</v>
      </c>
      <c r="Q482" s="224" t="s">
        <v>249</v>
      </c>
      <c r="X482" s="193">
        <v>1</v>
      </c>
      <c r="AA482" s="200"/>
      <c r="AB482" s="200" t="str">
        <f t="array" ref="AB482">INDEX(B:B,SMALL(IF($Q$3:$Q$524&lt;&gt;"",ROW($3:$524),525),ROW(B481)))&amp;""</f>
        <v>地震术</v>
      </c>
      <c r="AC482" s="225" t="str">
        <f>IFERROR(IF(AND($Q483&lt;&gt;"",IF(法术查询!$J$4="",1,INDEX($R483:$Z483,1,VLOOKUP(法术查询!$J$4,$AF$2:$AG$10,2,0)))&lt;&gt;"",IF(法术查询!$J$5="",1,$P483=VLOOKUP(法术查询!$J$5,$AH$2:$AI$11,2,0)),IF(法术查询!$J$6="",1,IF(法术查询!$J$6=$E483,1,0)),IF(法术查询!$J$7="",1,SEARCH(法术查询!$J$7,$F483)),IF(法术查询!$J$8="",1,SEARCH(法术查询!$J$8,G483)),IF(法术查询!$J$9="",1,SEARCH(法术查询!$J$9,N483)),IF(法术查询!$J$10="",1,IF(法术查询!$J$10=$AF$11,IF($M483=1,1,0),IF($M483="",1,0))),IF(法术查询!$J$11="",1,IF(法术查询!$J$11=$AF$11,IF($D483=1,1,0),IF($D483="",1,0))),IF(法术查询!$J$12="",1,SEARCH(法术查询!$J$12,$B483&amp;$C483&amp;$O483)),IF(法术查询!$J$13="",1,SEARCH(法术查询!$J$13,$B483&amp;$C483&amp;$O483)),IF(法术查询!$J$14="",1,SEARCH(法术查询!$J$14,$B483&amp;$C483&amp;$O483)),IF(法术查询!$J$16="",1,IF(法术查询!$J$16=$AF$11,IF($H483=1,1,0),IF($H483="",1,0))),IF(法术查询!$J$17="",1,IF(法术查询!$J$17=$AF$11,IF($I483=1,1,0),IF($I483="",1,0))),IF(法术查询!$J$18="",1,IF(法术查询!$J$18=$AF$11,IF($J483&lt;&gt;"",1,0),IF($J483="",1,0))),IF(法术查询!$J$19="",1,IF(法术查询!$J$19=$AF$11,IF($L483&lt;&gt;"",1,0),IF($L483="",1,0)))),$B483,""),"")</f>
        <v/>
      </c>
      <c r="AD482" s="192" t="str">
        <f t="array" ref="AD482">INDEX(AC:AC,SMALL(IF($AC$2:$AC$523&lt;&gt;"",ROW($2:$523),524),ROW(AC481)))&amp;""</f>
        <v/>
      </c>
      <c r="AE482" s="200" t="str">
        <f t="shared" si="11"/>
        <v/>
      </c>
    </row>
    <row r="483" customHeight="1" spans="1:31">
      <c r="A483" s="192">
        <v>481</v>
      </c>
      <c r="B483" s="224" t="s">
        <v>8657</v>
      </c>
      <c r="C483" s="224" t="s">
        <v>8658</v>
      </c>
      <c r="E483" s="231" t="s">
        <v>6672</v>
      </c>
      <c r="F483" s="193" t="s">
        <v>6731</v>
      </c>
      <c r="G483" s="193" t="s">
        <v>6893</v>
      </c>
      <c r="H483" s="193">
        <v>1</v>
      </c>
      <c r="I483" s="193">
        <v>1</v>
      </c>
      <c r="J483" s="193">
        <v>1</v>
      </c>
      <c r="K483" s="224" t="s">
        <v>8659</v>
      </c>
      <c r="M483" s="193">
        <v>1</v>
      </c>
      <c r="N483" s="193" t="s">
        <v>6845</v>
      </c>
      <c r="O483" s="224" t="s">
        <v>8660</v>
      </c>
      <c r="P483" s="224">
        <v>8</v>
      </c>
      <c r="Q483" s="224" t="s">
        <v>249</v>
      </c>
      <c r="S483" s="193">
        <v>1</v>
      </c>
      <c r="T483" s="193">
        <v>1</v>
      </c>
      <c r="X483" s="193">
        <v>1</v>
      </c>
      <c r="AA483" s="200"/>
      <c r="AB483" s="200" t="str">
        <f t="array" ref="AB483">INDEX(B:B,SMALL(IF($Q$3:$Q$524&lt;&gt;"",ROW($3:$524),525),ROW(B482)))&amp;""</f>
        <v>弱智术</v>
      </c>
      <c r="AC483" s="225" t="str">
        <f>IFERROR(IF(AND($Q484&lt;&gt;"",IF(法术查询!$J$4="",1,INDEX($R484:$Z484,1,VLOOKUP(法术查询!$J$4,$AF$2:$AG$10,2,0)))&lt;&gt;"",IF(法术查询!$J$5="",1,$P484=VLOOKUP(法术查询!$J$5,$AH$2:$AI$11,2,0)),IF(法术查询!$J$6="",1,IF(法术查询!$J$6=$E484,1,0)),IF(法术查询!$J$7="",1,SEARCH(法术查询!$J$7,$F484)),IF(法术查询!$J$8="",1,SEARCH(法术查询!$J$8,G484)),IF(法术查询!$J$9="",1,SEARCH(法术查询!$J$9,N484)),IF(法术查询!$J$10="",1,IF(法术查询!$J$10=$AF$11,IF($M484=1,1,0),IF($M484="",1,0))),IF(法术查询!$J$11="",1,IF(法术查询!$J$11=$AF$11,IF($D484=1,1,0),IF($D484="",1,0))),IF(法术查询!$J$12="",1,SEARCH(法术查询!$J$12,$B484&amp;$C484&amp;$O484)),IF(法术查询!$J$13="",1,SEARCH(法术查询!$J$13,$B484&amp;$C484&amp;$O484)),IF(法术查询!$J$14="",1,SEARCH(法术查询!$J$14,$B484&amp;$C484&amp;$O484)),IF(法术查询!$J$16="",1,IF(法术查询!$J$16=$AF$11,IF($H484=1,1,0),IF($H484="",1,0))),IF(法术查询!$J$17="",1,IF(法术查询!$J$17=$AF$11,IF($I484=1,1,0),IF($I484="",1,0))),IF(法术查询!$J$18="",1,IF(法术查询!$J$18=$AF$11,IF($J484&lt;&gt;"",1,0),IF($J484="",1,0))),IF(法术查询!$J$19="",1,IF(法术查询!$J$19=$AF$11,IF($L484&lt;&gt;"",1,0),IF($L484="",1,0)))),$B484,""),"")</f>
        <v/>
      </c>
      <c r="AD483" s="192" t="str">
        <f t="array" ref="AD483">INDEX(AC:AC,SMALL(IF($AC$2:$AC$523&lt;&gt;"",ROW($2:$523),524),ROW(AC482)))&amp;""</f>
        <v/>
      </c>
      <c r="AE483" s="200" t="str">
        <f t="shared" si="11"/>
        <v/>
      </c>
    </row>
    <row r="484" customHeight="1" spans="1:31">
      <c r="A484" s="192">
        <v>482</v>
      </c>
      <c r="B484" s="224" t="s">
        <v>8661</v>
      </c>
      <c r="C484" s="224" t="s">
        <v>8662</v>
      </c>
      <c r="E484" s="240" t="s">
        <v>6641</v>
      </c>
      <c r="F484" s="193" t="s">
        <v>6642</v>
      </c>
      <c r="G484" s="193" t="s">
        <v>6643</v>
      </c>
      <c r="I484" s="193">
        <v>1</v>
      </c>
      <c r="N484" s="193" t="s">
        <v>6704</v>
      </c>
      <c r="O484" s="224" t="s">
        <v>8663</v>
      </c>
      <c r="P484" s="224">
        <v>8</v>
      </c>
      <c r="Q484" s="224" t="s">
        <v>249</v>
      </c>
      <c r="W484" s="193" t="str">
        <f>IF(综合数据!$B$14=TRUE,"13","")</f>
        <v>13</v>
      </c>
      <c r="X484" s="193">
        <v>1</v>
      </c>
      <c r="Y484" s="193">
        <v>1</v>
      </c>
      <c r="AA484" s="200"/>
      <c r="AB484" s="200" t="str">
        <f t="array" ref="AB484">INDEX(B:B,SMALL(IF($Q$3:$Q$524&lt;&gt;"",ROW($3:$524),525),ROW(B483)))&amp;""</f>
        <v>花言巧语</v>
      </c>
      <c r="AC484" s="225" t="str">
        <f>IFERROR(IF(AND($Q485&lt;&gt;"",IF(法术查询!$J$4="",1,INDEX($R485:$Z485,1,VLOOKUP(法术查询!$J$4,$AF$2:$AG$10,2,0)))&lt;&gt;"",IF(法术查询!$J$5="",1,$P485=VLOOKUP(法术查询!$J$5,$AH$2:$AI$11,2,0)),IF(法术查询!$J$6="",1,IF(法术查询!$J$6=$E485,1,0)),IF(法术查询!$J$7="",1,SEARCH(法术查询!$J$7,$F485)),IF(法术查询!$J$8="",1,SEARCH(法术查询!$J$8,G485)),IF(法术查询!$J$9="",1,SEARCH(法术查询!$J$9,N485)),IF(法术查询!$J$10="",1,IF(法术查询!$J$10=$AF$11,IF($M485=1,1,0),IF($M485="",1,0))),IF(法术查询!$J$11="",1,IF(法术查询!$J$11=$AF$11,IF($D485=1,1,0),IF($D485="",1,0))),IF(法术查询!$J$12="",1,SEARCH(法术查询!$J$12,$B485&amp;$C485&amp;$O485)),IF(法术查询!$J$13="",1,SEARCH(法术查询!$J$13,$B485&amp;$C485&amp;$O485)),IF(法术查询!$J$14="",1,SEARCH(法术查询!$J$14,$B485&amp;$C485&amp;$O485)),IF(法术查询!$J$16="",1,IF(法术查询!$J$16=$AF$11,IF($H485=1,1,0),IF($H485="",1,0))),IF(法术查询!$J$17="",1,IF(法术查询!$J$17=$AF$11,IF($I485=1,1,0),IF($I485="",1,0))),IF(法术查询!$J$18="",1,IF(法术查询!$J$18=$AF$11,IF($J485&lt;&gt;"",1,0),IF($J485="",1,0))),IF(法术查询!$J$19="",1,IF(法术查询!$J$19=$AF$11,IF($L485&lt;&gt;"",1,0),IF($L485="",1,0)))),$B485,""),"")</f>
        <v/>
      </c>
      <c r="AD484" s="192" t="str">
        <f t="array" ref="AD484">INDEX(AC:AC,SMALL(IF($AC$2:$AC$523&lt;&gt;"",ROW($2:$523),524),ROW(AC483)))&amp;""</f>
        <v/>
      </c>
      <c r="AE484" s="200" t="str">
        <f t="shared" si="11"/>
        <v/>
      </c>
    </row>
    <row r="485" customHeight="1" spans="1:31">
      <c r="A485" s="192">
        <v>483</v>
      </c>
      <c r="B485" s="224" t="s">
        <v>8664</v>
      </c>
      <c r="C485" s="224" t="s">
        <v>8665</v>
      </c>
      <c r="E485" s="233" t="s">
        <v>6688</v>
      </c>
      <c r="F485" s="193" t="s">
        <v>6642</v>
      </c>
      <c r="G485" s="193" t="s">
        <v>6643</v>
      </c>
      <c r="H485" s="193">
        <v>1</v>
      </c>
      <c r="I485" s="193">
        <v>1</v>
      </c>
      <c r="M485" s="193">
        <v>1</v>
      </c>
      <c r="N485" s="193" t="s">
        <v>6739</v>
      </c>
      <c r="O485" s="224" t="s">
        <v>8666</v>
      </c>
      <c r="P485" s="224">
        <v>8</v>
      </c>
      <c r="Q485" s="224" t="s">
        <v>249</v>
      </c>
      <c r="R485" s="193">
        <v>1</v>
      </c>
      <c r="W485" s="193">
        <v>1</v>
      </c>
      <c r="X485" s="193">
        <v>1</v>
      </c>
      <c r="Y485" s="193">
        <v>1</v>
      </c>
      <c r="AA485" s="200"/>
      <c r="AB485" s="200" t="str">
        <f t="array" ref="AB485">INDEX(B:B,SMALL(IF($Q$3:$Q$524&lt;&gt;"",ROW($3:$524),525),ROW(B484)))&amp;""</f>
        <v>圣洁灵光</v>
      </c>
      <c r="AC485" s="225" t="str">
        <f>IFERROR(IF(AND($Q486&lt;&gt;"",IF(法术查询!$J$4="",1,INDEX($R486:$Z486,1,VLOOKUP(法术查询!$J$4,$AF$2:$AG$10,2,0)))&lt;&gt;"",IF(法术查询!$J$5="",1,$P486=VLOOKUP(法术查询!$J$5,$AH$2:$AI$11,2,0)),IF(法术查询!$J$6="",1,IF(法术查询!$J$6=$E486,1,0)),IF(法术查询!$J$7="",1,SEARCH(法术查询!$J$7,$F486)),IF(法术查询!$J$8="",1,SEARCH(法术查询!$J$8,G486)),IF(法术查询!$J$9="",1,SEARCH(法术查询!$J$9,N486)),IF(法术查询!$J$10="",1,IF(法术查询!$J$10=$AF$11,IF($M486=1,1,0),IF($M486="",1,0))),IF(法术查询!$J$11="",1,IF(法术查询!$J$11=$AF$11,IF($D486=1,1,0),IF($D486="",1,0))),IF(法术查询!$J$12="",1,SEARCH(法术查询!$J$12,$B486&amp;$C486&amp;$O486)),IF(法术查询!$J$13="",1,SEARCH(法术查询!$J$13,$B486&amp;$C486&amp;$O486)),IF(法术查询!$J$14="",1,SEARCH(法术查询!$J$14,$B486&amp;$C486&amp;$O486)),IF(法术查询!$J$16="",1,IF(法术查询!$J$16=$AF$11,IF($H486=1,1,0),IF($H486="",1,0))),IF(法术查询!$J$17="",1,IF(法术查询!$J$17=$AF$11,IF($I486=1,1,0),IF($I486="",1,0))),IF(法术查询!$J$18="",1,IF(法术查询!$J$18=$AF$11,IF($J486&lt;&gt;"",1,0),IF($J486="",1,0))),IF(法术查询!$J$19="",1,IF(法术查询!$J$19=$AF$11,IF($L486&lt;&gt;"",1,0),IF($L486="",1,0)))),$B486,""),"")</f>
        <v/>
      </c>
      <c r="AD485" s="192" t="str">
        <f t="array" ref="AD485">INDEX(AC:AC,SMALL(IF($AC$2:$AC$523&lt;&gt;"",ROW($2:$523),524),ROW(AC484)))&amp;""</f>
        <v/>
      </c>
      <c r="AE485" s="200" t="str">
        <f t="shared" si="11"/>
        <v/>
      </c>
    </row>
    <row r="486" customHeight="1" spans="1:31">
      <c r="A486" s="192">
        <v>484</v>
      </c>
      <c r="B486" s="224" t="s">
        <v>8667</v>
      </c>
      <c r="C486" s="224" t="s">
        <v>8668</v>
      </c>
      <c r="E486" s="229" t="s">
        <v>6664</v>
      </c>
      <c r="F486" s="193" t="s">
        <v>6642</v>
      </c>
      <c r="G486" s="193" t="s">
        <v>6793</v>
      </c>
      <c r="H486" s="193">
        <v>1</v>
      </c>
      <c r="I486" s="193">
        <v>1</v>
      </c>
      <c r="J486" s="193">
        <v>1</v>
      </c>
      <c r="K486" s="224" t="s">
        <v>8669</v>
      </c>
      <c r="M486" s="193">
        <v>1</v>
      </c>
      <c r="N486" s="193" t="s">
        <v>6666</v>
      </c>
      <c r="O486" s="224" t="s">
        <v>8670</v>
      </c>
      <c r="P486" s="224">
        <v>8</v>
      </c>
      <c r="Q486" s="224" t="s">
        <v>249</v>
      </c>
      <c r="S486" s="193">
        <v>1</v>
      </c>
      <c r="T486" s="193">
        <v>1</v>
      </c>
      <c r="W486" s="193">
        <v>1</v>
      </c>
      <c r="AA486" s="200"/>
      <c r="AB486" s="200" t="str">
        <f t="array" ref="AB486">INDEX(B:B,SMALL(IF($Q$3:$Q$524&lt;&gt;"",ROW($3:$524),525),ROW(B485)))&amp;""</f>
        <v>焚云术</v>
      </c>
      <c r="AC486" s="225" t="str">
        <f>IFERROR(IF(AND($Q487&lt;&gt;"",IF(法术查询!$J$4="",1,INDEX($R487:$Z487,1,VLOOKUP(法术查询!$J$4,$AF$2:$AG$10,2,0)))&lt;&gt;"",IF(法术查询!$J$5="",1,$P487=VLOOKUP(法术查询!$J$5,$AH$2:$AI$11,2,0)),IF(法术查询!$J$6="",1,IF(法术查询!$J$6=$E487,1,0)),IF(法术查询!$J$7="",1,SEARCH(法术查询!$J$7,$F487)),IF(法术查询!$J$8="",1,SEARCH(法术查询!$J$8,G487)),IF(法术查询!$J$9="",1,SEARCH(法术查询!$J$9,N487)),IF(法术查询!$J$10="",1,IF(法术查询!$J$10=$AF$11,IF($M487=1,1,0),IF($M487="",1,0))),IF(法术查询!$J$11="",1,IF(法术查询!$J$11=$AF$11,IF($D487=1,1,0),IF($D487="",1,0))),IF(法术查询!$J$12="",1,SEARCH(法术查询!$J$12,$B487&amp;$C487&amp;$O487)),IF(法术查询!$J$13="",1,SEARCH(法术查询!$J$13,$B487&amp;$C487&amp;$O487)),IF(法术查询!$J$14="",1,SEARCH(法术查询!$J$14,$B487&amp;$C487&amp;$O487)),IF(法术查询!$J$16="",1,IF(法术查询!$J$16=$AF$11,IF($H487=1,1,0),IF($H487="",1,0))),IF(法术查询!$J$17="",1,IF(法术查询!$J$17=$AF$11,IF($I487=1,1,0),IF($I487="",1,0))),IF(法术查询!$J$18="",1,IF(法术查询!$J$18=$AF$11,IF($J487&lt;&gt;"",1,0),IF($J487="",1,0))),IF(法术查询!$J$19="",1,IF(法术查询!$J$19=$AF$11,IF($L487&lt;&gt;"",1,0),IF($L487="",1,0)))),$B487,""),"")</f>
        <v/>
      </c>
      <c r="AD486" s="192" t="str">
        <f t="array" ref="AD486">INDEX(AC:AC,SMALL(IF($AC$2:$AC$523&lt;&gt;"",ROW($2:$523),524),ROW(AC485)))&amp;""</f>
        <v/>
      </c>
      <c r="AE486" s="200" t="str">
        <f t="shared" si="11"/>
        <v/>
      </c>
    </row>
    <row r="487" customHeight="1" spans="1:31">
      <c r="A487" s="192">
        <v>485</v>
      </c>
      <c r="B487" s="224" t="s">
        <v>8671</v>
      </c>
      <c r="C487" s="224" t="s">
        <v>8672</v>
      </c>
      <c r="E487" s="233" t="s">
        <v>6688</v>
      </c>
      <c r="F487" s="193" t="s">
        <v>6642</v>
      </c>
      <c r="G487" s="193" t="s">
        <v>6779</v>
      </c>
      <c r="H487" s="193">
        <v>1</v>
      </c>
      <c r="I487" s="193">
        <v>1</v>
      </c>
      <c r="J487" s="193">
        <v>1</v>
      </c>
      <c r="K487" s="224" t="s">
        <v>8673</v>
      </c>
      <c r="N487" s="193" t="s">
        <v>6644</v>
      </c>
      <c r="O487" s="224" t="s">
        <v>8674</v>
      </c>
      <c r="P487" s="224">
        <v>8</v>
      </c>
      <c r="Q487" s="224" t="s">
        <v>249</v>
      </c>
      <c r="R487" s="193">
        <v>1</v>
      </c>
      <c r="T487" s="193">
        <v>1</v>
      </c>
      <c r="X487" s="193">
        <v>1</v>
      </c>
      <c r="Y487" s="193">
        <v>1</v>
      </c>
      <c r="AA487" s="200"/>
      <c r="AB487" s="200" t="str">
        <f t="array" ref="AB487">INDEX(B:B,SMALL(IF($Q$3:$Q$524&lt;&gt;"",ROW($3:$524),525),ROW(B486)))&amp;""</f>
        <v>迷宫术</v>
      </c>
      <c r="AC487" s="225" t="str">
        <f>IFERROR(IF(AND($Q488&lt;&gt;"",IF(法术查询!$J$4="",1,INDEX($R488:$Z488,1,VLOOKUP(法术查询!$J$4,$AF$2:$AG$10,2,0)))&lt;&gt;"",IF(法术查询!$J$5="",1,$P488=VLOOKUP(法术查询!$J$5,$AH$2:$AI$11,2,0)),IF(法术查询!$J$6="",1,IF(法术查询!$J$6=$E488,1,0)),IF(法术查询!$J$7="",1,SEARCH(法术查询!$J$7,$F488)),IF(法术查询!$J$8="",1,SEARCH(法术查询!$J$8,G488)),IF(法术查询!$J$9="",1,SEARCH(法术查询!$J$9,N488)),IF(法术查询!$J$10="",1,IF(法术查询!$J$10=$AF$11,IF($M488=1,1,0),IF($M488="",1,0))),IF(法术查询!$J$11="",1,IF(法术查询!$J$11=$AF$11,IF($D488=1,1,0),IF($D488="",1,0))),IF(法术查询!$J$12="",1,SEARCH(法术查询!$J$12,$B488&amp;$C488&amp;$O488)),IF(法术查询!$J$13="",1,SEARCH(法术查询!$J$13,$B488&amp;$C488&amp;$O488)),IF(法术查询!$J$14="",1,SEARCH(法术查询!$J$14,$B488&amp;$C488&amp;$O488)),IF(法术查询!$J$16="",1,IF(法术查询!$J$16=$AF$11,IF($H488=1,1,0),IF($H488="",1,0))),IF(法术查询!$J$17="",1,IF(法术查询!$J$17=$AF$11,IF($I488=1,1,0),IF($I488="",1,0))),IF(法术查询!$J$18="",1,IF(法术查询!$J$18=$AF$11,IF($J488&lt;&gt;"",1,0),IF($J488="",1,0))),IF(法术查询!$J$19="",1,IF(法术查询!$J$19=$AF$11,IF($L488&lt;&gt;"",1,0),IF($L488="",1,0)))),$B488,""),"")</f>
        <v/>
      </c>
      <c r="AD487" s="192" t="str">
        <f t="array" ref="AD487">INDEX(AC:AC,SMALL(IF($AC$2:$AC$523&lt;&gt;"",ROW($2:$523),524),ROW(AC486)))&amp;""</f>
        <v/>
      </c>
      <c r="AE487" s="200" t="str">
        <f t="shared" si="11"/>
        <v/>
      </c>
    </row>
    <row r="488" customHeight="1" spans="1:31">
      <c r="A488" s="192">
        <v>486</v>
      </c>
      <c r="B488" s="224" t="s">
        <v>8675</v>
      </c>
      <c r="C488" s="224" t="s">
        <v>8676</v>
      </c>
      <c r="E488" s="231" t="s">
        <v>6672</v>
      </c>
      <c r="F488" s="193" t="s">
        <v>6642</v>
      </c>
      <c r="G488" s="193" t="s">
        <v>6651</v>
      </c>
      <c r="H488" s="193">
        <v>1</v>
      </c>
      <c r="N488" s="193" t="s">
        <v>6704</v>
      </c>
      <c r="O488" s="224" t="s">
        <v>8677</v>
      </c>
      <c r="P488" s="224">
        <v>8</v>
      </c>
      <c r="Q488" s="224" t="s">
        <v>249</v>
      </c>
      <c r="R488" s="193">
        <v>1</v>
      </c>
      <c r="Y488" s="193">
        <v>1</v>
      </c>
      <c r="AA488" s="200"/>
      <c r="AB488" s="200" t="str">
        <f t="array" ref="AB488">INDEX(B:B,SMALL(IF($Q$3:$Q$524&lt;&gt;"",ROW($3:$524),525),ROW(B487)))&amp;""</f>
        <v>心灵屏障</v>
      </c>
      <c r="AC488" s="225" t="str">
        <f>IFERROR(IF(AND($Q489&lt;&gt;"",IF(法术查询!$J$4="",1,INDEX($R489:$Z489,1,VLOOKUP(法术查询!$J$4,$AF$2:$AG$10,2,0)))&lt;&gt;"",IF(法术查询!$J$5="",1,$P489=VLOOKUP(法术查询!$J$5,$AH$2:$AI$11,2,0)),IF(法术查询!$J$6="",1,IF(法术查询!$J$6=$E489,1,0)),IF(法术查询!$J$7="",1,SEARCH(法术查询!$J$7,$F489)),IF(法术查询!$J$8="",1,SEARCH(法术查询!$J$8,G489)),IF(法术查询!$J$9="",1,SEARCH(法术查询!$J$9,N489)),IF(法术查询!$J$10="",1,IF(法术查询!$J$10=$AF$11,IF($M489=1,1,0),IF($M489="",1,0))),IF(法术查询!$J$11="",1,IF(法术查询!$J$11=$AF$11,IF($D489=1,1,0),IF($D489="",1,0))),IF(法术查询!$J$12="",1,SEARCH(法术查询!$J$12,$B489&amp;$C489&amp;$O489)),IF(法术查询!$J$13="",1,SEARCH(法术查询!$J$13,$B489&amp;$C489&amp;$O489)),IF(法术查询!$J$14="",1,SEARCH(法术查询!$J$14,$B489&amp;$C489&amp;$O489)),IF(法术查询!$J$16="",1,IF(法术查询!$J$16=$AF$11,IF($H489=1,1,0),IF($H489="",1,0))),IF(法术查询!$J$17="",1,IF(法术查询!$J$17=$AF$11,IF($I489=1,1,0),IF($I489="",1,0))),IF(法术查询!$J$18="",1,IF(法术查询!$J$18=$AF$11,IF($J489&lt;&gt;"",1,0),IF($J489="",1,0))),IF(法术查询!$J$19="",1,IF(法术查询!$J$19=$AF$11,IF($L489&lt;&gt;"",1,0),IF($L489="",1,0)))),$B489,""),"")</f>
        <v/>
      </c>
      <c r="AD488" s="192" t="str">
        <f t="array" ref="AD488">INDEX(AC:AC,SMALL(IF($AC$2:$AC$523&lt;&gt;"",ROW($2:$523),524),ROW(AC487)))&amp;""</f>
        <v/>
      </c>
      <c r="AE488" s="200" t="str">
        <f t="shared" si="11"/>
        <v/>
      </c>
    </row>
    <row r="489" customHeight="1" spans="1:31">
      <c r="A489" s="192">
        <v>487</v>
      </c>
      <c r="B489" s="224" t="s">
        <v>8678</v>
      </c>
      <c r="C489" s="224" t="s">
        <v>8679</v>
      </c>
      <c r="E489" s="242" t="s">
        <v>6650</v>
      </c>
      <c r="F489" s="193" t="s">
        <v>6642</v>
      </c>
      <c r="G489" s="193" t="s">
        <v>6651</v>
      </c>
      <c r="H489" s="193">
        <v>1</v>
      </c>
      <c r="I489" s="193">
        <v>1</v>
      </c>
      <c r="J489" s="193">
        <v>1</v>
      </c>
      <c r="K489" s="224" t="s">
        <v>8680</v>
      </c>
      <c r="M489" s="193">
        <v>1</v>
      </c>
      <c r="N489" s="193" t="s">
        <v>6666</v>
      </c>
      <c r="O489" s="224" t="s">
        <v>8681</v>
      </c>
      <c r="P489" s="224">
        <v>8</v>
      </c>
      <c r="Q489" s="224" t="s">
        <v>249</v>
      </c>
      <c r="S489" s="193">
        <v>1</v>
      </c>
      <c r="AA489" s="200"/>
      <c r="AB489" s="200" t="str">
        <f t="array" ref="AB489">INDEX(B:B,SMALL(IF($Q$3:$Q$524&lt;&gt;"",ROW($3:$524),525),ROW(B488)))&amp;""</f>
        <v>律令震慑</v>
      </c>
      <c r="AC489" s="225" t="str">
        <f>IFERROR(IF(AND($Q490&lt;&gt;"",IF(法术查询!$J$4="",1,INDEX($R490:$Z490,1,VLOOKUP(法术查询!$J$4,$AF$2:$AG$10,2,0)))&lt;&gt;"",IF(法术查询!$J$5="",1,$P490=VLOOKUP(法术查询!$J$5,$AH$2:$AI$11,2,0)),IF(法术查询!$J$6="",1,IF(法术查询!$J$6=$E490,1,0)),IF(法术查询!$J$7="",1,SEARCH(法术查询!$J$7,$F490)),IF(法术查询!$J$8="",1,SEARCH(法术查询!$J$8,G490)),IF(法术查询!$J$9="",1,SEARCH(法术查询!$J$9,N490)),IF(法术查询!$J$10="",1,IF(法术查询!$J$10=$AF$11,IF($M490=1,1,0),IF($M490="",1,0))),IF(法术查询!$J$11="",1,IF(法术查询!$J$11=$AF$11,IF($D490=1,1,0),IF($D490="",1,0))),IF(法术查询!$J$12="",1,SEARCH(法术查询!$J$12,$B490&amp;$C490&amp;$O490)),IF(法术查询!$J$13="",1,SEARCH(法术查询!$J$13,$B490&amp;$C490&amp;$O490)),IF(法术查询!$J$14="",1,SEARCH(法术查询!$J$14,$B490&amp;$C490&amp;$O490)),IF(法术查询!$J$16="",1,IF(法术查询!$J$16=$AF$11,IF($H490=1,1,0),IF($H490="",1,0))),IF(法术查询!$J$17="",1,IF(法术查询!$J$17=$AF$11,IF($I490=1,1,0),IF($I490="",1,0))),IF(法术查询!$J$18="",1,IF(法术查询!$J$18=$AF$11,IF($J490&lt;&gt;"",1,0),IF($J490="",1,0))),IF(法术查询!$J$19="",1,IF(法术查询!$J$19=$AF$11,IF($L490&lt;&gt;"",1,0),IF($L490="",1,0)))),$B490,""),"")</f>
        <v/>
      </c>
      <c r="AD489" s="192" t="str">
        <f t="array" ref="AD489">INDEX(AC:AC,SMALL(IF($AC$2:$AC$523&lt;&gt;"",ROW($2:$523),524),ROW(AC488)))&amp;""</f>
        <v/>
      </c>
      <c r="AE489" s="200" t="str">
        <f t="shared" si="11"/>
        <v/>
      </c>
    </row>
    <row r="490" customHeight="1" spans="1:31">
      <c r="A490" s="192">
        <v>488</v>
      </c>
      <c r="B490" s="224" t="s">
        <v>8682</v>
      </c>
      <c r="C490" s="224" t="s">
        <v>8683</v>
      </c>
      <c r="E490" s="240" t="s">
        <v>6641</v>
      </c>
      <c r="F490" s="193" t="s">
        <v>6642</v>
      </c>
      <c r="G490" s="193" t="s">
        <v>6779</v>
      </c>
      <c r="H490" s="193">
        <v>1</v>
      </c>
      <c r="I490" s="193">
        <v>1</v>
      </c>
      <c r="M490" s="193">
        <v>1</v>
      </c>
      <c r="N490" s="193" t="s">
        <v>6666</v>
      </c>
      <c r="O490" s="224" t="s">
        <v>8684</v>
      </c>
      <c r="P490" s="224">
        <v>8</v>
      </c>
      <c r="Q490" s="224" t="s">
        <v>249</v>
      </c>
      <c r="T490" s="193" t="str">
        <f>IF(综合数据!$B$14=TRUE,"13","")</f>
        <v>13</v>
      </c>
      <c r="W490" s="193">
        <v>1</v>
      </c>
      <c r="X490" s="193">
        <v>1</v>
      </c>
      <c r="AA490" s="200"/>
      <c r="AB490" s="200" t="str">
        <f t="array" ref="AB490">INDEX(B:B,SMALL(IF($Q$3:$Q$524&lt;&gt;"",ROW($3:$524),525),ROW(B489)))&amp;""</f>
        <v>阳炎爆</v>
      </c>
      <c r="AC490" s="225" t="str">
        <f>IFERROR(IF(AND($Q491&lt;&gt;"",IF(法术查询!$J$4="",1,INDEX($R491:$Z491,1,VLOOKUP(法术查询!$J$4,$AF$2:$AG$10,2,0)))&lt;&gt;"",IF(法术查询!$J$5="",1,$P491=VLOOKUP(法术查询!$J$5,$AH$2:$AI$11,2,0)),IF(法术查询!$J$6="",1,IF(法术查询!$J$6=$E491,1,0)),IF(法术查询!$J$7="",1,SEARCH(法术查询!$J$7,$F491)),IF(法术查询!$J$8="",1,SEARCH(法术查询!$J$8,G491)),IF(法术查询!$J$9="",1,SEARCH(法术查询!$J$9,N491)),IF(法术查询!$J$10="",1,IF(法术查询!$J$10=$AF$11,IF($M491=1,1,0),IF($M491="",1,0))),IF(法术查询!$J$11="",1,IF(法术查询!$J$11=$AF$11,IF($D491=1,1,0),IF($D491="",1,0))),IF(法术查询!$J$12="",1,SEARCH(法术查询!$J$12,$B491&amp;$C491&amp;$O491)),IF(法术查询!$J$13="",1,SEARCH(法术查询!$J$13,$B491&amp;$C491&amp;$O491)),IF(法术查询!$J$14="",1,SEARCH(法术查询!$J$14,$B491&amp;$C491&amp;$O491)),IF(法术查询!$J$16="",1,IF(法术查询!$J$16=$AF$11,IF($H491=1,1,0),IF($H491="",1,0))),IF(法术查询!$J$17="",1,IF(法术查询!$J$17=$AF$11,IF($I491=1,1,0),IF($I491="",1,0))),IF(法术查询!$J$18="",1,IF(法术查询!$J$18=$AF$11,IF($J491&lt;&gt;"",1,0),IF($J491="",1,0))),IF(法术查询!$J$19="",1,IF(法术查询!$J$19=$AF$11,IF($L491&lt;&gt;"",1,0),IF($L491="",1,0)))),$B491,""),"")</f>
        <v/>
      </c>
      <c r="AD490" s="192" t="str">
        <f t="array" ref="AD490">INDEX(AC:AC,SMALL(IF($AC$2:$AC$523&lt;&gt;"",ROW($2:$523),524),ROW(AC489)))&amp;""</f>
        <v/>
      </c>
      <c r="AE490" s="200" t="str">
        <f t="shared" si="11"/>
        <v/>
      </c>
    </row>
    <row r="491" customHeight="1" spans="1:31">
      <c r="A491" s="192">
        <v>489</v>
      </c>
      <c r="B491" s="224" t="s">
        <v>8685</v>
      </c>
      <c r="C491" s="224" t="s">
        <v>8686</v>
      </c>
      <c r="E491" s="240" t="s">
        <v>6641</v>
      </c>
      <c r="F491" s="193" t="s">
        <v>6642</v>
      </c>
      <c r="G491" s="193" t="s">
        <v>6643</v>
      </c>
      <c r="H491" s="193">
        <v>1</v>
      </c>
      <c r="I491" s="193">
        <v>1</v>
      </c>
      <c r="M491" s="193">
        <v>1</v>
      </c>
      <c r="N491" s="193" t="s">
        <v>6831</v>
      </c>
      <c r="O491" s="224" t="s">
        <v>8687</v>
      </c>
      <c r="P491" s="224">
        <v>8</v>
      </c>
      <c r="Q491" s="224" t="s">
        <v>249</v>
      </c>
      <c r="X491" s="193">
        <v>1</v>
      </c>
      <c r="AA491" s="200"/>
      <c r="AB491" s="200" t="str">
        <f t="array" ref="AB491">INDEX(B:B,SMALL(IF($Q$3:$Q$524&lt;&gt;"",ROW($3:$524),525),ROW(B490)))&amp;""</f>
        <v>心灵感应</v>
      </c>
      <c r="AC491" s="225" t="str">
        <f>IFERROR(IF(AND($Q492&lt;&gt;"",IF(法术查询!$J$4="",1,INDEX($R492:$Z492,1,VLOOKUP(法术查询!$J$4,$AF$2:$AG$10,2,0)))&lt;&gt;"",IF(法术查询!$J$5="",1,$P492=VLOOKUP(法术查询!$J$5,$AH$2:$AI$11,2,0)),IF(法术查询!$J$6="",1,IF(法术查询!$J$6=$E492,1,0)),IF(法术查询!$J$7="",1,SEARCH(法术查询!$J$7,$F492)),IF(法术查询!$J$8="",1,SEARCH(法术查询!$J$8,G492)),IF(法术查询!$J$9="",1,SEARCH(法术查询!$J$9,N492)),IF(法术查询!$J$10="",1,IF(法术查询!$J$10=$AF$11,IF($M492=1,1,0),IF($M492="",1,0))),IF(法术查询!$J$11="",1,IF(法术查询!$J$11=$AF$11,IF($D492=1,1,0),IF($D492="",1,0))),IF(法术查询!$J$12="",1,SEARCH(法术查询!$J$12,$B492&amp;$C492&amp;$O492)),IF(法术查询!$J$13="",1,SEARCH(法术查询!$J$13,$B492&amp;$C492&amp;$O492)),IF(法术查询!$J$14="",1,SEARCH(法术查询!$J$14,$B492&amp;$C492&amp;$O492)),IF(法术查询!$J$16="",1,IF(法术查询!$J$16=$AF$11,IF($H492=1,1,0),IF($H492="",1,0))),IF(法术查询!$J$17="",1,IF(法术查询!$J$17=$AF$11,IF($I492=1,1,0),IF($I492="",1,0))),IF(法术查询!$J$18="",1,IF(法术查询!$J$18=$AF$11,IF($J492&lt;&gt;"",1,0),IF($J492="",1,0))),IF(法术查询!$J$19="",1,IF(法术查询!$J$19=$AF$11,IF($L492&lt;&gt;"",1,0),IF($L492="",1,0)))),$B492,""),"")</f>
        <v/>
      </c>
      <c r="AD491" s="192" t="str">
        <f t="array" ref="AD491">INDEX(AC:AC,SMALL(IF($AC$2:$AC$523&lt;&gt;"",ROW($2:$523),524),ROW(AC490)))&amp;""</f>
        <v/>
      </c>
      <c r="AE491" s="200" t="str">
        <f t="shared" si="11"/>
        <v/>
      </c>
    </row>
    <row r="492" customHeight="1" spans="1:31">
      <c r="A492" s="192">
        <v>490</v>
      </c>
      <c r="B492" s="224" t="s">
        <v>8688</v>
      </c>
      <c r="C492" s="224" t="s">
        <v>8689</v>
      </c>
      <c r="E492" s="242" t="s">
        <v>6650</v>
      </c>
      <c r="F492" s="193" t="s">
        <v>6642</v>
      </c>
      <c r="G492" s="193" t="s">
        <v>3760</v>
      </c>
      <c r="H492" s="193">
        <v>1</v>
      </c>
      <c r="I492" s="193">
        <v>1</v>
      </c>
      <c r="N492" s="193" t="s">
        <v>6759</v>
      </c>
      <c r="O492" s="224" t="s">
        <v>8690</v>
      </c>
      <c r="P492" s="224">
        <v>8</v>
      </c>
      <c r="Q492" s="224" t="s">
        <v>249</v>
      </c>
      <c r="R492" s="193">
        <v>1</v>
      </c>
      <c r="X492" s="193">
        <v>1</v>
      </c>
      <c r="AA492" s="200"/>
      <c r="AB492" s="200" t="str">
        <f t="array" ref="AB492">INDEX(B:B,SMALL(IF($Q$3:$Q$524&lt;&gt;"",ROW($3:$524),525),ROW(B491)))&amp;""</f>
        <v>海啸术</v>
      </c>
      <c r="AC492" s="225" t="str">
        <f>IFERROR(IF(AND($Q493&lt;&gt;"",IF(法术查询!$J$4="",1,INDEX($R493:$Z493,1,VLOOKUP(法术查询!$J$4,$AF$2:$AG$10,2,0)))&lt;&gt;"",IF(法术查询!$J$5="",1,$P493=VLOOKUP(法术查询!$J$5,$AH$2:$AI$11,2,0)),IF(法术查询!$J$6="",1,IF(法术查询!$J$6=$E493,1,0)),IF(法术查询!$J$7="",1,SEARCH(法术查询!$J$7,$F493)),IF(法术查询!$J$8="",1,SEARCH(法术查询!$J$8,G493)),IF(法术查询!$J$9="",1,SEARCH(法术查询!$J$9,N493)),IF(法术查询!$J$10="",1,IF(法术查询!$J$10=$AF$11,IF($M493=1,1,0),IF($M493="",1,0))),IF(法术查询!$J$11="",1,IF(法术查询!$J$11=$AF$11,IF($D493=1,1,0),IF($D493="",1,0))),IF(法术查询!$J$12="",1,SEARCH(法术查询!$J$12,$B493&amp;$C493&amp;$O493)),IF(法术查询!$J$13="",1,SEARCH(法术查询!$J$13,$B493&amp;$C493&amp;$O493)),IF(法术查询!$J$14="",1,SEARCH(法术查询!$J$14,$B493&amp;$C493&amp;$O493)),IF(法术查询!$J$16="",1,IF(法术查询!$J$16=$AF$11,IF($H493=1,1,0),IF($H493="",1,0))),IF(法术查询!$J$17="",1,IF(法术查询!$J$17=$AF$11,IF($I493=1,1,0),IF($I493="",1,0))),IF(法术查询!$J$18="",1,IF(法术查询!$J$18=$AF$11,IF($J493&lt;&gt;"",1,0),IF($J493="",1,0))),IF(法术查询!$J$19="",1,IF(法术查询!$J$19=$AF$11,IF($L493&lt;&gt;"",1,0),IF($L493="",1,0)))),$B493,""),"")</f>
        <v/>
      </c>
      <c r="AD492" s="192" t="str">
        <f t="array" ref="AD492">INDEX(AC:AC,SMALL(IF($AC$2:$AC$523&lt;&gt;"",ROW($2:$523),524),ROW(AC491)))&amp;""</f>
        <v/>
      </c>
      <c r="AE492" s="200" t="str">
        <f t="shared" si="11"/>
        <v/>
      </c>
    </row>
    <row r="493" customHeight="1" spans="1:31">
      <c r="A493" s="192">
        <v>491</v>
      </c>
      <c r="B493" s="224" t="s">
        <v>8691</v>
      </c>
      <c r="C493" s="224" t="s">
        <v>8692</v>
      </c>
      <c r="E493" s="233" t="s">
        <v>6688</v>
      </c>
      <c r="F493" s="193" t="s">
        <v>6642</v>
      </c>
      <c r="G493" s="193" t="s">
        <v>6643</v>
      </c>
      <c r="H493" s="193">
        <v>1</v>
      </c>
      <c r="N493" s="193" t="s">
        <v>6644</v>
      </c>
      <c r="O493" s="224" t="s">
        <v>8693</v>
      </c>
      <c r="P493" s="224">
        <v>8</v>
      </c>
      <c r="Q493" s="224" t="s">
        <v>249</v>
      </c>
      <c r="R493" s="193">
        <v>1</v>
      </c>
      <c r="W493" s="193">
        <v>1</v>
      </c>
      <c r="X493" s="193">
        <v>1</v>
      </c>
      <c r="Y493" s="193">
        <v>1</v>
      </c>
      <c r="AA493" s="200"/>
      <c r="AB493" s="200" t="str">
        <f t="array" ref="AB493">INDEX(B:B,SMALL(IF($Q$3:$Q$524&lt;&gt;"",ROW($3:$524),525),ROW(B492)))&amp;""</f>
        <v>亚比达奇凋死术</v>
      </c>
      <c r="AC493" s="225" t="str">
        <f>IFERROR(IF(AND($Q494&lt;&gt;"",IF(法术查询!$J$4="",1,INDEX($R494:$Z494,1,VLOOKUP(法术查询!$J$4,$AF$2:$AG$10,2,0)))&lt;&gt;"",IF(法术查询!$J$5="",1,$P494=VLOOKUP(法术查询!$J$5,$AH$2:$AI$11,2,0)),IF(法术查询!$J$6="",1,IF(法术查询!$J$6=$E494,1,0)),IF(法术查询!$J$7="",1,SEARCH(法术查询!$J$7,$F494)),IF(法术查询!$J$8="",1,SEARCH(法术查询!$J$8,G494)),IF(法术查询!$J$9="",1,SEARCH(法术查询!$J$9,N494)),IF(法术查询!$J$10="",1,IF(法术查询!$J$10=$AF$11,IF($M494=1,1,0),IF($M494="",1,0))),IF(法术查询!$J$11="",1,IF(法术查询!$J$11=$AF$11,IF($D494=1,1,0),IF($D494="",1,0))),IF(法术查询!$J$12="",1,SEARCH(法术查询!$J$12,$B494&amp;$C494&amp;$O494)),IF(法术查询!$J$13="",1,SEARCH(法术查询!$J$13,$B494&amp;$C494&amp;$O494)),IF(法术查询!$J$14="",1,SEARCH(法术查询!$J$14,$B494&amp;$C494&amp;$O494)),IF(法术查询!$J$16="",1,IF(法术查询!$J$16=$AF$11,IF($H494=1,1,0),IF($H494="",1,0))),IF(法术查询!$J$17="",1,IF(法术查询!$J$17=$AF$11,IF($I494=1,1,0),IF($I494="",1,0))),IF(法术查询!$J$18="",1,IF(法术查询!$J$18=$AF$11,IF($J494&lt;&gt;"",1,0),IF($J494="",1,0))),IF(法术查询!$J$19="",1,IF(法术查询!$J$19=$AF$11,IF($L494&lt;&gt;"",1,0),IF($L494="",1,0)))),$B494,""),"")</f>
        <v/>
      </c>
      <c r="AD493" s="192" t="str">
        <f t="array" ref="AD493">INDEX(AC:AC,SMALL(IF($AC$2:$AC$523&lt;&gt;"",ROW($2:$523),524),ROW(AC492)))&amp;""</f>
        <v/>
      </c>
      <c r="AE493" s="200" t="str">
        <f t="shared" si="11"/>
        <v/>
      </c>
    </row>
    <row r="494" customHeight="1" spans="1:31">
      <c r="A494" s="192">
        <v>492</v>
      </c>
      <c r="B494" s="224" t="s">
        <v>8694</v>
      </c>
      <c r="C494" s="224" t="s">
        <v>8695</v>
      </c>
      <c r="E494" s="229" t="s">
        <v>6664</v>
      </c>
      <c r="F494" s="193" t="s">
        <v>6642</v>
      </c>
      <c r="G494" s="193" t="s">
        <v>6779</v>
      </c>
      <c r="H494" s="193">
        <v>1</v>
      </c>
      <c r="I494" s="193">
        <v>1</v>
      </c>
      <c r="J494" s="193">
        <v>1</v>
      </c>
      <c r="K494" s="224" t="s">
        <v>8696</v>
      </c>
      <c r="N494" s="193" t="s">
        <v>6644</v>
      </c>
      <c r="O494" s="224" t="s">
        <v>8697</v>
      </c>
      <c r="P494" s="224">
        <v>8</v>
      </c>
      <c r="Q494" s="224" t="s">
        <v>249</v>
      </c>
      <c r="S494" s="193" t="str">
        <f>IF(综合数据!$B$14=TRUE,"13","")</f>
        <v>13</v>
      </c>
      <c r="T494" s="193">
        <v>1</v>
      </c>
      <c r="W494" s="193">
        <v>1</v>
      </c>
      <c r="X494" s="193">
        <v>1</v>
      </c>
      <c r="AA494" s="200"/>
      <c r="AB494" s="200" t="str">
        <f t="array" ref="AB494">INDEX(B:B,SMALL(IF($Q$3:$Q$524&lt;&gt;"",ROW($3:$524),525),ROW(B493)))&amp;""</f>
        <v>幻影巨龙</v>
      </c>
      <c r="AC494" s="225" t="str">
        <f>IFERROR(IF(AND($Q495&lt;&gt;"",IF(法术查询!$J$4="",1,INDEX($R495:$Z495,1,VLOOKUP(法术查询!$J$4,$AF$2:$AG$10,2,0)))&lt;&gt;"",IF(法术查询!$J$5="",1,$P495=VLOOKUP(法术查询!$J$5,$AH$2:$AI$11,2,0)),IF(法术查询!$J$6="",1,IF(法术查询!$J$6=$E495,1,0)),IF(法术查询!$J$7="",1,SEARCH(法术查询!$J$7,$F495)),IF(法术查询!$J$8="",1,SEARCH(法术查询!$J$8,G495)),IF(法术查询!$J$9="",1,SEARCH(法术查询!$J$9,N495)),IF(法术查询!$J$10="",1,IF(法术查询!$J$10=$AF$11,IF($M495=1,1,0),IF($M495="",1,0))),IF(法术查询!$J$11="",1,IF(法术查询!$J$11=$AF$11,IF($D495=1,1,0),IF($D495="",1,0))),IF(法术查询!$J$12="",1,SEARCH(法术查询!$J$12,$B495&amp;$C495&amp;$O495)),IF(法术查询!$J$13="",1,SEARCH(法术查询!$J$13,$B495&amp;$C495&amp;$O495)),IF(法术查询!$J$14="",1,SEARCH(法术查询!$J$14,$B495&amp;$C495&amp;$O495)),IF(法术查询!$J$16="",1,IF(法术查询!$J$16=$AF$11,IF($H495=1,1,0),IF($H495="",1,0))),IF(法术查询!$J$17="",1,IF(法术查询!$J$17=$AF$11,IF($I495=1,1,0),IF($I495="",1,0))),IF(法术查询!$J$18="",1,IF(法术查询!$J$18=$AF$11,IF($J495&lt;&gt;"",1,0),IF($J495="",1,0))),IF(法术查询!$J$19="",1,IF(法术查询!$J$19=$AF$11,IF($L495&lt;&gt;"",1,0),IF($L495="",1,0)))),$B495,""),"")</f>
        <v/>
      </c>
      <c r="AD494" s="192" t="str">
        <f t="array" ref="AD494">INDEX(AC:AC,SMALL(IF($AC$2:$AC$523&lt;&gt;"",ROW($2:$523),524),ROW(AC493)))&amp;""</f>
        <v/>
      </c>
      <c r="AE494" s="200" t="str">
        <f t="shared" si="11"/>
        <v/>
      </c>
    </row>
    <row r="495" customHeight="1" spans="1:31">
      <c r="A495" s="192">
        <v>493</v>
      </c>
      <c r="B495" s="224" t="s">
        <v>8698</v>
      </c>
      <c r="C495" s="224" t="s">
        <v>8699</v>
      </c>
      <c r="E495" s="229" t="s">
        <v>6664</v>
      </c>
      <c r="F495" s="193" t="s">
        <v>6642</v>
      </c>
      <c r="G495" s="193" t="s">
        <v>6826</v>
      </c>
      <c r="H495" s="193">
        <v>1</v>
      </c>
      <c r="I495" s="193">
        <v>1</v>
      </c>
      <c r="J495" s="193">
        <v>1</v>
      </c>
      <c r="K495" s="224" t="s">
        <v>8700</v>
      </c>
      <c r="N495" s="193" t="s">
        <v>6759</v>
      </c>
      <c r="O495" s="224" t="s">
        <v>8701</v>
      </c>
      <c r="P495" s="224">
        <v>8</v>
      </c>
      <c r="Q495" s="224" t="s">
        <v>249</v>
      </c>
      <c r="X495" s="193">
        <v>1</v>
      </c>
      <c r="AA495" s="200"/>
      <c r="AB495" s="200" t="str">
        <f t="array" ref="AB495">INDEX(B:B,SMALL(IF($Q$3:$Q$524&lt;&gt;"",ROW($3:$524),525),ROW(B494)))&amp;""</f>
        <v>疯狂之暗</v>
      </c>
      <c r="AC495" s="225" t="str">
        <f>IFERROR(IF(AND($Q496&lt;&gt;"",IF(法术查询!$J$4="",1,INDEX($R496:$Z496,1,VLOOKUP(法术查询!$J$4,$AF$2:$AG$10,2,0)))&lt;&gt;"",IF(法术查询!$J$5="",1,$P496=VLOOKUP(法术查询!$J$5,$AH$2:$AI$11,2,0)),IF(法术查询!$J$6="",1,IF(法术查询!$J$6=$E496,1,0)),IF(法术查询!$J$7="",1,SEARCH(法术查询!$J$7,$F496)),IF(法术查询!$J$8="",1,SEARCH(法术查询!$J$8,G496)),IF(法术查询!$J$9="",1,SEARCH(法术查询!$J$9,N496)),IF(法术查询!$J$10="",1,IF(法术查询!$J$10=$AF$11,IF($M496=1,1,0),IF($M496="",1,0))),IF(法术查询!$J$11="",1,IF(法术查询!$J$11=$AF$11,IF($D496=1,1,0),IF($D496="",1,0))),IF(法术查询!$J$12="",1,SEARCH(法术查询!$J$12,$B496&amp;$C496&amp;$O496)),IF(法术查询!$J$13="",1,SEARCH(法术查询!$J$13,$B496&amp;$C496&amp;$O496)),IF(法术查询!$J$14="",1,SEARCH(法术查询!$J$14,$B496&amp;$C496&amp;$O496)),IF(法术查询!$J$16="",1,IF(法术查询!$J$16=$AF$11,IF($H496=1,1,0),IF($H496="",1,0))),IF(法术查询!$J$17="",1,IF(法术查询!$J$17=$AF$11,IF($I496=1,1,0),IF($I496="",1,0))),IF(法术查询!$J$18="",1,IF(法术查询!$J$18=$AF$11,IF($J496&lt;&gt;"",1,0),IF($J496="",1,0))),IF(法术查询!$J$19="",1,IF(法术查询!$J$19=$AF$11,IF($L496&lt;&gt;"",1,0),IF($L496="",1,0)))),$B496,""),"")</f>
        <v/>
      </c>
      <c r="AD495" s="192" t="str">
        <f t="array" ref="AD495">INDEX(AC:AC,SMALL(IF($AC$2:$AC$523&lt;&gt;"",ROW($2:$523),524),ROW(AC494)))&amp;""</f>
        <v/>
      </c>
      <c r="AE495" s="200" t="str">
        <f t="shared" si="11"/>
        <v/>
      </c>
    </row>
    <row r="496" customHeight="1" spans="1:31">
      <c r="A496" s="192">
        <v>494</v>
      </c>
      <c r="B496" s="224" t="s">
        <v>8702</v>
      </c>
      <c r="C496" s="224" t="s">
        <v>8703</v>
      </c>
      <c r="E496" s="240" t="s">
        <v>6641</v>
      </c>
      <c r="F496" s="193" t="s">
        <v>6709</v>
      </c>
      <c r="G496" s="193" t="s">
        <v>6820</v>
      </c>
      <c r="H496" s="193">
        <v>1</v>
      </c>
      <c r="I496" s="193">
        <v>1</v>
      </c>
      <c r="M496" s="193">
        <v>1</v>
      </c>
      <c r="N496" s="193" t="s">
        <v>6821</v>
      </c>
      <c r="O496" s="224" t="s">
        <v>8704</v>
      </c>
      <c r="P496" s="224">
        <v>8</v>
      </c>
      <c r="Q496" s="224" t="s">
        <v>249</v>
      </c>
      <c r="T496" s="193">
        <v>1</v>
      </c>
      <c r="AA496" s="200"/>
      <c r="AB496" s="200" t="str">
        <f t="array" ref="AB496">INDEX(B:B,SMALL(IF($Q$3:$Q$524&lt;&gt;"",ROW($3:$524),525),ROW(B495)))&amp;""</f>
        <v>坚固堡垒</v>
      </c>
      <c r="AC496" s="225" t="str">
        <f>IFERROR(IF(AND($Q497&lt;&gt;"",IF(法术查询!$J$4="",1,INDEX($R497:$Z497,1,VLOOKUP(法术查询!$J$4,$AF$2:$AG$10,2,0)))&lt;&gt;"",IF(法术查询!$J$5="",1,$P497=VLOOKUP(法术查询!$J$5,$AH$2:$AI$11,2,0)),IF(法术查询!$J$6="",1,IF(法术查询!$J$6=$E497,1,0)),IF(法术查询!$J$7="",1,SEARCH(法术查询!$J$7,$F497)),IF(法术查询!$J$8="",1,SEARCH(法术查询!$J$8,G497)),IF(法术查询!$J$9="",1,SEARCH(法术查询!$J$9,N497)),IF(法术查询!$J$10="",1,IF(法术查询!$J$10=$AF$11,IF($M497=1,1,0),IF($M497="",1,0))),IF(法术查询!$J$11="",1,IF(法术查询!$J$11=$AF$11,IF($D497=1,1,0),IF($D497="",1,0))),IF(法术查询!$J$12="",1,SEARCH(法术查询!$J$12,$B497&amp;$C497&amp;$O497)),IF(法术查询!$J$13="",1,SEARCH(法术查询!$J$13,$B497&amp;$C497&amp;$O497)),IF(法术查询!$J$14="",1,SEARCH(法术查询!$J$14,$B497&amp;$C497&amp;$O497)),IF(法术查询!$J$16="",1,IF(法术查询!$J$16=$AF$11,IF($H497=1,1,0),IF($H497="",1,0))),IF(法术查询!$J$17="",1,IF(法术查询!$J$17=$AF$11,IF($I497=1,1,0),IF($I497="",1,0))),IF(法术查询!$J$18="",1,IF(法术查询!$J$18=$AF$11,IF($J497&lt;&gt;"",1,0),IF($J497="",1,0))),IF(法术查询!$J$19="",1,IF(法术查询!$J$19=$AF$11,IF($L497&lt;&gt;"",1,0),IF($L497="",1,0)))),$B497,""),"")</f>
        <v/>
      </c>
      <c r="AD496" s="192" t="str">
        <f t="array" ref="AD496">INDEX(AC:AC,SMALL(IF($AC$2:$AC$523&lt;&gt;"",ROW($2:$523),524),ROW(AC495)))&amp;""</f>
        <v/>
      </c>
      <c r="AE496" s="200" t="str">
        <f t="shared" si="11"/>
        <v/>
      </c>
    </row>
    <row r="497" customHeight="1" spans="1:31">
      <c r="A497" s="192">
        <v>495</v>
      </c>
      <c r="B497" s="224" t="s">
        <v>8705</v>
      </c>
      <c r="C497" s="224" t="s">
        <v>8706</v>
      </c>
      <c r="E497" s="243" t="s">
        <v>6657</v>
      </c>
      <c r="F497" s="193" t="s">
        <v>6642</v>
      </c>
      <c r="G497" s="193" t="s">
        <v>6779</v>
      </c>
      <c r="H497" s="193">
        <v>1</v>
      </c>
      <c r="I497" s="193">
        <v>1</v>
      </c>
      <c r="J497" s="193">
        <v>1</v>
      </c>
      <c r="K497" s="224" t="s">
        <v>8707</v>
      </c>
      <c r="N497" s="193" t="s">
        <v>6644</v>
      </c>
      <c r="O497" s="224" t="s">
        <v>8708</v>
      </c>
      <c r="P497" s="224">
        <v>8</v>
      </c>
      <c r="Q497" s="245" t="str">
        <f>IF(综合数据!$B$7=TRUE,"XGE","")</f>
        <v>XGE</v>
      </c>
      <c r="W497" s="193">
        <v>6</v>
      </c>
      <c r="X497" s="193">
        <v>6</v>
      </c>
      <c r="AA497" s="200"/>
      <c r="AB497" s="200" t="str">
        <f t="array" ref="AB497">INDEX(B:B,SMALL(IF($Q$3:$Q$524&lt;&gt;"",ROW($3:$524),525),ROW(B496)))&amp;""</f>
        <v>暗黑星辰</v>
      </c>
      <c r="AC497" s="225" t="str">
        <f>IFERROR(IF(AND($Q498&lt;&gt;"",IF(法术查询!$J$4="",1,INDEX($R498:$Z498,1,VLOOKUP(法术查询!$J$4,$AF$2:$AG$10,2,0)))&lt;&gt;"",IF(法术查询!$J$5="",1,$P498=VLOOKUP(法术查询!$J$5,$AH$2:$AI$11,2,0)),IF(法术查询!$J$6="",1,IF(法术查询!$J$6=$E498,1,0)),IF(法术查询!$J$7="",1,SEARCH(法术查询!$J$7,$F498)),IF(法术查询!$J$8="",1,SEARCH(法术查询!$J$8,G498)),IF(法术查询!$J$9="",1,SEARCH(法术查询!$J$9,N498)),IF(法术查询!$J$10="",1,IF(法术查询!$J$10=$AF$11,IF($M498=1,1,0),IF($M498="",1,0))),IF(法术查询!$J$11="",1,IF(法术查询!$J$11=$AF$11,IF($D498=1,1,0),IF($D498="",1,0))),IF(法术查询!$J$12="",1,SEARCH(法术查询!$J$12,$B498&amp;$C498&amp;$O498)),IF(法术查询!$J$13="",1,SEARCH(法术查询!$J$13,$B498&amp;$C498&amp;$O498)),IF(法术查询!$J$14="",1,SEARCH(法术查询!$J$14,$B498&amp;$C498&amp;$O498)),IF(法术查询!$J$16="",1,IF(法术查询!$J$16=$AF$11,IF($H498=1,1,0),IF($H498="",1,0))),IF(法术查询!$J$17="",1,IF(法术查询!$J$17=$AF$11,IF($I498=1,1,0),IF($I498="",1,0))),IF(法术查询!$J$18="",1,IF(法术查询!$J$18=$AF$11,IF($J498&lt;&gt;"",1,0),IF($J498="",1,0))),IF(法术查询!$J$19="",1,IF(法术查询!$J$19=$AF$11,IF($L498&lt;&gt;"",1,0),IF($L498="",1,0)))),$B498,""),"")</f>
        <v/>
      </c>
      <c r="AD497" s="192" t="str">
        <f t="array" ref="AD497">INDEX(AC:AC,SMALL(IF($AC$2:$AC$523&lt;&gt;"",ROW($2:$523),524),ROW(AC496)))&amp;""</f>
        <v/>
      </c>
      <c r="AE497" s="200" t="str">
        <f t="shared" si="11"/>
        <v/>
      </c>
    </row>
    <row r="498" customHeight="1" spans="1:31">
      <c r="A498" s="192">
        <v>496</v>
      </c>
      <c r="B498" s="224" t="s">
        <v>8709</v>
      </c>
      <c r="C498" s="224" t="s">
        <v>8710</v>
      </c>
      <c r="E498" s="241" t="s">
        <v>6726</v>
      </c>
      <c r="F498" s="193" t="s">
        <v>6642</v>
      </c>
      <c r="G498" s="193" t="s">
        <v>6658</v>
      </c>
      <c r="I498" s="193">
        <v>1</v>
      </c>
      <c r="M498" s="193">
        <v>1</v>
      </c>
      <c r="N498" s="193" t="s">
        <v>6666</v>
      </c>
      <c r="O498" s="224" t="s">
        <v>8711</v>
      </c>
      <c r="P498" s="224">
        <v>8</v>
      </c>
      <c r="Q498" s="245" t="str">
        <f>IF(综合数据!$B$7=TRUE,"XGE","")</f>
        <v>XGE</v>
      </c>
      <c r="X498" s="193">
        <v>6</v>
      </c>
      <c r="AA498" s="200"/>
      <c r="AB498" s="200" t="str">
        <f t="array" ref="AB498">INDEX(B:B,SMALL(IF($Q$3:$Q$524&lt;&gt;"",ROW($3:$524),525),ROW(B497)))&amp;""</f>
        <v>崩坏现实</v>
      </c>
      <c r="AC498" s="225" t="str">
        <f>IFERROR(IF(AND($Q499&lt;&gt;"",IF(法术查询!$J$4="",1,INDEX($R499:$Z499,1,VLOOKUP(法术查询!$J$4,$AF$2:$AG$10,2,0)))&lt;&gt;"",IF(法术查询!$J$5="",1,$P499=VLOOKUP(法术查询!$J$5,$AH$2:$AI$11,2,0)),IF(法术查询!$J$6="",1,IF(法术查询!$J$6=$E499,1,0)),IF(法术查询!$J$7="",1,SEARCH(法术查询!$J$7,$F499)),IF(法术查询!$J$8="",1,SEARCH(法术查询!$J$8,G499)),IF(法术查询!$J$9="",1,SEARCH(法术查询!$J$9,N499)),IF(法术查询!$J$10="",1,IF(法术查询!$J$10=$AF$11,IF($M499=1,1,0),IF($M499="",1,0))),IF(法术查询!$J$11="",1,IF(法术查询!$J$11=$AF$11,IF($D499=1,1,0),IF($D499="",1,0))),IF(法术查询!$J$12="",1,SEARCH(法术查询!$J$12,$B499&amp;$C499&amp;$O499)),IF(法术查询!$J$13="",1,SEARCH(法术查询!$J$13,$B499&amp;$C499&amp;$O499)),IF(法术查询!$J$14="",1,SEARCH(法术查询!$J$14,$B499&amp;$C499&amp;$O499)),IF(法术查询!$J$16="",1,IF(法术查询!$J$16=$AF$11,IF($H499=1,1,0),IF($H499="",1,0))),IF(法术查询!$J$17="",1,IF(法术查询!$J$17=$AF$11,IF($I499=1,1,0),IF($I499="",1,0))),IF(法术查询!$J$18="",1,IF(法术查询!$J$18=$AF$11,IF($J499&lt;&gt;"",1,0),IF($J499="",1,0))),IF(法术查询!$J$19="",1,IF(法术查询!$J$19=$AF$11,IF($L499&lt;&gt;"",1,0),IF($L499="",1,0)))),$B499,""),"")</f>
        <v/>
      </c>
      <c r="AD498" s="192" t="str">
        <f t="array" ref="AD498">INDEX(AC:AC,SMALL(IF($AC$2:$AC$523&lt;&gt;"",ROW($2:$523),524),ROW(AC497)))&amp;""</f>
        <v/>
      </c>
      <c r="AE498" s="200" t="str">
        <f t="shared" si="11"/>
        <v/>
      </c>
    </row>
    <row r="499" customHeight="1" spans="1:31">
      <c r="A499" s="192">
        <v>497</v>
      </c>
      <c r="B499" s="224" t="s">
        <v>8712</v>
      </c>
      <c r="C499" s="224" t="s">
        <v>8713</v>
      </c>
      <c r="E499" s="229" t="s">
        <v>6664</v>
      </c>
      <c r="F499" s="193" t="s">
        <v>6642</v>
      </c>
      <c r="G499" s="193" t="s">
        <v>6779</v>
      </c>
      <c r="H499" s="193">
        <v>1</v>
      </c>
      <c r="J499" s="193">
        <v>1</v>
      </c>
      <c r="K499" s="224" t="s">
        <v>8714</v>
      </c>
      <c r="M499" s="193">
        <v>1</v>
      </c>
      <c r="N499" s="193" t="s">
        <v>6831</v>
      </c>
      <c r="O499" s="224" t="s">
        <v>8715</v>
      </c>
      <c r="P499" s="224">
        <v>8</v>
      </c>
      <c r="Q499" s="245" t="str">
        <f>IF(综合数据!$B$7=TRUE,"XGE","")</f>
        <v>XGE</v>
      </c>
      <c r="X499" s="193">
        <v>6</v>
      </c>
      <c r="Y499" s="193">
        <v>6</v>
      </c>
      <c r="AA499" s="200"/>
      <c r="AB499" s="200" t="str">
        <f t="array" ref="AB499">INDEX(B:B,SMALL(IF($Q$3:$Q$524&lt;&gt;"",ROW($3:$524),525),ROW(B498)))&amp;""</f>
        <v>星界投影</v>
      </c>
      <c r="AC499" s="225" t="str">
        <f>IFERROR(IF(AND($Q500&lt;&gt;"",IF(法术查询!$J$4="",1,INDEX($R500:$Z500,1,VLOOKUP(法术查询!$J$4,$AF$2:$AG$10,2,0)))&lt;&gt;"",IF(法术查询!$J$5="",1,$P500=VLOOKUP(法术查询!$J$5,$AH$2:$AI$11,2,0)),IF(法术查询!$J$6="",1,IF(法术查询!$J$6=$E500,1,0)),IF(法术查询!$J$7="",1,SEARCH(法术查询!$J$7,$F500)),IF(法术查询!$J$8="",1,SEARCH(法术查询!$J$8,G500)),IF(法术查询!$J$9="",1,SEARCH(法术查询!$J$9,N500)),IF(法术查询!$J$10="",1,IF(法术查询!$J$10=$AF$11,IF($M500=1,1,0),IF($M500="",1,0))),IF(法术查询!$J$11="",1,IF(法术查询!$J$11=$AF$11,IF($D500=1,1,0),IF($D500="",1,0))),IF(法术查询!$J$12="",1,SEARCH(法术查询!$J$12,$B500&amp;$C500&amp;$O500)),IF(法术查询!$J$13="",1,SEARCH(法术查询!$J$13,$B500&amp;$C500&amp;$O500)),IF(法术查询!$J$14="",1,SEARCH(法术查询!$J$14,$B500&amp;$C500&amp;$O500)),IF(法术查询!$J$16="",1,IF(法术查询!$J$16=$AF$11,IF($H500=1,1,0),IF($H500="",1,0))),IF(法术查询!$J$17="",1,IF(法术查询!$J$17=$AF$11,IF($I500=1,1,0),IF($I500="",1,0))),IF(法术查询!$J$18="",1,IF(法术查询!$J$18=$AF$11,IF($J500&lt;&gt;"",1,0),IF($J500="",1,0))),IF(法术查询!$J$19="",1,IF(法术查询!$J$19=$AF$11,IF($L500&lt;&gt;"",1,0),IF($L500="",1,0)))),$B500,""),"")</f>
        <v/>
      </c>
      <c r="AD499" s="192" t="str">
        <f t="array" ref="AD499">INDEX(AC:AC,SMALL(IF($AC$2:$AC$523&lt;&gt;"",ROW($2:$523),524),ROW(AC498)))&amp;""</f>
        <v/>
      </c>
      <c r="AE499" s="200" t="str">
        <f t="shared" si="11"/>
        <v/>
      </c>
    </row>
    <row r="500" customHeight="1" spans="1:31">
      <c r="A500" s="192">
        <v>498</v>
      </c>
      <c r="B500" s="224" t="s">
        <v>8716</v>
      </c>
      <c r="C500" s="224" t="s">
        <v>8717</v>
      </c>
      <c r="E500" s="240" t="s">
        <v>6641</v>
      </c>
      <c r="F500" s="193" t="s">
        <v>6709</v>
      </c>
      <c r="G500" s="193" t="s">
        <v>6800</v>
      </c>
      <c r="H500" s="193">
        <v>1</v>
      </c>
      <c r="I500" s="193">
        <v>1</v>
      </c>
      <c r="J500" s="193">
        <v>1</v>
      </c>
      <c r="L500" s="224" t="s">
        <v>8718</v>
      </c>
      <c r="N500" s="193" t="s">
        <v>6644</v>
      </c>
      <c r="O500" s="224" t="s">
        <v>8719</v>
      </c>
      <c r="P500" s="224">
        <v>8</v>
      </c>
      <c r="Q500" s="245" t="str">
        <f>IF(综合数据!$B$7=TRUE,"XGE","")</f>
        <v>XGE</v>
      </c>
      <c r="X500" s="193">
        <v>6</v>
      </c>
      <c r="AA500" s="200"/>
      <c r="AB500" s="200" t="str">
        <f t="array" ref="AB500">INDEX(B:B,SMALL(IF($Q$3:$Q$524&lt;&gt;"",ROW($3:$524),525),ROW(B499)))&amp;""</f>
        <v>预警术</v>
      </c>
      <c r="AC500" s="225" t="str">
        <f>IFERROR(IF(AND($Q501&lt;&gt;"",IF(法术查询!$J$4="",1,INDEX($R501:$Z501,1,VLOOKUP(法术查询!$J$4,$AF$2:$AG$10,2,0)))&lt;&gt;"",IF(法术查询!$J$5="",1,$P501=VLOOKUP(法术查询!$J$5,$AH$2:$AI$11,2,0)),IF(法术查询!$J$6="",1,IF(法术查询!$J$6=$E501,1,0)),IF(法术查询!$J$7="",1,SEARCH(法术查询!$J$7,$F501)),IF(法术查询!$J$8="",1,SEARCH(法术查询!$J$8,G501)),IF(法术查询!$J$9="",1,SEARCH(法术查询!$J$9,N501)),IF(法术查询!$J$10="",1,IF(法术查询!$J$10=$AF$11,IF($M501=1,1,0),IF($M501="",1,0))),IF(法术查询!$J$11="",1,IF(法术查询!$J$11=$AF$11,IF($D501=1,1,0),IF($D501="",1,0))),IF(法术查询!$J$12="",1,SEARCH(法术查询!$J$12,$B501&amp;$C501&amp;$O501)),IF(法术查询!$J$13="",1,SEARCH(法术查询!$J$13,$B501&amp;$C501&amp;$O501)),IF(法术查询!$J$14="",1,SEARCH(法术查询!$J$14,$B501&amp;$C501&amp;$O501)),IF(法术查询!$J$16="",1,IF(法术查询!$J$16=$AF$11,IF($H501=1,1,0),IF($H501="",1,0))),IF(法术查询!$J$17="",1,IF(法术查询!$J$17=$AF$11,IF($I501=1,1,0),IF($I501="",1,0))),IF(法术查询!$J$18="",1,IF(法术查询!$J$18=$AF$11,IF($J501&lt;&gt;"",1,0),IF($J501="",1,0))),IF(法术查询!$J$19="",1,IF(法术查询!$J$19=$AF$11,IF($L501&lt;&gt;"",1,0),IF($L501="",1,0)))),$B501,""),"")</f>
        <v/>
      </c>
      <c r="AD500" s="192" t="str">
        <f t="array" ref="AD500">INDEX(AC:AC,SMALL(IF($AC$2:$AC$523&lt;&gt;"",ROW($2:$523),524),ROW(AC499)))&amp;""</f>
        <v/>
      </c>
      <c r="AE500" s="200" t="str">
        <f t="shared" si="11"/>
        <v/>
      </c>
    </row>
    <row r="501" customHeight="1" spans="1:31">
      <c r="A501" s="192">
        <v>499</v>
      </c>
      <c r="B501" s="224" t="s">
        <v>8720</v>
      </c>
      <c r="C501" s="224" t="s">
        <v>8721</v>
      </c>
      <c r="E501" s="229" t="s">
        <v>6664</v>
      </c>
      <c r="F501" s="193" t="s">
        <v>6642</v>
      </c>
      <c r="G501" s="193" t="s">
        <v>6779</v>
      </c>
      <c r="H501" s="193">
        <v>1</v>
      </c>
      <c r="I501" s="193">
        <v>1</v>
      </c>
      <c r="J501" s="193">
        <v>1</v>
      </c>
      <c r="L501" s="224" t="s">
        <v>8722</v>
      </c>
      <c r="M501" s="193">
        <v>1</v>
      </c>
      <c r="N501" s="193" t="s">
        <v>6666</v>
      </c>
      <c r="O501" s="224" t="s">
        <v>8723</v>
      </c>
      <c r="P501" s="224">
        <v>8</v>
      </c>
      <c r="Q501" s="247" t="str">
        <f>IF(综合数据!$B$11=TRUE,"EGW","")</f>
        <v>EGW</v>
      </c>
      <c r="AA501" s="223" t="s">
        <v>3640</v>
      </c>
      <c r="AB501" s="200" t="str">
        <f t="array" ref="AB501">INDEX(B:B,SMALL(IF($Q$3:$Q$524&lt;&gt;"",ROW($3:$524),525),ROW(B500)))&amp;""</f>
        <v>异界之门</v>
      </c>
      <c r="AC501" s="225" t="str">
        <f>IFERROR(IF(AND($Q502&lt;&gt;"",IF(法术查询!$J$4="",1,INDEX($R502:$Z502,1,VLOOKUP(法术查询!$J$4,$AF$2:$AG$10,2,0)))&lt;&gt;"",IF(法术查询!$J$5="",1,$P502=VLOOKUP(法术查询!$J$5,$AH$2:$AI$11,2,0)),IF(法术查询!$J$6="",1,IF(法术查询!$J$6=$E502,1,0)),IF(法术查询!$J$7="",1,SEARCH(法术查询!$J$7,$F502)),IF(法术查询!$J$8="",1,SEARCH(法术查询!$J$8,G502)),IF(法术查询!$J$9="",1,SEARCH(法术查询!$J$9,N502)),IF(法术查询!$J$10="",1,IF(法术查询!$J$10=$AF$11,IF($M502=1,1,0),IF($M502="",1,0))),IF(法术查询!$J$11="",1,IF(法术查询!$J$11=$AF$11,IF($D502=1,1,0),IF($D502="",1,0))),IF(法术查询!$J$12="",1,SEARCH(法术查询!$J$12,$B502&amp;$C502&amp;$O502)),IF(法术查询!$J$13="",1,SEARCH(法术查询!$J$13,$B502&amp;$C502&amp;$O502)),IF(法术查询!$J$14="",1,SEARCH(法术查询!$J$14,$B502&amp;$C502&amp;$O502)),IF(法术查询!$J$16="",1,IF(法术查询!$J$16=$AF$11,IF($H502=1,1,0),IF($H502="",1,0))),IF(法术查询!$J$17="",1,IF(法术查询!$J$17=$AF$11,IF($I502=1,1,0),IF($I502="",1,0))),IF(法术查询!$J$18="",1,IF(法术查询!$J$18=$AF$11,IF($J502&lt;&gt;"",1,0),IF($J502="",1,0))),IF(法术查询!$J$19="",1,IF(法术查询!$J$19=$AF$11,IF($L502&lt;&gt;"",1,0),IF($L502="",1,0)))),$B502,""),"")</f>
        <v/>
      </c>
      <c r="AD501" s="192" t="str">
        <f t="array" ref="AD501">INDEX(AC:AC,SMALL(IF($AC$2:$AC$523&lt;&gt;"",ROW($2:$523),524),ROW(AC500)))&amp;""</f>
        <v/>
      </c>
      <c r="AE501" s="200" t="str">
        <f t="shared" si="11"/>
        <v/>
      </c>
    </row>
    <row r="502" customHeight="1" spans="1:31">
      <c r="A502" s="192">
        <v>500</v>
      </c>
      <c r="B502" s="224" t="s">
        <v>8724</v>
      </c>
      <c r="C502" s="224" t="s">
        <v>8725</v>
      </c>
      <c r="E502" s="240" t="s">
        <v>6641</v>
      </c>
      <c r="F502" s="193" t="s">
        <v>6642</v>
      </c>
      <c r="G502" s="193" t="s">
        <v>6643</v>
      </c>
      <c r="H502" s="193">
        <v>1</v>
      </c>
      <c r="I502" s="193">
        <v>1</v>
      </c>
      <c r="J502" s="193">
        <v>1</v>
      </c>
      <c r="K502" s="224" t="s">
        <v>8726</v>
      </c>
      <c r="M502" s="193">
        <v>1</v>
      </c>
      <c r="N502" s="193" t="s">
        <v>6666</v>
      </c>
      <c r="O502" s="224" t="s">
        <v>8727</v>
      </c>
      <c r="P502" s="224">
        <v>8</v>
      </c>
      <c r="Q502" s="247" t="str">
        <f>IF(综合数据!$B$11=TRUE,"EGW","")</f>
        <v>EGW</v>
      </c>
      <c r="AA502" s="223" t="s">
        <v>3635</v>
      </c>
      <c r="AB502" s="200" t="str">
        <f t="array" ref="AB502">INDEX(B:B,SMALL(IF($Q$3:$Q$524&lt;&gt;"",ROW($3:$524),525),ROW(B501)))&amp;""</f>
        <v>禁锢术</v>
      </c>
      <c r="AC502" s="225" t="str">
        <f>IFERROR(IF(AND($Q503&lt;&gt;"",IF(法术查询!$J$4="",1,INDEX($R503:$Z503,1,VLOOKUP(法术查询!$J$4,$AF$2:$AG$10,2,0)))&lt;&gt;"",IF(法术查询!$J$5="",1,$P503=VLOOKUP(法术查询!$J$5,$AH$2:$AI$11,2,0)),IF(法术查询!$J$6="",1,IF(法术查询!$J$6=$E503,1,0)),IF(法术查询!$J$7="",1,SEARCH(法术查询!$J$7,$F503)),IF(法术查询!$J$8="",1,SEARCH(法术查询!$J$8,G503)),IF(法术查询!$J$9="",1,SEARCH(法术查询!$J$9,N503)),IF(法术查询!$J$10="",1,IF(法术查询!$J$10=$AF$11,IF($M503=1,1,0),IF($M503="",1,0))),IF(法术查询!$J$11="",1,IF(法术查询!$J$11=$AF$11,IF($D503=1,1,0),IF($D503="",1,0))),IF(法术查询!$J$12="",1,SEARCH(法术查询!$J$12,$B503&amp;$C503&amp;$O503)),IF(法术查询!$J$13="",1,SEARCH(法术查询!$J$13,$B503&amp;$C503&amp;$O503)),IF(法术查询!$J$14="",1,SEARCH(法术查询!$J$14,$B503&amp;$C503&amp;$O503)),IF(法术查询!$J$16="",1,IF(法术查询!$J$16=$AF$11,IF($H503=1,1,0),IF($H503="",1,0))),IF(法术查询!$J$17="",1,IF(法术查询!$J$17=$AF$11,IF($I503=1,1,0),IF($I503="",1,0))),IF(法术查询!$J$18="",1,IF(法术查询!$J$18=$AF$11,IF($J503&lt;&gt;"",1,0),IF($J503="",1,0))),IF(法术查询!$J$19="",1,IF(法术查询!$J$19=$AF$11,IF($L503&lt;&gt;"",1,0),IF($L503="",1,0)))),$B503,""),"")</f>
        <v/>
      </c>
      <c r="AD502" s="192" t="str">
        <f t="array" ref="AD502">INDEX(AC:AC,SMALL(IF($AC$2:$AC$523&lt;&gt;"",ROW($2:$523),524),ROW(AC501)))&amp;""</f>
        <v/>
      </c>
      <c r="AE502" s="200" t="str">
        <f t="shared" si="11"/>
        <v/>
      </c>
    </row>
    <row r="503" customHeight="1" spans="1:31">
      <c r="A503" s="192">
        <v>501</v>
      </c>
      <c r="B503" s="224" t="s">
        <v>8728</v>
      </c>
      <c r="C503" s="224" t="s">
        <v>8729</v>
      </c>
      <c r="E503" s="243" t="s">
        <v>6657</v>
      </c>
      <c r="F503" s="193" t="s">
        <v>6704</v>
      </c>
      <c r="G503" s="193" t="s">
        <v>6730</v>
      </c>
      <c r="H503" s="193">
        <v>1</v>
      </c>
      <c r="I503" s="193">
        <v>1</v>
      </c>
      <c r="J503" s="193">
        <v>1</v>
      </c>
      <c r="L503" s="224" t="s">
        <v>8730</v>
      </c>
      <c r="N503" s="193" t="s">
        <v>6638</v>
      </c>
      <c r="O503" s="224" t="s">
        <v>8731</v>
      </c>
      <c r="P503" s="224">
        <v>9</v>
      </c>
      <c r="Q503" s="224" t="s">
        <v>249</v>
      </c>
      <c r="S503" s="193">
        <v>1</v>
      </c>
      <c r="X503" s="193">
        <v>1</v>
      </c>
      <c r="Y503" s="193">
        <v>1</v>
      </c>
      <c r="AA503" s="200"/>
      <c r="AB503" s="200" t="str">
        <f t="array" ref="AB503">INDEX(B:B,SMALL(IF($Q$3:$Q$524&lt;&gt;"",ROW($3:$524),525),ROW(B502)))&amp;""</f>
        <v>群体医疗术</v>
      </c>
      <c r="AC503" s="225" t="str">
        <f>IFERROR(IF(AND($Q504&lt;&gt;"",IF(法术查询!$J$4="",1,INDEX($R504:$Z504,1,VLOOKUP(法术查询!$J$4,$AF$2:$AG$10,2,0)))&lt;&gt;"",IF(法术查询!$J$5="",1,$P504=VLOOKUP(法术查询!$J$5,$AH$2:$AI$11,2,0)),IF(法术查询!$J$6="",1,IF(法术查询!$J$6=$E504,1,0)),IF(法术查询!$J$7="",1,SEARCH(法术查询!$J$7,$F504)),IF(法术查询!$J$8="",1,SEARCH(法术查询!$J$8,G504)),IF(法术查询!$J$9="",1,SEARCH(法术查询!$J$9,N504)),IF(法术查询!$J$10="",1,IF(法术查询!$J$10=$AF$11,IF($M504=1,1,0),IF($M504="",1,0))),IF(法术查询!$J$11="",1,IF(法术查询!$J$11=$AF$11,IF($D504=1,1,0),IF($D504="",1,0))),IF(法术查询!$J$12="",1,SEARCH(法术查询!$J$12,$B504&amp;$C504&amp;$O504)),IF(法术查询!$J$13="",1,SEARCH(法术查询!$J$13,$B504&amp;$C504&amp;$O504)),IF(法术查询!$J$14="",1,SEARCH(法术查询!$J$14,$B504&amp;$C504&amp;$O504)),IF(法术查询!$J$16="",1,IF(法术查询!$J$16=$AF$11,IF($H504=1,1,0),IF($H504="",1,0))),IF(法术查询!$J$17="",1,IF(法术查询!$J$17=$AF$11,IF($I504=1,1,0),IF($I504="",1,0))),IF(法术查询!$J$18="",1,IF(法术查询!$J$18=$AF$11,IF($J504&lt;&gt;"",1,0),IF($J504="",1,0))),IF(法术查询!$J$19="",1,IF(法术查询!$J$19=$AF$11,IF($L504&lt;&gt;"",1,0),IF($L504="",1,0)))),$B504,""),"")</f>
        <v/>
      </c>
      <c r="AD503" s="192" t="str">
        <f t="array" ref="AD503">INDEX(AC:AC,SMALL(IF($AC$2:$AC$523&lt;&gt;"",ROW($2:$523),524),ROW(AC502)))&amp;""</f>
        <v/>
      </c>
      <c r="AE503" s="200" t="str">
        <f t="shared" si="11"/>
        <v/>
      </c>
    </row>
    <row r="504" customHeight="1" spans="1:31">
      <c r="A504" s="192">
        <v>502</v>
      </c>
      <c r="B504" s="224" t="s">
        <v>8732</v>
      </c>
      <c r="C504" s="224" t="s">
        <v>8733</v>
      </c>
      <c r="E504" s="238" t="s">
        <v>6695</v>
      </c>
      <c r="F504" s="193" t="s">
        <v>6709</v>
      </c>
      <c r="G504" s="193" t="s">
        <v>3760</v>
      </c>
      <c r="H504" s="193">
        <v>1</v>
      </c>
      <c r="I504" s="193">
        <v>1</v>
      </c>
      <c r="J504" s="193">
        <v>1</v>
      </c>
      <c r="K504" s="224" t="s">
        <v>8734</v>
      </c>
      <c r="N504" s="193" t="s">
        <v>6748</v>
      </c>
      <c r="O504" s="224" t="s">
        <v>8735</v>
      </c>
      <c r="P504" s="224">
        <v>9</v>
      </c>
      <c r="Q504" s="224" t="s">
        <v>249</v>
      </c>
      <c r="R504" s="193">
        <v>1</v>
      </c>
      <c r="T504" s="193">
        <v>1</v>
      </c>
      <c r="X504" s="193">
        <v>1</v>
      </c>
      <c r="Y504" s="193">
        <v>1</v>
      </c>
      <c r="AA504" s="200"/>
      <c r="AB504" s="200" t="str">
        <f t="array" ref="AB504">INDEX(B:B,SMALL(IF($Q$3:$Q$524&lt;&gt;"",ROW($3:$524),525),ROW(B503)))&amp;""</f>
        <v>流星爆</v>
      </c>
      <c r="AC504" s="225" t="str">
        <f>IFERROR(IF(AND($Q505&lt;&gt;"",IF(法术查询!$J$4="",1,INDEX($R505:$Z505,1,VLOOKUP(法术查询!$J$4,$AF$2:$AG$10,2,0)))&lt;&gt;"",IF(法术查询!$J$5="",1,$P505=VLOOKUP(法术查询!$J$5,$AH$2:$AI$11,2,0)),IF(法术查询!$J$6="",1,IF(法术查询!$J$6=$E505,1,0)),IF(法术查询!$J$7="",1,SEARCH(法术查询!$J$7,$F505)),IF(法术查询!$J$8="",1,SEARCH(法术查询!$J$8,G505)),IF(法术查询!$J$9="",1,SEARCH(法术查询!$J$9,N505)),IF(法术查询!$J$10="",1,IF(法术查询!$J$10=$AF$11,IF($M505=1,1,0),IF($M505="",1,0))),IF(法术查询!$J$11="",1,IF(法术查询!$J$11=$AF$11,IF($D505=1,1,0),IF($D505="",1,0))),IF(法术查询!$J$12="",1,SEARCH(法术查询!$J$12,$B505&amp;$C505&amp;$O505)),IF(法术查询!$J$13="",1,SEARCH(法术查询!$J$13,$B505&amp;$C505&amp;$O505)),IF(法术查询!$J$14="",1,SEARCH(法术查询!$J$14,$B505&amp;$C505&amp;$O505)),IF(法术查询!$J$16="",1,IF(法术查询!$J$16=$AF$11,IF($H505=1,1,0),IF($H505="",1,0))),IF(法术查询!$J$17="",1,IF(法术查询!$J$17=$AF$11,IF($I505=1,1,0),IF($I505="",1,0))),IF(法术查询!$J$18="",1,IF(法术查询!$J$18=$AF$11,IF($J505&lt;&gt;"",1,0),IF($J505="",1,0))),IF(法术查询!$J$19="",1,IF(法术查询!$J$19=$AF$11,IF($L505&lt;&gt;"",1,0),IF($L505="",1,0)))),$B505,""),"")</f>
        <v/>
      </c>
      <c r="AD504" s="192" t="str">
        <f t="array" ref="AD504">INDEX(AC:AC,SMALL(IF($AC$2:$AC$523&lt;&gt;"",ROW($2:$523),524),ROW(AC503)))&amp;""</f>
        <v/>
      </c>
      <c r="AE504" s="200" t="str">
        <f t="shared" si="11"/>
        <v/>
      </c>
    </row>
    <row r="505" customHeight="1" spans="1:31">
      <c r="A505" s="192">
        <v>503</v>
      </c>
      <c r="B505" s="224" t="s">
        <v>8736</v>
      </c>
      <c r="C505" s="224" t="s">
        <v>8737</v>
      </c>
      <c r="E505" s="240" t="s">
        <v>6641</v>
      </c>
      <c r="F505" s="193" t="s">
        <v>6642</v>
      </c>
      <c r="G505" s="193" t="s">
        <v>6643</v>
      </c>
      <c r="H505" s="193">
        <v>1</v>
      </c>
      <c r="I505" s="193">
        <v>1</v>
      </c>
      <c r="J505" s="193">
        <v>1</v>
      </c>
      <c r="K505" s="224" t="s">
        <v>8738</v>
      </c>
      <c r="M505" s="193">
        <v>1</v>
      </c>
      <c r="N505" s="193" t="s">
        <v>6666</v>
      </c>
      <c r="O505" s="224" t="s">
        <v>8739</v>
      </c>
      <c r="P505" s="224">
        <v>9</v>
      </c>
      <c r="Q505" s="224" t="s">
        <v>249</v>
      </c>
      <c r="S505" s="193">
        <v>1</v>
      </c>
      <c r="W505" s="193">
        <v>1</v>
      </c>
      <c r="X505" s="193">
        <v>1</v>
      </c>
      <c r="Y505" s="193" t="str">
        <f>IF(综合数据!$B$14=TRUE,"13","")</f>
        <v>13</v>
      </c>
      <c r="AA505" s="200"/>
      <c r="AB505" s="200" t="str">
        <f t="array" ref="AB505">INDEX(B:B,SMALL(IF($Q$3:$Q$524&lt;&gt;"",ROW($3:$524),525),ROW(B504)))&amp;""</f>
        <v>律令医疗</v>
      </c>
      <c r="AC505" s="225" t="str">
        <f>IFERROR(IF(AND($Q506&lt;&gt;"",IF(法术查询!$J$4="",1,INDEX($R506:$Z506,1,VLOOKUP(法术查询!$J$4,$AF$2:$AG$10,2,0)))&lt;&gt;"",IF(法术查询!$J$5="",1,$P506=VLOOKUP(法术查询!$J$5,$AH$2:$AI$11,2,0)),IF(法术查询!$J$6="",1,IF(法术查询!$J$6=$E506,1,0)),IF(法术查询!$J$7="",1,SEARCH(法术查询!$J$7,$F506)),IF(法术查询!$J$8="",1,SEARCH(法术查询!$J$8,G506)),IF(法术查询!$J$9="",1,SEARCH(法术查询!$J$9,N506)),IF(法术查询!$J$10="",1,IF(法术查询!$J$10=$AF$11,IF($M506=1,1,0),IF($M506="",1,0))),IF(法术查询!$J$11="",1,IF(法术查询!$J$11=$AF$11,IF($D506=1,1,0),IF($D506="",1,0))),IF(法术查询!$J$12="",1,SEARCH(法术查询!$J$12,$B506&amp;$C506&amp;$O506)),IF(法术查询!$J$13="",1,SEARCH(法术查询!$J$13,$B506&amp;$C506&amp;$O506)),IF(法术查询!$J$14="",1,SEARCH(法术查询!$J$14,$B506&amp;$C506&amp;$O506)),IF(法术查询!$J$16="",1,IF(法术查询!$J$16=$AF$11,IF($H506=1,1,0),IF($H506="",1,0))),IF(法术查询!$J$17="",1,IF(法术查询!$J$17=$AF$11,IF($I506=1,1,0),IF($I506="",1,0))),IF(法术查询!$J$18="",1,IF(法术查询!$J$18=$AF$11,IF($J506&lt;&gt;"",1,0),IF($J506="",1,0))),IF(法术查询!$J$19="",1,IF(法术查询!$J$19=$AF$11,IF($L506&lt;&gt;"",1,0),IF($L506="",1,0)))),$B506,""),"")</f>
        <v/>
      </c>
      <c r="AD505" s="192" t="str">
        <f t="array" ref="AD505">INDEX(AC:AC,SMALL(IF($AC$2:$AC$523&lt;&gt;"",ROW($2:$523),524),ROW(AC504)))&amp;""</f>
        <v/>
      </c>
      <c r="AE505" s="200" t="str">
        <f t="shared" si="11"/>
        <v/>
      </c>
    </row>
    <row r="506" customHeight="1" spans="1:31">
      <c r="A506" s="192">
        <v>504</v>
      </c>
      <c r="B506" s="224" t="s">
        <v>8740</v>
      </c>
      <c r="C506" s="224" t="s">
        <v>8741</v>
      </c>
      <c r="E506" s="242" t="s">
        <v>6650</v>
      </c>
      <c r="F506" s="193" t="s">
        <v>6709</v>
      </c>
      <c r="G506" s="193" t="s">
        <v>6673</v>
      </c>
      <c r="H506" s="193">
        <v>1</v>
      </c>
      <c r="I506" s="193">
        <v>1</v>
      </c>
      <c r="J506" s="193">
        <v>1</v>
      </c>
      <c r="K506" s="224" t="s">
        <v>8742</v>
      </c>
      <c r="N506" s="193" t="s">
        <v>6794</v>
      </c>
      <c r="O506" s="224" t="s">
        <v>8743</v>
      </c>
      <c r="P506" s="224">
        <v>9</v>
      </c>
      <c r="Q506" s="224" t="s">
        <v>249</v>
      </c>
      <c r="X506" s="193">
        <v>1</v>
      </c>
      <c r="Y506" s="193">
        <v>1</v>
      </c>
      <c r="AA506" s="200"/>
      <c r="AB506" s="200" t="str">
        <f t="array" ref="AB506">INDEX(B:B,SMALL(IF($Q$3:$Q$524&lt;&gt;"",ROW($3:$524),525),ROW(B505)))&amp;""</f>
        <v>律令死亡</v>
      </c>
      <c r="AC506" s="225" t="str">
        <f>IFERROR(IF(AND($Q507&lt;&gt;"",IF(法术查询!$J$4="",1,INDEX($R507:$Z507,1,VLOOKUP(法术查询!$J$4,$AF$2:$AG$10,2,0)))&lt;&gt;"",IF(法术查询!$J$5="",1,$P507=VLOOKUP(法术查询!$J$5,$AH$2:$AI$11,2,0)),IF(法术查询!$J$6="",1,IF(法术查询!$J$6=$E507,1,0)),IF(法术查询!$J$7="",1,SEARCH(法术查询!$J$7,$F507)),IF(法术查询!$J$8="",1,SEARCH(法术查询!$J$8,G507)),IF(法术查询!$J$9="",1,SEARCH(法术查询!$J$9,N507)),IF(法术查询!$J$10="",1,IF(法术查询!$J$10=$AF$11,IF($M507=1,1,0),IF($M507="",1,0))),IF(法术查询!$J$11="",1,IF(法术查询!$J$11=$AF$11,IF($D507=1,1,0),IF($D507="",1,0))),IF(法术查询!$J$12="",1,SEARCH(法术查询!$J$12,$B507&amp;$C507&amp;$O507)),IF(法术查询!$J$13="",1,SEARCH(法术查询!$J$13,$B507&amp;$C507&amp;$O507)),IF(法术查询!$J$14="",1,SEARCH(法术查询!$J$14,$B507&amp;$C507&amp;$O507)),IF(法术查询!$J$16="",1,IF(法术查询!$J$16=$AF$11,IF($H507=1,1,0),IF($H507="",1,0))),IF(法术查询!$J$17="",1,IF(法术查询!$J$17=$AF$11,IF($I507=1,1,0),IF($I507="",1,0))),IF(法术查询!$J$18="",1,IF(法术查询!$J$18=$AF$11,IF($J507&lt;&gt;"",1,0),IF($J507="",1,0))),IF(法术查询!$J$19="",1,IF(法术查询!$J$19=$AF$11,IF($L507&lt;&gt;"",1,0),IF($L507="",1,0)))),$B507,""),"")</f>
        <v/>
      </c>
      <c r="AD506" s="192" t="str">
        <f t="array" ref="AD506">INDEX(AC:AC,SMALL(IF($AC$2:$AC$523&lt;&gt;"",ROW($2:$523),524),ROW(AC505)))&amp;""</f>
        <v/>
      </c>
      <c r="AE506" s="200" t="str">
        <f t="shared" si="11"/>
        <v/>
      </c>
    </row>
    <row r="507" customHeight="1" spans="1:31">
      <c r="A507" s="192">
        <v>505</v>
      </c>
      <c r="B507" s="224" t="s">
        <v>8744</v>
      </c>
      <c r="C507" s="224" t="s">
        <v>8745</v>
      </c>
      <c r="E507" s="229" t="s">
        <v>6664</v>
      </c>
      <c r="F507" s="193" t="s">
        <v>6642</v>
      </c>
      <c r="G507" s="193" t="s">
        <v>6643</v>
      </c>
      <c r="H507" s="193">
        <v>1</v>
      </c>
      <c r="I507" s="193">
        <v>1</v>
      </c>
      <c r="N507" s="193" t="s">
        <v>6644</v>
      </c>
      <c r="O507" s="224" t="s">
        <v>8746</v>
      </c>
      <c r="P507" s="224">
        <v>9</v>
      </c>
      <c r="Q507" s="224" t="s">
        <v>249</v>
      </c>
      <c r="S507" s="193">
        <v>1</v>
      </c>
      <c r="AA507" s="200"/>
      <c r="AB507" s="200" t="str">
        <f t="array" ref="AB507">INDEX(B:B,SMALL(IF($Q$3:$Q$524&lt;&gt;"",ROW($3:$524),525),ROW(B506)))&amp;""</f>
        <v>虹光法墙</v>
      </c>
      <c r="AC507" s="225" t="str">
        <f>IFERROR(IF(AND($Q508&lt;&gt;"",IF(法术查询!$J$4="",1,INDEX($R508:$Z508,1,VLOOKUP(法术查询!$J$4,$AF$2:$AG$10,2,0)))&lt;&gt;"",IF(法术查询!$J$5="",1,$P508=VLOOKUP(法术查询!$J$5,$AH$2:$AI$11,2,0)),IF(法术查询!$J$6="",1,IF(法术查询!$J$6=$E508,1,0)),IF(法术查询!$J$7="",1,SEARCH(法术查询!$J$7,$F508)),IF(法术查询!$J$8="",1,SEARCH(法术查询!$J$8,G508)),IF(法术查询!$J$9="",1,SEARCH(法术查询!$J$9,N508)),IF(法术查询!$J$10="",1,IF(法术查询!$J$10=$AF$11,IF($M508=1,1,0),IF($M508="",1,0))),IF(法术查询!$J$11="",1,IF(法术查询!$J$11=$AF$11,IF($D508=1,1,0),IF($D508="",1,0))),IF(法术查询!$J$12="",1,SEARCH(法术查询!$J$12,$B508&amp;$C508&amp;$O508)),IF(法术查询!$J$13="",1,SEARCH(法术查询!$J$13,$B508&amp;$C508&amp;$O508)),IF(法术查询!$J$14="",1,SEARCH(法术查询!$J$14,$B508&amp;$C508&amp;$O508)),IF(法术查询!$J$16="",1,IF(法术查询!$J$16=$AF$11,IF($H508=1,1,0),IF($H508="",1,0))),IF(法术查询!$J$17="",1,IF(法术查询!$J$17=$AF$11,IF($I508=1,1,0),IF($I508="",1,0))),IF(法术查询!$J$18="",1,IF(法术查询!$J$18=$AF$11,IF($J508&lt;&gt;"",1,0),IF($J508="",1,0))),IF(法术查询!$J$19="",1,IF(法术查询!$J$19=$AF$11,IF($L508&lt;&gt;"",1,0),IF($L508="",1,0)))),$B508,""),"")</f>
        <v/>
      </c>
      <c r="AD507" s="192" t="str">
        <f t="array" ref="AD507">INDEX(AC:AC,SMALL(IF($AC$2:$AC$523&lt;&gt;"",ROW($2:$523),524),ROW(AC506)))&amp;""</f>
        <v/>
      </c>
      <c r="AE507" s="200" t="str">
        <f t="shared" si="11"/>
        <v/>
      </c>
    </row>
    <row r="508" customHeight="1" spans="1:31">
      <c r="A508" s="192">
        <v>506</v>
      </c>
      <c r="B508" s="224" t="s">
        <v>8747</v>
      </c>
      <c r="C508" s="224" t="s">
        <v>8748</v>
      </c>
      <c r="E508" s="229" t="s">
        <v>6664</v>
      </c>
      <c r="F508" s="193" t="s">
        <v>6642</v>
      </c>
      <c r="G508" s="193" t="s">
        <v>6800</v>
      </c>
      <c r="H508" s="193">
        <v>1</v>
      </c>
      <c r="I508" s="193">
        <v>1</v>
      </c>
      <c r="N508" s="193" t="s">
        <v>6644</v>
      </c>
      <c r="O508" s="224" t="s">
        <v>8749</v>
      </c>
      <c r="P508" s="224">
        <v>9</v>
      </c>
      <c r="Q508" s="224" t="s">
        <v>249</v>
      </c>
      <c r="W508" s="193">
        <v>1</v>
      </c>
      <c r="X508" s="193">
        <v>1</v>
      </c>
      <c r="AA508" s="200"/>
      <c r="AB508" s="200" t="str">
        <f t="array" ref="AB508">INDEX(B:B,SMALL(IF($Q$3:$Q$524&lt;&gt;"",ROW($3:$524),525),ROW(B507)))&amp;""</f>
        <v>形体变化</v>
      </c>
      <c r="AC508" s="225" t="str">
        <f>IFERROR(IF(AND($Q509&lt;&gt;"",IF(法术查询!$J$4="",1,INDEX($R509:$Z509,1,VLOOKUP(法术查询!$J$4,$AF$2:$AG$10,2,0)))&lt;&gt;"",IF(法术查询!$J$5="",1,$P509=VLOOKUP(法术查询!$J$5,$AH$2:$AI$11,2,0)),IF(法术查询!$J$6="",1,IF(法术查询!$J$6=$E509,1,0)),IF(法术查询!$J$7="",1,SEARCH(法术查询!$J$7,$F509)),IF(法术查询!$J$8="",1,SEARCH(法术查询!$J$8,G509)),IF(法术查询!$J$9="",1,SEARCH(法术查询!$J$9,N509)),IF(法术查询!$J$10="",1,IF(法术查询!$J$10=$AF$11,IF($M509=1,1,0),IF($M509="",1,0))),IF(法术查询!$J$11="",1,IF(法术查询!$J$11=$AF$11,IF($D509=1,1,0),IF($D509="",1,0))),IF(法术查询!$J$12="",1,SEARCH(法术查询!$J$12,$B509&amp;$C509&amp;$O509)),IF(法术查询!$J$13="",1,SEARCH(法术查询!$J$13,$B509&amp;$C509&amp;$O509)),IF(法术查询!$J$14="",1,SEARCH(法术查询!$J$14,$B509&amp;$C509&amp;$O509)),IF(法术查询!$J$16="",1,IF(法术查询!$J$16=$AF$11,IF($H509=1,1,0),IF($H509="",1,0))),IF(法术查询!$J$17="",1,IF(法术查询!$J$17=$AF$11,IF($I509=1,1,0),IF($I509="",1,0))),IF(法术查询!$J$18="",1,IF(法术查询!$J$18=$AF$11,IF($J509&lt;&gt;"",1,0),IF($J509="",1,0))),IF(法术查询!$J$19="",1,IF(法术查询!$J$19=$AF$11,IF($L509&lt;&gt;"",1,0),IF($L509="",1,0)))),$B509,""),"")</f>
        <v/>
      </c>
      <c r="AD508" s="192" t="str">
        <f t="array" ref="AD508">INDEX(AC:AC,SMALL(IF($AC$2:$AC$523&lt;&gt;"",ROW($2:$523),524),ROW(AC507)))&amp;""</f>
        <v/>
      </c>
      <c r="AE508" s="200" t="str">
        <f t="shared" si="11"/>
        <v/>
      </c>
    </row>
    <row r="509" customHeight="1" spans="1:31">
      <c r="A509" s="192">
        <v>507</v>
      </c>
      <c r="B509" s="224" t="s">
        <v>8750</v>
      </c>
      <c r="C509" s="224" t="s">
        <v>8751</v>
      </c>
      <c r="E509" s="229" t="s">
        <v>6664</v>
      </c>
      <c r="F509" s="193" t="s">
        <v>6642</v>
      </c>
      <c r="G509" s="193" t="s">
        <v>3760</v>
      </c>
      <c r="H509" s="193">
        <v>1</v>
      </c>
      <c r="I509" s="193">
        <v>1</v>
      </c>
      <c r="N509" s="193" t="s">
        <v>6644</v>
      </c>
      <c r="O509" s="224" t="s">
        <v>8752</v>
      </c>
      <c r="P509" s="224">
        <v>9</v>
      </c>
      <c r="Q509" s="224" t="s">
        <v>249</v>
      </c>
      <c r="R509" s="193">
        <v>1</v>
      </c>
      <c r="S509" s="193" t="str">
        <f>IF(综合数据!$B$14=TRUE,"13","")</f>
        <v>13</v>
      </c>
      <c r="AA509" s="200"/>
      <c r="AB509" s="200" t="str">
        <f t="array" ref="AB509">INDEX(B:B,SMALL(IF($Q$3:$Q$524&lt;&gt;"",ROW($3:$524),525),ROW(B508)))&amp;""</f>
        <v>复仇风暴</v>
      </c>
      <c r="AC509" s="225" t="str">
        <f>IFERROR(IF(AND($Q510&lt;&gt;"",IF(法术查询!$J$4="",1,INDEX($R510:$Z510,1,VLOOKUP(法术查询!$J$4,$AF$2:$AG$10,2,0)))&lt;&gt;"",IF(法术查询!$J$5="",1,$P510=VLOOKUP(法术查询!$J$5,$AH$2:$AI$11,2,0)),IF(法术查询!$J$6="",1,IF(法术查询!$J$6=$E510,1,0)),IF(法术查询!$J$7="",1,SEARCH(法术查询!$J$7,$F510)),IF(法术查询!$J$8="",1,SEARCH(法术查询!$J$8,G510)),IF(法术查询!$J$9="",1,SEARCH(法术查询!$J$9,N510)),IF(法术查询!$J$10="",1,IF(法术查询!$J$10=$AF$11,IF($M510=1,1,0),IF($M510="",1,0))),IF(法术查询!$J$11="",1,IF(法术查询!$J$11=$AF$11,IF($D510=1,1,0),IF($D510="",1,0))),IF(法术查询!$J$12="",1,SEARCH(法术查询!$J$12,$B510&amp;$C510&amp;$O510)),IF(法术查询!$J$13="",1,SEARCH(法术查询!$J$13,$B510&amp;$C510&amp;$O510)),IF(法术查询!$J$14="",1,SEARCH(法术查询!$J$14,$B510&amp;$C510&amp;$O510)),IF(法术查询!$J$16="",1,IF(法术查询!$J$16=$AF$11,IF($H510=1,1,0),IF($H510="",1,0))),IF(法术查询!$J$17="",1,IF(法术查询!$J$17=$AF$11,IF($I510=1,1,0),IF($I510="",1,0))),IF(法术查询!$J$18="",1,IF(法术查询!$J$18=$AF$11,IF($J510&lt;&gt;"",1,0),IF($J510="",1,0))),IF(法术查询!$J$19="",1,IF(法术查询!$J$19=$AF$11,IF($L510&lt;&gt;"",1,0),IF($L510="",1,0)))),$B510,""),"")</f>
        <v/>
      </c>
      <c r="AD509" s="192" t="str">
        <f t="array" ref="AD509">INDEX(AC:AC,SMALL(IF($AC$2:$AC$523&lt;&gt;"",ROW($2:$523),524),ROW(AC508)))&amp;""</f>
        <v/>
      </c>
      <c r="AE509" s="200" t="str">
        <f t="shared" si="11"/>
        <v/>
      </c>
    </row>
    <row r="510" customHeight="1" spans="1:31">
      <c r="A510" s="192">
        <v>508</v>
      </c>
      <c r="B510" s="224" t="s">
        <v>8753</v>
      </c>
      <c r="C510" s="224" t="s">
        <v>8754</v>
      </c>
      <c r="E510" s="233" t="s">
        <v>6688</v>
      </c>
      <c r="F510" s="193" t="s">
        <v>6642</v>
      </c>
      <c r="G510" s="193" t="s">
        <v>6643</v>
      </c>
      <c r="H510" s="193">
        <v>1</v>
      </c>
      <c r="N510" s="193" t="s">
        <v>6644</v>
      </c>
      <c r="O510" s="224" t="s">
        <v>8755</v>
      </c>
      <c r="P510" s="224">
        <v>9</v>
      </c>
      <c r="Q510" s="224" t="s">
        <v>249</v>
      </c>
      <c r="R510" s="193">
        <v>1</v>
      </c>
      <c r="W510" s="193">
        <v>1</v>
      </c>
      <c r="X510" s="193">
        <v>1</v>
      </c>
      <c r="Y510" s="193">
        <v>1</v>
      </c>
      <c r="AA510" s="200"/>
      <c r="AB510" s="200" t="str">
        <f t="array" ref="AB510">INDEX(B:B,SMALL(IF($Q$3:$Q$524&lt;&gt;"",ROW($3:$524),525),ROW(B509)))&amp;""</f>
        <v>时间停止</v>
      </c>
      <c r="AC510" s="225" t="str">
        <f>IFERROR(IF(AND($Q511&lt;&gt;"",IF(法术查询!$J$4="",1,INDEX($R511:$Z511,1,VLOOKUP(法术查询!$J$4,$AF$2:$AG$10,2,0)))&lt;&gt;"",IF(法术查询!$J$5="",1,$P511=VLOOKUP(法术查询!$J$5,$AH$2:$AI$11,2,0)),IF(法术查询!$J$6="",1,IF(法术查询!$J$6=$E511,1,0)),IF(法术查询!$J$7="",1,SEARCH(法术查询!$J$7,$F511)),IF(法术查询!$J$8="",1,SEARCH(法术查询!$J$8,G511)),IF(法术查询!$J$9="",1,SEARCH(法术查询!$J$9,N511)),IF(法术查询!$J$10="",1,IF(法术查询!$J$10=$AF$11,IF($M511=1,1,0),IF($M511="",1,0))),IF(法术查询!$J$11="",1,IF(法术查询!$J$11=$AF$11,IF($D511=1,1,0),IF($D511="",1,0))),IF(法术查询!$J$12="",1,SEARCH(法术查询!$J$12,$B511&amp;$C511&amp;$O511)),IF(法术查询!$J$13="",1,SEARCH(法术查询!$J$13,$B511&amp;$C511&amp;$O511)),IF(法术查询!$J$14="",1,SEARCH(法术查询!$J$14,$B511&amp;$C511&amp;$O511)),IF(法术查询!$J$16="",1,IF(法术查询!$J$16=$AF$11,IF($H511=1,1,0),IF($H511="",1,0))),IF(法术查询!$J$17="",1,IF(法术查询!$J$17=$AF$11,IF($I511=1,1,0),IF($I511="",1,0))),IF(法术查询!$J$18="",1,IF(法术查询!$J$18=$AF$11,IF($J511&lt;&gt;"",1,0),IF($J511="",1,0))),IF(法术查询!$J$19="",1,IF(法术查询!$J$19=$AF$11,IF($L511&lt;&gt;"",1,0),IF($L511="",1,0)))),$B511,""),"")</f>
        <v/>
      </c>
      <c r="AD510" s="192" t="str">
        <f t="array" ref="AD510">INDEX(AC:AC,SMALL(IF($AC$2:$AC$523&lt;&gt;"",ROW($2:$523),524),ROW(AC509)))&amp;""</f>
        <v/>
      </c>
      <c r="AE510" s="200" t="str">
        <f t="shared" si="11"/>
        <v/>
      </c>
    </row>
    <row r="511" customHeight="1" spans="1:31">
      <c r="A511" s="192">
        <v>509</v>
      </c>
      <c r="B511" s="224" t="s">
        <v>8756</v>
      </c>
      <c r="C511" s="224" t="s">
        <v>8757</v>
      </c>
      <c r="E511" s="242" t="s">
        <v>6650</v>
      </c>
      <c r="F511" s="193" t="s">
        <v>6642</v>
      </c>
      <c r="G511" s="193" t="s">
        <v>6643</v>
      </c>
      <c r="H511" s="193">
        <v>1</v>
      </c>
      <c r="I511" s="193">
        <v>1</v>
      </c>
      <c r="N511" s="193" t="s">
        <v>6731</v>
      </c>
      <c r="O511" s="224" t="s">
        <v>8758</v>
      </c>
      <c r="P511" s="224">
        <v>9</v>
      </c>
      <c r="Q511" s="224" t="s">
        <v>249</v>
      </c>
      <c r="R511" s="193" t="str">
        <f>IF(综合数据!$B$14=TRUE,"13","")</f>
        <v>13</v>
      </c>
      <c r="X511" s="193">
        <v>1</v>
      </c>
      <c r="AA511" s="200"/>
      <c r="AB511" s="200" t="str">
        <f t="array" ref="AB511">INDEX(B:B,SMALL(IF($Q$3:$Q$524&lt;&gt;"",ROW($3:$524),525),ROW(B510)))&amp;""</f>
        <v>完全变形术</v>
      </c>
      <c r="AC511" s="225" t="str">
        <f>IFERROR(IF(AND($Q512&lt;&gt;"",IF(法术查询!$J$4="",1,INDEX($R512:$Z512,1,VLOOKUP(法术查询!$J$4,$AF$2:$AG$10,2,0)))&lt;&gt;"",IF(法术查询!$J$5="",1,$P512=VLOOKUP(法术查询!$J$5,$AH$2:$AI$11,2,0)),IF(法术查询!$J$6="",1,IF(法术查询!$J$6=$E512,1,0)),IF(法术查询!$J$7="",1,SEARCH(法术查询!$J$7,$F512)),IF(法术查询!$J$8="",1,SEARCH(法术查询!$J$8,G512)),IF(法术查询!$J$9="",1,SEARCH(法术查询!$J$9,N512)),IF(法术查询!$J$10="",1,IF(法术查询!$J$10=$AF$11,IF($M512=1,1,0),IF($M512="",1,0))),IF(法术查询!$J$11="",1,IF(法术查询!$J$11=$AF$11,IF($D512=1,1,0),IF($D512="",1,0))),IF(法术查询!$J$12="",1,SEARCH(法术查询!$J$12,$B512&amp;$C512&amp;$O512)),IF(法术查询!$J$13="",1,SEARCH(法术查询!$J$13,$B512&amp;$C512&amp;$O512)),IF(法术查询!$J$14="",1,SEARCH(法术查询!$J$14,$B512&amp;$C512&amp;$O512)),IF(法术查询!$J$16="",1,IF(法术查询!$J$16=$AF$11,IF($H512=1,1,0),IF($H512="",1,0))),IF(法术查询!$J$17="",1,IF(法术查询!$J$17=$AF$11,IF($I512=1,1,0),IF($I512="",1,0))),IF(法术查询!$J$18="",1,IF(法术查询!$J$18=$AF$11,IF($J512&lt;&gt;"",1,0),IF($J512="",1,0))),IF(法术查询!$J$19="",1,IF(法术查询!$J$19=$AF$11,IF($L512&lt;&gt;"",1,0),IF($L512="",1,0)))),$B512,""),"")</f>
        <v/>
      </c>
      <c r="AD511" s="192" t="str">
        <f t="array" ref="AD511">INDEX(AC:AC,SMALL(IF($AC$2:$AC$523&lt;&gt;"",ROW($2:$523),524),ROW(AC510)))&amp;""</f>
        <v/>
      </c>
      <c r="AE511" s="200" t="str">
        <f t="shared" si="11"/>
        <v/>
      </c>
    </row>
    <row r="512" customHeight="1" spans="1:31">
      <c r="A512" s="192">
        <v>510</v>
      </c>
      <c r="B512" s="224" t="s">
        <v>8759</v>
      </c>
      <c r="C512" s="224" t="s">
        <v>8760</v>
      </c>
      <c r="E512" s="231" t="s">
        <v>6672</v>
      </c>
      <c r="F512" s="193" t="s">
        <v>6642</v>
      </c>
      <c r="G512" s="193" t="s">
        <v>6651</v>
      </c>
      <c r="H512" s="193">
        <v>1</v>
      </c>
      <c r="I512" s="193">
        <v>1</v>
      </c>
      <c r="J512" s="193">
        <v>1</v>
      </c>
      <c r="K512" s="224" t="s">
        <v>8761</v>
      </c>
      <c r="M512" s="193">
        <v>1</v>
      </c>
      <c r="N512" s="193" t="s">
        <v>6739</v>
      </c>
      <c r="O512" s="224" t="s">
        <v>8762</v>
      </c>
      <c r="P512" s="224">
        <v>9</v>
      </c>
      <c r="Q512" s="224" t="s">
        <v>249</v>
      </c>
      <c r="T512" s="193">
        <v>1</v>
      </c>
      <c r="X512" s="193">
        <v>1</v>
      </c>
      <c r="AA512" s="200"/>
      <c r="AB512" s="200" t="str">
        <f t="array" ref="AB512">INDEX(B:B,SMALL(IF($Q$3:$Q$524&lt;&gt;"",ROW($3:$524),525),ROW(B511)))&amp;""</f>
        <v>完全复生术</v>
      </c>
      <c r="AC512" s="225" t="str">
        <f>IFERROR(IF(AND($Q513&lt;&gt;"",IF(法术查询!$J$4="",1,INDEX($R513:$Z513,1,VLOOKUP(法术查询!$J$4,$AF$2:$AG$10,2,0)))&lt;&gt;"",IF(法术查询!$J$5="",1,$P513=VLOOKUP(法术查询!$J$5,$AH$2:$AI$11,2,0)),IF(法术查询!$J$6="",1,IF(法术查询!$J$6=$E513,1,0)),IF(法术查询!$J$7="",1,SEARCH(法术查询!$J$7,$F513)),IF(法术查询!$J$8="",1,SEARCH(法术查询!$J$8,G513)),IF(法术查询!$J$9="",1,SEARCH(法术查询!$J$9,N513)),IF(法术查询!$J$10="",1,IF(法术查询!$J$10=$AF$11,IF($M513=1,1,0),IF($M513="",1,0))),IF(法术查询!$J$11="",1,IF(法术查询!$J$11=$AF$11,IF($D513=1,1,0),IF($D513="",1,0))),IF(法术查询!$J$12="",1,SEARCH(法术查询!$J$12,$B513&amp;$C513&amp;$O513)),IF(法术查询!$J$13="",1,SEARCH(法术查询!$J$13,$B513&amp;$C513&amp;$O513)),IF(法术查询!$J$14="",1,SEARCH(法术查询!$J$14,$B513&amp;$C513&amp;$O513)),IF(法术查询!$J$16="",1,IF(法术查询!$J$16=$AF$11,IF($H513=1,1,0),IF($H513="",1,0))),IF(法术查询!$J$17="",1,IF(法术查询!$J$17=$AF$11,IF($I513=1,1,0),IF($I513="",1,0))),IF(法术查询!$J$18="",1,IF(法术查询!$J$18=$AF$11,IF($J513&lt;&gt;"",1,0),IF($J513="",1,0))),IF(法术查询!$J$19="",1,IF(法术查询!$J$19=$AF$11,IF($L513&lt;&gt;"",1,0),IF($L513="",1,0)))),$B513,""),"")</f>
        <v/>
      </c>
      <c r="AD512" s="192" t="str">
        <f t="array" ref="AD512">INDEX(AC:AC,SMALL(IF($AC$2:$AC$523&lt;&gt;"",ROW($2:$523),524),ROW(AC511)))&amp;""</f>
        <v/>
      </c>
      <c r="AE512" s="200" t="str">
        <f t="shared" si="11"/>
        <v/>
      </c>
    </row>
    <row r="513" customHeight="1" spans="1:31">
      <c r="A513" s="192">
        <v>511</v>
      </c>
      <c r="B513" s="224" t="s">
        <v>8763</v>
      </c>
      <c r="C513" s="224" t="s">
        <v>8764</v>
      </c>
      <c r="E513" s="240" t="s">
        <v>6641</v>
      </c>
      <c r="F513" s="193" t="s">
        <v>6642</v>
      </c>
      <c r="G513" s="193" t="s">
        <v>6820</v>
      </c>
      <c r="H513" s="193">
        <v>1</v>
      </c>
      <c r="I513" s="193">
        <v>1</v>
      </c>
      <c r="M513" s="193">
        <v>1</v>
      </c>
      <c r="N513" s="193" t="s">
        <v>6666</v>
      </c>
      <c r="O513" s="224" t="s">
        <v>8765</v>
      </c>
      <c r="P513" s="224">
        <v>9</v>
      </c>
      <c r="Q513" s="224" t="s">
        <v>249</v>
      </c>
      <c r="T513" s="193">
        <v>1</v>
      </c>
      <c r="AA513" s="200"/>
      <c r="AB513" s="200" t="str">
        <f t="array" ref="AB513">INDEX(B:B,SMALL(IF($Q$3:$Q$524&lt;&gt;"",ROW($3:$524),525),ROW(B512)))&amp;""</f>
        <v>怪影杀手</v>
      </c>
      <c r="AC513" s="225" t="str">
        <f>IFERROR(IF(AND($Q514&lt;&gt;"",IF(法术查询!$J$4="",1,INDEX($R514:$Z514,1,VLOOKUP(法术查询!$J$4,$AF$2:$AG$10,2,0)))&lt;&gt;"",IF(法术查询!$J$5="",1,$P514=VLOOKUP(法术查询!$J$5,$AH$2:$AI$11,2,0)),IF(法术查询!$J$6="",1,IF(法术查询!$J$6=$E514,1,0)),IF(法术查询!$J$7="",1,SEARCH(法术查询!$J$7,$F514)),IF(法术查询!$J$8="",1,SEARCH(法术查询!$J$8,G514)),IF(法术查询!$J$9="",1,SEARCH(法术查询!$J$9,N514)),IF(法术查询!$J$10="",1,IF(法术查询!$J$10=$AF$11,IF($M514=1,1,0),IF($M514="",1,0))),IF(法术查询!$J$11="",1,IF(法术查询!$J$11=$AF$11,IF($D514=1,1,0),IF($D514="",1,0))),IF(法术查询!$J$12="",1,SEARCH(法术查询!$J$12,$B514&amp;$C514&amp;$O514)),IF(法术查询!$J$13="",1,SEARCH(法术查询!$J$13,$B514&amp;$C514&amp;$O514)),IF(法术查询!$J$14="",1,SEARCH(法术查询!$J$14,$B514&amp;$C514&amp;$O514)),IF(法术查询!$J$16="",1,IF(法术查询!$J$16=$AF$11,IF($H514=1,1,0),IF($H514="",1,0))),IF(法术查询!$J$17="",1,IF(法术查询!$J$17=$AF$11,IF($I514=1,1,0),IF($I514="",1,0))),IF(法术查询!$J$18="",1,IF(法术查询!$J$18=$AF$11,IF($J514&lt;&gt;"",1,0),IF($J514="",1,0))),IF(法术查询!$J$19="",1,IF(法术查询!$J$19=$AF$11,IF($L514&lt;&gt;"",1,0),IF($L514="",1,0)))),$B514,""),"")</f>
        <v/>
      </c>
      <c r="AD513" s="192" t="str">
        <f t="array" ref="AD513">INDEX(AC:AC,SMALL(IF($AC$2:$AC$523&lt;&gt;"",ROW($2:$523),524),ROW(AC512)))&amp;""</f>
        <v/>
      </c>
      <c r="AE513" s="200" t="str">
        <f t="shared" si="11"/>
        <v/>
      </c>
    </row>
    <row r="514" customHeight="1" spans="1:31">
      <c r="A514" s="192">
        <v>512</v>
      </c>
      <c r="B514" s="224" t="s">
        <v>8766</v>
      </c>
      <c r="C514" s="224" t="s">
        <v>8767</v>
      </c>
      <c r="E514" s="231" t="s">
        <v>6672</v>
      </c>
      <c r="F514" s="193" t="s">
        <v>6642</v>
      </c>
      <c r="G514" s="193" t="s">
        <v>6651</v>
      </c>
      <c r="H514" s="193">
        <v>1</v>
      </c>
      <c r="N514" s="193" t="s">
        <v>6644</v>
      </c>
      <c r="O514" s="224" t="s">
        <v>8768</v>
      </c>
      <c r="P514" s="224">
        <v>9</v>
      </c>
      <c r="Q514" s="224" t="s">
        <v>249</v>
      </c>
      <c r="W514" s="193">
        <v>1</v>
      </c>
      <c r="X514" s="193">
        <v>1</v>
      </c>
      <c r="AA514" s="200"/>
      <c r="AB514" s="200" t="str">
        <f t="array" ref="AB514">INDEX(B:B,SMALL(IF($Q$3:$Q$524&lt;&gt;"",ROW($3:$524),525),ROW(B513)))&amp;""</f>
        <v>祈愿术</v>
      </c>
      <c r="AC514" s="225" t="str">
        <f>IFERROR(IF(AND($Q515&lt;&gt;"",IF(法术查询!$J$4="",1,INDEX($R515:$Z515,1,VLOOKUP(法术查询!$J$4,$AF$2:$AG$10,2,0)))&lt;&gt;"",IF(法术查询!$J$5="",1,$P515=VLOOKUP(法术查询!$J$5,$AH$2:$AI$11,2,0)),IF(法术查询!$J$6="",1,IF(法术查询!$J$6=$E515,1,0)),IF(法术查询!$J$7="",1,SEARCH(法术查询!$J$7,$F515)),IF(法术查询!$J$8="",1,SEARCH(法术查询!$J$8,G515)),IF(法术查询!$J$9="",1,SEARCH(法术查询!$J$9,N515)),IF(法术查询!$J$10="",1,IF(法术查询!$J$10=$AF$11,IF($M515=1,1,0),IF($M515="",1,0))),IF(法术查询!$J$11="",1,IF(法术查询!$J$11=$AF$11,IF($D515=1,1,0),IF($D515="",1,0))),IF(法术查询!$J$12="",1,SEARCH(法术查询!$J$12,$B515&amp;$C515&amp;$O515)),IF(法术查询!$J$13="",1,SEARCH(法术查询!$J$13,$B515&amp;$C515&amp;$O515)),IF(法术查询!$J$14="",1,SEARCH(法术查询!$J$14,$B515&amp;$C515&amp;$O515)),IF(法术查询!$J$16="",1,IF(法术查询!$J$16=$AF$11,IF($H515=1,1,0),IF($H515="",1,0))),IF(法术查询!$J$17="",1,IF(法术查询!$J$17=$AF$11,IF($I515=1,1,0),IF($I515="",1,0))),IF(法术查询!$J$18="",1,IF(法术查询!$J$18=$AF$11,IF($J515&lt;&gt;"",1,0),IF($J515="",1,0))),IF(法术查询!$J$19="",1,IF(法术查询!$J$19=$AF$11,IF($L515&lt;&gt;"",1,0),IF($L515="",1,0)))),$B515,""),"")</f>
        <v/>
      </c>
      <c r="AD514" s="192" t="str">
        <f t="array" ref="AD514">INDEX(AC:AC,SMALL(IF($AC$2:$AC$523&lt;&gt;"",ROW($2:$523),524),ROW(AC513)))&amp;""</f>
        <v/>
      </c>
      <c r="AE514" s="200" t="str">
        <f t="shared" si="11"/>
        <v/>
      </c>
    </row>
    <row r="515" customHeight="1" spans="1:31">
      <c r="A515" s="192">
        <v>513</v>
      </c>
      <c r="B515" s="224" t="s">
        <v>8769</v>
      </c>
      <c r="C515" s="224" t="s">
        <v>8770</v>
      </c>
      <c r="E515" s="231" t="s">
        <v>6672</v>
      </c>
      <c r="F515" s="193" t="s">
        <v>6642</v>
      </c>
      <c r="G515" s="193" t="s">
        <v>6673</v>
      </c>
      <c r="H515" s="193">
        <v>1</v>
      </c>
      <c r="I515" s="193">
        <v>1</v>
      </c>
      <c r="J515" s="193">
        <v>1</v>
      </c>
      <c r="K515" s="224" t="s">
        <v>8771</v>
      </c>
      <c r="M515" s="193">
        <v>1</v>
      </c>
      <c r="N515" s="193" t="s">
        <v>6739</v>
      </c>
      <c r="O515" s="224" t="s">
        <v>8772</v>
      </c>
      <c r="P515" s="224">
        <v>9</v>
      </c>
      <c r="Q515" s="224" t="s">
        <v>249</v>
      </c>
      <c r="R515" s="193">
        <v>1</v>
      </c>
      <c r="X515" s="193">
        <v>1</v>
      </c>
      <c r="Y515" s="193">
        <v>1</v>
      </c>
      <c r="AA515" s="200"/>
      <c r="AB515" s="200" t="str">
        <f t="array" ref="AB515">INDEX(B:B,SMALL(IF($Q$3:$Q$524&lt;&gt;"",ROW($3:$524),525),ROW(B514)))&amp;""</f>
        <v>无敌术</v>
      </c>
      <c r="AC515" s="225" t="str">
        <f>IFERROR(IF(AND($Q516&lt;&gt;"",IF(法术查询!$J$4="",1,INDEX($R516:$Z516,1,VLOOKUP(法术查询!$J$4,$AF$2:$AG$10,2,0)))&lt;&gt;"",IF(法术查询!$J$5="",1,$P516=VLOOKUP(法术查询!$J$5,$AH$2:$AI$11,2,0)),IF(法术查询!$J$6="",1,IF(法术查询!$J$6=$E516,1,0)),IF(法术查询!$J$7="",1,SEARCH(法术查询!$J$7,$F516)),IF(法术查询!$J$8="",1,SEARCH(法术查询!$J$8,G516)),IF(法术查询!$J$9="",1,SEARCH(法术查询!$J$9,N516)),IF(法术查询!$J$10="",1,IF(法术查询!$J$10=$AF$11,IF($M516=1,1,0),IF($M516="",1,0))),IF(法术查询!$J$11="",1,IF(法术查询!$J$11=$AF$11,IF($D516=1,1,0),IF($D516="",1,0))),IF(法术查询!$J$12="",1,SEARCH(法术查询!$J$12,$B516&amp;$C516&amp;$O516)),IF(法术查询!$J$13="",1,SEARCH(法术查询!$J$13,$B516&amp;$C516&amp;$O516)),IF(法术查询!$J$14="",1,SEARCH(法术查询!$J$14,$B516&amp;$C516&amp;$O516)),IF(法术查询!$J$16="",1,IF(法术查询!$J$16=$AF$11,IF($H516=1,1,0),IF($H516="",1,0))),IF(法术查询!$J$17="",1,IF(法术查询!$J$17=$AF$11,IF($I516=1,1,0),IF($I516="",1,0))),IF(法术查询!$J$18="",1,IF(法术查询!$J$18=$AF$11,IF($J516&lt;&gt;"",1,0),IF($J516="",1,0))),IF(法术查询!$J$19="",1,IF(法术查询!$J$19=$AF$11,IF($L516&lt;&gt;"",1,0),IF($L516="",1,0)))),$B516,""),"")</f>
        <v/>
      </c>
      <c r="AD515" s="192" t="str">
        <f t="array" ref="AD515">INDEX(AC:AC,SMALL(IF($AC$2:$AC$523&lt;&gt;"",ROW($2:$523),524),ROW(AC514)))&amp;""</f>
        <v/>
      </c>
      <c r="AE515" s="200" t="str">
        <f t="shared" ref="AE515:AE523" si="12">IF(AD515="","",VLOOKUP(AD515,B:C,2,0))</f>
        <v/>
      </c>
    </row>
    <row r="516" customHeight="1" spans="1:31">
      <c r="A516" s="192">
        <v>514</v>
      </c>
      <c r="B516" s="224" t="s">
        <v>8773</v>
      </c>
      <c r="C516" s="224" t="s">
        <v>8774</v>
      </c>
      <c r="E516" s="243" t="s">
        <v>6657</v>
      </c>
      <c r="F516" s="193" t="s">
        <v>6704</v>
      </c>
      <c r="G516" s="193" t="s">
        <v>3760</v>
      </c>
      <c r="H516" s="193">
        <v>1</v>
      </c>
      <c r="I516" s="193">
        <v>1</v>
      </c>
      <c r="J516" s="193">
        <v>1</v>
      </c>
      <c r="L516" s="224" t="s">
        <v>8775</v>
      </c>
      <c r="N516" s="193" t="s">
        <v>6644</v>
      </c>
      <c r="O516" s="224" t="s">
        <v>8776</v>
      </c>
      <c r="P516" s="224">
        <v>9</v>
      </c>
      <c r="Q516" s="224" t="s">
        <v>249</v>
      </c>
      <c r="S516" s="193">
        <v>1</v>
      </c>
      <c r="T516" s="193">
        <v>1</v>
      </c>
      <c r="AA516" s="200"/>
      <c r="AB516" s="200" t="str">
        <f t="array" ref="AB516">INDEX(B:B,SMALL(IF($Q$3:$Q$524&lt;&gt;"",ROW($3:$524),525),ROW(B515)))&amp;""</f>
        <v>群体变形术</v>
      </c>
      <c r="AC516" s="225" t="str">
        <f>IFERROR(IF(AND($Q517&lt;&gt;"",IF(法术查询!$J$4="",1,INDEX($R517:$Z517,1,VLOOKUP(法术查询!$J$4,$AF$2:$AG$10,2,0)))&lt;&gt;"",IF(法术查询!$J$5="",1,$P517=VLOOKUP(法术查询!$J$5,$AH$2:$AI$11,2,0)),IF(法术查询!$J$6="",1,IF(法术查询!$J$6=$E517,1,0)),IF(法术查询!$J$7="",1,SEARCH(法术查询!$J$7,$F517)),IF(法术查询!$J$8="",1,SEARCH(法术查询!$J$8,G517)),IF(法术查询!$J$9="",1,SEARCH(法术查询!$J$9,N517)),IF(法术查询!$J$10="",1,IF(法术查询!$J$10=$AF$11,IF($M517=1,1,0),IF($M517="",1,0))),IF(法术查询!$J$11="",1,IF(法术查询!$J$11=$AF$11,IF($D517=1,1,0),IF($D517="",1,0))),IF(法术查询!$J$12="",1,SEARCH(法术查询!$J$12,$B517&amp;$C517&amp;$O517)),IF(法术查询!$J$13="",1,SEARCH(法术查询!$J$13,$B517&amp;$C517&amp;$O517)),IF(法术查询!$J$14="",1,SEARCH(法术查询!$J$14,$B517&amp;$C517&amp;$O517)),IF(法术查询!$J$16="",1,IF(法术查询!$J$16=$AF$11,IF($H517=1,1,0),IF($H517="",1,0))),IF(法术查询!$J$17="",1,IF(法术查询!$J$17=$AF$11,IF($I517=1,1,0),IF($I517="",1,0))),IF(法术查询!$J$18="",1,IF(法术查询!$J$18=$AF$11,IF($J517&lt;&gt;"",1,0),IF($J517="",1,0))),IF(法术查询!$J$19="",1,IF(法术查询!$J$19=$AF$11,IF($L517&lt;&gt;"",1,0),IF($L517="",1,0)))),$B517,""),"")</f>
        <v/>
      </c>
      <c r="AD516" s="192" t="str">
        <f t="array" ref="AD516">INDEX(AC:AC,SMALL(IF($AC$2:$AC$523&lt;&gt;"",ROW($2:$523),524),ROW(AC515)))&amp;""</f>
        <v/>
      </c>
      <c r="AE516" s="200" t="str">
        <f t="shared" si="12"/>
        <v/>
      </c>
    </row>
    <row r="517" customHeight="1" spans="1:31">
      <c r="A517" s="192">
        <v>515</v>
      </c>
      <c r="B517" s="224" t="s">
        <v>8777</v>
      </c>
      <c r="C517" s="224" t="s">
        <v>8778</v>
      </c>
      <c r="E517" s="241" t="s">
        <v>6726</v>
      </c>
      <c r="F517" s="193" t="s">
        <v>6642</v>
      </c>
      <c r="G517" s="193" t="s">
        <v>6658</v>
      </c>
      <c r="H517" s="193">
        <v>1</v>
      </c>
      <c r="I517" s="193">
        <v>1</v>
      </c>
      <c r="M517" s="193">
        <v>1</v>
      </c>
      <c r="N517" s="193" t="s">
        <v>6666</v>
      </c>
      <c r="O517" s="224" t="s">
        <v>8779</v>
      </c>
      <c r="P517" s="224">
        <v>9</v>
      </c>
      <c r="Q517" s="224" t="s">
        <v>249</v>
      </c>
      <c r="X517" s="193">
        <v>1</v>
      </c>
      <c r="Y517" s="193" t="str">
        <f>IF(综合数据!$B$14=TRUE,"13","")</f>
        <v>13</v>
      </c>
      <c r="AA517" s="200"/>
      <c r="AB517" s="200" t="str">
        <f t="array" ref="AB517">INDEX(B:B,SMALL(IF($Q$3:$Q$524&lt;&gt;"",ROW($3:$524),525),ROW(B516)))&amp;""</f>
        <v>心灵尖啸</v>
      </c>
      <c r="AC517" s="225" t="str">
        <f>IFERROR(IF(AND($Q518&lt;&gt;"",IF(法术查询!$J$4="",1,INDEX($R518:$Z518,1,VLOOKUP(法术查询!$J$4,$AF$2:$AG$10,2,0)))&lt;&gt;"",IF(法术查询!$J$5="",1,$P518=VLOOKUP(法术查询!$J$5,$AH$2:$AI$11,2,0)),IF(法术查询!$J$6="",1,IF(法术查询!$J$6=$E518,1,0)),IF(法术查询!$J$7="",1,SEARCH(法术查询!$J$7,$F518)),IF(法术查询!$J$8="",1,SEARCH(法术查询!$J$8,G518)),IF(法术查询!$J$9="",1,SEARCH(法术查询!$J$9,N518)),IF(法术查询!$J$10="",1,IF(法术查询!$J$10=$AF$11,IF($M518=1,1,0),IF($M518="",1,0))),IF(法术查询!$J$11="",1,IF(法术查询!$J$11=$AF$11,IF($D518=1,1,0),IF($D518="",1,0))),IF(法术查询!$J$12="",1,SEARCH(法术查询!$J$12,$B518&amp;$C518&amp;$O518)),IF(法术查询!$J$13="",1,SEARCH(法术查询!$J$13,$B518&amp;$C518&amp;$O518)),IF(法术查询!$J$14="",1,SEARCH(法术查询!$J$14,$B518&amp;$C518&amp;$O518)),IF(法术查询!$J$16="",1,IF(法术查询!$J$16=$AF$11,IF($H518=1,1,0),IF($H518="",1,0))),IF(法术查询!$J$17="",1,IF(法术查询!$J$17=$AF$11,IF($I518=1,1,0),IF($I518="",1,0))),IF(法术查询!$J$18="",1,IF(法术查询!$J$18=$AF$11,IF($J518&lt;&gt;"",1,0),IF($J518="",1,0))),IF(法术查询!$J$19="",1,IF(法术查询!$J$19=$AF$11,IF($L518&lt;&gt;"",1,0),IF($L518="",1,0)))),$B518,""),"")</f>
        <v/>
      </c>
      <c r="AD517" s="192" t="str">
        <f t="array" ref="AD517">INDEX(AC:AC,SMALL(IF($AC$2:$AC$523&lt;&gt;"",ROW($2:$523),524),ROW(AC516)))&amp;""</f>
        <v/>
      </c>
      <c r="AE517" s="200" t="str">
        <f t="shared" si="12"/>
        <v/>
      </c>
    </row>
    <row r="518" customHeight="1" spans="1:31">
      <c r="A518" s="192">
        <v>516</v>
      </c>
      <c r="B518" s="224" t="s">
        <v>8780</v>
      </c>
      <c r="C518" s="224" t="s">
        <v>8781</v>
      </c>
      <c r="E518" s="240" t="s">
        <v>6641</v>
      </c>
      <c r="F518" s="193" t="s">
        <v>6642</v>
      </c>
      <c r="G518" s="193" t="s">
        <v>6651</v>
      </c>
      <c r="H518" s="193">
        <v>1</v>
      </c>
      <c r="N518" s="193" t="s">
        <v>6644</v>
      </c>
      <c r="O518" s="224" t="s">
        <v>8782</v>
      </c>
      <c r="P518" s="224">
        <v>9</v>
      </c>
      <c r="Q518" s="224" t="s">
        <v>249</v>
      </c>
      <c r="W518" s="193">
        <v>1</v>
      </c>
      <c r="X518" s="193">
        <v>1</v>
      </c>
      <c r="AA518" s="200"/>
      <c r="AB518" s="200" t="str">
        <f t="array" ref="AB518">INDEX(B:B,SMALL(IF($Q$3:$Q$524&lt;&gt;"",ROW($3:$524),525),ROW(B517)))&amp;""</f>
        <v>饕餮虚空</v>
      </c>
      <c r="AC518" s="225" t="str">
        <f>IFERROR(IF(AND($Q519&lt;&gt;"",IF(法术查询!$J$4="",1,INDEX($R519:$Z519,1,VLOOKUP(法术查询!$J$4,$AF$2:$AG$10,2,0)))&lt;&gt;"",IF(法术查询!$J$5="",1,$P519=VLOOKUP(法术查询!$J$5,$AH$2:$AI$11,2,0)),IF(法术查询!$J$6="",1,IF(法术查询!$J$6=$E519,1,0)),IF(法术查询!$J$7="",1,SEARCH(法术查询!$J$7,$F519)),IF(法术查询!$J$8="",1,SEARCH(法术查询!$J$8,G519)),IF(法术查询!$J$9="",1,SEARCH(法术查询!$J$9,N519)),IF(法术查询!$J$10="",1,IF(法术查询!$J$10=$AF$11,IF($M519=1,1,0),IF($M519="",1,0))),IF(法术查询!$J$11="",1,IF(法术查询!$J$11=$AF$11,IF($D519=1,1,0),IF($D519="",1,0))),IF(法术查询!$J$12="",1,SEARCH(法术查询!$J$12,$B519&amp;$C519&amp;$O519)),IF(法术查询!$J$13="",1,SEARCH(法术查询!$J$13,$B519&amp;$C519&amp;$O519)),IF(法术查询!$J$14="",1,SEARCH(法术查询!$J$14,$B519&amp;$C519&amp;$O519)),IF(法术查询!$J$16="",1,IF(法术查询!$J$16=$AF$11,IF($H519=1,1,0),IF($H519="",1,0))),IF(法术查询!$J$17="",1,IF(法术查询!$J$17=$AF$11,IF($I519=1,1,0),IF($I519="",1,0))),IF(法术查询!$J$18="",1,IF(法术查询!$J$18=$AF$11,IF($J519&lt;&gt;"",1,0),IF($J519="",1,0))),IF(法术查询!$J$19="",1,IF(法术查询!$J$19=$AF$11,IF($L519&lt;&gt;"",1,0),IF($L519="",1,0)))),$B519,""),"")</f>
        <v/>
      </c>
      <c r="AD518" s="192" t="str">
        <f t="array" ref="AD518">INDEX(AC:AC,SMALL(IF($AC$2:$AC$523&lt;&gt;"",ROW($2:$523),524),ROW(AC517)))&amp;""</f>
        <v/>
      </c>
      <c r="AE518" s="200" t="str">
        <f t="shared" si="12"/>
        <v/>
      </c>
    </row>
    <row r="519" customHeight="1" spans="1:31">
      <c r="A519" s="192">
        <v>517</v>
      </c>
      <c r="B519" s="224" t="s">
        <v>8783</v>
      </c>
      <c r="C519" s="224" t="s">
        <v>8784</v>
      </c>
      <c r="E519" s="242" t="s">
        <v>6650</v>
      </c>
      <c r="F519" s="193" t="s">
        <v>6642</v>
      </c>
      <c r="G519" s="193" t="s">
        <v>6651</v>
      </c>
      <c r="H519" s="193">
        <v>1</v>
      </c>
      <c r="I519" s="193">
        <v>1</v>
      </c>
      <c r="J519" s="193">
        <v>1</v>
      </c>
      <c r="L519" s="224" t="s">
        <v>8785</v>
      </c>
      <c r="M519" s="193">
        <v>1</v>
      </c>
      <c r="N519" s="193" t="s">
        <v>6831</v>
      </c>
      <c r="O519" s="224" t="s">
        <v>8786</v>
      </c>
      <c r="P519" s="224">
        <v>9</v>
      </c>
      <c r="Q519" s="245" t="str">
        <f>IF(综合数据!$B$7=TRUE,"XGE","")</f>
        <v>XGE</v>
      </c>
      <c r="X519" s="193">
        <v>6</v>
      </c>
      <c r="AA519" s="200"/>
      <c r="AB519" s="200" t="str">
        <f t="array" ref="AB519">INDEX(B:B,SMALL(IF($Q$3:$Q$524&lt;&gt;"",ROW($3:$524),525),ROW(B518)))&amp;""</f>
        <v>时光蹂躏</v>
      </c>
      <c r="AC519" s="225" t="str">
        <f>IFERROR(IF(AND($Q520&lt;&gt;"",IF(法术查询!$J$4="",1,INDEX($R520:$Z520,1,VLOOKUP(法术查询!$J$4,$AF$2:$AG$10,2,0)))&lt;&gt;"",IF(法术查询!$J$5="",1,$P520=VLOOKUP(法术查询!$J$5,$AH$2:$AI$11,2,0)),IF(法术查询!$J$6="",1,IF(法术查询!$J$6=$E520,1,0)),IF(法术查询!$J$7="",1,SEARCH(法术查询!$J$7,$F520)),IF(法术查询!$J$8="",1,SEARCH(法术查询!$J$8,G520)),IF(法术查询!$J$9="",1,SEARCH(法术查询!$J$9,N520)),IF(法术查询!$J$10="",1,IF(法术查询!$J$10=$AF$11,IF($M520=1,1,0),IF($M520="",1,0))),IF(法术查询!$J$11="",1,IF(法术查询!$J$11=$AF$11,IF($D520=1,1,0),IF($D520="",1,0))),IF(法术查询!$J$12="",1,SEARCH(法术查询!$J$12,$B520&amp;$C520&amp;$O520)),IF(法术查询!$J$13="",1,SEARCH(法术查询!$J$13,$B520&amp;$C520&amp;$O520)),IF(法术查询!$J$14="",1,SEARCH(法术查询!$J$14,$B520&amp;$C520&amp;$O520)),IF(法术查询!$J$16="",1,IF(法术查询!$J$16=$AF$11,IF($H520=1,1,0),IF($H520="",1,0))),IF(法术查询!$J$17="",1,IF(法术查询!$J$17=$AF$11,IF($I520=1,1,0),IF($I520="",1,0))),IF(法术查询!$J$18="",1,IF(法术查询!$J$18=$AF$11,IF($J520&lt;&gt;"",1,0),IF($J520="",1,0))),IF(法术查询!$J$19="",1,IF(法术查询!$J$19=$AF$11,IF($L520&lt;&gt;"",1,0),IF($L520="",1,0)))),$B520,""),"")</f>
        <v/>
      </c>
      <c r="AD519" s="192" t="str">
        <f t="array" ref="AD519">INDEX(AC:AC,SMALL(IF($AC$2:$AC$523&lt;&gt;"",ROW($2:$523),524),ROW(AC518)))&amp;""</f>
        <v/>
      </c>
      <c r="AE519" s="200" t="str">
        <f t="shared" si="12"/>
        <v/>
      </c>
    </row>
    <row r="520" customHeight="1" spans="1:31">
      <c r="A520" s="192">
        <v>518</v>
      </c>
      <c r="B520" s="224" t="s">
        <v>8787</v>
      </c>
      <c r="C520" s="224" t="s">
        <v>8788</v>
      </c>
      <c r="E520" s="231" t="s">
        <v>6672</v>
      </c>
      <c r="F520" s="193" t="s">
        <v>6642</v>
      </c>
      <c r="G520" s="193" t="s">
        <v>6658</v>
      </c>
      <c r="H520" s="193">
        <v>1</v>
      </c>
      <c r="I520" s="193">
        <v>1</v>
      </c>
      <c r="J520" s="193">
        <v>1</v>
      </c>
      <c r="K520" s="224" t="s">
        <v>8789</v>
      </c>
      <c r="M520" s="193">
        <v>1</v>
      </c>
      <c r="N520" s="193" t="s">
        <v>6739</v>
      </c>
      <c r="O520" s="224" t="s">
        <v>8790</v>
      </c>
      <c r="P520" s="224">
        <v>9</v>
      </c>
      <c r="Q520" s="245" t="str">
        <f>IF(综合数据!$B$7=TRUE,"XGE","")</f>
        <v>XGE</v>
      </c>
      <c r="R520" s="193">
        <v>6</v>
      </c>
      <c r="W520" s="193">
        <v>6</v>
      </c>
      <c r="X520" s="193">
        <v>6</v>
      </c>
      <c r="AA520" s="200"/>
      <c r="AB520" s="200" t="str">
        <f t="array" ref="AB520">INDEX(B:B,SMALL(IF($Q$3:$Q$524&lt;&gt;"",ROW($3:$524),525),ROW(B519)))&amp;""</f>
        <v>灾厄之刃</v>
      </c>
      <c r="AC520" s="225" t="str">
        <f>IFERROR(IF(AND($Q521&lt;&gt;"",IF(法术查询!$J$4="",1,INDEX($R521:$Z521,1,VLOOKUP(法术查询!$J$4,$AF$2:$AG$10,2,0)))&lt;&gt;"",IF(法术查询!$J$5="",1,$P521=VLOOKUP(法术查询!$J$5,$AH$2:$AI$11,2,0)),IF(法术查询!$J$6="",1,IF(法术查询!$J$6=$E521,1,0)),IF(法术查询!$J$7="",1,SEARCH(法术查询!$J$7,$F521)),IF(法术查询!$J$8="",1,SEARCH(法术查询!$J$8,G521)),IF(法术查询!$J$9="",1,SEARCH(法术查询!$J$9,N521)),IF(法术查询!$J$10="",1,IF(法术查询!$J$10=$AF$11,IF($M521=1,1,0),IF($M521="",1,0))),IF(法术查询!$J$11="",1,IF(法术查询!$J$11=$AF$11,IF($D521=1,1,0),IF($D521="",1,0))),IF(法术查询!$J$12="",1,SEARCH(法术查询!$J$12,$B521&amp;$C521&amp;$O521)),IF(法术查询!$J$13="",1,SEARCH(法术查询!$J$13,$B521&amp;$C521&amp;$O521)),IF(法术查询!$J$14="",1,SEARCH(法术查询!$J$14,$B521&amp;$C521&amp;$O521)),IF(法术查询!$J$16="",1,IF(法术查询!$J$16=$AF$11,IF($H521=1,1,0),IF($H521="",1,0))),IF(法术查询!$J$17="",1,IF(法术查询!$J$17=$AF$11,IF($I521=1,1,0),IF($I521="",1,0))),IF(法术查询!$J$18="",1,IF(法术查询!$J$18=$AF$11,IF($J521&lt;&gt;"",1,0),IF($J521="",1,0))),IF(法术查询!$J$19="",1,IF(法术查询!$J$19=$AF$11,IF($L521&lt;&gt;"",1,0),IF($L521="",1,0)))),$B521,""),"")</f>
        <v/>
      </c>
      <c r="AD520" s="192" t="str">
        <f t="array" ref="AD520">INDEX(AC:AC,SMALL(IF($AC$2:$AC$523&lt;&gt;"",ROW($2:$523),524),ROW(AC519)))&amp;""</f>
        <v/>
      </c>
      <c r="AE520" s="200" t="str">
        <f t="shared" si="12"/>
        <v/>
      </c>
    </row>
    <row r="521" customHeight="1" spans="1:31">
      <c r="A521" s="192">
        <v>519</v>
      </c>
      <c r="B521" s="224" t="s">
        <v>8791</v>
      </c>
      <c r="C521" s="224" t="s">
        <v>8792</v>
      </c>
      <c r="E521" s="233" t="s">
        <v>6688</v>
      </c>
      <c r="F521" s="193" t="s">
        <v>6642</v>
      </c>
      <c r="G521" s="193" t="s">
        <v>6760</v>
      </c>
      <c r="I521" s="193">
        <v>1</v>
      </c>
      <c r="N521" s="193" t="s">
        <v>6644</v>
      </c>
      <c r="O521" s="224" t="s">
        <v>8793</v>
      </c>
      <c r="P521" s="224">
        <v>9</v>
      </c>
      <c r="Q521" s="245" t="str">
        <f>IF(综合数据!$B$7=TRUE,"XGE","")</f>
        <v>XGE</v>
      </c>
      <c r="R521" s="193">
        <v>6</v>
      </c>
      <c r="W521" s="193">
        <v>6</v>
      </c>
      <c r="X521" s="193">
        <v>6</v>
      </c>
      <c r="Y521" s="193">
        <v>6</v>
      </c>
      <c r="AA521" s="200"/>
      <c r="AB521" s="200" t="str">
        <f t="array" ref="AB521">INDEX(B:B,SMALL(IF($Q$3:$Q$524&lt;&gt;"",ROW($3:$524),525),ROW(B520)))&amp;""</f>
        <v/>
      </c>
      <c r="AC521" s="225" t="str">
        <f>IFERROR(IF(AND($Q522&lt;&gt;"",IF(法术查询!$J$4="",1,INDEX($R522:$Z522,1,VLOOKUP(法术查询!$J$4,$AF$2:$AG$10,2,0)))&lt;&gt;"",IF(法术查询!$J$5="",1,$P522=VLOOKUP(法术查询!$J$5,$AH$2:$AI$11,2,0)),IF(法术查询!$J$6="",1,IF(法术查询!$J$6=$E522,1,0)),IF(法术查询!$J$7="",1,SEARCH(法术查询!$J$7,$F522)),IF(法术查询!$J$8="",1,SEARCH(法术查询!$J$8,G522)),IF(法术查询!$J$9="",1,SEARCH(法术查询!$J$9,N522)),IF(法术查询!$J$10="",1,IF(法术查询!$J$10=$AF$11,IF($M522=1,1,0),IF($M522="",1,0))),IF(法术查询!$J$11="",1,IF(法术查询!$J$11=$AF$11,IF($D522=1,1,0),IF($D522="",1,0))),IF(法术查询!$J$12="",1,SEARCH(法术查询!$J$12,$B522&amp;$C522&amp;$O522)),IF(法术查询!$J$13="",1,SEARCH(法术查询!$J$13,$B522&amp;$C522&amp;$O522)),IF(法术查询!$J$14="",1,SEARCH(法术查询!$J$14,$B522&amp;$C522&amp;$O522)),IF(法术查询!$J$16="",1,IF(法术查询!$J$16=$AF$11,IF($H522=1,1,0),IF($H522="",1,0))),IF(法术查询!$J$17="",1,IF(法术查询!$J$17=$AF$11,IF($I522=1,1,0),IF($I522="",1,0))),IF(法术查询!$J$18="",1,IF(法术查询!$J$18=$AF$11,IF($J522&lt;&gt;"",1,0),IF($J522="",1,0))),IF(法术查询!$J$19="",1,IF(法术查询!$J$19=$AF$11,IF($L522&lt;&gt;"",1,0),IF($L522="",1,0)))),$B522,""),"")</f>
        <v/>
      </c>
      <c r="AD521" s="192" t="str">
        <f t="array" ref="AD521">INDEX(AC:AC,SMALL(IF($AC$2:$AC$523&lt;&gt;"",ROW($2:$523),524),ROW(AC520)))&amp;""</f>
        <v/>
      </c>
      <c r="AE521" s="200" t="str">
        <f t="shared" si="12"/>
        <v/>
      </c>
    </row>
    <row r="522" customHeight="1" spans="1:31">
      <c r="A522" s="192">
        <v>520</v>
      </c>
      <c r="B522" s="224" t="s">
        <v>8794</v>
      </c>
      <c r="C522" s="224" t="s">
        <v>8795</v>
      </c>
      <c r="E522" s="229" t="s">
        <v>6664</v>
      </c>
      <c r="F522" s="193" t="s">
        <v>6642</v>
      </c>
      <c r="G522" s="193" t="s">
        <v>6813</v>
      </c>
      <c r="H522" s="193">
        <v>1</v>
      </c>
      <c r="I522" s="193">
        <v>1</v>
      </c>
      <c r="J522" s="193">
        <v>1</v>
      </c>
      <c r="K522" s="224" t="s">
        <v>8796</v>
      </c>
      <c r="M522" s="193">
        <v>1</v>
      </c>
      <c r="N522" s="193" t="s">
        <v>6666</v>
      </c>
      <c r="O522" s="224" t="s">
        <v>8797</v>
      </c>
      <c r="P522" s="224">
        <v>9</v>
      </c>
      <c r="Q522" s="247" t="str">
        <f>IF(综合数据!$B$11=TRUE,"EGW","")</f>
        <v>EGW</v>
      </c>
      <c r="AA522" s="223" t="s">
        <v>3640</v>
      </c>
      <c r="AB522" s="200" t="str">
        <f t="array" ref="AB522">INDEX(B:B,SMALL(IF($Q$3:$Q$524&lt;&gt;"",ROW($3:$524),525),ROW(B521)))&amp;""</f>
        <v/>
      </c>
      <c r="AC522" s="225" t="str">
        <f>IFERROR(IF(AND($Q523&lt;&gt;"",IF(法术查询!$J$4="",1,INDEX($R523:$Z523,1,VLOOKUP(法术查询!$J$4,$AF$2:$AG$10,2,0)))&lt;&gt;"",IF(法术查询!$J$5="",1,$P523=VLOOKUP(法术查询!$J$5,$AH$2:$AI$11,2,0)),IF(法术查询!$J$6="",1,IF(法术查询!$J$6=$E523,1,0)),IF(法术查询!$J$7="",1,SEARCH(法术查询!$J$7,$F523)),IF(法术查询!$J$8="",1,SEARCH(法术查询!$J$8,G523)),IF(法术查询!$J$9="",1,SEARCH(法术查询!$J$9,N523)),IF(法术查询!$J$10="",1,IF(法术查询!$J$10=$AF$11,IF($M523=1,1,0),IF($M523="",1,0))),IF(法术查询!$J$11="",1,IF(法术查询!$J$11=$AF$11,IF($D523=1,1,0),IF($D523="",1,0))),IF(法术查询!$J$12="",1,SEARCH(法术查询!$J$12,$B523&amp;$C523&amp;$O523)),IF(法术查询!$J$13="",1,SEARCH(法术查询!$J$13,$B523&amp;$C523&amp;$O523)),IF(法术查询!$J$14="",1,SEARCH(法术查询!$J$14,$B523&amp;$C523&amp;$O523)),IF(法术查询!$J$16="",1,IF(法术查询!$J$16=$AF$11,IF($H523=1,1,0),IF($H523="",1,0))),IF(法术查询!$J$17="",1,IF(法术查询!$J$17=$AF$11,IF($I523=1,1,0),IF($I523="",1,0))),IF(法术查询!$J$18="",1,IF(法术查询!$J$18=$AF$11,IF($J523&lt;&gt;"",1,0),IF($J523="",1,0))),IF(法术查询!$J$19="",1,IF(法术查询!$J$19=$AF$11,IF($L523&lt;&gt;"",1,0),IF($L523="",1,0)))),$B523,""),"")</f>
        <v/>
      </c>
      <c r="AD522" s="192" t="str">
        <f t="array" ref="AD522">INDEX(AC:AC,SMALL(IF($AC$2:$AC$523&lt;&gt;"",ROW($2:$523),524),ROW(AC521)))&amp;""</f>
        <v/>
      </c>
      <c r="AE522" s="200" t="str">
        <f t="shared" si="12"/>
        <v/>
      </c>
    </row>
    <row r="523" customHeight="1" spans="1:31">
      <c r="A523" s="192">
        <v>521</v>
      </c>
      <c r="B523" s="224" t="s">
        <v>8798</v>
      </c>
      <c r="C523" s="224" t="s">
        <v>8799</v>
      </c>
      <c r="E523" s="243" t="s">
        <v>6657</v>
      </c>
      <c r="F523" s="193" t="s">
        <v>6642</v>
      </c>
      <c r="G523" s="193" t="s">
        <v>6760</v>
      </c>
      <c r="H523" s="193">
        <v>1</v>
      </c>
      <c r="I523" s="193">
        <v>1</v>
      </c>
      <c r="J523" s="193">
        <v>1</v>
      </c>
      <c r="L523" s="224" t="s">
        <v>8800</v>
      </c>
      <c r="N523" s="193" t="s">
        <v>6644</v>
      </c>
      <c r="O523" s="224" t="s">
        <v>8801</v>
      </c>
      <c r="P523" s="224">
        <v>9</v>
      </c>
      <c r="Q523" s="247" t="str">
        <f>IF(综合数据!$B$11=TRUE,"EGW","")</f>
        <v>EGW</v>
      </c>
      <c r="AA523" s="223" t="s">
        <v>3635</v>
      </c>
      <c r="AB523" s="205" t="str">
        <f t="array" ref="AB523">INDEX(B:B,SMALL(IF($Q$3:$Q$524&lt;&gt;"",ROW($3:$524),525),ROW(B522)))&amp;""</f>
        <v/>
      </c>
      <c r="AC523" s="259" t="str">
        <f>IFERROR(IF(AND($Q524&lt;&gt;"",IF(法术查询!$J$4="",1,INDEX($R524:$Z524,1,VLOOKUP(法术查询!$J$4,$AF$2:$AG$10,2,0)))&lt;&gt;"",IF(法术查询!$J$5="",1,$P524=VLOOKUP(法术查询!$J$5,$AH$2:$AI$11,2,0)),IF(法术查询!$J$6="",1,IF(法术查询!$J$6=$E524,1,0)),IF(法术查询!$J$7="",1,SEARCH(法术查询!$J$7,$F524)),IF(法术查询!$J$8="",1,SEARCH(法术查询!$J$8,G524)),IF(法术查询!$J$9="",1,SEARCH(法术查询!$J$9,N524)),IF(法术查询!$J$10="",1,IF(法术查询!$J$10=$AF$11,IF($M524=1,1,0),IF($M524="",1,0))),IF(法术查询!$J$11="",1,IF(法术查询!$J$11=$AF$11,IF($D524=1,1,0),IF($D524="",1,0))),IF(法术查询!$J$12="",1,SEARCH(法术查询!$J$12,$B524&amp;$C524&amp;$O524)),IF(法术查询!$J$13="",1,SEARCH(法术查询!$J$13,$B524&amp;$C524&amp;$O524)),IF(法术查询!$J$14="",1,SEARCH(法术查询!$J$14,$B524&amp;$C524&amp;$O524)),IF(法术查询!$J$16="",1,IF(法术查询!$J$16=$AF$11,IF($H524=1,1,0),IF($H524="",1,0))),IF(法术查询!$J$17="",1,IF(法术查询!$J$17=$AF$11,IF($I524=1,1,0),IF($I524="",1,0))),IF(法术查询!$J$18="",1,IF(法术查询!$J$18=$AF$11,IF($J524&lt;&gt;"",1,0),IF($J524="",1,0))),IF(法术查询!$J$19="",1,IF(法术查询!$J$19=$AF$11,IF($L524&lt;&gt;"",1,0),IF($L524="",1,0)))),$B524,""),"")</f>
        <v/>
      </c>
      <c r="AD523" s="204" t="str">
        <f t="array" ref="AD523">INDEX(AC:AC,SMALL(IF($AC$2:$AC$523&lt;&gt;"",ROW($2:$523),524),ROW(AC522)))&amp;""</f>
        <v/>
      </c>
      <c r="AE523" s="205" t="str">
        <f t="shared" si="12"/>
        <v/>
      </c>
    </row>
    <row r="524" customHeight="1" spans="1:31">
      <c r="A524" s="204">
        <v>522</v>
      </c>
      <c r="B524" s="234" t="s">
        <v>8802</v>
      </c>
      <c r="C524" s="234" t="s">
        <v>8803</v>
      </c>
      <c r="D524" s="235"/>
      <c r="E524" s="260" t="s">
        <v>6641</v>
      </c>
      <c r="F524" s="235" t="s">
        <v>6712</v>
      </c>
      <c r="G524" s="235" t="s">
        <v>6643</v>
      </c>
      <c r="H524" s="235">
        <v>1</v>
      </c>
      <c r="I524" s="235">
        <v>1</v>
      </c>
      <c r="J524" s="235"/>
      <c r="K524" s="235"/>
      <c r="L524" s="235"/>
      <c r="M524" s="235">
        <v>1</v>
      </c>
      <c r="N524" s="235" t="s">
        <v>6666</v>
      </c>
      <c r="O524" s="234" t="s">
        <v>8804</v>
      </c>
      <c r="P524" s="234">
        <v>9</v>
      </c>
      <c r="Q524" s="261" t="str">
        <f>IF(综合数据!$B$14=TRUE,"TCE","")</f>
        <v>TCE</v>
      </c>
      <c r="R524" s="235"/>
      <c r="S524" s="235"/>
      <c r="T524" s="235"/>
      <c r="U524" s="235"/>
      <c r="V524" s="235"/>
      <c r="W524" s="235">
        <v>13</v>
      </c>
      <c r="X524" s="235">
        <v>13</v>
      </c>
      <c r="Y524" s="235">
        <v>13</v>
      </c>
      <c r="Z524" s="235"/>
      <c r="AA524" s="205"/>
    </row>
  </sheetData>
  <sheetProtection sheet="1" autoFilter="0"/>
  <autoFilter xmlns:etc="http://www.wps.cn/officeDocument/2017/etCustomData" ref="A2:AV524" etc:filterBottomFollowUsedRange="0">
    <extLst/>
  </autoFilter>
  <mergeCells count="8">
    <mergeCell ref="H1:J1"/>
    <mergeCell ref="AD1:AE1"/>
    <mergeCell ref="AF1:AG1"/>
    <mergeCell ref="AH1:AI1"/>
    <mergeCell ref="AU1:AV1"/>
    <mergeCell ref="AF12:AI12"/>
    <mergeCell ref="AF47:AG47"/>
    <mergeCell ref="AH47:AI47"/>
  </mergeCells>
  <conditionalFormatting sqref="B288:B338 B214:B286 B404:B1048576 B1:B125 B127:B206 B208:B210 B341:B402">
    <cfRule type="duplicateValues" dxfId="0" priority="1081"/>
    <cfRule type="duplicateValues" dxfId="0" priority="1082"/>
  </conditionalFormatting>
  <dataValidations count="4">
    <dataValidation type="list" allowBlank="1" showInputMessage="1" showErrorMessage="1" sqref="E2:E1048576">
      <formula1>$AF$13:$AF$20</formula1>
    </dataValidation>
    <dataValidation type="list" allowBlank="1" showInputMessage="1" showErrorMessage="1" sqref="F$1:F$1048576">
      <formula1>$AG$13:$AG$31</formula1>
    </dataValidation>
    <dataValidation type="list" allowBlank="1" showInputMessage="1" showErrorMessage="1" sqref="G$1:G$1048576">
      <formula1>$AH$13:$AH$46</formula1>
    </dataValidation>
    <dataValidation type="list" allowBlank="1" showInputMessage="1" showErrorMessage="1" sqref="N$1:N$1048576">
      <formula1>$AI$13:$AI$43</formula1>
    </dataValidation>
  </dataValidation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1"/>
  <dimension ref="A1:Y56"/>
  <sheetViews>
    <sheetView workbookViewId="0">
      <selection activeCell="F1" sqref="F1:F8"/>
    </sheetView>
  </sheetViews>
  <sheetFormatPr defaultColWidth="9" defaultRowHeight="14.4" customHeight="1"/>
  <cols>
    <col min="1" max="16384" width="8.89090909090909" style="181"/>
  </cols>
  <sheetData>
    <row r="1" customHeight="1" spans="1:25">
      <c r="A1" s="182" t="s">
        <v>18</v>
      </c>
      <c r="B1" s="182" t="s">
        <v>19</v>
      </c>
      <c r="C1" s="182" t="s">
        <v>8805</v>
      </c>
      <c r="D1" s="183" t="s">
        <v>66</v>
      </c>
      <c r="E1" s="184" t="e">
        <f>VLOOKUP(I1,H:I,2,0)</f>
        <v>#N/A</v>
      </c>
      <c r="F1" s="185">
        <f>背景!R24</f>
        <v>0</v>
      </c>
      <c r="H1" s="186" t="s">
        <v>8806</v>
      </c>
      <c r="I1" s="187">
        <f>IF(主要!L10="",0,主要!L10)</f>
        <v>0</v>
      </c>
      <c r="J1" s="188"/>
      <c r="K1" s="188"/>
      <c r="L1" s="188"/>
      <c r="M1" s="188"/>
      <c r="N1" s="188"/>
      <c r="O1" s="188"/>
      <c r="P1" s="188"/>
      <c r="Q1" s="188"/>
      <c r="R1" s="188"/>
      <c r="S1" s="188"/>
      <c r="T1" s="188"/>
      <c r="U1" s="188"/>
      <c r="V1" s="188"/>
      <c r="W1" s="188"/>
      <c r="X1" s="188"/>
      <c r="Y1" s="189"/>
    </row>
    <row r="2" customHeight="1" spans="1:25">
      <c r="A2" s="190" t="str">
        <f>"在我第一次呼吸之前，一条蛇出现在我的口中——这预示着我有着欺骗的天赋。"&amp;IF(综合数据!B13=TRUE,"（演员）","")</f>
        <v>在我第一次呼吸之前，一条蛇出现在我的口中——这预示着我有着欺骗的天赋。（演员）</v>
      </c>
      <c r="B2" s="191" t="s">
        <v>8807</v>
      </c>
      <c r="C2" s="190" t="str">
        <f t="array" ref="C2">INDEX(H:H,SMALL(IF($H$2:$H$19&lt;&gt;"",ROW($2:$19),20),ROW(H1)))&amp;""</f>
        <v>空洞者</v>
      </c>
      <c r="D2" s="192">
        <f>IFERROR(INDEX(J2:J19,E1,1),0)</f>
        <v>0</v>
      </c>
      <c r="E2" s="193" t="str">
        <f>IFERROR(INDEX($K$2:$R$19,$E$1,1),"")</f>
        <v/>
      </c>
      <c r="F2" s="194">
        <f>IFERROR(VLOOKUP(F1,I21:J24,2,0),0)</f>
        <v>0</v>
      </c>
      <c r="H2" s="195" t="str">
        <f>IF(综合数据!B11=TRUE,"空洞者","")</f>
        <v>空洞者</v>
      </c>
      <c r="I2" s="181">
        <v>1</v>
      </c>
      <c r="Y2" s="196"/>
    </row>
    <row r="3" customHeight="1" spans="1:25">
      <c r="A3" s="191" t="str">
        <f>"我能听到风里的声音警告我即将到来的危险。"&amp;IF(综合数据!B13=TRUE,"（警觉）","")</f>
        <v>我能听到风里的声音警告我即将到来的危险。（警觉）</v>
      </c>
      <c r="B3" s="191" t="s">
        <v>8808</v>
      </c>
      <c r="C3" s="190" t="str">
        <f t="array" ref="C3">INDEX(H:H,SMALL(IF($H$2:$H$19&lt;&gt;"",ROW($2:$19),20),ROW(H2)))&amp;""</f>
        <v>锻砧生物</v>
      </c>
      <c r="D3" s="192"/>
      <c r="E3" s="193" t="str">
        <f>IFERROR(INDEX($K$2:$R$19,$E$1,2),"")</f>
        <v/>
      </c>
      <c r="F3" s="190" t="str">
        <f>IFERROR(INDEX($K$21:$P$24,$F$2,1),"")</f>
        <v/>
      </c>
      <c r="H3" s="197" t="str">
        <f>IF(综合数据!B$13=TRUE,"锻砧生物","")</f>
        <v>锻砧生物</v>
      </c>
      <c r="I3" s="181">
        <v>2</v>
      </c>
      <c r="J3" s="198" t="s">
        <v>8809</v>
      </c>
      <c r="K3" s="198" t="s">
        <v>8810</v>
      </c>
      <c r="L3" s="198" t="s">
        <v>8811</v>
      </c>
      <c r="M3" s="198" t="s">
        <v>8812</v>
      </c>
      <c r="N3" s="198" t="s">
        <v>8813</v>
      </c>
      <c r="O3" s="198" t="s">
        <v>8814</v>
      </c>
      <c r="P3" s="198" t="s">
        <v>8815</v>
      </c>
      <c r="Y3" s="196"/>
    </row>
    <row r="4" customHeight="1" spans="1:25">
      <c r="A4" s="190" t="str">
        <f>"伊洛安斯赠与我肉体的技艺，希望看到我在伊洛安斯竞技会中获胜。"&amp;IF(综合数据!B13=TRUE,"（运动员）","")</f>
        <v>伊洛安斯赠与我肉体的技艺，希望看到我在伊洛安斯竞技会中获胜。（运动员）</v>
      </c>
      <c r="B4" s="191" t="s">
        <v>8816</v>
      </c>
      <c r="C4" s="190" t="str">
        <f t="array" ref="C4">INDEX(H:H,SMALL(IF($H$2:$H$19&lt;&gt;"",ROW($2:$19),20),ROW(H3)))&amp;""</f>
        <v>英雄天命</v>
      </c>
      <c r="D4" s="192"/>
      <c r="E4" s="193" t="str">
        <f>IFERROR(INDEX($K$2:$R$19,$E$1,3),"")</f>
        <v/>
      </c>
      <c r="F4" s="190" t="str">
        <f>IFERROR(INDEX($K$21:$P$24,$F$2,2),"")</f>
        <v/>
      </c>
      <c r="H4" s="197" t="str">
        <f>IF(综合数据!B$13=TRUE,"英雄天命","")</f>
        <v>英雄天命</v>
      </c>
      <c r="I4" s="181">
        <v>3</v>
      </c>
      <c r="J4" s="198" t="s">
        <v>8817</v>
      </c>
      <c r="K4" s="198" t="s">
        <v>8818</v>
      </c>
      <c r="L4" s="198" t="s">
        <v>8819</v>
      </c>
      <c r="M4" s="198" t="s">
        <v>8820</v>
      </c>
      <c r="N4" s="198" t="s">
        <v>8821</v>
      </c>
      <c r="O4" s="198" t="s">
        <v>8822</v>
      </c>
      <c r="P4" s="198" t="s">
        <v>8823</v>
      </c>
      <c r="Y4" s="196"/>
    </row>
    <row r="5" customHeight="1" spans="1:25">
      <c r="A5" s="190" t="str">
        <f>"我能感到脚下土地的生命力，当我在土地上休息的时候，我能迅速恢复力量。"&amp;IF(综合数据!B13=TRUE,"（耐性）","")</f>
        <v>我能感到脚下土地的生命力，当我在土地上休息的时候，我能迅速恢复力量。（耐性）</v>
      </c>
      <c r="B5" s="191" t="s">
        <v>8824</v>
      </c>
      <c r="C5" s="190" t="str">
        <f t="array" ref="C5">INDEX(H:H,SMALL(IF($H$2:$H$19&lt;&gt;"",ROW($2:$19),20),ROW(H4)))&amp;""</f>
        <v>反逆者</v>
      </c>
      <c r="D5" s="192"/>
      <c r="E5" s="193" t="str">
        <f>IFERROR(INDEX($K$2:$R$19,$E$1,4),"")</f>
        <v/>
      </c>
      <c r="F5" s="190" t="str">
        <f>IFERROR(INDEX($K$21:$P$24,$F$2,3),"")</f>
        <v/>
      </c>
      <c r="H5" s="197" t="str">
        <f>IF(综合数据!B$13=TRUE,"反逆者","")</f>
        <v>反逆者</v>
      </c>
      <c r="I5" s="181">
        <v>4</v>
      </c>
      <c r="J5" s="198" t="s">
        <v>5958</v>
      </c>
      <c r="K5" s="198" t="s">
        <v>8825</v>
      </c>
      <c r="L5" s="198" t="s">
        <v>8826</v>
      </c>
      <c r="M5" s="198" t="s">
        <v>8827</v>
      </c>
      <c r="N5" s="198" t="s">
        <v>8828</v>
      </c>
      <c r="O5" s="198" t="s">
        <v>8829</v>
      </c>
      <c r="P5" s="198" t="s">
        <v>8830</v>
      </c>
      <c r="Y5" s="196"/>
    </row>
    <row r="6" customHeight="1" spans="1:25">
      <c r="A6" s="190" t="str">
        <f>"我总是能找到尼兹的星辰，并发现它们的秘密。"&amp;IF(综合数据!B13=TRUE,"（敏锐心灵）","")</f>
        <v>我总是能找到尼兹的星辰，并发现它们的秘密。（敏锐心灵）</v>
      </c>
      <c r="B6" s="191" t="s">
        <v>8831</v>
      </c>
      <c r="C6" s="190" t="str">
        <f t="array" ref="C6">INDEX(H:H,SMALL(IF($H$2:$H$19&lt;&gt;"",ROW($2:$19),20),ROW(H5)))&amp;""</f>
        <v>莫测者</v>
      </c>
      <c r="D6" s="192"/>
      <c r="E6" s="193" t="str">
        <f>IFERROR(INDEX($K$2:$R$19,$E$1,5),"")</f>
        <v/>
      </c>
      <c r="F6" s="190" t="str">
        <f>IFERROR(INDEX($K$21:$P$24,$F$2,4),"")</f>
        <v/>
      </c>
      <c r="H6" s="197" t="str">
        <f>IF(综合数据!B$13=TRUE,"莫测者","")</f>
        <v>莫测者</v>
      </c>
      <c r="I6" s="181">
        <v>5</v>
      </c>
      <c r="J6" s="198" t="s">
        <v>5958</v>
      </c>
      <c r="K6" s="181" t="s">
        <v>8832</v>
      </c>
      <c r="L6" s="181" t="s">
        <v>8833</v>
      </c>
      <c r="M6" s="181" t="s">
        <v>8834</v>
      </c>
      <c r="N6" s="181" t="s">
        <v>8835</v>
      </c>
      <c r="O6" s="181" t="s">
        <v>8836</v>
      </c>
      <c r="P6" s="181" t="s">
        <v>8837</v>
      </c>
      <c r="Y6" s="196"/>
    </row>
    <row r="7" customHeight="1" spans="1:25">
      <c r="A7" s="190" t="str">
        <f>"我能听到诸神说话以每一种凡人的语言说话的声音，并在文字中找到夜空图案的痕迹。"&amp;IF(综合数据!B13=TRUE,"（语言学家）","")</f>
        <v>我能听到诸神说话以每一种凡人的语言说话的声音，并在文字中找到夜空图案的痕迹。（语言学家）</v>
      </c>
      <c r="B7" s="191" t="s">
        <v>8838</v>
      </c>
      <c r="C7" s="190" t="str">
        <f t="array" ref="C7">INDEX(H:H,SMALL(IF($H$2:$H$19&lt;&gt;"",ROW($2:$19),20),ROW(H6)))&amp;""</f>
        <v>毕生伙伴</v>
      </c>
      <c r="D7" s="192"/>
      <c r="E7" s="193" t="str">
        <f>IFERROR(INDEX($K$2:$R$19,$E$1,6),"")</f>
        <v/>
      </c>
      <c r="F7" s="190" t="str">
        <f>IFERROR(INDEX($K$21:$P$24,$F$2,5),"")</f>
        <v/>
      </c>
      <c r="H7" s="197" t="str">
        <f>IF(综合数据!B$13=TRUE,"毕生伙伴","")</f>
        <v>毕生伙伴</v>
      </c>
      <c r="I7" s="181">
        <v>6</v>
      </c>
      <c r="J7" s="198" t="s">
        <v>8839</v>
      </c>
      <c r="K7" s="181" t="s">
        <v>8840</v>
      </c>
      <c r="L7" s="181" t="s">
        <v>8841</v>
      </c>
      <c r="M7" s="181" t="s">
        <v>8842</v>
      </c>
      <c r="N7" s="181" t="s">
        <v>8843</v>
      </c>
      <c r="O7" s="181" t="s">
        <v>8844</v>
      </c>
      <c r="P7" s="181" t="s">
        <v>8845</v>
      </c>
      <c r="Y7" s="196"/>
    </row>
    <row r="8" customHeight="1" spans="1:25">
      <c r="A8" s="190" t="str">
        <f>"诸神对我微笑，但我害怕终有一日他们会收回他们的恩惠，而我的好运也将走到尽头。"&amp;IF(综合数据!B13=TRUE,"（幸运）","")</f>
        <v>诸神对我微笑，但我害怕终有一日他们会收回他们的恩惠，而我的好运也将走到尽头。（幸运）</v>
      </c>
      <c r="B8" s="191" t="s">
        <v>8846</v>
      </c>
      <c r="C8" s="190" t="str">
        <f t="array" ref="C8">INDEX(H:H,SMALL(IF($H$2:$H$19&lt;&gt;"",ROW($2:$19),20),ROW(H7)))&amp;""</f>
        <v>天裔生物</v>
      </c>
      <c r="D8" s="192"/>
      <c r="E8" s="193" t="str">
        <f>IFERROR(INDEX($K$2:$R$19,$E$1,7),"")</f>
        <v/>
      </c>
      <c r="F8" s="199" t="str">
        <f>IFERROR(INDEX($K$21:$P$24,$F$2,6),"")</f>
        <v/>
      </c>
      <c r="H8" s="197" t="str">
        <f>IF(综合数据!B$13=TRUE,"天裔生物","")</f>
        <v>天裔生物</v>
      </c>
      <c r="I8" s="181">
        <v>7</v>
      </c>
      <c r="J8" s="198" t="s">
        <v>6214</v>
      </c>
      <c r="K8" s="198" t="s">
        <v>8847</v>
      </c>
      <c r="L8" s="181" t="s">
        <v>8848</v>
      </c>
      <c r="M8" s="181" t="s">
        <v>8849</v>
      </c>
      <c r="N8" s="181" t="s">
        <v>8850</v>
      </c>
      <c r="O8" s="181" t="s">
        <v>8851</v>
      </c>
      <c r="P8" s="181" t="s">
        <v>8852</v>
      </c>
      <c r="S8" s="198" t="s">
        <v>8853</v>
      </c>
      <c r="T8" s="181" t="s">
        <v>8854</v>
      </c>
      <c r="U8" s="181" t="s">
        <v>8855</v>
      </c>
      <c r="V8" s="181" t="s">
        <v>8856</v>
      </c>
      <c r="W8" s="181" t="s">
        <v>8857</v>
      </c>
      <c r="X8" s="181" t="s">
        <v>8858</v>
      </c>
      <c r="Y8" s="196" t="s">
        <v>8859</v>
      </c>
    </row>
    <row r="9" customHeight="1" spans="1:25">
      <c r="A9" s="190" t="str">
        <f>"当我是个孩子的时候，我曾在林间穿梭奔跑，并和一只巨大的猞猁嬉戏玩耍——而后来我才知晓它是倪勒娅的使节。"&amp;IF(综合数据!B13=TRUE,"（灵活移动）","")</f>
        <v>当我是个孩子的时候，我曾在林间穿梭奔跑，并和一只巨大的猞猁嬉戏玩耍——而后来我才知晓它是倪勒娅的使节。（灵活移动）</v>
      </c>
      <c r="B9" s="191" t="s">
        <v>8860</v>
      </c>
      <c r="C9" s="190" t="str">
        <f t="array" ref="C9">INDEX(H:H,SMALL(IF($H$2:$H$19&lt;&gt;"",ROW($2:$19),20),ROW(H8)))&amp;""</f>
        <v>先知</v>
      </c>
      <c r="D9" s="192"/>
      <c r="E9" s="200" t="str">
        <f>IFERROR(INDEX($K$2:$R$19,$E$1,8),"")</f>
        <v/>
      </c>
      <c r="H9" s="197" t="str">
        <f>IF(综合数据!B$13=TRUE,"先知","")</f>
        <v>先知</v>
      </c>
      <c r="I9" s="181">
        <v>8</v>
      </c>
      <c r="J9" s="198" t="s">
        <v>8861</v>
      </c>
      <c r="K9" s="181" t="s">
        <v>8862</v>
      </c>
      <c r="L9" s="181" t="s">
        <v>8863</v>
      </c>
      <c r="M9" s="181" t="s">
        <v>8864</v>
      </c>
      <c r="N9" s="181" t="s">
        <v>8865</v>
      </c>
      <c r="O9" s="181" t="s">
        <v>8866</v>
      </c>
      <c r="P9" s="181" t="s">
        <v>8867</v>
      </c>
      <c r="Q9" s="181" t="s">
        <v>8868</v>
      </c>
      <c r="R9" s="181" t="s">
        <v>8869</v>
      </c>
      <c r="Y9" s="196"/>
    </row>
    <row r="10" customHeight="1" spans="1:25">
      <c r="A10" s="190" t="str">
        <f>"太阳的明光会将隐藏之物展现在我的眼前。"&amp;IF(综合数据!B13=TRUE,"（观察力）","")</f>
        <v>太阳的明光会将隐藏之物展现在我的眼前。（观察力）</v>
      </c>
      <c r="B10" s="191" t="s">
        <v>8870</v>
      </c>
      <c r="C10" s="190" t="str">
        <f t="array" ref="C10">INDEX(H:H,SMALL(IF($H$2:$H$19&lt;&gt;"",ROW($2:$19),20),ROW(H9)))&amp;""</f>
        <v>虔敬者</v>
      </c>
      <c r="D10" s="192">
        <f>IFERROR(INDEX(S2:S19,E1,1),0)</f>
        <v>0</v>
      </c>
      <c r="E10" s="200" t="str">
        <f>IFERROR(INDEX($T$2:$Y$19,$E$1,1),"")</f>
        <v/>
      </c>
      <c r="H10" s="197" t="str">
        <f>IF(综合数据!B$13=TRUE,"虔敬者","")</f>
        <v>虔敬者</v>
      </c>
      <c r="I10" s="181">
        <v>9</v>
      </c>
      <c r="J10" s="198" t="s">
        <v>6285</v>
      </c>
      <c r="K10" s="181" t="s">
        <v>8871</v>
      </c>
      <c r="L10" s="181" t="s">
        <v>8872</v>
      </c>
      <c r="M10" s="181" t="s">
        <v>8873</v>
      </c>
      <c r="N10" s="181" t="s">
        <v>8874</v>
      </c>
      <c r="O10" s="181" t="s">
        <v>8875</v>
      </c>
      <c r="P10" s="181" t="s">
        <v>8876</v>
      </c>
      <c r="Y10" s="196"/>
    </row>
    <row r="11" customHeight="1" spans="1:25">
      <c r="A11" s="190" t="str">
        <f>"我吃过一颗带有魔法的果子，这让我获得了非凡的韧性。"&amp;IF(综合数据!B13=TRUE,"（强健身心）","")</f>
        <v>我吃过一颗带有魔法的果子，这让我获得了非凡的韧性。（强健身心）</v>
      </c>
      <c r="B11" s="201" t="s">
        <v>8877</v>
      </c>
      <c r="C11" s="190" t="str">
        <f t="array" ref="C11">INDEX(H:H,SMALL(IF($H$2:$H$19&lt;&gt;"",ROW($2:$19),20),ROW(H10)))&amp;""</f>
        <v>无伤者</v>
      </c>
      <c r="D11" s="192"/>
      <c r="E11" s="200" t="str">
        <f>IFERROR(INDEX($T$2:$Y$19,$E$1,2),"")</f>
        <v/>
      </c>
      <c r="H11" s="197" t="str">
        <f>IF(综合数据!B$13=TRUE,"无伤者","")</f>
        <v>无伤者</v>
      </c>
      <c r="I11" s="181">
        <v>10</v>
      </c>
      <c r="J11" s="198" t="s">
        <v>6214</v>
      </c>
      <c r="K11" s="181" t="s">
        <v>8878</v>
      </c>
      <c r="L11" s="181" t="s">
        <v>8879</v>
      </c>
      <c r="M11" s="181" t="s">
        <v>8880</v>
      </c>
      <c r="N11" s="181" t="s">
        <v>8881</v>
      </c>
      <c r="O11" s="181" t="s">
        <v>8882</v>
      </c>
      <c r="P11" s="181" t="s">
        <v>8883</v>
      </c>
      <c r="Y11" s="196"/>
    </row>
    <row r="12" customHeight="1" spans="1:25">
      <c r="A12" s="190" t="str">
        <f>"我和一位超自然的导师一同学习。"&amp;IF(综合数据!B13=TRUE,"（熟习）","")</f>
        <v>我和一位超自然的导师一同学习。（熟习）</v>
      </c>
      <c r="C12" s="190" t="str">
        <f t="array" ref="C12">INDEX(H:H,SMALL(IF($H$2:$H$19&lt;&gt;"",ROW($2:$19),20),ROW(H11)))&amp;""</f>
        <v>灵魂回荡</v>
      </c>
      <c r="D12" s="192"/>
      <c r="E12" s="200" t="str">
        <f>IFERROR(INDEX($T$2:$Y$19,$E$1,3),"")</f>
        <v/>
      </c>
      <c r="H12" s="202" t="str">
        <f>IF(综合数据!B15=TRUE,"灵魂回荡","")</f>
        <v>灵魂回荡</v>
      </c>
      <c r="I12" s="181">
        <v>11</v>
      </c>
      <c r="J12" s="198" t="s">
        <v>8884</v>
      </c>
      <c r="K12" s="198" t="s">
        <v>8885</v>
      </c>
      <c r="L12" s="198" t="s">
        <v>8886</v>
      </c>
      <c r="M12" s="198" t="s">
        <v>8887</v>
      </c>
      <c r="N12" s="198" t="s">
        <v>8888</v>
      </c>
      <c r="O12" s="198" t="s">
        <v>8889</v>
      </c>
      <c r="P12" s="198" t="s">
        <v>8890</v>
      </c>
      <c r="Q12" s="198"/>
      <c r="Y12" s="196"/>
    </row>
    <row r="13" customHeight="1" spans="1:25">
      <c r="A13" s="199" t="str">
        <f>"我曾经在一条神话之河里沐浴，这让我的皮肤难以受伤——同时也闪耀着星辰的光芒。"&amp;IF(综合数据!B13=TRUE,"（健壮）","")</f>
        <v>我曾经在一条神话之河里沐浴，这让我的皮肤难以受伤——同时也闪耀着星辰的光芒。（健壮）</v>
      </c>
      <c r="C13" s="190" t="str">
        <f t="array" ref="C13">INDEX(H:H,SMALL(IF($H$2:$H$19&lt;&gt;"",ROW($2:$19),20),ROW(H12)))&amp;""</f>
        <v>汇灵低语</v>
      </c>
      <c r="D13" s="192"/>
      <c r="E13" s="200" t="str">
        <f>IFERROR(INDEX($T$2:$Y$19,$E$1,4),"")</f>
        <v/>
      </c>
      <c r="H13" s="202" t="str">
        <f>IF(综合数据!B15=TRUE,"汇灵低语","")</f>
        <v>汇灵低语</v>
      </c>
      <c r="I13" s="181">
        <v>12</v>
      </c>
      <c r="J13" s="198" t="s">
        <v>8891</v>
      </c>
      <c r="K13" s="198" t="s">
        <v>8892</v>
      </c>
      <c r="L13" s="198" t="s">
        <v>8893</v>
      </c>
      <c r="M13" s="198" t="s">
        <v>8894</v>
      </c>
      <c r="N13" s="198" t="s">
        <v>8895</v>
      </c>
      <c r="O13" s="198" t="s">
        <v>8896</v>
      </c>
      <c r="P13" s="198" t="s">
        <v>8897</v>
      </c>
      <c r="Q13" s="198"/>
      <c r="R13" s="198"/>
      <c r="S13" s="198"/>
      <c r="T13" s="198"/>
      <c r="U13" s="198"/>
      <c r="V13" s="198"/>
      <c r="W13" s="198"/>
      <c r="X13" s="198"/>
      <c r="Y13" s="203"/>
    </row>
    <row r="14" customHeight="1" spans="1:25">
      <c r="C14" s="190" t="str">
        <f t="array" ref="C14">INDEX(H:H,SMALL(IF($H$2:$H$19&lt;&gt;"",ROW($2:$19),20),ROW(H13)))&amp;""</f>
        <v>活性阴影</v>
      </c>
      <c r="D14" s="192"/>
      <c r="E14" s="200" t="str">
        <f>IFERROR(INDEX($T$2:$Y$19,$E$1,5),"")</f>
        <v/>
      </c>
      <c r="H14" s="202" t="str">
        <f>IF(综合数据!B15=TRUE,"活性阴影","")</f>
        <v>活性阴影</v>
      </c>
      <c r="I14" s="181">
        <v>13</v>
      </c>
      <c r="J14" s="198" t="s">
        <v>8898</v>
      </c>
      <c r="K14" s="198" t="s">
        <v>8899</v>
      </c>
      <c r="L14" s="198" t="s">
        <v>8900</v>
      </c>
      <c r="M14" s="198" t="s">
        <v>8901</v>
      </c>
      <c r="N14" s="198" t="s">
        <v>8902</v>
      </c>
      <c r="O14" s="198" t="s">
        <v>8903</v>
      </c>
      <c r="P14" s="198" t="s">
        <v>8904</v>
      </c>
      <c r="Q14" s="198"/>
      <c r="R14" s="198"/>
      <c r="S14" s="198"/>
      <c r="T14" s="198"/>
      <c r="U14" s="198"/>
      <c r="V14" s="198"/>
      <c r="W14" s="198"/>
      <c r="X14" s="198"/>
      <c r="Y14" s="203"/>
    </row>
    <row r="15" customHeight="1" spans="1:25">
      <c r="C15" s="190" t="str">
        <f t="array" ref="C15">INDEX(H:H,SMALL(IF($H$2:$H$19&lt;&gt;"",ROW($2:$19),20),ROW(H14)))&amp;""</f>
        <v>薄雾行者</v>
      </c>
      <c r="D15" s="204"/>
      <c r="E15" s="205" t="str">
        <f>IFERROR(INDEX($T$2:$Y$19,$E$1,6),"")</f>
        <v/>
      </c>
      <c r="H15" s="202" t="str">
        <f>IF(综合数据!B15=TRUE,"薄雾行者","")</f>
        <v>薄雾行者</v>
      </c>
      <c r="I15" s="181">
        <v>14</v>
      </c>
      <c r="J15" s="198" t="s">
        <v>8905</v>
      </c>
      <c r="K15" s="198" t="s">
        <v>8906</v>
      </c>
      <c r="L15" s="198" t="s">
        <v>8907</v>
      </c>
      <c r="M15" s="198" t="s">
        <v>8908</v>
      </c>
      <c r="N15" s="198" t="s">
        <v>8909</v>
      </c>
      <c r="O15" s="198"/>
      <c r="P15" s="198"/>
      <c r="Q15" s="198"/>
      <c r="R15" s="198"/>
      <c r="S15" s="198"/>
      <c r="T15" s="198"/>
      <c r="U15" s="198"/>
      <c r="V15" s="198"/>
      <c r="W15" s="198"/>
      <c r="X15" s="198"/>
      <c r="Y15" s="203"/>
    </row>
    <row r="16" customHeight="1" spans="1:25">
      <c r="C16" s="190" t="str">
        <f t="array" ref="C16">INDEX(H:H,SMALL(IF($H$2:$H$19&lt;&gt;"",ROW($2:$19),20),ROW(H15)))&amp;""</f>
        <v>第二形态</v>
      </c>
      <c r="H16" s="202" t="str">
        <f>IF(综合数据!B15=TRUE,"第二形态","")</f>
        <v>第二形态</v>
      </c>
      <c r="I16" s="181">
        <v>15</v>
      </c>
      <c r="J16" s="198" t="s">
        <v>8910</v>
      </c>
      <c r="K16" s="198" t="s">
        <v>8911</v>
      </c>
      <c r="L16" s="198" t="s">
        <v>8912</v>
      </c>
      <c r="M16" s="198" t="s">
        <v>8913</v>
      </c>
      <c r="N16" s="198" t="s">
        <v>8914</v>
      </c>
      <c r="O16" s="198" t="s">
        <v>8915</v>
      </c>
      <c r="P16" s="198" t="s">
        <v>8916</v>
      </c>
      <c r="Q16" s="198"/>
      <c r="R16" s="198"/>
      <c r="S16" s="198" t="s">
        <v>8917</v>
      </c>
      <c r="T16" s="198" t="s">
        <v>8918</v>
      </c>
      <c r="U16" s="198" t="s">
        <v>8919</v>
      </c>
      <c r="V16" s="198" t="s">
        <v>8920</v>
      </c>
      <c r="W16" s="198" t="s">
        <v>8921</v>
      </c>
      <c r="X16" s="198" t="s">
        <v>8922</v>
      </c>
      <c r="Y16" s="203" t="s">
        <v>8923</v>
      </c>
    </row>
    <row r="17" customHeight="1" spans="1:25">
      <c r="C17" s="190" t="str">
        <f t="array" ref="C17">INDEX(H:H,SMALL(IF($H$2:$H$19&lt;&gt;"",ROW($2:$19),20),ROW(H16)))&amp;""</f>
        <v>共生存在</v>
      </c>
      <c r="H17" s="202" t="str">
        <f>IF(综合数据!B15=TRUE,"共生存在","")</f>
        <v>共生存在</v>
      </c>
      <c r="I17" s="181">
        <v>16</v>
      </c>
      <c r="J17" s="198" t="s">
        <v>8924</v>
      </c>
      <c r="K17" s="198" t="s">
        <v>8925</v>
      </c>
      <c r="L17" s="198" t="s">
        <v>8926</v>
      </c>
      <c r="M17" s="198" t="s">
        <v>8927</v>
      </c>
      <c r="N17" s="198" t="s">
        <v>8928</v>
      </c>
      <c r="O17" s="198" t="s">
        <v>8929</v>
      </c>
      <c r="P17" s="198" t="s">
        <v>8930</v>
      </c>
      <c r="Q17" s="198"/>
      <c r="R17" s="198"/>
      <c r="S17" s="198" t="s">
        <v>8931</v>
      </c>
      <c r="T17" s="198" t="s">
        <v>8932</v>
      </c>
      <c r="U17" s="198" t="s">
        <v>8933</v>
      </c>
      <c r="V17" s="198" t="s">
        <v>8934</v>
      </c>
      <c r="W17" s="198" t="s">
        <v>8935</v>
      </c>
      <c r="X17" s="198" t="s">
        <v>8936</v>
      </c>
      <c r="Y17" s="203" t="s">
        <v>8937</v>
      </c>
    </row>
    <row r="18" customHeight="1" spans="1:25">
      <c r="C18" s="190" t="str">
        <f t="array" ref="C18">INDEX(H:H,SMALL(IF($H$2:$H$19&lt;&gt;"",ROW($2:$19),20),ROW(H17)))&amp;""</f>
        <v>死亡之触</v>
      </c>
      <c r="H18" s="202" t="str">
        <f>IF(综合数据!B15=TRUE,"死亡之触","")</f>
        <v>死亡之触</v>
      </c>
      <c r="I18" s="181">
        <v>17</v>
      </c>
      <c r="J18" s="198" t="s">
        <v>8938</v>
      </c>
      <c r="K18" s="198" t="s">
        <v>8939</v>
      </c>
      <c r="L18" s="198" t="s">
        <v>8940</v>
      </c>
      <c r="M18" s="198" t="s">
        <v>8941</v>
      </c>
      <c r="N18" s="198" t="s">
        <v>8942</v>
      </c>
      <c r="O18" s="198" t="s">
        <v>8943</v>
      </c>
      <c r="P18" s="198" t="s">
        <v>8944</v>
      </c>
      <c r="Q18" s="198"/>
      <c r="R18" s="198"/>
      <c r="S18" s="198"/>
      <c r="T18" s="198"/>
      <c r="U18" s="198"/>
      <c r="V18" s="198"/>
      <c r="W18" s="198"/>
      <c r="X18" s="198"/>
      <c r="Y18" s="203"/>
    </row>
    <row r="19" customHeight="1" spans="1:25">
      <c r="C19" s="199" t="str">
        <f t="array" ref="C19">INDEX(H:H,SMALL(IF($H$2:$H$19&lt;&gt;"",ROW($2:$19),20),ROW(H18)))&amp;""</f>
        <v>注视者</v>
      </c>
      <c r="H19" s="206" t="str">
        <f>IF(综合数据!B15=TRUE,"注视者","")</f>
        <v>注视者</v>
      </c>
      <c r="I19" s="207">
        <v>18</v>
      </c>
      <c r="J19" s="208" t="s">
        <v>8945</v>
      </c>
      <c r="K19" s="208" t="s">
        <v>8946</v>
      </c>
      <c r="L19" s="208" t="s">
        <v>8947</v>
      </c>
      <c r="M19" s="208" t="s">
        <v>8948</v>
      </c>
      <c r="N19" s="208" t="s">
        <v>8949</v>
      </c>
      <c r="O19" s="208" t="s">
        <v>8950</v>
      </c>
      <c r="P19" s="208" t="s">
        <v>8951</v>
      </c>
      <c r="Q19" s="208" t="s">
        <v>8952</v>
      </c>
      <c r="R19" s="208" t="s">
        <v>8953</v>
      </c>
      <c r="S19" s="208"/>
      <c r="T19" s="208"/>
      <c r="U19" s="208"/>
      <c r="V19" s="208"/>
      <c r="W19" s="208"/>
      <c r="X19" s="208"/>
      <c r="Y19" s="209"/>
    </row>
    <row r="21" customHeight="1" spans="1:25">
      <c r="A21" s="210" t="s">
        <v>8954</v>
      </c>
      <c r="B21" s="211" t="s">
        <v>8955</v>
      </c>
      <c r="C21" s="211" t="s">
        <v>8956</v>
      </c>
      <c r="D21" s="211" t="s">
        <v>8957</v>
      </c>
      <c r="E21" s="211" t="s">
        <v>8958</v>
      </c>
      <c r="F21" s="188"/>
      <c r="G21" s="188"/>
      <c r="H21" s="189"/>
      <c r="I21" s="186" t="s">
        <v>8959</v>
      </c>
      <c r="J21" s="188">
        <v>1</v>
      </c>
      <c r="K21" s="188" t="s">
        <v>8960</v>
      </c>
      <c r="L21" s="188" t="s">
        <v>8961</v>
      </c>
      <c r="M21" s="188" t="s">
        <v>8962</v>
      </c>
      <c r="N21" s="188" t="s">
        <v>8963</v>
      </c>
      <c r="O21" s="188" t="s">
        <v>8964</v>
      </c>
      <c r="P21" s="189" t="s">
        <v>8965</v>
      </c>
    </row>
    <row r="22" customHeight="1" spans="1:25">
      <c r="A22" s="195"/>
      <c r="B22" s="198" t="s">
        <v>8966</v>
      </c>
      <c r="C22" s="198" t="s">
        <v>8967</v>
      </c>
      <c r="D22" s="198" t="s">
        <v>8968</v>
      </c>
      <c r="E22" s="198" t="s">
        <v>8969</v>
      </c>
      <c r="H22" s="196"/>
      <c r="I22" s="212" t="s">
        <v>8970</v>
      </c>
      <c r="J22" s="181">
        <v>2</v>
      </c>
      <c r="K22" s="181" t="s">
        <v>8971</v>
      </c>
      <c r="L22" s="181" t="s">
        <v>8972</v>
      </c>
      <c r="M22" s="181" t="s">
        <v>8973</v>
      </c>
      <c r="N22" s="181" t="s">
        <v>8974</v>
      </c>
      <c r="O22" s="181" t="s">
        <v>8975</v>
      </c>
      <c r="P22" s="196" t="s">
        <v>8976</v>
      </c>
    </row>
    <row r="23" customHeight="1" spans="1:25">
      <c r="A23" s="197" t="s">
        <v>8977</v>
      </c>
      <c r="B23" s="198" t="s">
        <v>1302</v>
      </c>
      <c r="C23" s="198" t="s">
        <v>1303</v>
      </c>
      <c r="H23" s="196"/>
      <c r="I23" s="212" t="s">
        <v>8978</v>
      </c>
      <c r="J23" s="181">
        <v>3</v>
      </c>
      <c r="K23" s="181" t="s">
        <v>8979</v>
      </c>
      <c r="L23" s="181" t="s">
        <v>8980</v>
      </c>
      <c r="M23" s="181" t="s">
        <v>8981</v>
      </c>
      <c r="N23" s="181" t="s">
        <v>8982</v>
      </c>
      <c r="O23" s="181" t="s">
        <v>8983</v>
      </c>
      <c r="P23" s="196" t="s">
        <v>8984</v>
      </c>
    </row>
    <row r="24" customHeight="1" spans="1:25">
      <c r="A24" s="197"/>
      <c r="B24" s="198" t="s">
        <v>8985</v>
      </c>
      <c r="C24" s="198" t="s">
        <v>8986</v>
      </c>
      <c r="H24" s="196"/>
      <c r="I24" s="213" t="s">
        <v>8987</v>
      </c>
      <c r="J24" s="207">
        <v>4</v>
      </c>
      <c r="K24" s="207" t="s">
        <v>8988</v>
      </c>
      <c r="L24" s="207" t="s">
        <v>8989</v>
      </c>
      <c r="M24" s="207" t="s">
        <v>8990</v>
      </c>
      <c r="N24" s="207" t="s">
        <v>8991</v>
      </c>
      <c r="O24" s="207" t="s">
        <v>8992</v>
      </c>
      <c r="P24" s="214" t="s">
        <v>8993</v>
      </c>
    </row>
    <row r="25" customHeight="1" spans="1:25">
      <c r="A25" s="197" t="s">
        <v>8994</v>
      </c>
      <c r="B25" s="198" t="s">
        <v>8995</v>
      </c>
      <c r="C25" s="198" t="s">
        <v>8996</v>
      </c>
      <c r="H25" s="196"/>
    </row>
    <row r="26" customHeight="1" spans="1:25">
      <c r="A26" s="197"/>
      <c r="B26" s="198" t="s">
        <v>8997</v>
      </c>
      <c r="C26" s="198" t="s">
        <v>8998</v>
      </c>
      <c r="H26" s="196"/>
    </row>
    <row r="27" customHeight="1" spans="1:25">
      <c r="A27" s="197" t="s">
        <v>8183</v>
      </c>
      <c r="B27" s="198" t="s">
        <v>8999</v>
      </c>
      <c r="C27" s="198" t="s">
        <v>9000</v>
      </c>
      <c r="D27" s="198" t="str">
        <f>IF(主要!Y3&gt;=5,"反逆英雄","")</f>
        <v/>
      </c>
      <c r="E27" s="198" t="str">
        <f>IF(主要!Y3&gt;=11,"反逆榜样","")</f>
        <v/>
      </c>
      <c r="F27" s="198" t="str">
        <f>IF(主要!Y3&gt;=17,"反逆典范","")</f>
        <v/>
      </c>
      <c r="H27" s="196"/>
    </row>
    <row r="28" customHeight="1" spans="1:25">
      <c r="A28" s="197"/>
      <c r="B28" s="198" t="s">
        <v>9001</v>
      </c>
      <c r="C28" s="198" t="s">
        <v>9002</v>
      </c>
      <c r="D28" s="181" t="s">
        <v>9003</v>
      </c>
      <c r="E28" s="181" t="s">
        <v>9004</v>
      </c>
      <c r="F28" s="181" t="s">
        <v>9005</v>
      </c>
      <c r="H28" s="196"/>
    </row>
    <row r="29" customHeight="1" spans="1:25">
      <c r="A29" s="197" t="s">
        <v>9006</v>
      </c>
      <c r="B29" s="198" t="s">
        <v>9007</v>
      </c>
      <c r="C29" s="198" t="s">
        <v>9008</v>
      </c>
      <c r="H29" s="196"/>
    </row>
    <row r="30" customHeight="1" spans="1:25">
      <c r="A30" s="197"/>
      <c r="B30" s="198" t="s">
        <v>9009</v>
      </c>
      <c r="C30" s="198" t="s">
        <v>9010</v>
      </c>
      <c r="H30" s="196"/>
    </row>
    <row r="31" customHeight="1" spans="1:25">
      <c r="A31" s="197" t="s">
        <v>9011</v>
      </c>
      <c r="B31" s="198" t="s">
        <v>9012</v>
      </c>
      <c r="C31" s="198" t="s">
        <v>9013</v>
      </c>
      <c r="H31" s="196"/>
    </row>
    <row r="32" customHeight="1" spans="1:25">
      <c r="A32" s="197"/>
      <c r="B32" s="198" t="s">
        <v>9014</v>
      </c>
      <c r="C32" s="198" t="s">
        <v>9015</v>
      </c>
      <c r="H32" s="196"/>
    </row>
    <row r="33" customHeight="1" spans="1:8">
      <c r="A33" s="197" t="s">
        <v>9016</v>
      </c>
      <c r="B33" s="198" t="s">
        <v>9017</v>
      </c>
      <c r="C33" s="198" t="s">
        <v>9018</v>
      </c>
      <c r="H33" s="196"/>
    </row>
    <row r="34" customHeight="1" spans="1:8">
      <c r="A34" s="197"/>
      <c r="B34" s="198" t="s">
        <v>9019</v>
      </c>
      <c r="C34" s="198" t="s">
        <v>9020</v>
      </c>
      <c r="H34" s="196"/>
    </row>
    <row r="35" customHeight="1" spans="1:8">
      <c r="A35" s="197" t="s">
        <v>9021</v>
      </c>
      <c r="B35" s="198" t="s">
        <v>9022</v>
      </c>
      <c r="C35" s="198" t="s">
        <v>9023</v>
      </c>
      <c r="D35" s="198" t="s">
        <v>9024</v>
      </c>
      <c r="E35" s="198" t="s">
        <v>9025</v>
      </c>
      <c r="F35" s="198" t="s">
        <v>9026</v>
      </c>
      <c r="G35" s="198" t="s">
        <v>9027</v>
      </c>
      <c r="H35" s="203" t="s">
        <v>9028</v>
      </c>
    </row>
    <row r="36" customHeight="1" spans="1:8">
      <c r="A36" s="197"/>
      <c r="B36" s="198" t="s">
        <v>9029</v>
      </c>
      <c r="C36" s="198" t="s">
        <v>9030</v>
      </c>
      <c r="D36" s="198" t="s">
        <v>9031</v>
      </c>
      <c r="E36" s="198" t="s">
        <v>9032</v>
      </c>
      <c r="F36" s="198" t="s">
        <v>9033</v>
      </c>
      <c r="G36" s="198" t="s">
        <v>9034</v>
      </c>
      <c r="H36" s="203" t="s">
        <v>9035</v>
      </c>
    </row>
    <row r="37" customHeight="1" spans="1:8">
      <c r="A37" s="197" t="s">
        <v>9036</v>
      </c>
      <c r="B37" s="198" t="s">
        <v>9037</v>
      </c>
      <c r="C37" s="198" t="s">
        <v>9038</v>
      </c>
      <c r="D37" s="198" t="s">
        <v>9039</v>
      </c>
      <c r="H37" s="196"/>
    </row>
    <row r="38" customHeight="1" spans="1:8">
      <c r="A38" s="197"/>
      <c r="B38" s="198" t="s">
        <v>9040</v>
      </c>
      <c r="C38" s="198" t="s">
        <v>9041</v>
      </c>
      <c r="D38" s="198" t="s">
        <v>9042</v>
      </c>
      <c r="H38" s="196"/>
    </row>
    <row r="39" customHeight="1" spans="1:8">
      <c r="A39" s="197" t="s">
        <v>9043</v>
      </c>
      <c r="B39" s="198" t="s">
        <v>9044</v>
      </c>
      <c r="H39" s="196"/>
    </row>
    <row r="40" customHeight="1" spans="1:8">
      <c r="A40" s="215"/>
      <c r="B40" s="208" t="s">
        <v>9045</v>
      </c>
      <c r="C40" s="207"/>
      <c r="D40" s="207"/>
      <c r="E40" s="207"/>
      <c r="F40" s="207"/>
      <c r="G40" s="207"/>
      <c r="H40" s="214"/>
    </row>
    <row r="41" customHeight="1" spans="1:8">
      <c r="A41" s="216" t="s">
        <v>8884</v>
      </c>
      <c r="B41" s="198" t="s">
        <v>9046</v>
      </c>
      <c r="C41" s="198" t="s">
        <v>9047</v>
      </c>
      <c r="D41" s="198" t="s">
        <v>9048</v>
      </c>
    </row>
    <row r="42" customHeight="1" spans="1:8">
      <c r="A42" s="217"/>
      <c r="B42" s="198" t="s">
        <v>9049</v>
      </c>
      <c r="C42" s="198" t="s">
        <v>9050</v>
      </c>
      <c r="D42" s="198" t="s">
        <v>9051</v>
      </c>
    </row>
    <row r="43" customHeight="1" spans="1:8">
      <c r="A43" s="216" t="s">
        <v>9052</v>
      </c>
      <c r="B43" s="198" t="s">
        <v>9053</v>
      </c>
      <c r="C43" s="198" t="s">
        <v>9054</v>
      </c>
      <c r="D43" s="198" t="s">
        <v>9055</v>
      </c>
    </row>
    <row r="44" customHeight="1" spans="1:8">
      <c r="A44" s="217"/>
      <c r="B44" s="198" t="s">
        <v>9056</v>
      </c>
      <c r="C44" s="198" t="s">
        <v>9057</v>
      </c>
      <c r="D44" s="198" t="s">
        <v>9058</v>
      </c>
    </row>
    <row r="45" customHeight="1" spans="1:8">
      <c r="A45" s="216" t="s">
        <v>9059</v>
      </c>
      <c r="B45" s="198" t="s">
        <v>9060</v>
      </c>
      <c r="C45" s="198" t="s">
        <v>9061</v>
      </c>
      <c r="D45" s="198" t="s">
        <v>9062</v>
      </c>
    </row>
    <row r="46" customHeight="1" spans="1:8">
      <c r="A46" s="217"/>
      <c r="B46" s="198" t="s">
        <v>9063</v>
      </c>
      <c r="C46" s="198" t="s">
        <v>9064</v>
      </c>
      <c r="D46" s="198" t="s">
        <v>9065</v>
      </c>
    </row>
    <row r="47" customHeight="1" spans="1:8">
      <c r="A47" s="216" t="s">
        <v>9066</v>
      </c>
      <c r="B47" s="198" t="s">
        <v>7393</v>
      </c>
      <c r="C47" s="198" t="s">
        <v>9067</v>
      </c>
      <c r="D47" s="198" t="s">
        <v>9068</v>
      </c>
    </row>
    <row r="48" customHeight="1" spans="1:8">
      <c r="A48" s="217"/>
      <c r="B48" s="198" t="s">
        <v>9069</v>
      </c>
      <c r="C48" s="198" t="s">
        <v>9070</v>
      </c>
      <c r="D48" s="198" t="s">
        <v>9071</v>
      </c>
    </row>
    <row r="49" customHeight="1" spans="1:4">
      <c r="A49" s="216" t="s">
        <v>9072</v>
      </c>
      <c r="B49" s="198" t="s">
        <v>9073</v>
      </c>
      <c r="C49" s="198" t="s">
        <v>9074</v>
      </c>
    </row>
    <row r="50" customHeight="1" spans="1:4">
      <c r="A50" s="217"/>
      <c r="B50" s="198" t="s">
        <v>9075</v>
      </c>
      <c r="C50" s="198" t="s">
        <v>9076</v>
      </c>
    </row>
    <row r="51" customHeight="1" spans="1:4">
      <c r="A51" s="216" t="s">
        <v>9077</v>
      </c>
      <c r="B51" s="198" t="s">
        <v>9078</v>
      </c>
      <c r="C51" s="198" t="s">
        <v>9079</v>
      </c>
      <c r="D51" s="198" t="s">
        <v>9080</v>
      </c>
    </row>
    <row r="52" customHeight="1" spans="1:4">
      <c r="A52" s="217"/>
      <c r="B52" s="198" t="s">
        <v>9081</v>
      </c>
      <c r="C52" s="198" t="s">
        <v>9082</v>
      </c>
      <c r="D52" s="198" t="s">
        <v>9083</v>
      </c>
    </row>
    <row r="53" customHeight="1" spans="1:4">
      <c r="A53" s="216" t="s">
        <v>9084</v>
      </c>
      <c r="B53" s="198" t="s">
        <v>9084</v>
      </c>
      <c r="C53" s="198" t="s">
        <v>9085</v>
      </c>
      <c r="D53" s="198" t="s">
        <v>9086</v>
      </c>
    </row>
    <row r="54" customHeight="1" spans="1:4">
      <c r="A54" s="217"/>
      <c r="B54" s="198" t="s">
        <v>9087</v>
      </c>
      <c r="C54" s="198" t="s">
        <v>9088</v>
      </c>
      <c r="D54" s="198" t="s">
        <v>9089</v>
      </c>
    </row>
    <row r="55" customHeight="1" spans="1:4">
      <c r="A55" s="216" t="s">
        <v>8945</v>
      </c>
      <c r="B55" s="198" t="s">
        <v>9090</v>
      </c>
      <c r="C55" s="198" t="s">
        <v>9091</v>
      </c>
    </row>
    <row r="56" customHeight="1" spans="1:4">
      <c r="A56" s="217"/>
      <c r="B56" s="198" t="s">
        <v>9092</v>
      </c>
      <c r="C56" s="198" t="s">
        <v>9093</v>
      </c>
    </row>
  </sheetData>
  <sheetProtection sheet="1" objects="1" scenarios="1"/>
  <mergeCells count="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D2:D9"/>
    <mergeCell ref="D10:D15"/>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0" tint="-0.499984740745262"/>
  </sheetPr>
  <dimension ref="A1:Q524"/>
  <sheetViews>
    <sheetView tabSelected="1" workbookViewId="0">
      <selection activeCell="J7" sqref="J7"/>
    </sheetView>
  </sheetViews>
  <sheetFormatPr defaultColWidth="9" defaultRowHeight="14.5"/>
  <cols>
    <col min="1" max="1" width="2.33636363636364" style="28" customWidth="1"/>
    <col min="2" max="2" width="9.09090909090909" style="28" customWidth="1"/>
    <col min="3" max="4" width="8.89090909090909" style="28" customWidth="1"/>
    <col min="5" max="7" width="8.89090909090909" style="28"/>
    <col min="8" max="8" width="2.33636363636364" style="28" customWidth="1"/>
    <col min="9" max="10" width="8.89090909090909" style="28"/>
    <col min="11" max="11" width="21.4454545454545" style="28" customWidth="1"/>
    <col min="12" max="12" width="33" style="28" customWidth="1"/>
    <col min="13" max="13" width="2.33636363636364" style="28" customWidth="1"/>
    <col min="14" max="16384" width="8.89090909090909" style="28"/>
  </cols>
  <sheetData>
    <row r="1" ht="15" customHeight="1" spans="1:17">
      <c r="A1" s="2" t="s">
        <v>9094</v>
      </c>
      <c r="B1" s="2"/>
      <c r="C1" s="2"/>
      <c r="D1" s="2"/>
      <c r="E1" s="2"/>
      <c r="F1" s="2"/>
      <c r="G1" s="2"/>
      <c r="H1" s="2"/>
      <c r="I1" s="2"/>
      <c r="J1" s="2"/>
      <c r="K1" s="2"/>
      <c r="L1" s="2"/>
      <c r="M1" s="2"/>
    </row>
    <row r="2" ht="15" customHeight="1" spans="1:17">
      <c r="N2" s="126" t="s">
        <v>9095</v>
      </c>
      <c r="O2" s="127"/>
      <c r="P2" s="127"/>
      <c r="Q2" s="128"/>
    </row>
    <row r="3" ht="15" customHeight="1" spans="1:17">
      <c r="B3" s="129" t="s">
        <v>7571</v>
      </c>
      <c r="C3" s="130"/>
      <c r="D3" s="130"/>
      <c r="E3" s="130"/>
      <c r="F3" s="130"/>
      <c r="G3" s="131"/>
      <c r="I3" s="132" t="s">
        <v>9096</v>
      </c>
      <c r="J3" s="133"/>
      <c r="K3" s="134" t="s">
        <v>9097</v>
      </c>
      <c r="L3" s="135"/>
      <c r="N3" s="136"/>
      <c r="O3" s="137"/>
      <c r="P3" s="137"/>
      <c r="Q3" s="138"/>
    </row>
    <row r="4" ht="15" customHeight="1" spans="1:17">
      <c r="B4" s="139"/>
      <c r="C4" s="140"/>
      <c r="D4" s="140"/>
      <c r="E4" s="140"/>
      <c r="F4" s="140"/>
      <c r="G4" s="141"/>
      <c r="I4" s="142" t="s">
        <v>172</v>
      </c>
      <c r="J4" s="143" t="s">
        <v>39</v>
      </c>
      <c r="K4" s="144" t="str">
        <f>法术数据!AD2</f>
        <v>援助术</v>
      </c>
      <c r="L4" s="145" t="str">
        <f>法术数据!AE2</f>
        <v>Aid</v>
      </c>
      <c r="N4" s="136"/>
      <c r="O4" s="137"/>
      <c r="P4" s="137"/>
      <c r="Q4" s="138"/>
    </row>
    <row r="5" ht="15" customHeight="1" spans="1:17">
      <c r="B5" s="146" t="str">
        <f>IF(B3="","","施法距离： "&amp;(VLOOKUP(B3,法术数据!B:G,6,0)))</f>
        <v>施法距离： 60尺</v>
      </c>
      <c r="C5" s="147"/>
      <c r="D5" s="147"/>
      <c r="E5" s="148"/>
      <c r="F5" s="149" t="str">
        <f>IFERROR(IF(B3="","",VLOOKUP(VLOOKUP(B3,法术数据!B:P,15,FALSE),CHOOSE({1,2},法术数据!AI2:AI11,法术数据!AH2:AH11),2,FALSE)&amp;" / "&amp;VLOOKUP(B3,法术数据!B:E,4,FALSE)),"")</f>
        <v>二环 / 死灵</v>
      </c>
      <c r="G5" s="150"/>
      <c r="I5" s="142" t="s">
        <v>6629</v>
      </c>
      <c r="J5" s="143" t="s">
        <v>6654</v>
      </c>
      <c r="K5" s="151" t="str">
        <f>法术数据!AD3</f>
        <v>变身术</v>
      </c>
      <c r="L5" s="152" t="str">
        <f>法术数据!AE3</f>
        <v>Alter Self</v>
      </c>
      <c r="N5" s="136"/>
      <c r="O5" s="137"/>
      <c r="P5" s="137"/>
      <c r="Q5" s="138"/>
    </row>
    <row r="6" spans="1:17">
      <c r="B6" s="153" t="str">
        <f>IF(B3="","","施法时间： "&amp;VLOOKUP(B3,法术数据!B:F,5,0)&amp;IF(VLOOKUP(B3,法术数据!B:D,3,0)=1,"（仪式）",""))</f>
        <v>施法时间： 1动作</v>
      </c>
      <c r="C6" s="154"/>
      <c r="D6" s="154"/>
      <c r="E6" s="154"/>
      <c r="F6" s="154"/>
      <c r="G6" s="155"/>
      <c r="I6" s="142" t="s">
        <v>6625</v>
      </c>
      <c r="J6" s="143"/>
      <c r="K6" s="144" t="str">
        <f>法术数据!AD4</f>
        <v>秘法锁</v>
      </c>
      <c r="L6" s="145" t="str">
        <f>法术数据!AE4</f>
        <v>Arcane Lock</v>
      </c>
      <c r="N6" s="136"/>
      <c r="O6" s="137"/>
      <c r="P6" s="137"/>
      <c r="Q6" s="138"/>
    </row>
    <row r="7" spans="1:17">
      <c r="B7" s="153"/>
      <c r="C7" s="154"/>
      <c r="D7" s="154"/>
      <c r="E7" s="154"/>
      <c r="F7" s="154"/>
      <c r="G7" s="155"/>
      <c r="I7" s="142" t="s">
        <v>229</v>
      </c>
      <c r="J7" s="143"/>
      <c r="K7" s="151" t="str">
        <f>法术数据!AD5</f>
        <v>朦胧术</v>
      </c>
      <c r="L7" s="152" t="str">
        <f>法术数据!AE5</f>
        <v>Blur</v>
      </c>
      <c r="N7" s="136"/>
      <c r="O7" s="137"/>
      <c r="P7" s="137"/>
      <c r="Q7" s="138"/>
    </row>
    <row r="8" ht="15" customHeight="1" spans="1:17">
      <c r="B8" s="156" t="str">
        <f>IF(B3="","","持续时间： "&amp;VLOOKUP(B3,法术数据!B:N,13,0))</f>
        <v>持续时间： 立即</v>
      </c>
      <c r="C8" s="157"/>
      <c r="D8" s="157"/>
      <c r="E8" s="157"/>
      <c r="F8" s="158" t="str">
        <f>IFERROR(IF(VLOOKUP(B3,法术数据!B:M,12,0)=1,"需要专注",""),"")</f>
        <v/>
      </c>
      <c r="G8" s="159"/>
      <c r="I8" s="142" t="s">
        <v>228</v>
      </c>
      <c r="J8" s="143"/>
      <c r="K8" s="144" t="str">
        <f>法术数据!AD6</f>
        <v>不灭明焰</v>
      </c>
      <c r="L8" s="145" t="str">
        <f>法术数据!AE6</f>
        <v>Continual Flame</v>
      </c>
      <c r="N8" s="160"/>
      <c r="O8" s="161"/>
      <c r="P8" s="161"/>
      <c r="Q8" s="162"/>
    </row>
    <row r="9" ht="15" customHeight="1" spans="1:17">
      <c r="B9" s="156" t="str">
        <f>IF(B3="","","法术成分："&amp;IF(VLOOKUP(B3,法术数据!B:H,7,0)=1," 言语 ","")&amp;IF(VLOOKUP(B3,法术数据!B:I,8,0)=1," 姿势 ","")&amp;IF(VLOOKUP(B3,法术数据!B:J,9,0)&gt;=1," 材料 ",""))</f>
        <v>法术成分： 言语  姿势  材料 </v>
      </c>
      <c r="C9" s="157"/>
      <c r="D9" s="157"/>
      <c r="E9" s="157"/>
      <c r="F9" s="163" t="str">
        <f>IF(B3="","","出自： "&amp;(VLOOKUP(B3,法术数据!B:Q,16,0)))</f>
        <v>出自： SCC</v>
      </c>
      <c r="G9" s="164"/>
      <c r="I9" s="142" t="s">
        <v>230</v>
      </c>
      <c r="J9" s="143"/>
      <c r="K9" s="151" t="str">
        <f>法术数据!AD7</f>
        <v>黑暗视觉</v>
      </c>
      <c r="L9" s="152" t="str">
        <f>法术数据!AE7</f>
        <v>Darkvision</v>
      </c>
    </row>
    <row r="10" ht="15" customHeight="1" spans="1:17">
      <c r="B10" s="153" t="str">
        <f>IF(VLOOKUP(B3,法术数据!B:K,10,0)="","","触媒： "&amp;VLOOKUP(B3,法术数据!B:K,10,0))&amp;IF(VLOOKUP(B3,法术数据!B:J,9,0)=2,CHAR(10),"")&amp;IF(VLOOKUP(B3,法术数据!B:L,11,0)="","","耗材： "&amp;VLOOKUP(B3,法术数据!B:L,11,0))</f>
        <v>触媒： 枯萎的藤蔓，弯折成环形</v>
      </c>
      <c r="C10" s="154"/>
      <c r="D10" s="154"/>
      <c r="E10" s="154"/>
      <c r="F10" s="154"/>
      <c r="G10" s="155"/>
      <c r="I10" s="142" t="s">
        <v>221</v>
      </c>
      <c r="J10" s="143"/>
      <c r="K10" s="144" t="str">
        <f>法术数据!AD8</f>
        <v>强化属性</v>
      </c>
      <c r="L10" s="145" t="str">
        <f>法术数据!AE8</f>
        <v>Enhance Ability</v>
      </c>
      <c r="N10" s="126" t="s">
        <v>9098</v>
      </c>
      <c r="O10" s="127"/>
      <c r="P10" s="127"/>
      <c r="Q10" s="128"/>
    </row>
    <row r="11" ht="15" customHeight="1" spans="1:17">
      <c r="B11" s="153"/>
      <c r="C11" s="154"/>
      <c r="D11" s="154"/>
      <c r="E11" s="154"/>
      <c r="F11" s="154"/>
      <c r="G11" s="155"/>
      <c r="I11" s="142" t="s">
        <v>5911</v>
      </c>
      <c r="J11" s="143"/>
      <c r="K11" s="151" t="str">
        <f>法术数据!AD9</f>
        <v>变巨/缩小术</v>
      </c>
      <c r="L11" s="152" t="str">
        <f>法术数据!AE9</f>
        <v>Enlarge/Reduce</v>
      </c>
      <c r="N11" s="136"/>
      <c r="O11" s="137"/>
      <c r="P11" s="137"/>
      <c r="Q11" s="138"/>
    </row>
    <row r="12" ht="15.6" customHeight="1" spans="1:17">
      <c r="B12" s="153"/>
      <c r="C12" s="154"/>
      <c r="D12" s="154"/>
      <c r="E12" s="154"/>
      <c r="F12" s="154"/>
      <c r="G12" s="155"/>
      <c r="I12" s="142" t="s">
        <v>9099</v>
      </c>
      <c r="J12" s="143"/>
      <c r="K12" s="144" t="str">
        <f>法术数据!AD10</f>
        <v>灼热金属</v>
      </c>
      <c r="L12" s="145" t="str">
        <f>法术数据!AE10</f>
        <v>Heat Metal</v>
      </c>
      <c r="N12" s="136"/>
      <c r="O12" s="137"/>
      <c r="P12" s="137"/>
      <c r="Q12" s="138"/>
    </row>
    <row r="13" ht="15" customHeight="1" spans="1:17">
      <c r="B13" s="153"/>
      <c r="C13" s="154"/>
      <c r="D13" s="154"/>
      <c r="E13" s="154"/>
      <c r="F13" s="154"/>
      <c r="G13" s="155"/>
      <c r="I13" s="142" t="s">
        <v>9100</v>
      </c>
      <c r="J13" s="143"/>
      <c r="K13" s="151" t="str">
        <f>法术数据!AD11</f>
        <v>隐形术</v>
      </c>
      <c r="L13" s="152" t="str">
        <f>法术数据!AE11</f>
        <v>Invisibility</v>
      </c>
      <c r="N13" s="136"/>
      <c r="O13" s="137"/>
      <c r="P13" s="137"/>
      <c r="Q13" s="138"/>
    </row>
    <row r="14" ht="15" customHeight="1" spans="1:17">
      <c r="B14" s="165"/>
      <c r="C14" s="166"/>
      <c r="D14" s="166"/>
      <c r="E14" s="166"/>
      <c r="F14" s="166"/>
      <c r="G14" s="167"/>
      <c r="I14" s="142" t="s">
        <v>9101</v>
      </c>
      <c r="J14" s="143"/>
      <c r="K14" s="144" t="str">
        <f>法术数据!AD12</f>
        <v>次级复原术</v>
      </c>
      <c r="L14" s="145" t="str">
        <f>法术数据!AE12</f>
        <v>Lesser Restoration</v>
      </c>
      <c r="N14" s="136"/>
      <c r="O14" s="137"/>
      <c r="P14" s="137"/>
      <c r="Q14" s="138"/>
    </row>
    <row r="15" ht="15" customHeight="1" spans="1:17">
      <c r="B15" s="168" t="str">
        <f>IF(B3="","","说明： "&amp;(VLOOKUP(B3,法术数据!B:O,14,0)))</f>
        <v>说明： 选择范围里的一点，以该点为中心的10尺半径球形区域里，你唤起死气与生机。该区域里每个由你选择的生物需进行一次体质豁免，失败时受到2d6暗蚀伤害，成功时伤害减半。区域里的非魔法植物都会枯萎。
此外，区域里一个你所选的生物能使用并投掷一枚未使用的生命骰。恢复投掷结果加上你的施法属性调整值点生命值。
升环施法效应：当你使用3环或更高的法术位释放该法术时，法术位每比2环高1环，法术多造成1d6伤害，选择生物能投掷的生命骰数也多1个。</v>
      </c>
      <c r="C15" s="169"/>
      <c r="D15" s="169"/>
      <c r="E15" s="169"/>
      <c r="F15" s="169"/>
      <c r="G15" s="170"/>
      <c r="I15" s="171" t="s">
        <v>231</v>
      </c>
      <c r="J15" s="172"/>
      <c r="K15" s="151" t="str">
        <f>法术数据!AD13</f>
        <v>浮空术</v>
      </c>
      <c r="L15" s="152" t="str">
        <f>法术数据!AE13</f>
        <v>Levitate</v>
      </c>
      <c r="N15" s="136"/>
      <c r="O15" s="137"/>
      <c r="P15" s="137"/>
      <c r="Q15" s="138"/>
    </row>
    <row r="16" ht="15" customHeight="1" spans="1:17">
      <c r="B16" s="173"/>
      <c r="C16" s="174"/>
      <c r="D16" s="174"/>
      <c r="E16" s="174"/>
      <c r="F16" s="174"/>
      <c r="G16" s="175"/>
      <c r="I16" s="142" t="s">
        <v>9102</v>
      </c>
      <c r="J16" s="143"/>
      <c r="K16" s="144" t="str">
        <f>法术数据!AD14</f>
        <v>魔嘴术</v>
      </c>
      <c r="L16" s="145" t="str">
        <f>法术数据!AE14</f>
        <v>Magic Mouth</v>
      </c>
      <c r="N16" s="160"/>
      <c r="O16" s="161"/>
      <c r="P16" s="161"/>
      <c r="Q16" s="162"/>
    </row>
    <row r="17" ht="15" customHeight="1" spans="2:12">
      <c r="B17" s="173"/>
      <c r="C17" s="174"/>
      <c r="D17" s="174"/>
      <c r="E17" s="174"/>
      <c r="F17" s="174"/>
      <c r="G17" s="175"/>
      <c r="I17" s="142" t="s">
        <v>9103</v>
      </c>
      <c r="J17" s="143"/>
      <c r="K17" s="151" t="str">
        <f>法术数据!AD15</f>
        <v>魔化武器</v>
      </c>
      <c r="L17" s="152" t="str">
        <f>法术数据!AE15</f>
        <v>Magic Weapon</v>
      </c>
    </row>
    <row r="18" ht="15" customHeight="1" spans="2:12">
      <c r="B18" s="173"/>
      <c r="C18" s="174"/>
      <c r="D18" s="174"/>
      <c r="E18" s="174"/>
      <c r="F18" s="174"/>
      <c r="G18" s="175"/>
      <c r="I18" s="142" t="s">
        <v>6626</v>
      </c>
      <c r="J18" s="143"/>
      <c r="K18" s="144" t="str">
        <f>法术数据!AD16</f>
        <v>防护毒素</v>
      </c>
      <c r="L18" s="145" t="str">
        <f>法术数据!AE16</f>
        <v>Protection From Poison</v>
      </c>
    </row>
    <row r="19" ht="15" customHeight="1" spans="2:12">
      <c r="B19" s="173"/>
      <c r="C19" s="174"/>
      <c r="D19" s="174"/>
      <c r="E19" s="174"/>
      <c r="F19" s="174"/>
      <c r="G19" s="175"/>
      <c r="I19" s="176" t="s">
        <v>6627</v>
      </c>
      <c r="J19" s="177"/>
      <c r="K19" s="151" t="str">
        <f>法术数据!AD17</f>
        <v>魔绳术</v>
      </c>
      <c r="L19" s="152" t="str">
        <f>法术数据!AE17</f>
        <v>Rope Trick</v>
      </c>
    </row>
    <row r="20" ht="15" customHeight="1" spans="2:12">
      <c r="B20" s="173"/>
      <c r="C20" s="174"/>
      <c r="D20" s="174"/>
      <c r="E20" s="174"/>
      <c r="F20" s="174"/>
      <c r="G20" s="175"/>
      <c r="K20" s="144" t="str">
        <f>法术数据!AD18</f>
        <v>识破隐形</v>
      </c>
      <c r="L20" s="145" t="str">
        <f>法术数据!AE18</f>
        <v>See Invisibility</v>
      </c>
    </row>
    <row r="21" ht="15" customHeight="1" spans="2:12">
      <c r="B21" s="173"/>
      <c r="C21" s="174"/>
      <c r="D21" s="174"/>
      <c r="E21" s="174"/>
      <c r="F21" s="174"/>
      <c r="G21" s="175"/>
      <c r="K21" s="151" t="str">
        <f>法术数据!AD19</f>
        <v>蛛行术</v>
      </c>
      <c r="L21" s="152" t="str">
        <f>法术数据!AE19</f>
        <v>Spider Climb</v>
      </c>
    </row>
    <row r="22" ht="15" customHeight="1" spans="2:12">
      <c r="B22" s="173"/>
      <c r="C22" s="174"/>
      <c r="D22" s="174"/>
      <c r="E22" s="174"/>
      <c r="F22" s="174"/>
      <c r="G22" s="175"/>
      <c r="K22" s="144" t="str">
        <f>法术数据!AD20</f>
        <v>蛛网术</v>
      </c>
      <c r="L22" s="145" t="str">
        <f>法术数据!AE20</f>
        <v>Web</v>
      </c>
    </row>
    <row r="23" ht="15" customHeight="1" spans="2:12">
      <c r="B23" s="173"/>
      <c r="C23" s="174"/>
      <c r="D23" s="174"/>
      <c r="E23" s="174"/>
      <c r="F23" s="174"/>
      <c r="G23" s="175"/>
      <c r="K23" s="151" t="str">
        <f>法术数据!AD21</f>
        <v>烟火</v>
      </c>
      <c r="L23" s="152" t="str">
        <f>法术数据!AE21</f>
        <v>Pyrotechnics</v>
      </c>
    </row>
    <row r="24" ht="15" customHeight="1" spans="2:12">
      <c r="B24" s="173"/>
      <c r="C24" s="174"/>
      <c r="D24" s="174"/>
      <c r="E24" s="174"/>
      <c r="F24" s="174"/>
      <c r="G24" s="175"/>
      <c r="K24" s="144" t="str">
        <f>法术数据!AD22</f>
        <v>写入空中</v>
      </c>
      <c r="L24" s="145" t="str">
        <f>法术数据!AE22</f>
        <v>Skywrite</v>
      </c>
    </row>
    <row r="25" spans="2:12">
      <c r="B25" s="173"/>
      <c r="C25" s="174"/>
      <c r="D25" s="174"/>
      <c r="E25" s="174"/>
      <c r="F25" s="174"/>
      <c r="G25" s="175"/>
      <c r="K25" s="151" t="str">
        <f>法术数据!AD23</f>
        <v>动力短行</v>
      </c>
      <c r="L25" s="152" t="str">
        <f>法术数据!AE23</f>
        <v>Kinetic Jaunt</v>
      </c>
    </row>
    <row r="26" ht="15" customHeight="1" spans="2:12">
      <c r="B26" s="173"/>
      <c r="C26" s="174"/>
      <c r="D26" s="174"/>
      <c r="E26" s="174"/>
      <c r="F26" s="174"/>
      <c r="G26" s="175"/>
      <c r="K26" s="144" t="str">
        <f>法术数据!AD24</f>
        <v>涡旋翘曲</v>
      </c>
      <c r="L26" s="145" t="str">
        <f>法术数据!AE24</f>
        <v>Vortex Warp</v>
      </c>
    </row>
    <row r="27" ht="15" customHeight="1" spans="2:12">
      <c r="B27" s="173"/>
      <c r="C27" s="174"/>
      <c r="D27" s="174"/>
      <c r="E27" s="174"/>
      <c r="F27" s="174"/>
      <c r="G27" s="175"/>
      <c r="K27" s="151" t="str">
        <f>法术数据!AD25</f>
        <v>空气泡泡</v>
      </c>
      <c r="L27" s="152" t="str">
        <f>法术数据!AE25</f>
        <v>Air Bubble</v>
      </c>
    </row>
    <row r="28" ht="15" customHeight="1" spans="2:12">
      <c r="B28" s="173"/>
      <c r="C28" s="174"/>
      <c r="D28" s="174"/>
      <c r="E28" s="174"/>
      <c r="F28" s="174"/>
      <c r="G28" s="175"/>
      <c r="K28" s="144" t="str">
        <f>法术数据!AD26</f>
        <v/>
      </c>
      <c r="L28" s="145" t="str">
        <f>法术数据!AE26</f>
        <v/>
      </c>
    </row>
    <row r="29" ht="15" customHeight="1" spans="2:12">
      <c r="B29" s="173"/>
      <c r="C29" s="174"/>
      <c r="D29" s="174"/>
      <c r="E29" s="174"/>
      <c r="F29" s="174"/>
      <c r="G29" s="175"/>
      <c r="K29" s="151" t="str">
        <f>法术数据!AD27</f>
        <v/>
      </c>
      <c r="L29" s="152" t="str">
        <f>法术数据!AE27</f>
        <v/>
      </c>
    </row>
    <row r="30" ht="15" customHeight="1" spans="2:12">
      <c r="B30" s="173"/>
      <c r="C30" s="174"/>
      <c r="D30" s="174"/>
      <c r="E30" s="174"/>
      <c r="F30" s="174"/>
      <c r="G30" s="175"/>
      <c r="K30" s="144" t="str">
        <f>法术数据!AD28</f>
        <v/>
      </c>
      <c r="L30" s="145" t="str">
        <f>法术数据!AE28</f>
        <v/>
      </c>
    </row>
    <row r="31" ht="15" customHeight="1" spans="2:12">
      <c r="B31" s="173"/>
      <c r="C31" s="174"/>
      <c r="D31" s="174"/>
      <c r="E31" s="174"/>
      <c r="F31" s="174"/>
      <c r="G31" s="175"/>
      <c r="K31" s="151" t="str">
        <f>法术数据!AD29</f>
        <v/>
      </c>
      <c r="L31" s="152" t="str">
        <f>法术数据!AE29</f>
        <v/>
      </c>
    </row>
    <row r="32" ht="15" customHeight="1" spans="2:12">
      <c r="B32" s="173"/>
      <c r="C32" s="174"/>
      <c r="D32" s="174"/>
      <c r="E32" s="174"/>
      <c r="F32" s="174"/>
      <c r="G32" s="175"/>
      <c r="K32" s="144" t="str">
        <f>法术数据!AD30</f>
        <v/>
      </c>
      <c r="L32" s="145" t="str">
        <f>法术数据!AE30</f>
        <v/>
      </c>
    </row>
    <row r="33" ht="15" customHeight="1" spans="2:12">
      <c r="B33" s="173"/>
      <c r="C33" s="174"/>
      <c r="D33" s="174"/>
      <c r="E33" s="174"/>
      <c r="F33" s="174"/>
      <c r="G33" s="175"/>
      <c r="K33" s="151" t="str">
        <f>法术数据!AD31</f>
        <v/>
      </c>
      <c r="L33" s="152" t="str">
        <f>法术数据!AE31</f>
        <v/>
      </c>
    </row>
    <row r="34" ht="15" customHeight="1" spans="2:12">
      <c r="B34" s="173"/>
      <c r="C34" s="174"/>
      <c r="D34" s="174"/>
      <c r="E34" s="174"/>
      <c r="F34" s="174"/>
      <c r="G34" s="175"/>
      <c r="K34" s="144" t="str">
        <f>法术数据!AD32</f>
        <v/>
      </c>
      <c r="L34" s="145" t="str">
        <f>法术数据!AE32</f>
        <v/>
      </c>
    </row>
    <row r="35" ht="15" customHeight="1" spans="2:12">
      <c r="B35" s="173"/>
      <c r="C35" s="174"/>
      <c r="D35" s="174"/>
      <c r="E35" s="174"/>
      <c r="F35" s="174"/>
      <c r="G35" s="175"/>
      <c r="K35" s="151" t="str">
        <f>法术数据!AD33</f>
        <v/>
      </c>
      <c r="L35" s="152" t="str">
        <f>法术数据!AE33</f>
        <v/>
      </c>
    </row>
    <row r="36" ht="15" customHeight="1" spans="2:12">
      <c r="B36" s="173"/>
      <c r="C36" s="174"/>
      <c r="D36" s="174"/>
      <c r="E36" s="174"/>
      <c r="F36" s="174"/>
      <c r="G36" s="175"/>
      <c r="K36" s="144" t="str">
        <f>法术数据!AD34</f>
        <v/>
      </c>
      <c r="L36" s="145" t="str">
        <f>法术数据!AE34</f>
        <v/>
      </c>
    </row>
    <row r="37" ht="15" customHeight="1" spans="2:12">
      <c r="B37" s="173"/>
      <c r="C37" s="174"/>
      <c r="D37" s="174"/>
      <c r="E37" s="174"/>
      <c r="F37" s="174"/>
      <c r="G37" s="175"/>
      <c r="K37" s="151" t="str">
        <f>法术数据!AD35</f>
        <v/>
      </c>
      <c r="L37" s="152" t="str">
        <f>法术数据!AE35</f>
        <v/>
      </c>
    </row>
    <row r="38" ht="15" customHeight="1" spans="2:12">
      <c r="B38" s="173"/>
      <c r="C38" s="174"/>
      <c r="D38" s="174"/>
      <c r="E38" s="174"/>
      <c r="F38" s="174"/>
      <c r="G38" s="175"/>
      <c r="K38" s="144" t="str">
        <f>法术数据!AD36</f>
        <v/>
      </c>
      <c r="L38" s="145" t="str">
        <f>法术数据!AE36</f>
        <v/>
      </c>
    </row>
    <row r="39" ht="15" customHeight="1" spans="2:12">
      <c r="B39" s="173"/>
      <c r="C39" s="174"/>
      <c r="D39" s="174"/>
      <c r="E39" s="174"/>
      <c r="F39" s="174"/>
      <c r="G39" s="175"/>
      <c r="K39" s="151" t="str">
        <f>法术数据!AD37</f>
        <v/>
      </c>
      <c r="L39" s="152" t="str">
        <f>法术数据!AE37</f>
        <v/>
      </c>
    </row>
    <row r="40" ht="15" customHeight="1" spans="2:12">
      <c r="B40" s="173"/>
      <c r="C40" s="174"/>
      <c r="D40" s="174"/>
      <c r="E40" s="174"/>
      <c r="F40" s="174"/>
      <c r="G40" s="175"/>
      <c r="K40" s="144" t="str">
        <f>法术数据!AD38</f>
        <v/>
      </c>
      <c r="L40" s="145" t="str">
        <f>法术数据!AE38</f>
        <v/>
      </c>
    </row>
    <row r="41" ht="15" customHeight="1" spans="2:12">
      <c r="B41" s="173"/>
      <c r="C41" s="174"/>
      <c r="D41" s="174"/>
      <c r="E41" s="174"/>
      <c r="F41" s="174"/>
      <c r="G41" s="175"/>
      <c r="K41" s="151" t="str">
        <f>法术数据!AD39</f>
        <v/>
      </c>
      <c r="L41" s="152" t="str">
        <f>法术数据!AE39</f>
        <v/>
      </c>
    </row>
    <row r="42" ht="15" customHeight="1" spans="2:12">
      <c r="B42" s="173"/>
      <c r="C42" s="174"/>
      <c r="D42" s="174"/>
      <c r="E42" s="174"/>
      <c r="F42" s="174"/>
      <c r="G42" s="175"/>
      <c r="K42" s="144" t="str">
        <f>法术数据!AD40</f>
        <v/>
      </c>
      <c r="L42" s="145" t="str">
        <f>法术数据!AE40</f>
        <v/>
      </c>
    </row>
    <row r="43" ht="15" customHeight="1" spans="2:12">
      <c r="B43" s="173"/>
      <c r="C43" s="174"/>
      <c r="D43" s="174"/>
      <c r="E43" s="174"/>
      <c r="F43" s="174"/>
      <c r="G43" s="175"/>
      <c r="K43" s="151" t="str">
        <f>法术数据!AD41</f>
        <v/>
      </c>
      <c r="L43" s="152" t="str">
        <f>法术数据!AE41</f>
        <v/>
      </c>
    </row>
    <row r="44" ht="15" customHeight="1" spans="2:12">
      <c r="B44" s="178"/>
      <c r="C44" s="179"/>
      <c r="D44" s="179"/>
      <c r="E44" s="179"/>
      <c r="F44" s="179"/>
      <c r="G44" s="180"/>
      <c r="K44" s="144" t="str">
        <f>法术数据!AD42</f>
        <v/>
      </c>
      <c r="L44" s="145" t="str">
        <f>法术数据!AE42</f>
        <v/>
      </c>
    </row>
    <row r="45" ht="15" customHeight="1" spans="2:12">
      <c r="K45" s="151" t="str">
        <f>法术数据!AD43</f>
        <v/>
      </c>
      <c r="L45" s="152" t="str">
        <f>法术数据!AE43</f>
        <v/>
      </c>
    </row>
    <row r="46" ht="15" customHeight="1" spans="2:12">
      <c r="K46" s="144" t="str">
        <f>法术数据!AD44</f>
        <v/>
      </c>
      <c r="L46" s="145" t="str">
        <f>法术数据!AE44</f>
        <v/>
      </c>
    </row>
    <row r="47" ht="15" customHeight="1" spans="2:12">
      <c r="K47" s="151" t="str">
        <f>法术数据!AD45</f>
        <v/>
      </c>
      <c r="L47" s="152" t="str">
        <f>法术数据!AE45</f>
        <v/>
      </c>
    </row>
    <row r="48" ht="15" customHeight="1" spans="2:12">
      <c r="K48" s="144" t="str">
        <f>法术数据!AD46</f>
        <v/>
      </c>
      <c r="L48" s="145" t="str">
        <f>法术数据!AE46</f>
        <v/>
      </c>
    </row>
    <row r="49" ht="15" customHeight="1" spans="11:12">
      <c r="K49" s="151" t="str">
        <f>法术数据!AD47</f>
        <v/>
      </c>
      <c r="L49" s="152" t="str">
        <f>法术数据!AE47</f>
        <v/>
      </c>
    </row>
    <row r="50" ht="15" customHeight="1" spans="11:12">
      <c r="K50" s="144" t="str">
        <f>法术数据!AD48</f>
        <v/>
      </c>
      <c r="L50" s="145" t="str">
        <f>法术数据!AE48</f>
        <v/>
      </c>
    </row>
    <row r="51" ht="15" customHeight="1" spans="11:12">
      <c r="K51" s="151" t="str">
        <f>法术数据!AD49</f>
        <v/>
      </c>
      <c r="L51" s="152" t="str">
        <f>法术数据!AE49</f>
        <v/>
      </c>
    </row>
    <row r="52" ht="15" customHeight="1" spans="11:12">
      <c r="K52" s="144" t="str">
        <f>法术数据!AD50</f>
        <v/>
      </c>
      <c r="L52" s="145" t="str">
        <f>法术数据!AE50</f>
        <v/>
      </c>
    </row>
    <row r="53" ht="15" customHeight="1" spans="11:12">
      <c r="K53" s="151" t="str">
        <f>法术数据!AD51</f>
        <v/>
      </c>
      <c r="L53" s="152" t="str">
        <f>法术数据!AE51</f>
        <v/>
      </c>
    </row>
    <row r="54" spans="11:12">
      <c r="K54" s="144" t="str">
        <f>法术数据!AD52</f>
        <v/>
      </c>
      <c r="L54" s="145" t="str">
        <f>法术数据!AE52</f>
        <v/>
      </c>
    </row>
    <row r="55" spans="11:12">
      <c r="K55" s="151" t="str">
        <f>法术数据!AD53</f>
        <v/>
      </c>
      <c r="L55" s="152" t="str">
        <f>法术数据!AE53</f>
        <v/>
      </c>
    </row>
    <row r="56" spans="11:12">
      <c r="K56" s="144" t="str">
        <f>法术数据!AD54</f>
        <v/>
      </c>
      <c r="L56" s="145" t="str">
        <f>法术数据!AE54</f>
        <v/>
      </c>
    </row>
    <row r="57" spans="11:12">
      <c r="K57" s="151" t="str">
        <f>法术数据!AD55</f>
        <v/>
      </c>
      <c r="L57" s="152" t="str">
        <f>法术数据!AE55</f>
        <v/>
      </c>
    </row>
    <row r="58" spans="11:12">
      <c r="K58" s="144" t="str">
        <f>法术数据!AD56</f>
        <v/>
      </c>
      <c r="L58" s="145" t="str">
        <f>法术数据!AE56</f>
        <v/>
      </c>
    </row>
    <row r="59" spans="11:12">
      <c r="K59" s="151" t="str">
        <f>法术数据!AD57</f>
        <v/>
      </c>
      <c r="L59" s="152" t="str">
        <f>法术数据!AE57</f>
        <v/>
      </c>
    </row>
    <row r="60" spans="11:12">
      <c r="K60" s="144" t="str">
        <f>法术数据!AD58</f>
        <v/>
      </c>
      <c r="L60" s="145" t="str">
        <f>法术数据!AE58</f>
        <v/>
      </c>
    </row>
    <row r="61" spans="11:12">
      <c r="K61" s="151" t="str">
        <f>法术数据!AD59</f>
        <v/>
      </c>
      <c r="L61" s="152" t="str">
        <f>法术数据!AE59</f>
        <v/>
      </c>
    </row>
    <row r="62" spans="11:12">
      <c r="K62" s="144" t="str">
        <f>法术数据!AD60</f>
        <v/>
      </c>
      <c r="L62" s="145" t="str">
        <f>法术数据!AE60</f>
        <v/>
      </c>
    </row>
    <row r="63" spans="11:12">
      <c r="K63" s="151" t="str">
        <f>法术数据!AD61</f>
        <v/>
      </c>
      <c r="L63" s="152" t="str">
        <f>法术数据!AE61</f>
        <v/>
      </c>
    </row>
    <row r="64" spans="11:12">
      <c r="K64" s="144" t="str">
        <f>法术数据!AD62</f>
        <v/>
      </c>
      <c r="L64" s="145" t="str">
        <f>法术数据!AE62</f>
        <v/>
      </c>
    </row>
    <row r="65" spans="11:12">
      <c r="K65" s="151" t="str">
        <f>法术数据!AD63</f>
        <v/>
      </c>
      <c r="L65" s="152" t="str">
        <f>法术数据!AE63</f>
        <v/>
      </c>
    </row>
    <row r="66" spans="11:12">
      <c r="K66" s="144" t="str">
        <f>法术数据!AD64</f>
        <v/>
      </c>
      <c r="L66" s="145" t="str">
        <f>法术数据!AE64</f>
        <v/>
      </c>
    </row>
    <row r="67" spans="11:12">
      <c r="K67" s="151" t="str">
        <f>法术数据!AD65</f>
        <v/>
      </c>
      <c r="L67" s="152" t="str">
        <f>法术数据!AE65</f>
        <v/>
      </c>
    </row>
    <row r="68" spans="11:12">
      <c r="K68" s="144" t="str">
        <f>法术数据!AD66</f>
        <v/>
      </c>
      <c r="L68" s="145" t="str">
        <f>法术数据!AE66</f>
        <v/>
      </c>
    </row>
    <row r="69" spans="11:12">
      <c r="K69" s="151" t="str">
        <f>法术数据!AD67</f>
        <v/>
      </c>
      <c r="L69" s="152" t="str">
        <f>法术数据!AE67</f>
        <v/>
      </c>
    </row>
    <row r="70" spans="11:12">
      <c r="K70" s="144" t="str">
        <f>法术数据!AD68</f>
        <v/>
      </c>
      <c r="L70" s="145" t="str">
        <f>法术数据!AE68</f>
        <v/>
      </c>
    </row>
    <row r="71" spans="11:12">
      <c r="K71" s="151" t="str">
        <f>法术数据!AD69</f>
        <v/>
      </c>
      <c r="L71" s="152" t="str">
        <f>法术数据!AE69</f>
        <v/>
      </c>
    </row>
    <row r="72" spans="11:12">
      <c r="K72" s="144" t="str">
        <f>法术数据!AD70</f>
        <v/>
      </c>
      <c r="L72" s="145" t="str">
        <f>法术数据!AE70</f>
        <v/>
      </c>
    </row>
    <row r="73" spans="11:12">
      <c r="K73" s="151" t="str">
        <f>法术数据!AD71</f>
        <v/>
      </c>
      <c r="L73" s="152" t="str">
        <f>法术数据!AE71</f>
        <v/>
      </c>
    </row>
    <row r="74" spans="11:12">
      <c r="K74" s="144" t="str">
        <f>法术数据!AD72</f>
        <v/>
      </c>
      <c r="L74" s="145" t="str">
        <f>法术数据!AE72</f>
        <v/>
      </c>
    </row>
    <row r="75" spans="11:12">
      <c r="K75" s="151" t="str">
        <f>法术数据!AD73</f>
        <v/>
      </c>
      <c r="L75" s="152" t="str">
        <f>法术数据!AE73</f>
        <v/>
      </c>
    </row>
    <row r="76" spans="11:12">
      <c r="K76" s="144" t="str">
        <f>法术数据!AD74</f>
        <v/>
      </c>
      <c r="L76" s="145" t="str">
        <f>法术数据!AE74</f>
        <v/>
      </c>
    </row>
    <row r="77" spans="11:12">
      <c r="K77" s="151" t="str">
        <f>法术数据!AD75</f>
        <v/>
      </c>
      <c r="L77" s="152" t="str">
        <f>法术数据!AE75</f>
        <v/>
      </c>
    </row>
    <row r="78" spans="11:12">
      <c r="K78" s="144" t="str">
        <f>法术数据!AD76</f>
        <v/>
      </c>
      <c r="L78" s="145" t="str">
        <f>法术数据!AE76</f>
        <v/>
      </c>
    </row>
    <row r="79" spans="11:12">
      <c r="K79" s="151" t="str">
        <f>法术数据!AD77</f>
        <v/>
      </c>
      <c r="L79" s="152" t="str">
        <f>法术数据!AE77</f>
        <v/>
      </c>
    </row>
    <row r="80" spans="11:12">
      <c r="K80" s="144" t="str">
        <f>法术数据!AD78</f>
        <v/>
      </c>
      <c r="L80" s="145" t="str">
        <f>法术数据!AE78</f>
        <v/>
      </c>
    </row>
    <row r="81" spans="11:12">
      <c r="K81" s="151" t="str">
        <f>法术数据!AD79</f>
        <v/>
      </c>
      <c r="L81" s="152" t="str">
        <f>法术数据!AE79</f>
        <v/>
      </c>
    </row>
    <row r="82" spans="11:12">
      <c r="K82" s="144" t="str">
        <f>法术数据!AD80</f>
        <v/>
      </c>
      <c r="L82" s="145" t="str">
        <f>法术数据!AE80</f>
        <v/>
      </c>
    </row>
    <row r="83" spans="11:12">
      <c r="K83" s="151" t="str">
        <f>法术数据!AD81</f>
        <v/>
      </c>
      <c r="L83" s="152" t="str">
        <f>法术数据!AE81</f>
        <v/>
      </c>
    </row>
    <row r="84" spans="11:12">
      <c r="K84" s="144" t="str">
        <f>法术数据!AD82</f>
        <v/>
      </c>
      <c r="L84" s="145" t="str">
        <f>法术数据!AE82</f>
        <v/>
      </c>
    </row>
    <row r="85" spans="11:12">
      <c r="K85" s="151" t="str">
        <f>法术数据!AD83</f>
        <v/>
      </c>
      <c r="L85" s="152" t="str">
        <f>法术数据!AE83</f>
        <v/>
      </c>
    </row>
    <row r="86" spans="11:12">
      <c r="K86" s="144" t="str">
        <f>法术数据!AD84</f>
        <v/>
      </c>
      <c r="L86" s="145" t="str">
        <f>法术数据!AE84</f>
        <v/>
      </c>
    </row>
    <row r="87" spans="11:12">
      <c r="K87" s="151" t="str">
        <f>法术数据!AD85</f>
        <v/>
      </c>
      <c r="L87" s="152" t="str">
        <f>法术数据!AE85</f>
        <v/>
      </c>
    </row>
    <row r="88" spans="11:12">
      <c r="K88" s="144" t="str">
        <f>法术数据!AD86</f>
        <v/>
      </c>
      <c r="L88" s="145" t="str">
        <f>法术数据!AE86</f>
        <v/>
      </c>
    </row>
    <row r="89" spans="11:12">
      <c r="K89" s="151" t="str">
        <f>法术数据!AD87</f>
        <v/>
      </c>
      <c r="L89" s="152" t="str">
        <f>法术数据!AE87</f>
        <v/>
      </c>
    </row>
    <row r="90" spans="11:12">
      <c r="K90" s="144" t="str">
        <f>法术数据!AD88</f>
        <v/>
      </c>
      <c r="L90" s="145" t="str">
        <f>法术数据!AE88</f>
        <v/>
      </c>
    </row>
    <row r="91" spans="11:12">
      <c r="K91" s="151" t="str">
        <f>法术数据!AD89</f>
        <v/>
      </c>
      <c r="L91" s="152" t="str">
        <f>法术数据!AE89</f>
        <v/>
      </c>
    </row>
    <row r="92" spans="11:12">
      <c r="K92" s="144" t="str">
        <f>法术数据!AD90</f>
        <v/>
      </c>
      <c r="L92" s="145" t="str">
        <f>法术数据!AE90</f>
        <v/>
      </c>
    </row>
    <row r="93" spans="11:12">
      <c r="K93" s="151" t="str">
        <f>法术数据!AD91</f>
        <v/>
      </c>
      <c r="L93" s="152" t="str">
        <f>法术数据!AE91</f>
        <v/>
      </c>
    </row>
    <row r="94" spans="11:12">
      <c r="K94" s="144" t="str">
        <f>法术数据!AD92</f>
        <v/>
      </c>
      <c r="L94" s="145" t="str">
        <f>法术数据!AE92</f>
        <v/>
      </c>
    </row>
    <row r="95" spans="11:12">
      <c r="K95" s="151" t="str">
        <f>法术数据!AD93</f>
        <v/>
      </c>
      <c r="L95" s="152" t="str">
        <f>法术数据!AE93</f>
        <v/>
      </c>
    </row>
    <row r="96" spans="11:12">
      <c r="K96" s="144" t="str">
        <f>法术数据!AD94</f>
        <v/>
      </c>
      <c r="L96" s="145" t="str">
        <f>法术数据!AE94</f>
        <v/>
      </c>
    </row>
    <row r="97" spans="11:12">
      <c r="K97" s="151" t="str">
        <f>法术数据!AD95</f>
        <v/>
      </c>
      <c r="L97" s="152" t="str">
        <f>法术数据!AE95</f>
        <v/>
      </c>
    </row>
    <row r="98" spans="11:12">
      <c r="K98" s="144" t="str">
        <f>法术数据!AD96</f>
        <v/>
      </c>
      <c r="L98" s="145" t="str">
        <f>法术数据!AE96</f>
        <v/>
      </c>
    </row>
    <row r="99" spans="11:12">
      <c r="K99" s="151" t="str">
        <f>法术数据!AD97</f>
        <v/>
      </c>
      <c r="L99" s="152" t="str">
        <f>法术数据!AE97</f>
        <v/>
      </c>
    </row>
    <row r="100" spans="11:12">
      <c r="K100" s="144" t="str">
        <f>法术数据!AD98</f>
        <v/>
      </c>
      <c r="L100" s="145" t="str">
        <f>法术数据!AE98</f>
        <v/>
      </c>
    </row>
    <row r="101" spans="11:12">
      <c r="K101" s="151" t="str">
        <f>法术数据!AD99</f>
        <v/>
      </c>
      <c r="L101" s="152" t="str">
        <f>法术数据!AE99</f>
        <v/>
      </c>
    </row>
    <row r="102" spans="11:12">
      <c r="K102" s="144" t="str">
        <f>法术数据!AD100</f>
        <v/>
      </c>
      <c r="L102" s="145" t="str">
        <f>法术数据!AE100</f>
        <v/>
      </c>
    </row>
    <row r="103" spans="11:12">
      <c r="K103" s="151" t="str">
        <f>法术数据!AD101</f>
        <v/>
      </c>
      <c r="L103" s="152" t="str">
        <f>法术数据!AE101</f>
        <v/>
      </c>
    </row>
    <row r="104" spans="11:12">
      <c r="K104" s="144" t="str">
        <f>法术数据!AD102</f>
        <v/>
      </c>
      <c r="L104" s="145" t="str">
        <f>法术数据!AE102</f>
        <v/>
      </c>
    </row>
    <row r="105" spans="11:12">
      <c r="K105" s="151" t="str">
        <f>法术数据!AD103</f>
        <v/>
      </c>
      <c r="L105" s="152" t="str">
        <f>法术数据!AE103</f>
        <v/>
      </c>
    </row>
    <row r="106" spans="11:12">
      <c r="K106" s="144" t="str">
        <f>法术数据!AD104</f>
        <v/>
      </c>
      <c r="L106" s="145" t="str">
        <f>法术数据!AE104</f>
        <v/>
      </c>
    </row>
    <row r="107" spans="11:12">
      <c r="K107" s="151" t="str">
        <f>法术数据!AD105</f>
        <v/>
      </c>
      <c r="L107" s="152" t="str">
        <f>法术数据!AE105</f>
        <v/>
      </c>
    </row>
    <row r="108" spans="11:12">
      <c r="K108" s="144" t="str">
        <f>法术数据!AD106</f>
        <v/>
      </c>
      <c r="L108" s="145" t="str">
        <f>法术数据!AE106</f>
        <v/>
      </c>
    </row>
    <row r="109" spans="11:12">
      <c r="K109" s="151" t="str">
        <f>法术数据!AD107</f>
        <v/>
      </c>
      <c r="L109" s="152" t="str">
        <f>法术数据!AE107</f>
        <v/>
      </c>
    </row>
    <row r="110" spans="11:12">
      <c r="K110" s="144" t="str">
        <f>法术数据!AD108</f>
        <v/>
      </c>
      <c r="L110" s="145" t="str">
        <f>法术数据!AE108</f>
        <v/>
      </c>
    </row>
    <row r="111" spans="11:12">
      <c r="K111" s="151" t="str">
        <f>法术数据!AD109</f>
        <v/>
      </c>
      <c r="L111" s="152" t="str">
        <f>法术数据!AE109</f>
        <v/>
      </c>
    </row>
    <row r="112" spans="11:12">
      <c r="K112" s="144" t="str">
        <f>法术数据!AD110</f>
        <v/>
      </c>
      <c r="L112" s="145" t="str">
        <f>法术数据!AE110</f>
        <v/>
      </c>
    </row>
    <row r="113" spans="11:12">
      <c r="K113" s="151" t="str">
        <f>法术数据!AD111</f>
        <v/>
      </c>
      <c r="L113" s="152" t="str">
        <f>法术数据!AE111</f>
        <v/>
      </c>
    </row>
    <row r="114" spans="11:12">
      <c r="K114" s="144" t="str">
        <f>法术数据!AD112</f>
        <v/>
      </c>
      <c r="L114" s="145" t="str">
        <f>法术数据!AE112</f>
        <v/>
      </c>
    </row>
    <row r="115" spans="11:12">
      <c r="K115" s="151" t="str">
        <f>法术数据!AD113</f>
        <v/>
      </c>
      <c r="L115" s="152" t="str">
        <f>法术数据!AE113</f>
        <v/>
      </c>
    </row>
    <row r="116" spans="11:12">
      <c r="K116" s="144" t="str">
        <f>法术数据!AD114</f>
        <v/>
      </c>
      <c r="L116" s="145" t="str">
        <f>法术数据!AE114</f>
        <v/>
      </c>
    </row>
    <row r="117" spans="11:12">
      <c r="K117" s="151" t="str">
        <f>法术数据!AD115</f>
        <v/>
      </c>
      <c r="L117" s="152" t="str">
        <f>法术数据!AE115</f>
        <v/>
      </c>
    </row>
    <row r="118" spans="11:12">
      <c r="K118" s="144" t="str">
        <f>法术数据!AD116</f>
        <v/>
      </c>
      <c r="L118" s="145" t="str">
        <f>法术数据!AE116</f>
        <v/>
      </c>
    </row>
    <row r="119" spans="11:12">
      <c r="K119" s="151" t="str">
        <f>法术数据!AD117</f>
        <v/>
      </c>
      <c r="L119" s="152" t="str">
        <f>法术数据!AE117</f>
        <v/>
      </c>
    </row>
    <row r="120" spans="11:12">
      <c r="K120" s="144" t="str">
        <f>法术数据!AD118</f>
        <v/>
      </c>
      <c r="L120" s="145" t="str">
        <f>法术数据!AE118</f>
        <v/>
      </c>
    </row>
    <row r="121" spans="11:12">
      <c r="K121" s="151" t="str">
        <f>法术数据!AD119</f>
        <v/>
      </c>
      <c r="L121" s="152" t="str">
        <f>法术数据!AE119</f>
        <v/>
      </c>
    </row>
    <row r="122" spans="11:12">
      <c r="K122" s="144" t="str">
        <f>法术数据!AD120</f>
        <v/>
      </c>
      <c r="L122" s="145" t="str">
        <f>法术数据!AE120</f>
        <v/>
      </c>
    </row>
    <row r="123" spans="11:12">
      <c r="K123" s="151" t="str">
        <f>法术数据!AD121</f>
        <v/>
      </c>
      <c r="L123" s="152" t="str">
        <f>法术数据!AE121</f>
        <v/>
      </c>
    </row>
    <row r="124" spans="11:12">
      <c r="K124" s="144" t="str">
        <f>法术数据!AD122</f>
        <v/>
      </c>
      <c r="L124" s="145" t="str">
        <f>法术数据!AE122</f>
        <v/>
      </c>
    </row>
    <row r="125" spans="11:12">
      <c r="K125" s="151" t="str">
        <f>法术数据!AD123</f>
        <v/>
      </c>
      <c r="L125" s="152" t="str">
        <f>法术数据!AE123</f>
        <v/>
      </c>
    </row>
    <row r="126" spans="11:12">
      <c r="K126" s="144" t="str">
        <f>法术数据!AD124</f>
        <v/>
      </c>
      <c r="L126" s="145" t="str">
        <f>法术数据!AE124</f>
        <v/>
      </c>
    </row>
    <row r="127" spans="11:12">
      <c r="K127" s="151" t="str">
        <f>法术数据!AD125</f>
        <v/>
      </c>
      <c r="L127" s="152" t="str">
        <f>法术数据!AE125</f>
        <v/>
      </c>
    </row>
    <row r="128" spans="11:12">
      <c r="K128" s="144" t="str">
        <f>法术数据!AD126</f>
        <v/>
      </c>
      <c r="L128" s="145" t="str">
        <f>法术数据!AE126</f>
        <v/>
      </c>
    </row>
    <row r="129" spans="11:12">
      <c r="K129" s="151" t="str">
        <f>法术数据!AD127</f>
        <v/>
      </c>
      <c r="L129" s="152" t="str">
        <f>法术数据!AE127</f>
        <v/>
      </c>
    </row>
    <row r="130" spans="11:12">
      <c r="K130" s="144" t="str">
        <f>法术数据!AD128</f>
        <v/>
      </c>
      <c r="L130" s="145" t="str">
        <f>法术数据!AE128</f>
        <v/>
      </c>
    </row>
    <row r="131" spans="11:12">
      <c r="K131" s="151" t="str">
        <f>法术数据!AD129</f>
        <v/>
      </c>
      <c r="L131" s="152" t="str">
        <f>法术数据!AE129</f>
        <v/>
      </c>
    </row>
    <row r="132" spans="11:12">
      <c r="K132" s="144" t="str">
        <f>法术数据!AD130</f>
        <v/>
      </c>
      <c r="L132" s="145" t="str">
        <f>法术数据!AE130</f>
        <v/>
      </c>
    </row>
    <row r="133" spans="11:12">
      <c r="K133" s="151" t="str">
        <f>法术数据!AD131</f>
        <v/>
      </c>
      <c r="L133" s="152" t="str">
        <f>法术数据!AE131</f>
        <v/>
      </c>
    </row>
    <row r="134" spans="11:12">
      <c r="K134" s="144" t="str">
        <f>法术数据!AD132</f>
        <v/>
      </c>
      <c r="L134" s="145" t="str">
        <f>法术数据!AE132</f>
        <v/>
      </c>
    </row>
    <row r="135" spans="11:12">
      <c r="K135" s="151" t="str">
        <f>法术数据!AD133</f>
        <v/>
      </c>
      <c r="L135" s="152" t="str">
        <f>法术数据!AE133</f>
        <v/>
      </c>
    </row>
    <row r="136" spans="11:12">
      <c r="K136" s="144" t="str">
        <f>法术数据!AD134</f>
        <v/>
      </c>
      <c r="L136" s="145" t="str">
        <f>法术数据!AE134</f>
        <v/>
      </c>
    </row>
    <row r="137" spans="11:12">
      <c r="K137" s="151" t="str">
        <f>法术数据!AD135</f>
        <v/>
      </c>
      <c r="L137" s="152" t="str">
        <f>法术数据!AE135</f>
        <v/>
      </c>
    </row>
    <row r="138" spans="11:12">
      <c r="K138" s="144" t="str">
        <f>法术数据!AD136</f>
        <v/>
      </c>
      <c r="L138" s="145" t="str">
        <f>法术数据!AE136</f>
        <v/>
      </c>
    </row>
    <row r="139" spans="11:12">
      <c r="K139" s="151" t="str">
        <f>法术数据!AD137</f>
        <v/>
      </c>
      <c r="L139" s="152" t="str">
        <f>法术数据!AE137</f>
        <v/>
      </c>
    </row>
    <row r="140" spans="11:12">
      <c r="K140" s="144" t="str">
        <f>法术数据!AD138</f>
        <v/>
      </c>
      <c r="L140" s="145" t="str">
        <f>法术数据!AE138</f>
        <v/>
      </c>
    </row>
    <row r="141" spans="11:12">
      <c r="K141" s="151" t="str">
        <f>法术数据!AD139</f>
        <v/>
      </c>
      <c r="L141" s="152" t="str">
        <f>法术数据!AE139</f>
        <v/>
      </c>
    </row>
    <row r="142" spans="11:12">
      <c r="K142" s="144" t="str">
        <f>法术数据!AD140</f>
        <v/>
      </c>
      <c r="L142" s="145" t="str">
        <f>法术数据!AE140</f>
        <v/>
      </c>
    </row>
    <row r="143" spans="11:12">
      <c r="K143" s="151" t="str">
        <f>法术数据!AD141</f>
        <v/>
      </c>
      <c r="L143" s="152" t="str">
        <f>法术数据!AE141</f>
        <v/>
      </c>
    </row>
    <row r="144" spans="11:12">
      <c r="K144" s="144" t="str">
        <f>法术数据!AD142</f>
        <v/>
      </c>
      <c r="L144" s="145" t="str">
        <f>法术数据!AE142</f>
        <v/>
      </c>
    </row>
    <row r="145" spans="11:12">
      <c r="K145" s="151" t="str">
        <f>法术数据!AD143</f>
        <v/>
      </c>
      <c r="L145" s="152" t="str">
        <f>法术数据!AE143</f>
        <v/>
      </c>
    </row>
    <row r="146" spans="11:12">
      <c r="K146" s="144" t="str">
        <f>法术数据!AD144</f>
        <v/>
      </c>
      <c r="L146" s="145" t="str">
        <f>法术数据!AE144</f>
        <v/>
      </c>
    </row>
    <row r="147" spans="11:12">
      <c r="K147" s="151" t="str">
        <f>法术数据!AD145</f>
        <v/>
      </c>
      <c r="L147" s="152" t="str">
        <f>法术数据!AE145</f>
        <v/>
      </c>
    </row>
    <row r="148" spans="11:12">
      <c r="K148" s="144" t="str">
        <f>法术数据!AD146</f>
        <v/>
      </c>
      <c r="L148" s="145" t="str">
        <f>法术数据!AE146</f>
        <v/>
      </c>
    </row>
    <row r="149" spans="11:12">
      <c r="K149" s="151" t="str">
        <f>法术数据!AD147</f>
        <v/>
      </c>
      <c r="L149" s="152" t="str">
        <f>法术数据!AE147</f>
        <v/>
      </c>
    </row>
    <row r="150" spans="11:12">
      <c r="K150" s="144" t="str">
        <f>法术数据!AD148</f>
        <v/>
      </c>
      <c r="L150" s="145" t="str">
        <f>法术数据!AE148</f>
        <v/>
      </c>
    </row>
    <row r="151" spans="11:12">
      <c r="K151" s="151" t="str">
        <f>法术数据!AD149</f>
        <v/>
      </c>
      <c r="L151" s="152" t="str">
        <f>法术数据!AE149</f>
        <v/>
      </c>
    </row>
    <row r="152" spans="11:12">
      <c r="K152" s="144" t="str">
        <f>法术数据!AD150</f>
        <v/>
      </c>
      <c r="L152" s="145" t="str">
        <f>法术数据!AE150</f>
        <v/>
      </c>
    </row>
    <row r="153" spans="11:12">
      <c r="K153" s="151" t="str">
        <f>法术数据!AD151</f>
        <v/>
      </c>
      <c r="L153" s="152" t="str">
        <f>法术数据!AE151</f>
        <v/>
      </c>
    </row>
    <row r="154" spans="11:12">
      <c r="K154" s="144" t="str">
        <f>法术数据!AD152</f>
        <v/>
      </c>
      <c r="L154" s="145" t="str">
        <f>法术数据!AE152</f>
        <v/>
      </c>
    </row>
    <row r="155" spans="11:12">
      <c r="K155" s="151" t="str">
        <f>法术数据!AD153</f>
        <v/>
      </c>
      <c r="L155" s="152" t="str">
        <f>法术数据!AE153</f>
        <v/>
      </c>
    </row>
    <row r="156" spans="11:12">
      <c r="K156" s="144" t="str">
        <f>法术数据!AD154</f>
        <v/>
      </c>
      <c r="L156" s="145" t="str">
        <f>法术数据!AE154</f>
        <v/>
      </c>
    </row>
    <row r="157" spans="11:12">
      <c r="K157" s="151" t="str">
        <f>法术数据!AD155</f>
        <v/>
      </c>
      <c r="L157" s="152" t="str">
        <f>法术数据!AE155</f>
        <v/>
      </c>
    </row>
    <row r="158" spans="11:12">
      <c r="K158" s="144" t="str">
        <f>法术数据!AD156</f>
        <v/>
      </c>
      <c r="L158" s="145" t="str">
        <f>法术数据!AE156</f>
        <v/>
      </c>
    </row>
    <row r="159" spans="11:12">
      <c r="K159" s="151" t="str">
        <f>法术数据!AD157</f>
        <v/>
      </c>
      <c r="L159" s="152" t="str">
        <f>法术数据!AE157</f>
        <v/>
      </c>
    </row>
    <row r="160" spans="11:12">
      <c r="K160" s="144" t="str">
        <f>法术数据!AD158</f>
        <v/>
      </c>
      <c r="L160" s="145" t="str">
        <f>法术数据!AE158</f>
        <v/>
      </c>
    </row>
    <row r="161" spans="11:12">
      <c r="K161" s="151" t="str">
        <f>法术数据!AD159</f>
        <v/>
      </c>
      <c r="L161" s="152" t="str">
        <f>法术数据!AE159</f>
        <v/>
      </c>
    </row>
    <row r="162" spans="11:12">
      <c r="K162" s="144" t="str">
        <f>法术数据!AD160</f>
        <v/>
      </c>
      <c r="L162" s="145" t="str">
        <f>法术数据!AE160</f>
        <v/>
      </c>
    </row>
    <row r="163" spans="11:12">
      <c r="K163" s="151" t="str">
        <f>法术数据!AD161</f>
        <v/>
      </c>
      <c r="L163" s="152" t="str">
        <f>法术数据!AE161</f>
        <v/>
      </c>
    </row>
    <row r="164" spans="11:12">
      <c r="K164" s="144" t="str">
        <f>法术数据!AD162</f>
        <v/>
      </c>
      <c r="L164" s="145" t="str">
        <f>法术数据!AE162</f>
        <v/>
      </c>
    </row>
    <row r="165" spans="11:12">
      <c r="K165" s="151" t="str">
        <f>法术数据!AD163</f>
        <v/>
      </c>
      <c r="L165" s="152" t="str">
        <f>法术数据!AE163</f>
        <v/>
      </c>
    </row>
    <row r="166" spans="11:12">
      <c r="K166" s="144" t="str">
        <f>法术数据!AD164</f>
        <v/>
      </c>
      <c r="L166" s="145" t="str">
        <f>法术数据!AE164</f>
        <v/>
      </c>
    </row>
    <row r="167" spans="11:12">
      <c r="K167" s="151" t="str">
        <f>法术数据!AD165</f>
        <v/>
      </c>
      <c r="L167" s="152" t="str">
        <f>法术数据!AE165</f>
        <v/>
      </c>
    </row>
    <row r="168" spans="11:12">
      <c r="K168" s="144" t="str">
        <f>法术数据!AD166</f>
        <v/>
      </c>
      <c r="L168" s="145" t="str">
        <f>法术数据!AE166</f>
        <v/>
      </c>
    </row>
    <row r="169" spans="11:12">
      <c r="K169" s="151" t="str">
        <f>法术数据!AD167</f>
        <v/>
      </c>
      <c r="L169" s="152" t="str">
        <f>法术数据!AE167</f>
        <v/>
      </c>
    </row>
    <row r="170" spans="11:12">
      <c r="K170" s="144" t="str">
        <f>法术数据!AD168</f>
        <v/>
      </c>
      <c r="L170" s="145" t="str">
        <f>法术数据!AE168</f>
        <v/>
      </c>
    </row>
    <row r="171" spans="11:12">
      <c r="K171" s="151" t="str">
        <f>法术数据!AD169</f>
        <v/>
      </c>
      <c r="L171" s="152" t="str">
        <f>法术数据!AE169</f>
        <v/>
      </c>
    </row>
    <row r="172" spans="11:12">
      <c r="K172" s="144" t="str">
        <f>法术数据!AD170</f>
        <v/>
      </c>
      <c r="L172" s="145" t="str">
        <f>法术数据!AE170</f>
        <v/>
      </c>
    </row>
    <row r="173" spans="11:12">
      <c r="K173" s="151" t="str">
        <f>法术数据!AD171</f>
        <v/>
      </c>
      <c r="L173" s="152" t="str">
        <f>法术数据!AE171</f>
        <v/>
      </c>
    </row>
    <row r="174" spans="11:12">
      <c r="K174" s="144" t="str">
        <f>法术数据!AD172</f>
        <v/>
      </c>
      <c r="L174" s="145" t="str">
        <f>法术数据!AE172</f>
        <v/>
      </c>
    </row>
    <row r="175" spans="11:12">
      <c r="K175" s="151" t="str">
        <f>法术数据!AD173</f>
        <v/>
      </c>
      <c r="L175" s="152" t="str">
        <f>法术数据!AE173</f>
        <v/>
      </c>
    </row>
    <row r="176" spans="11:12">
      <c r="K176" s="144" t="str">
        <f>法术数据!AD174</f>
        <v/>
      </c>
      <c r="L176" s="145" t="str">
        <f>法术数据!AE174</f>
        <v/>
      </c>
    </row>
    <row r="177" spans="11:12">
      <c r="K177" s="151" t="str">
        <f>法术数据!AD175</f>
        <v/>
      </c>
      <c r="L177" s="152" t="str">
        <f>法术数据!AE175</f>
        <v/>
      </c>
    </row>
    <row r="178" spans="11:12">
      <c r="K178" s="144" t="str">
        <f>法术数据!AD176</f>
        <v/>
      </c>
      <c r="L178" s="145" t="str">
        <f>法术数据!AE176</f>
        <v/>
      </c>
    </row>
    <row r="179" spans="11:12">
      <c r="K179" s="151" t="str">
        <f>法术数据!AD177</f>
        <v/>
      </c>
      <c r="L179" s="152" t="str">
        <f>法术数据!AE177</f>
        <v/>
      </c>
    </row>
    <row r="180" spans="11:12">
      <c r="K180" s="144" t="str">
        <f>法术数据!AD178</f>
        <v/>
      </c>
      <c r="L180" s="145" t="str">
        <f>法术数据!AE178</f>
        <v/>
      </c>
    </row>
    <row r="181" spans="11:12">
      <c r="K181" s="151" t="str">
        <f>法术数据!AD179</f>
        <v/>
      </c>
      <c r="L181" s="152" t="str">
        <f>法术数据!AE179</f>
        <v/>
      </c>
    </row>
    <row r="182" spans="11:12">
      <c r="K182" s="144" t="str">
        <f>法术数据!AD180</f>
        <v/>
      </c>
      <c r="L182" s="145" t="str">
        <f>法术数据!AE180</f>
        <v/>
      </c>
    </row>
    <row r="183" spans="11:12">
      <c r="K183" s="151" t="str">
        <f>法术数据!AD181</f>
        <v/>
      </c>
      <c r="L183" s="152" t="str">
        <f>法术数据!AE181</f>
        <v/>
      </c>
    </row>
    <row r="184" spans="11:12">
      <c r="K184" s="144" t="str">
        <f>法术数据!AD182</f>
        <v/>
      </c>
      <c r="L184" s="145" t="str">
        <f>法术数据!AE182</f>
        <v/>
      </c>
    </row>
    <row r="185" spans="11:12">
      <c r="K185" s="151" t="str">
        <f>法术数据!AD183</f>
        <v/>
      </c>
      <c r="L185" s="152" t="str">
        <f>法术数据!AE183</f>
        <v/>
      </c>
    </row>
    <row r="186" spans="11:12">
      <c r="K186" s="144" t="str">
        <f>法术数据!AD184</f>
        <v/>
      </c>
      <c r="L186" s="145" t="str">
        <f>法术数据!AE184</f>
        <v/>
      </c>
    </row>
    <row r="187" spans="11:12">
      <c r="K187" s="151" t="str">
        <f>法术数据!AD185</f>
        <v/>
      </c>
      <c r="L187" s="152" t="str">
        <f>法术数据!AE185</f>
        <v/>
      </c>
    </row>
    <row r="188" spans="11:12">
      <c r="K188" s="144" t="str">
        <f>法术数据!AD186</f>
        <v/>
      </c>
      <c r="L188" s="145" t="str">
        <f>法术数据!AE186</f>
        <v/>
      </c>
    </row>
    <row r="189" spans="11:12">
      <c r="K189" s="151" t="str">
        <f>法术数据!AD187</f>
        <v/>
      </c>
      <c r="L189" s="152" t="str">
        <f>法术数据!AE187</f>
        <v/>
      </c>
    </row>
    <row r="190" spans="11:12">
      <c r="K190" s="144" t="str">
        <f>法术数据!AD188</f>
        <v/>
      </c>
      <c r="L190" s="145" t="str">
        <f>法术数据!AE188</f>
        <v/>
      </c>
    </row>
    <row r="191" spans="11:12">
      <c r="K191" s="151" t="str">
        <f>法术数据!AD189</f>
        <v/>
      </c>
      <c r="L191" s="152" t="str">
        <f>法术数据!AE189</f>
        <v/>
      </c>
    </row>
    <row r="192" spans="11:12">
      <c r="K192" s="144" t="str">
        <f>法术数据!AD190</f>
        <v/>
      </c>
      <c r="L192" s="145" t="str">
        <f>法术数据!AE190</f>
        <v/>
      </c>
    </row>
    <row r="193" spans="11:12">
      <c r="K193" s="151" t="str">
        <f>法术数据!AD191</f>
        <v/>
      </c>
      <c r="L193" s="152" t="str">
        <f>法术数据!AE191</f>
        <v/>
      </c>
    </row>
    <row r="194" spans="11:12">
      <c r="K194" s="144" t="str">
        <f>法术数据!AD192</f>
        <v/>
      </c>
      <c r="L194" s="145" t="str">
        <f>法术数据!AE192</f>
        <v/>
      </c>
    </row>
    <row r="195" spans="11:12">
      <c r="K195" s="151" t="str">
        <f>法术数据!AD193</f>
        <v/>
      </c>
      <c r="L195" s="152" t="str">
        <f>法术数据!AE193</f>
        <v/>
      </c>
    </row>
    <row r="196" spans="11:12">
      <c r="K196" s="144" t="str">
        <f>法术数据!AD194</f>
        <v/>
      </c>
      <c r="L196" s="145" t="str">
        <f>法术数据!AE194</f>
        <v/>
      </c>
    </row>
    <row r="197" spans="11:12">
      <c r="K197" s="151" t="str">
        <f>法术数据!AD195</f>
        <v/>
      </c>
      <c r="L197" s="152" t="str">
        <f>法术数据!AE195</f>
        <v/>
      </c>
    </row>
    <row r="198" spans="11:12">
      <c r="K198" s="144" t="str">
        <f>法术数据!AD196</f>
        <v/>
      </c>
      <c r="L198" s="145" t="str">
        <f>法术数据!AE196</f>
        <v/>
      </c>
    </row>
    <row r="199" spans="11:12">
      <c r="K199" s="151" t="str">
        <f>法术数据!AD197</f>
        <v/>
      </c>
      <c r="L199" s="152" t="str">
        <f>法术数据!AE197</f>
        <v/>
      </c>
    </row>
    <row r="200" spans="11:12">
      <c r="K200" s="144" t="str">
        <f>法术数据!AD198</f>
        <v/>
      </c>
      <c r="L200" s="145" t="str">
        <f>法术数据!AE198</f>
        <v/>
      </c>
    </row>
    <row r="201" spans="11:12">
      <c r="K201" s="151" t="str">
        <f>法术数据!AD199</f>
        <v/>
      </c>
      <c r="L201" s="152" t="str">
        <f>法术数据!AE199</f>
        <v/>
      </c>
    </row>
    <row r="202" spans="11:12">
      <c r="K202" s="144" t="str">
        <f>法术数据!AD200</f>
        <v/>
      </c>
      <c r="L202" s="145" t="str">
        <f>法术数据!AE200</f>
        <v/>
      </c>
    </row>
    <row r="203" spans="11:12">
      <c r="K203" s="151" t="str">
        <f>法术数据!AD201</f>
        <v/>
      </c>
      <c r="L203" s="152" t="str">
        <f>法术数据!AE201</f>
        <v/>
      </c>
    </row>
    <row r="204" spans="11:12">
      <c r="K204" s="144" t="str">
        <f>法术数据!AD202</f>
        <v/>
      </c>
      <c r="L204" s="145" t="str">
        <f>法术数据!AE202</f>
        <v/>
      </c>
    </row>
    <row r="205" spans="11:12">
      <c r="K205" s="151" t="str">
        <f>法术数据!AD203</f>
        <v/>
      </c>
      <c r="L205" s="152" t="str">
        <f>法术数据!AE203</f>
        <v/>
      </c>
    </row>
    <row r="206" spans="11:12">
      <c r="K206" s="144" t="str">
        <f>法术数据!AD204</f>
        <v/>
      </c>
      <c r="L206" s="145" t="str">
        <f>法术数据!AE204</f>
        <v/>
      </c>
    </row>
    <row r="207" spans="11:12">
      <c r="K207" s="151" t="str">
        <f>法术数据!AD205</f>
        <v/>
      </c>
      <c r="L207" s="152" t="str">
        <f>法术数据!AE205</f>
        <v/>
      </c>
    </row>
    <row r="208" spans="11:12">
      <c r="K208" s="144" t="str">
        <f>法术数据!AD206</f>
        <v/>
      </c>
      <c r="L208" s="145" t="str">
        <f>法术数据!AE206</f>
        <v/>
      </c>
    </row>
    <row r="209" spans="11:12">
      <c r="K209" s="151" t="str">
        <f>法术数据!AD207</f>
        <v/>
      </c>
      <c r="L209" s="152" t="str">
        <f>法术数据!AE207</f>
        <v/>
      </c>
    </row>
    <row r="210" spans="11:12">
      <c r="K210" s="144" t="str">
        <f>法术数据!AD208</f>
        <v/>
      </c>
      <c r="L210" s="145" t="str">
        <f>法术数据!AE208</f>
        <v/>
      </c>
    </row>
    <row r="211" spans="11:12">
      <c r="K211" s="151" t="str">
        <f>法术数据!AD209</f>
        <v/>
      </c>
      <c r="L211" s="152" t="str">
        <f>法术数据!AE209</f>
        <v/>
      </c>
    </row>
    <row r="212" spans="11:12">
      <c r="K212" s="144" t="str">
        <f>法术数据!AD210</f>
        <v/>
      </c>
      <c r="L212" s="145" t="str">
        <f>法术数据!AE210</f>
        <v/>
      </c>
    </row>
    <row r="213" spans="11:12">
      <c r="K213" s="151" t="str">
        <f>法术数据!AD211</f>
        <v/>
      </c>
      <c r="L213" s="152" t="str">
        <f>法术数据!AE211</f>
        <v/>
      </c>
    </row>
    <row r="214" spans="11:12">
      <c r="K214" s="144" t="str">
        <f>法术数据!AD212</f>
        <v/>
      </c>
      <c r="L214" s="145" t="str">
        <f>法术数据!AE212</f>
        <v/>
      </c>
    </row>
    <row r="215" spans="11:12">
      <c r="K215" s="151" t="str">
        <f>法术数据!AD213</f>
        <v/>
      </c>
      <c r="L215" s="152" t="str">
        <f>法术数据!AE213</f>
        <v/>
      </c>
    </row>
    <row r="216" spans="11:12">
      <c r="K216" s="144" t="str">
        <f>法术数据!AD214</f>
        <v/>
      </c>
      <c r="L216" s="145" t="str">
        <f>法术数据!AE214</f>
        <v/>
      </c>
    </row>
    <row r="217" spans="11:12">
      <c r="K217" s="151" t="str">
        <f>法术数据!AD215</f>
        <v/>
      </c>
      <c r="L217" s="152" t="str">
        <f>法术数据!AE215</f>
        <v/>
      </c>
    </row>
    <row r="218" spans="11:12">
      <c r="K218" s="144" t="str">
        <f>法术数据!AD216</f>
        <v/>
      </c>
      <c r="L218" s="145" t="str">
        <f>法术数据!AE216</f>
        <v/>
      </c>
    </row>
    <row r="219" spans="11:12">
      <c r="K219" s="151" t="str">
        <f>法术数据!AD217</f>
        <v/>
      </c>
      <c r="L219" s="152" t="str">
        <f>法术数据!AE217</f>
        <v/>
      </c>
    </row>
    <row r="220" spans="11:12">
      <c r="K220" s="144" t="str">
        <f>法术数据!AD218</f>
        <v/>
      </c>
      <c r="L220" s="145" t="str">
        <f>法术数据!AE218</f>
        <v/>
      </c>
    </row>
    <row r="221" spans="11:12">
      <c r="K221" s="151" t="str">
        <f>法术数据!AD219</f>
        <v/>
      </c>
      <c r="L221" s="152" t="str">
        <f>法术数据!AE219</f>
        <v/>
      </c>
    </row>
    <row r="222" spans="11:12">
      <c r="K222" s="144" t="str">
        <f>法术数据!AD220</f>
        <v/>
      </c>
      <c r="L222" s="145" t="str">
        <f>法术数据!AE220</f>
        <v/>
      </c>
    </row>
    <row r="223" spans="11:12">
      <c r="K223" s="151" t="str">
        <f>法术数据!AD221</f>
        <v/>
      </c>
      <c r="L223" s="152" t="str">
        <f>法术数据!AE221</f>
        <v/>
      </c>
    </row>
    <row r="224" spans="11:12">
      <c r="K224" s="144" t="str">
        <f>法术数据!AD222</f>
        <v/>
      </c>
      <c r="L224" s="145" t="str">
        <f>法术数据!AE222</f>
        <v/>
      </c>
    </row>
    <row r="225" spans="11:12">
      <c r="K225" s="151" t="str">
        <f>法术数据!AD223</f>
        <v/>
      </c>
      <c r="L225" s="152" t="str">
        <f>法术数据!AE223</f>
        <v/>
      </c>
    </row>
    <row r="226" spans="11:12">
      <c r="K226" s="144" t="str">
        <f>法术数据!AD224</f>
        <v/>
      </c>
      <c r="L226" s="145" t="str">
        <f>法术数据!AE224</f>
        <v/>
      </c>
    </row>
    <row r="227" spans="11:12">
      <c r="K227" s="151" t="str">
        <f>法术数据!AD225</f>
        <v/>
      </c>
      <c r="L227" s="152" t="str">
        <f>法术数据!AE225</f>
        <v/>
      </c>
    </row>
    <row r="228" spans="11:12">
      <c r="K228" s="144" t="str">
        <f>法术数据!AD226</f>
        <v/>
      </c>
      <c r="L228" s="145" t="str">
        <f>法术数据!AE226</f>
        <v/>
      </c>
    </row>
    <row r="229" spans="11:12">
      <c r="K229" s="151" t="str">
        <f>法术数据!AD227</f>
        <v/>
      </c>
      <c r="L229" s="152" t="str">
        <f>法术数据!AE227</f>
        <v/>
      </c>
    </row>
    <row r="230" spans="11:12">
      <c r="K230" s="144" t="str">
        <f>法术数据!AD228</f>
        <v/>
      </c>
      <c r="L230" s="145" t="str">
        <f>法术数据!AE228</f>
        <v/>
      </c>
    </row>
    <row r="231" spans="11:12">
      <c r="K231" s="151" t="str">
        <f>法术数据!AD229</f>
        <v/>
      </c>
      <c r="L231" s="152" t="str">
        <f>法术数据!AE229</f>
        <v/>
      </c>
    </row>
    <row r="232" spans="11:12">
      <c r="K232" s="144" t="str">
        <f>法术数据!AD230</f>
        <v/>
      </c>
      <c r="L232" s="145" t="str">
        <f>法术数据!AE230</f>
        <v/>
      </c>
    </row>
    <row r="233" spans="11:12">
      <c r="K233" s="151" t="str">
        <f>法术数据!AD231</f>
        <v/>
      </c>
      <c r="L233" s="152" t="str">
        <f>法术数据!AE231</f>
        <v/>
      </c>
    </row>
    <row r="234" spans="11:12">
      <c r="K234" s="144" t="str">
        <f>法术数据!AD232</f>
        <v/>
      </c>
      <c r="L234" s="145" t="str">
        <f>法术数据!AE232</f>
        <v/>
      </c>
    </row>
    <row r="235" spans="11:12">
      <c r="K235" s="151" t="str">
        <f>法术数据!AD233</f>
        <v/>
      </c>
      <c r="L235" s="152" t="str">
        <f>法术数据!AE233</f>
        <v/>
      </c>
    </row>
    <row r="236" spans="11:12">
      <c r="K236" s="144" t="str">
        <f>法术数据!AD234</f>
        <v/>
      </c>
      <c r="L236" s="145" t="str">
        <f>法术数据!AE234</f>
        <v/>
      </c>
    </row>
    <row r="237" spans="11:12">
      <c r="K237" s="151" t="str">
        <f>法术数据!AD235</f>
        <v/>
      </c>
      <c r="L237" s="152" t="str">
        <f>法术数据!AE235</f>
        <v/>
      </c>
    </row>
    <row r="238" spans="11:12">
      <c r="K238" s="144" t="str">
        <f>法术数据!AD236</f>
        <v/>
      </c>
      <c r="L238" s="145" t="str">
        <f>法术数据!AE236</f>
        <v/>
      </c>
    </row>
    <row r="239" spans="11:12">
      <c r="K239" s="151" t="str">
        <f>法术数据!AD237</f>
        <v/>
      </c>
      <c r="L239" s="152" t="str">
        <f>法术数据!AE237</f>
        <v/>
      </c>
    </row>
    <row r="240" spans="11:12">
      <c r="K240" s="144" t="str">
        <f>法术数据!AD238</f>
        <v/>
      </c>
      <c r="L240" s="145" t="str">
        <f>法术数据!AE238</f>
        <v/>
      </c>
    </row>
    <row r="241" spans="11:12">
      <c r="K241" s="151" t="str">
        <f>法术数据!AD239</f>
        <v/>
      </c>
      <c r="L241" s="152" t="str">
        <f>法术数据!AE239</f>
        <v/>
      </c>
    </row>
    <row r="242" spans="11:12">
      <c r="K242" s="144" t="str">
        <f>法术数据!AD240</f>
        <v/>
      </c>
      <c r="L242" s="145" t="str">
        <f>法术数据!AE240</f>
        <v/>
      </c>
    </row>
    <row r="243" spans="11:12">
      <c r="K243" s="151" t="str">
        <f>法术数据!AD241</f>
        <v/>
      </c>
      <c r="L243" s="152" t="str">
        <f>法术数据!AE241</f>
        <v/>
      </c>
    </row>
    <row r="244" spans="11:12">
      <c r="K244" s="144" t="str">
        <f>法术数据!AD242</f>
        <v/>
      </c>
      <c r="L244" s="145" t="str">
        <f>法术数据!AE242</f>
        <v/>
      </c>
    </row>
    <row r="245" spans="11:12">
      <c r="K245" s="151" t="str">
        <f>法术数据!AD243</f>
        <v/>
      </c>
      <c r="L245" s="152" t="str">
        <f>法术数据!AE243</f>
        <v/>
      </c>
    </row>
    <row r="246" spans="11:12">
      <c r="K246" s="144" t="str">
        <f>法术数据!AD244</f>
        <v/>
      </c>
      <c r="L246" s="145" t="str">
        <f>法术数据!AE244</f>
        <v/>
      </c>
    </row>
    <row r="247" spans="11:12">
      <c r="K247" s="151" t="str">
        <f>法术数据!AD245</f>
        <v/>
      </c>
      <c r="L247" s="152" t="str">
        <f>法术数据!AE245</f>
        <v/>
      </c>
    </row>
    <row r="248" spans="11:12">
      <c r="K248" s="144" t="str">
        <f>法术数据!AD246</f>
        <v/>
      </c>
      <c r="L248" s="145" t="str">
        <f>法术数据!AE246</f>
        <v/>
      </c>
    </row>
    <row r="249" spans="11:12">
      <c r="K249" s="151" t="str">
        <f>法术数据!AD247</f>
        <v/>
      </c>
      <c r="L249" s="152" t="str">
        <f>法术数据!AE247</f>
        <v/>
      </c>
    </row>
    <row r="250" spans="11:12">
      <c r="K250" s="144" t="str">
        <f>法术数据!AD248</f>
        <v/>
      </c>
      <c r="L250" s="145" t="str">
        <f>法术数据!AE248</f>
        <v/>
      </c>
    </row>
    <row r="251" spans="11:12">
      <c r="K251" s="151" t="str">
        <f>法术数据!AD249</f>
        <v/>
      </c>
      <c r="L251" s="152" t="str">
        <f>法术数据!AE249</f>
        <v/>
      </c>
    </row>
    <row r="252" spans="11:12">
      <c r="K252" s="144" t="str">
        <f>法术数据!AD250</f>
        <v/>
      </c>
      <c r="L252" s="145" t="str">
        <f>法术数据!AE250</f>
        <v/>
      </c>
    </row>
    <row r="253" spans="11:12">
      <c r="K253" s="151" t="str">
        <f>法术数据!AD251</f>
        <v/>
      </c>
      <c r="L253" s="152" t="str">
        <f>法术数据!AE251</f>
        <v/>
      </c>
    </row>
    <row r="254" spans="11:12">
      <c r="K254" s="144" t="str">
        <f>法术数据!AD252</f>
        <v/>
      </c>
      <c r="L254" s="145" t="str">
        <f>法术数据!AE252</f>
        <v/>
      </c>
    </row>
    <row r="255" spans="11:12">
      <c r="K255" s="151" t="str">
        <f>法术数据!AD253</f>
        <v/>
      </c>
      <c r="L255" s="152" t="str">
        <f>法术数据!AE253</f>
        <v/>
      </c>
    </row>
    <row r="256" spans="11:12">
      <c r="K256" s="144" t="str">
        <f>法术数据!AD254</f>
        <v/>
      </c>
      <c r="L256" s="145" t="str">
        <f>法术数据!AE254</f>
        <v/>
      </c>
    </row>
    <row r="257" spans="11:12">
      <c r="K257" s="151" t="str">
        <f>法术数据!AD255</f>
        <v/>
      </c>
      <c r="L257" s="152" t="str">
        <f>法术数据!AE255</f>
        <v/>
      </c>
    </row>
    <row r="258" spans="11:12">
      <c r="K258" s="144" t="str">
        <f>法术数据!AD256</f>
        <v/>
      </c>
      <c r="L258" s="145" t="str">
        <f>法术数据!AE256</f>
        <v/>
      </c>
    </row>
    <row r="259" spans="11:12">
      <c r="K259" s="151" t="str">
        <f>法术数据!AD257</f>
        <v/>
      </c>
      <c r="L259" s="152" t="str">
        <f>法术数据!AE257</f>
        <v/>
      </c>
    </row>
    <row r="260" spans="11:12">
      <c r="K260" s="144" t="str">
        <f>法术数据!AD258</f>
        <v/>
      </c>
      <c r="L260" s="145" t="str">
        <f>法术数据!AE258</f>
        <v/>
      </c>
    </row>
    <row r="261" spans="11:12">
      <c r="K261" s="151" t="str">
        <f>法术数据!AD259</f>
        <v/>
      </c>
      <c r="L261" s="152" t="str">
        <f>法术数据!AE259</f>
        <v/>
      </c>
    </row>
    <row r="262" spans="11:12">
      <c r="K262" s="144" t="str">
        <f>法术数据!AD260</f>
        <v/>
      </c>
      <c r="L262" s="145" t="str">
        <f>法术数据!AE260</f>
        <v/>
      </c>
    </row>
    <row r="263" spans="11:12">
      <c r="K263" s="151" t="str">
        <f>法术数据!AD261</f>
        <v/>
      </c>
      <c r="L263" s="152" t="str">
        <f>法术数据!AE261</f>
        <v/>
      </c>
    </row>
    <row r="264" spans="11:12">
      <c r="K264" s="144" t="str">
        <f>法术数据!AD262</f>
        <v/>
      </c>
      <c r="L264" s="145" t="str">
        <f>法术数据!AE262</f>
        <v/>
      </c>
    </row>
    <row r="265" spans="11:12">
      <c r="K265" s="151" t="str">
        <f>法术数据!AD263</f>
        <v/>
      </c>
      <c r="L265" s="152" t="str">
        <f>法术数据!AE263</f>
        <v/>
      </c>
    </row>
    <row r="266" spans="11:12">
      <c r="K266" s="144" t="str">
        <f>法术数据!AD264</f>
        <v/>
      </c>
      <c r="L266" s="145" t="str">
        <f>法术数据!AE264</f>
        <v/>
      </c>
    </row>
    <row r="267" spans="11:12">
      <c r="K267" s="151" t="str">
        <f>法术数据!AD265</f>
        <v/>
      </c>
      <c r="L267" s="152" t="str">
        <f>法术数据!AE265</f>
        <v/>
      </c>
    </row>
    <row r="268" spans="11:12">
      <c r="K268" s="144" t="str">
        <f>法术数据!AD266</f>
        <v/>
      </c>
      <c r="L268" s="145" t="str">
        <f>法术数据!AE266</f>
        <v/>
      </c>
    </row>
    <row r="269" spans="11:12">
      <c r="K269" s="151" t="str">
        <f>法术数据!AD267</f>
        <v/>
      </c>
      <c r="L269" s="152" t="str">
        <f>法术数据!AE267</f>
        <v/>
      </c>
    </row>
    <row r="270" spans="11:12">
      <c r="K270" s="144" t="str">
        <f>法术数据!AD268</f>
        <v/>
      </c>
      <c r="L270" s="145" t="str">
        <f>法术数据!AE268</f>
        <v/>
      </c>
    </row>
    <row r="271" spans="11:12">
      <c r="K271" s="151" t="str">
        <f>法术数据!AD269</f>
        <v/>
      </c>
      <c r="L271" s="152" t="str">
        <f>法术数据!AE269</f>
        <v/>
      </c>
    </row>
    <row r="272" spans="11:12">
      <c r="K272" s="144" t="str">
        <f>法术数据!AD270</f>
        <v/>
      </c>
      <c r="L272" s="145" t="str">
        <f>法术数据!AE270</f>
        <v/>
      </c>
    </row>
    <row r="273" spans="11:12">
      <c r="K273" s="151" t="str">
        <f>法术数据!AD271</f>
        <v/>
      </c>
      <c r="L273" s="152" t="str">
        <f>法术数据!AE271</f>
        <v/>
      </c>
    </row>
    <row r="274" spans="11:12">
      <c r="K274" s="144" t="str">
        <f>法术数据!AD272</f>
        <v/>
      </c>
      <c r="L274" s="145" t="str">
        <f>法术数据!AE272</f>
        <v/>
      </c>
    </row>
    <row r="275" spans="11:12">
      <c r="K275" s="151" t="str">
        <f>法术数据!AD273</f>
        <v/>
      </c>
      <c r="L275" s="152" t="str">
        <f>法术数据!AE273</f>
        <v/>
      </c>
    </row>
    <row r="276" spans="11:12">
      <c r="K276" s="144" t="str">
        <f>法术数据!AD274</f>
        <v/>
      </c>
      <c r="L276" s="145" t="str">
        <f>法术数据!AE274</f>
        <v/>
      </c>
    </row>
    <row r="277" spans="11:12">
      <c r="K277" s="151" t="str">
        <f>法术数据!AD275</f>
        <v/>
      </c>
      <c r="L277" s="152" t="str">
        <f>法术数据!AE275</f>
        <v/>
      </c>
    </row>
    <row r="278" spans="11:12">
      <c r="K278" s="144" t="str">
        <f>法术数据!AD276</f>
        <v/>
      </c>
      <c r="L278" s="145" t="str">
        <f>法术数据!AE276</f>
        <v/>
      </c>
    </row>
    <row r="279" spans="11:12">
      <c r="K279" s="151" t="str">
        <f>法术数据!AD277</f>
        <v/>
      </c>
      <c r="L279" s="152" t="str">
        <f>法术数据!AE277</f>
        <v/>
      </c>
    </row>
    <row r="280" spans="11:12">
      <c r="K280" s="144" t="str">
        <f>法术数据!AD278</f>
        <v/>
      </c>
      <c r="L280" s="145" t="str">
        <f>法术数据!AE278</f>
        <v/>
      </c>
    </row>
    <row r="281" spans="11:12">
      <c r="K281" s="151" t="str">
        <f>法术数据!AD279</f>
        <v/>
      </c>
      <c r="L281" s="152" t="str">
        <f>法术数据!AE279</f>
        <v/>
      </c>
    </row>
    <row r="282" spans="11:12">
      <c r="K282" s="144" t="str">
        <f>法术数据!AD280</f>
        <v/>
      </c>
      <c r="L282" s="145" t="str">
        <f>法术数据!AE280</f>
        <v/>
      </c>
    </row>
    <row r="283" spans="11:12">
      <c r="K283" s="151" t="str">
        <f>法术数据!AD281</f>
        <v/>
      </c>
      <c r="L283" s="152" t="str">
        <f>法术数据!AE281</f>
        <v/>
      </c>
    </row>
    <row r="284" spans="11:12">
      <c r="K284" s="144" t="str">
        <f>法术数据!AD282</f>
        <v/>
      </c>
      <c r="L284" s="145" t="str">
        <f>法术数据!AE282</f>
        <v/>
      </c>
    </row>
    <row r="285" spans="11:12">
      <c r="K285" s="151" t="str">
        <f>法术数据!AD283</f>
        <v/>
      </c>
      <c r="L285" s="152" t="str">
        <f>法术数据!AE283</f>
        <v/>
      </c>
    </row>
    <row r="286" spans="11:12">
      <c r="K286" s="144" t="str">
        <f>法术数据!AD284</f>
        <v/>
      </c>
      <c r="L286" s="145" t="str">
        <f>法术数据!AE284</f>
        <v/>
      </c>
    </row>
    <row r="287" spans="11:12">
      <c r="K287" s="151" t="str">
        <f>法术数据!AD285</f>
        <v/>
      </c>
      <c r="L287" s="152" t="str">
        <f>法术数据!AE285</f>
        <v/>
      </c>
    </row>
    <row r="288" spans="11:12">
      <c r="K288" s="144" t="str">
        <f>法术数据!AD286</f>
        <v/>
      </c>
      <c r="L288" s="145" t="str">
        <f>法术数据!AE286</f>
        <v/>
      </c>
    </row>
    <row r="289" spans="11:12">
      <c r="K289" s="151" t="str">
        <f>法术数据!AD287</f>
        <v/>
      </c>
      <c r="L289" s="152" t="str">
        <f>法术数据!AE287</f>
        <v/>
      </c>
    </row>
    <row r="290" spans="11:12">
      <c r="K290" s="144" t="str">
        <f>法术数据!AD288</f>
        <v/>
      </c>
      <c r="L290" s="145" t="str">
        <f>法术数据!AE288</f>
        <v/>
      </c>
    </row>
    <row r="291" spans="11:12">
      <c r="K291" s="151" t="str">
        <f>法术数据!AD289</f>
        <v/>
      </c>
      <c r="L291" s="152" t="str">
        <f>法术数据!AE289</f>
        <v/>
      </c>
    </row>
    <row r="292" spans="11:12">
      <c r="K292" s="144" t="str">
        <f>法术数据!AD290</f>
        <v/>
      </c>
      <c r="L292" s="145" t="str">
        <f>法术数据!AE290</f>
        <v/>
      </c>
    </row>
    <row r="293" spans="11:12">
      <c r="K293" s="151" t="str">
        <f>法术数据!AD291</f>
        <v/>
      </c>
      <c r="L293" s="152" t="str">
        <f>法术数据!AE291</f>
        <v/>
      </c>
    </row>
    <row r="294" spans="11:12">
      <c r="K294" s="144" t="str">
        <f>法术数据!AD292</f>
        <v/>
      </c>
      <c r="L294" s="145" t="str">
        <f>法术数据!AE292</f>
        <v/>
      </c>
    </row>
    <row r="295" spans="11:12">
      <c r="K295" s="151" t="str">
        <f>法术数据!AD293</f>
        <v/>
      </c>
      <c r="L295" s="152" t="str">
        <f>法术数据!AE293</f>
        <v/>
      </c>
    </row>
    <row r="296" spans="11:12">
      <c r="K296" s="144" t="str">
        <f>法术数据!AD294</f>
        <v/>
      </c>
      <c r="L296" s="145" t="str">
        <f>法术数据!AE294</f>
        <v/>
      </c>
    </row>
    <row r="297" spans="11:12">
      <c r="K297" s="151" t="str">
        <f>法术数据!AD295</f>
        <v/>
      </c>
      <c r="L297" s="152" t="str">
        <f>法术数据!AE295</f>
        <v/>
      </c>
    </row>
    <row r="298" spans="11:12">
      <c r="K298" s="144" t="str">
        <f>法术数据!AD296</f>
        <v/>
      </c>
      <c r="L298" s="145" t="str">
        <f>法术数据!AE296</f>
        <v/>
      </c>
    </row>
    <row r="299" spans="11:12">
      <c r="K299" s="151" t="str">
        <f>法术数据!AD297</f>
        <v/>
      </c>
      <c r="L299" s="152" t="str">
        <f>法术数据!AE297</f>
        <v/>
      </c>
    </row>
    <row r="300" spans="11:12">
      <c r="K300" s="144" t="str">
        <f>法术数据!AD298</f>
        <v/>
      </c>
      <c r="L300" s="145" t="str">
        <f>法术数据!AE298</f>
        <v/>
      </c>
    </row>
    <row r="301" spans="11:12">
      <c r="K301" s="151" t="str">
        <f>法术数据!AD299</f>
        <v/>
      </c>
      <c r="L301" s="152" t="str">
        <f>法术数据!AE299</f>
        <v/>
      </c>
    </row>
    <row r="302" spans="11:12">
      <c r="K302" s="144" t="str">
        <f>法术数据!AD300</f>
        <v/>
      </c>
      <c r="L302" s="145" t="str">
        <f>法术数据!AE300</f>
        <v/>
      </c>
    </row>
    <row r="303" spans="11:12">
      <c r="K303" s="151" t="str">
        <f>法术数据!AD301</f>
        <v/>
      </c>
      <c r="L303" s="152" t="str">
        <f>法术数据!AE301</f>
        <v/>
      </c>
    </row>
    <row r="304" spans="11:12">
      <c r="K304" s="144" t="str">
        <f>法术数据!AD302</f>
        <v/>
      </c>
      <c r="L304" s="145" t="str">
        <f>法术数据!AE302</f>
        <v/>
      </c>
    </row>
    <row r="305" spans="11:12">
      <c r="K305" s="151" t="str">
        <f>法术数据!AD303</f>
        <v/>
      </c>
      <c r="L305" s="152" t="str">
        <f>法术数据!AE303</f>
        <v/>
      </c>
    </row>
    <row r="306" spans="11:12">
      <c r="K306" s="144" t="str">
        <f>法术数据!AD304</f>
        <v/>
      </c>
      <c r="L306" s="145" t="str">
        <f>法术数据!AE304</f>
        <v/>
      </c>
    </row>
    <row r="307" spans="11:12">
      <c r="K307" s="151" t="str">
        <f>法术数据!AD305</f>
        <v/>
      </c>
      <c r="L307" s="152" t="str">
        <f>法术数据!AE305</f>
        <v/>
      </c>
    </row>
    <row r="308" spans="11:12">
      <c r="K308" s="144" t="str">
        <f>法术数据!AD306</f>
        <v/>
      </c>
      <c r="L308" s="145" t="str">
        <f>法术数据!AE306</f>
        <v/>
      </c>
    </row>
    <row r="309" spans="11:12">
      <c r="K309" s="151" t="str">
        <f>法术数据!AD307</f>
        <v/>
      </c>
      <c r="L309" s="152" t="str">
        <f>法术数据!AE307</f>
        <v/>
      </c>
    </row>
    <row r="310" spans="11:12">
      <c r="K310" s="144" t="str">
        <f>法术数据!AD308</f>
        <v/>
      </c>
      <c r="L310" s="145" t="str">
        <f>法术数据!AE308</f>
        <v/>
      </c>
    </row>
    <row r="311" spans="11:12">
      <c r="K311" s="151" t="str">
        <f>法术数据!AD309</f>
        <v/>
      </c>
      <c r="L311" s="152" t="str">
        <f>法术数据!AE309</f>
        <v/>
      </c>
    </row>
    <row r="312" spans="11:12">
      <c r="K312" s="144" t="str">
        <f>法术数据!AD310</f>
        <v/>
      </c>
      <c r="L312" s="145" t="str">
        <f>法术数据!AE310</f>
        <v/>
      </c>
    </row>
    <row r="313" spans="11:12">
      <c r="K313" s="151" t="str">
        <f>法术数据!AD311</f>
        <v/>
      </c>
      <c r="L313" s="152" t="str">
        <f>法术数据!AE311</f>
        <v/>
      </c>
    </row>
    <row r="314" spans="11:12">
      <c r="K314" s="144" t="str">
        <f>法术数据!AD312</f>
        <v/>
      </c>
      <c r="L314" s="145" t="str">
        <f>法术数据!AE312</f>
        <v/>
      </c>
    </row>
    <row r="315" spans="11:12">
      <c r="K315" s="151" t="str">
        <f>法术数据!AD313</f>
        <v/>
      </c>
      <c r="L315" s="152" t="str">
        <f>法术数据!AE313</f>
        <v/>
      </c>
    </row>
    <row r="316" spans="11:12">
      <c r="K316" s="144" t="str">
        <f>法术数据!AD314</f>
        <v/>
      </c>
      <c r="L316" s="145" t="str">
        <f>法术数据!AE314</f>
        <v/>
      </c>
    </row>
    <row r="317" spans="11:12">
      <c r="K317" s="151" t="str">
        <f>法术数据!AD315</f>
        <v/>
      </c>
      <c r="L317" s="152" t="str">
        <f>法术数据!AE315</f>
        <v/>
      </c>
    </row>
    <row r="318" spans="11:12">
      <c r="K318" s="144" t="str">
        <f>法术数据!AD316</f>
        <v/>
      </c>
      <c r="L318" s="145" t="str">
        <f>法术数据!AE316</f>
        <v/>
      </c>
    </row>
    <row r="319" spans="11:12">
      <c r="K319" s="151" t="str">
        <f>法术数据!AD317</f>
        <v/>
      </c>
      <c r="L319" s="152" t="str">
        <f>法术数据!AE317</f>
        <v/>
      </c>
    </row>
    <row r="320" spans="11:12">
      <c r="K320" s="144" t="str">
        <f>法术数据!AD318</f>
        <v/>
      </c>
      <c r="L320" s="145" t="str">
        <f>法术数据!AE318</f>
        <v/>
      </c>
    </row>
    <row r="321" spans="11:12">
      <c r="K321" s="151" t="str">
        <f>法术数据!AD319</f>
        <v/>
      </c>
      <c r="L321" s="152" t="str">
        <f>法术数据!AE319</f>
        <v/>
      </c>
    </row>
    <row r="322" spans="11:12">
      <c r="K322" s="144" t="str">
        <f>法术数据!AD320</f>
        <v/>
      </c>
      <c r="L322" s="145" t="str">
        <f>法术数据!AE320</f>
        <v/>
      </c>
    </row>
    <row r="323" spans="11:12">
      <c r="K323" s="151" t="str">
        <f>法术数据!AD321</f>
        <v/>
      </c>
      <c r="L323" s="152" t="str">
        <f>法术数据!AE321</f>
        <v/>
      </c>
    </row>
    <row r="324" spans="11:12">
      <c r="K324" s="144" t="str">
        <f>法术数据!AD322</f>
        <v/>
      </c>
      <c r="L324" s="145" t="str">
        <f>法术数据!AE322</f>
        <v/>
      </c>
    </row>
    <row r="325" spans="11:12">
      <c r="K325" s="151" t="str">
        <f>法术数据!AD323</f>
        <v/>
      </c>
      <c r="L325" s="152" t="str">
        <f>法术数据!AE323</f>
        <v/>
      </c>
    </row>
    <row r="326" spans="11:12">
      <c r="K326" s="144" t="str">
        <f>法术数据!AD324</f>
        <v/>
      </c>
      <c r="L326" s="145" t="str">
        <f>法术数据!AE324</f>
        <v/>
      </c>
    </row>
    <row r="327" spans="11:12">
      <c r="K327" s="151" t="str">
        <f>法术数据!AD325</f>
        <v/>
      </c>
      <c r="L327" s="152" t="str">
        <f>法术数据!AE325</f>
        <v/>
      </c>
    </row>
    <row r="328" spans="11:12">
      <c r="K328" s="144" t="str">
        <f>法术数据!AD326</f>
        <v/>
      </c>
      <c r="L328" s="145" t="str">
        <f>法术数据!AE326</f>
        <v/>
      </c>
    </row>
    <row r="329" spans="11:12">
      <c r="K329" s="151" t="str">
        <f>法术数据!AD327</f>
        <v/>
      </c>
      <c r="L329" s="152" t="str">
        <f>法术数据!AE327</f>
        <v/>
      </c>
    </row>
    <row r="330" spans="11:12">
      <c r="K330" s="144" t="str">
        <f>法术数据!AD328</f>
        <v/>
      </c>
      <c r="L330" s="145" t="str">
        <f>法术数据!AE328</f>
        <v/>
      </c>
    </row>
    <row r="331" spans="11:12">
      <c r="K331" s="151" t="str">
        <f>法术数据!AD329</f>
        <v/>
      </c>
      <c r="L331" s="152" t="str">
        <f>法术数据!AE329</f>
        <v/>
      </c>
    </row>
    <row r="332" spans="11:12">
      <c r="K332" s="144" t="str">
        <f>法术数据!AD330</f>
        <v/>
      </c>
      <c r="L332" s="145" t="str">
        <f>法术数据!AE330</f>
        <v/>
      </c>
    </row>
    <row r="333" spans="11:12">
      <c r="K333" s="151" t="str">
        <f>法术数据!AD331</f>
        <v/>
      </c>
      <c r="L333" s="152" t="str">
        <f>法术数据!AE331</f>
        <v/>
      </c>
    </row>
    <row r="334" spans="11:12">
      <c r="K334" s="144" t="str">
        <f>法术数据!AD332</f>
        <v/>
      </c>
      <c r="L334" s="145" t="str">
        <f>法术数据!AE332</f>
        <v/>
      </c>
    </row>
    <row r="335" spans="11:12">
      <c r="K335" s="151" t="str">
        <f>法术数据!AD333</f>
        <v/>
      </c>
      <c r="L335" s="152" t="str">
        <f>法术数据!AE333</f>
        <v/>
      </c>
    </row>
    <row r="336" spans="11:12">
      <c r="K336" s="144" t="str">
        <f>法术数据!AD334</f>
        <v/>
      </c>
      <c r="L336" s="145" t="str">
        <f>法术数据!AE334</f>
        <v/>
      </c>
    </row>
    <row r="337" spans="11:12">
      <c r="K337" s="151" t="str">
        <f>法术数据!AD335</f>
        <v/>
      </c>
      <c r="L337" s="152" t="str">
        <f>法术数据!AE335</f>
        <v/>
      </c>
    </row>
    <row r="338" spans="11:12">
      <c r="K338" s="144" t="str">
        <f>法术数据!AD336</f>
        <v/>
      </c>
      <c r="L338" s="145" t="str">
        <f>法术数据!AE336</f>
        <v/>
      </c>
    </row>
    <row r="339" spans="11:12">
      <c r="K339" s="151" t="str">
        <f>法术数据!AD337</f>
        <v/>
      </c>
      <c r="L339" s="152" t="str">
        <f>法术数据!AE337</f>
        <v/>
      </c>
    </row>
    <row r="340" spans="11:12">
      <c r="K340" s="144" t="str">
        <f>法术数据!AD338</f>
        <v/>
      </c>
      <c r="L340" s="145" t="str">
        <f>法术数据!AE338</f>
        <v/>
      </c>
    </row>
    <row r="341" spans="11:12">
      <c r="K341" s="151" t="str">
        <f>法术数据!AD339</f>
        <v/>
      </c>
      <c r="L341" s="152" t="str">
        <f>法术数据!AE339</f>
        <v/>
      </c>
    </row>
    <row r="342" spans="11:12">
      <c r="K342" s="144" t="str">
        <f>法术数据!AD340</f>
        <v/>
      </c>
      <c r="L342" s="145" t="str">
        <f>法术数据!AE340</f>
        <v/>
      </c>
    </row>
    <row r="343" spans="11:12">
      <c r="K343" s="151" t="str">
        <f>法术数据!AD341</f>
        <v/>
      </c>
      <c r="L343" s="152" t="str">
        <f>法术数据!AE341</f>
        <v/>
      </c>
    </row>
    <row r="344" spans="11:12">
      <c r="K344" s="144" t="str">
        <f>法术数据!AD342</f>
        <v/>
      </c>
      <c r="L344" s="145" t="str">
        <f>法术数据!AE342</f>
        <v/>
      </c>
    </row>
    <row r="345" spans="11:12">
      <c r="K345" s="151" t="str">
        <f>法术数据!AD343</f>
        <v/>
      </c>
      <c r="L345" s="152" t="str">
        <f>法术数据!AE343</f>
        <v/>
      </c>
    </row>
    <row r="346" spans="11:12">
      <c r="K346" s="144" t="str">
        <f>法术数据!AD344</f>
        <v/>
      </c>
      <c r="L346" s="145" t="str">
        <f>法术数据!AE344</f>
        <v/>
      </c>
    </row>
    <row r="347" spans="11:12">
      <c r="K347" s="151" t="str">
        <f>法术数据!AD345</f>
        <v/>
      </c>
      <c r="L347" s="152" t="str">
        <f>法术数据!AE345</f>
        <v/>
      </c>
    </row>
    <row r="348" spans="11:12">
      <c r="K348" s="144" t="str">
        <f>法术数据!AD346</f>
        <v/>
      </c>
      <c r="L348" s="145" t="str">
        <f>法术数据!AE346</f>
        <v/>
      </c>
    </row>
    <row r="349" spans="11:12">
      <c r="K349" s="151" t="str">
        <f>法术数据!AD347</f>
        <v/>
      </c>
      <c r="L349" s="152" t="str">
        <f>法术数据!AE347</f>
        <v/>
      </c>
    </row>
    <row r="350" spans="11:12">
      <c r="K350" s="144" t="str">
        <f>法术数据!AD348</f>
        <v/>
      </c>
      <c r="L350" s="145" t="str">
        <f>法术数据!AE348</f>
        <v/>
      </c>
    </row>
    <row r="351" spans="11:12">
      <c r="K351" s="151" t="str">
        <f>法术数据!AD349</f>
        <v/>
      </c>
      <c r="L351" s="152" t="str">
        <f>法术数据!AE349</f>
        <v/>
      </c>
    </row>
    <row r="352" spans="11:12">
      <c r="K352" s="144" t="str">
        <f>法术数据!AD350</f>
        <v/>
      </c>
      <c r="L352" s="145" t="str">
        <f>法术数据!AE350</f>
        <v/>
      </c>
    </row>
    <row r="353" spans="11:12">
      <c r="K353" s="151" t="str">
        <f>法术数据!AD351</f>
        <v/>
      </c>
      <c r="L353" s="152" t="str">
        <f>法术数据!AE351</f>
        <v/>
      </c>
    </row>
    <row r="354" spans="11:12">
      <c r="K354" s="144" t="str">
        <f>法术数据!AD352</f>
        <v/>
      </c>
      <c r="L354" s="145" t="str">
        <f>法术数据!AE352</f>
        <v/>
      </c>
    </row>
    <row r="355" spans="11:12">
      <c r="K355" s="151" t="str">
        <f>法术数据!AD353</f>
        <v/>
      </c>
      <c r="L355" s="152" t="str">
        <f>法术数据!AE353</f>
        <v/>
      </c>
    </row>
    <row r="356" spans="11:12">
      <c r="K356" s="144" t="str">
        <f>法术数据!AD354</f>
        <v/>
      </c>
      <c r="L356" s="145" t="str">
        <f>法术数据!AE354</f>
        <v/>
      </c>
    </row>
    <row r="357" spans="11:12">
      <c r="K357" s="151" t="str">
        <f>法术数据!AD355</f>
        <v/>
      </c>
      <c r="L357" s="152" t="str">
        <f>法术数据!AE355</f>
        <v/>
      </c>
    </row>
    <row r="358" spans="11:12">
      <c r="K358" s="144" t="str">
        <f>法术数据!AD356</f>
        <v/>
      </c>
      <c r="L358" s="145" t="str">
        <f>法术数据!AE356</f>
        <v/>
      </c>
    </row>
    <row r="359" spans="11:12">
      <c r="K359" s="151" t="str">
        <f>法术数据!AD357</f>
        <v/>
      </c>
      <c r="L359" s="152" t="str">
        <f>法术数据!AE357</f>
        <v/>
      </c>
    </row>
    <row r="360" spans="11:12">
      <c r="K360" s="144" t="str">
        <f>法术数据!AD358</f>
        <v/>
      </c>
      <c r="L360" s="145" t="str">
        <f>法术数据!AE358</f>
        <v/>
      </c>
    </row>
    <row r="361" spans="11:12">
      <c r="K361" s="151" t="str">
        <f>法术数据!AD359</f>
        <v/>
      </c>
      <c r="L361" s="152" t="str">
        <f>法术数据!AE359</f>
        <v/>
      </c>
    </row>
    <row r="362" spans="11:12">
      <c r="K362" s="144" t="str">
        <f>法术数据!AD360</f>
        <v/>
      </c>
      <c r="L362" s="145" t="str">
        <f>法术数据!AE360</f>
        <v/>
      </c>
    </row>
    <row r="363" spans="11:12">
      <c r="K363" s="151" t="str">
        <f>法术数据!AD361</f>
        <v/>
      </c>
      <c r="L363" s="152" t="str">
        <f>法术数据!AE361</f>
        <v/>
      </c>
    </row>
    <row r="364" spans="11:12">
      <c r="K364" s="144" t="str">
        <f>法术数据!AD362</f>
        <v/>
      </c>
      <c r="L364" s="145" t="str">
        <f>法术数据!AE362</f>
        <v/>
      </c>
    </row>
    <row r="365" spans="11:12">
      <c r="K365" s="151" t="str">
        <f>法术数据!AD363</f>
        <v/>
      </c>
      <c r="L365" s="152" t="str">
        <f>法术数据!AE363</f>
        <v/>
      </c>
    </row>
    <row r="366" spans="11:12">
      <c r="K366" s="144" t="str">
        <f>法术数据!AD364</f>
        <v/>
      </c>
      <c r="L366" s="145" t="str">
        <f>法术数据!AE364</f>
        <v/>
      </c>
    </row>
    <row r="367" spans="11:12">
      <c r="K367" s="151" t="str">
        <f>法术数据!AD365</f>
        <v/>
      </c>
      <c r="L367" s="152" t="str">
        <f>法术数据!AE365</f>
        <v/>
      </c>
    </row>
    <row r="368" spans="11:12">
      <c r="K368" s="144" t="str">
        <f>法术数据!AD366</f>
        <v/>
      </c>
      <c r="L368" s="145" t="str">
        <f>法术数据!AE366</f>
        <v/>
      </c>
    </row>
    <row r="369" spans="11:12">
      <c r="K369" s="151" t="str">
        <f>法术数据!AD367</f>
        <v/>
      </c>
      <c r="L369" s="152" t="str">
        <f>法术数据!AE367</f>
        <v/>
      </c>
    </row>
    <row r="370" spans="11:12">
      <c r="K370" s="144" t="str">
        <f>法术数据!AD368</f>
        <v/>
      </c>
      <c r="L370" s="145" t="str">
        <f>法术数据!AE368</f>
        <v/>
      </c>
    </row>
    <row r="371" spans="11:12">
      <c r="K371" s="151" t="str">
        <f>法术数据!AD369</f>
        <v/>
      </c>
      <c r="L371" s="152" t="str">
        <f>法术数据!AE369</f>
        <v/>
      </c>
    </row>
    <row r="372" spans="11:12">
      <c r="K372" s="144" t="str">
        <f>法术数据!AD370</f>
        <v/>
      </c>
      <c r="L372" s="145" t="str">
        <f>法术数据!AE370</f>
        <v/>
      </c>
    </row>
    <row r="373" spans="11:12">
      <c r="K373" s="151" t="str">
        <f>法术数据!AD371</f>
        <v/>
      </c>
      <c r="L373" s="152" t="str">
        <f>法术数据!AE371</f>
        <v/>
      </c>
    </row>
    <row r="374" spans="11:12">
      <c r="K374" s="144" t="str">
        <f>法术数据!AD372</f>
        <v/>
      </c>
      <c r="L374" s="145" t="str">
        <f>法术数据!AE372</f>
        <v/>
      </c>
    </row>
    <row r="375" spans="11:12">
      <c r="K375" s="151" t="str">
        <f>法术数据!AD373</f>
        <v/>
      </c>
      <c r="L375" s="152" t="str">
        <f>法术数据!AE373</f>
        <v/>
      </c>
    </row>
    <row r="376" spans="11:12">
      <c r="K376" s="144" t="str">
        <f>法术数据!AD374</f>
        <v/>
      </c>
      <c r="L376" s="145" t="str">
        <f>法术数据!AE374</f>
        <v/>
      </c>
    </row>
    <row r="377" spans="11:12">
      <c r="K377" s="151" t="str">
        <f>法术数据!AD375</f>
        <v/>
      </c>
      <c r="L377" s="152" t="str">
        <f>法术数据!AE375</f>
        <v/>
      </c>
    </row>
    <row r="378" spans="11:12">
      <c r="K378" s="144" t="str">
        <f>法术数据!AD376</f>
        <v/>
      </c>
      <c r="L378" s="145" t="str">
        <f>法术数据!AE376</f>
        <v/>
      </c>
    </row>
    <row r="379" spans="11:12">
      <c r="K379" s="151" t="str">
        <f>法术数据!AD377</f>
        <v/>
      </c>
      <c r="L379" s="152" t="str">
        <f>法术数据!AE377</f>
        <v/>
      </c>
    </row>
    <row r="380" spans="11:12">
      <c r="K380" s="144" t="str">
        <f>法术数据!AD378</f>
        <v/>
      </c>
      <c r="L380" s="145" t="str">
        <f>法术数据!AE378</f>
        <v/>
      </c>
    </row>
    <row r="381" spans="11:12">
      <c r="K381" s="151" t="str">
        <f>法术数据!AD379</f>
        <v/>
      </c>
      <c r="L381" s="152" t="str">
        <f>法术数据!AE379</f>
        <v/>
      </c>
    </row>
    <row r="382" spans="11:12">
      <c r="K382" s="144" t="str">
        <f>法术数据!AD380</f>
        <v/>
      </c>
      <c r="L382" s="145" t="str">
        <f>法术数据!AE380</f>
        <v/>
      </c>
    </row>
    <row r="383" spans="11:12">
      <c r="K383" s="151" t="str">
        <f>法术数据!AD381</f>
        <v/>
      </c>
      <c r="L383" s="152" t="str">
        <f>法术数据!AE381</f>
        <v/>
      </c>
    </row>
    <row r="384" spans="11:12">
      <c r="K384" s="144" t="str">
        <f>法术数据!AD382</f>
        <v/>
      </c>
      <c r="L384" s="145" t="str">
        <f>法术数据!AE382</f>
        <v/>
      </c>
    </row>
    <row r="385" spans="11:12">
      <c r="K385" s="151" t="str">
        <f>法术数据!AD383</f>
        <v/>
      </c>
      <c r="L385" s="152" t="str">
        <f>法术数据!AE383</f>
        <v/>
      </c>
    </row>
    <row r="386" spans="11:12">
      <c r="K386" s="144" t="str">
        <f>法术数据!AD384</f>
        <v/>
      </c>
      <c r="L386" s="145" t="str">
        <f>法术数据!AE384</f>
        <v/>
      </c>
    </row>
    <row r="387" spans="11:12">
      <c r="K387" s="151" t="str">
        <f>法术数据!AD385</f>
        <v/>
      </c>
      <c r="L387" s="152" t="str">
        <f>法术数据!AE385</f>
        <v/>
      </c>
    </row>
    <row r="388" spans="11:12">
      <c r="K388" s="144" t="str">
        <f>法术数据!AD386</f>
        <v/>
      </c>
      <c r="L388" s="145" t="str">
        <f>法术数据!AE386</f>
        <v/>
      </c>
    </row>
    <row r="389" spans="11:12">
      <c r="K389" s="151" t="str">
        <f>法术数据!AD387</f>
        <v/>
      </c>
      <c r="L389" s="152" t="str">
        <f>法术数据!AE387</f>
        <v/>
      </c>
    </row>
    <row r="390" spans="11:12">
      <c r="K390" s="144" t="str">
        <f>法术数据!AD388</f>
        <v/>
      </c>
      <c r="L390" s="145" t="str">
        <f>法术数据!AE388</f>
        <v/>
      </c>
    </row>
    <row r="391" spans="11:12">
      <c r="K391" s="151" t="str">
        <f>法术数据!AD389</f>
        <v/>
      </c>
      <c r="L391" s="152" t="str">
        <f>法术数据!AE389</f>
        <v/>
      </c>
    </row>
    <row r="392" spans="11:12">
      <c r="K392" s="144" t="str">
        <f>法术数据!AD390</f>
        <v/>
      </c>
      <c r="L392" s="145" t="str">
        <f>法术数据!AE390</f>
        <v/>
      </c>
    </row>
    <row r="393" spans="11:12">
      <c r="K393" s="151" t="str">
        <f>法术数据!AD391</f>
        <v/>
      </c>
      <c r="L393" s="152" t="str">
        <f>法术数据!AE391</f>
        <v/>
      </c>
    </row>
    <row r="394" spans="11:12">
      <c r="K394" s="144" t="str">
        <f>法术数据!AD392</f>
        <v/>
      </c>
      <c r="L394" s="145" t="str">
        <f>法术数据!AE392</f>
        <v/>
      </c>
    </row>
    <row r="395" spans="11:12">
      <c r="K395" s="151" t="str">
        <f>法术数据!AD393</f>
        <v/>
      </c>
      <c r="L395" s="152" t="str">
        <f>法术数据!AE393</f>
        <v/>
      </c>
    </row>
    <row r="396" spans="11:12">
      <c r="K396" s="144" t="str">
        <f>法术数据!AD394</f>
        <v/>
      </c>
      <c r="L396" s="145" t="str">
        <f>法术数据!AE394</f>
        <v/>
      </c>
    </row>
    <row r="397" spans="11:12">
      <c r="K397" s="151" t="str">
        <f>法术数据!AD395</f>
        <v/>
      </c>
      <c r="L397" s="152" t="str">
        <f>法术数据!AE395</f>
        <v/>
      </c>
    </row>
    <row r="398" spans="11:12">
      <c r="K398" s="144" t="str">
        <f>法术数据!AD396</f>
        <v/>
      </c>
      <c r="L398" s="145" t="str">
        <f>法术数据!AE396</f>
        <v/>
      </c>
    </row>
    <row r="399" spans="11:12">
      <c r="K399" s="151" t="str">
        <f>法术数据!AD397</f>
        <v/>
      </c>
      <c r="L399" s="152" t="str">
        <f>法术数据!AE397</f>
        <v/>
      </c>
    </row>
    <row r="400" spans="11:12">
      <c r="K400" s="144" t="str">
        <f>法术数据!AD398</f>
        <v/>
      </c>
      <c r="L400" s="145" t="str">
        <f>法术数据!AE398</f>
        <v/>
      </c>
    </row>
    <row r="401" spans="11:12">
      <c r="K401" s="151" t="str">
        <f>法术数据!AD399</f>
        <v/>
      </c>
      <c r="L401" s="152" t="str">
        <f>法术数据!AE399</f>
        <v/>
      </c>
    </row>
    <row r="402" spans="11:12">
      <c r="K402" s="144" t="str">
        <f>法术数据!AD400</f>
        <v/>
      </c>
      <c r="L402" s="145" t="str">
        <f>法术数据!AE400</f>
        <v/>
      </c>
    </row>
    <row r="403" spans="11:12">
      <c r="K403" s="151" t="str">
        <f>法术数据!AD401</f>
        <v/>
      </c>
      <c r="L403" s="152" t="str">
        <f>法术数据!AE401</f>
        <v/>
      </c>
    </row>
    <row r="404" spans="11:12">
      <c r="K404" s="144" t="str">
        <f>法术数据!AD402</f>
        <v/>
      </c>
      <c r="L404" s="145" t="str">
        <f>法术数据!AE402</f>
        <v/>
      </c>
    </row>
    <row r="405" spans="11:12">
      <c r="K405" s="151" t="str">
        <f>法术数据!AD403</f>
        <v/>
      </c>
      <c r="L405" s="152" t="str">
        <f>法术数据!AE403</f>
        <v/>
      </c>
    </row>
    <row r="406" spans="11:12">
      <c r="K406" s="144" t="str">
        <f>法术数据!AD404</f>
        <v/>
      </c>
      <c r="L406" s="145" t="str">
        <f>法术数据!AE404</f>
        <v/>
      </c>
    </row>
    <row r="407" spans="11:12">
      <c r="K407" s="151" t="str">
        <f>法术数据!AD405</f>
        <v/>
      </c>
      <c r="L407" s="152" t="str">
        <f>法术数据!AE405</f>
        <v/>
      </c>
    </row>
    <row r="408" spans="11:12">
      <c r="K408" s="144" t="str">
        <f>法术数据!AD406</f>
        <v/>
      </c>
      <c r="L408" s="145" t="str">
        <f>法术数据!AE406</f>
        <v/>
      </c>
    </row>
    <row r="409" spans="11:12">
      <c r="K409" s="151" t="str">
        <f>法术数据!AD407</f>
        <v/>
      </c>
      <c r="L409" s="152" t="str">
        <f>法术数据!AE407</f>
        <v/>
      </c>
    </row>
    <row r="410" spans="11:12">
      <c r="K410" s="144" t="str">
        <f>法术数据!AD408</f>
        <v/>
      </c>
      <c r="L410" s="145" t="str">
        <f>法术数据!AE408</f>
        <v/>
      </c>
    </row>
    <row r="411" spans="11:12">
      <c r="K411" s="151" t="str">
        <f>法术数据!AD409</f>
        <v/>
      </c>
      <c r="L411" s="152" t="str">
        <f>法术数据!AE409</f>
        <v/>
      </c>
    </row>
    <row r="412" spans="11:12">
      <c r="K412" s="144" t="str">
        <f>法术数据!AD410</f>
        <v/>
      </c>
      <c r="L412" s="145" t="str">
        <f>法术数据!AE410</f>
        <v/>
      </c>
    </row>
    <row r="413" spans="11:12">
      <c r="K413" s="151" t="str">
        <f>法术数据!AD411</f>
        <v/>
      </c>
      <c r="L413" s="152" t="str">
        <f>法术数据!AE411</f>
        <v/>
      </c>
    </row>
    <row r="414" spans="11:12">
      <c r="K414" s="144" t="str">
        <f>法术数据!AD412</f>
        <v/>
      </c>
      <c r="L414" s="145" t="str">
        <f>法术数据!AE412</f>
        <v/>
      </c>
    </row>
    <row r="415" spans="11:12">
      <c r="K415" s="151" t="str">
        <f>法术数据!AD413</f>
        <v/>
      </c>
      <c r="L415" s="152" t="str">
        <f>法术数据!AE413</f>
        <v/>
      </c>
    </row>
    <row r="416" spans="11:12">
      <c r="K416" s="144" t="str">
        <f>法术数据!AD414</f>
        <v/>
      </c>
      <c r="L416" s="145" t="str">
        <f>法术数据!AE414</f>
        <v/>
      </c>
    </row>
    <row r="417" spans="11:12">
      <c r="K417" s="151" t="str">
        <f>法术数据!AD415</f>
        <v/>
      </c>
      <c r="L417" s="152" t="str">
        <f>法术数据!AE415</f>
        <v/>
      </c>
    </row>
    <row r="418" spans="11:12">
      <c r="K418" s="144" t="str">
        <f>法术数据!AD416</f>
        <v/>
      </c>
      <c r="L418" s="145" t="str">
        <f>法术数据!AE416</f>
        <v/>
      </c>
    </row>
    <row r="419" spans="11:12">
      <c r="K419" s="151" t="str">
        <f>法术数据!AD417</f>
        <v/>
      </c>
      <c r="L419" s="152" t="str">
        <f>法术数据!AE417</f>
        <v/>
      </c>
    </row>
    <row r="420" spans="11:12">
      <c r="K420" s="144" t="str">
        <f>法术数据!AD418</f>
        <v/>
      </c>
      <c r="L420" s="145" t="str">
        <f>法术数据!AE418</f>
        <v/>
      </c>
    </row>
    <row r="421" spans="11:12">
      <c r="K421" s="151" t="str">
        <f>法术数据!AD419</f>
        <v/>
      </c>
      <c r="L421" s="152" t="str">
        <f>法术数据!AE419</f>
        <v/>
      </c>
    </row>
    <row r="422" spans="11:12">
      <c r="K422" s="144" t="str">
        <f>法术数据!AD420</f>
        <v/>
      </c>
      <c r="L422" s="145" t="str">
        <f>法术数据!AE420</f>
        <v/>
      </c>
    </row>
    <row r="423" spans="11:12">
      <c r="K423" s="151" t="str">
        <f>法术数据!AD421</f>
        <v/>
      </c>
      <c r="L423" s="152" t="str">
        <f>法术数据!AE421</f>
        <v/>
      </c>
    </row>
    <row r="424" spans="11:12">
      <c r="K424" s="144" t="str">
        <f>法术数据!AD422</f>
        <v/>
      </c>
      <c r="L424" s="145" t="str">
        <f>法术数据!AE422</f>
        <v/>
      </c>
    </row>
    <row r="425" spans="11:12">
      <c r="K425" s="151" t="str">
        <f>法术数据!AD423</f>
        <v/>
      </c>
      <c r="L425" s="152" t="str">
        <f>法术数据!AE423</f>
        <v/>
      </c>
    </row>
    <row r="426" spans="11:12">
      <c r="K426" s="144" t="str">
        <f>法术数据!AD424</f>
        <v/>
      </c>
      <c r="L426" s="145" t="str">
        <f>法术数据!AE424</f>
        <v/>
      </c>
    </row>
    <row r="427" spans="11:12">
      <c r="K427" s="151" t="str">
        <f>法术数据!AD425</f>
        <v/>
      </c>
      <c r="L427" s="152" t="str">
        <f>法术数据!AE425</f>
        <v/>
      </c>
    </row>
    <row r="428" spans="11:12">
      <c r="K428" s="144" t="str">
        <f>法术数据!AD426</f>
        <v/>
      </c>
      <c r="L428" s="145" t="str">
        <f>法术数据!AE426</f>
        <v/>
      </c>
    </row>
    <row r="429" spans="11:12">
      <c r="K429" s="151" t="str">
        <f>法术数据!AD427</f>
        <v/>
      </c>
      <c r="L429" s="152" t="str">
        <f>法术数据!AE427</f>
        <v/>
      </c>
    </row>
    <row r="430" spans="11:12">
      <c r="K430" s="144" t="str">
        <f>法术数据!AD428</f>
        <v/>
      </c>
      <c r="L430" s="145" t="str">
        <f>法术数据!AE428</f>
        <v/>
      </c>
    </row>
    <row r="431" spans="11:12">
      <c r="K431" s="151" t="str">
        <f>法术数据!AD429</f>
        <v/>
      </c>
      <c r="L431" s="152" t="str">
        <f>法术数据!AE429</f>
        <v/>
      </c>
    </row>
    <row r="432" spans="11:12">
      <c r="K432" s="144" t="str">
        <f>法术数据!AD430</f>
        <v/>
      </c>
      <c r="L432" s="145" t="str">
        <f>法术数据!AE430</f>
        <v/>
      </c>
    </row>
    <row r="433" spans="11:12">
      <c r="K433" s="151" t="str">
        <f>法术数据!AD431</f>
        <v/>
      </c>
      <c r="L433" s="152" t="str">
        <f>法术数据!AE431</f>
        <v/>
      </c>
    </row>
    <row r="434" spans="11:12">
      <c r="K434" s="144" t="str">
        <f>法术数据!AD432</f>
        <v/>
      </c>
      <c r="L434" s="145" t="str">
        <f>法术数据!AE432</f>
        <v/>
      </c>
    </row>
    <row r="435" spans="11:12">
      <c r="K435" s="151" t="str">
        <f>法术数据!AD433</f>
        <v/>
      </c>
      <c r="L435" s="152" t="str">
        <f>法术数据!AE433</f>
        <v/>
      </c>
    </row>
    <row r="436" spans="11:12">
      <c r="K436" s="144" t="str">
        <f>法术数据!AD434</f>
        <v/>
      </c>
      <c r="L436" s="145" t="str">
        <f>法术数据!AE434</f>
        <v/>
      </c>
    </row>
    <row r="437" spans="11:12">
      <c r="K437" s="151" t="str">
        <f>法术数据!AD435</f>
        <v/>
      </c>
      <c r="L437" s="152" t="str">
        <f>法术数据!AE435</f>
        <v/>
      </c>
    </row>
    <row r="438" spans="11:12">
      <c r="K438" s="144" t="str">
        <f>法术数据!AD436</f>
        <v/>
      </c>
      <c r="L438" s="145" t="str">
        <f>法术数据!AE436</f>
        <v/>
      </c>
    </row>
    <row r="439" spans="11:12">
      <c r="K439" s="151" t="str">
        <f>法术数据!AD437</f>
        <v/>
      </c>
      <c r="L439" s="152" t="str">
        <f>法术数据!AE437</f>
        <v/>
      </c>
    </row>
    <row r="440" spans="11:12">
      <c r="K440" s="144" t="str">
        <f>法术数据!AD438</f>
        <v/>
      </c>
      <c r="L440" s="145" t="str">
        <f>法术数据!AE438</f>
        <v/>
      </c>
    </row>
    <row r="441" spans="11:12">
      <c r="K441" s="151" t="str">
        <f>法术数据!AD439</f>
        <v/>
      </c>
      <c r="L441" s="152" t="str">
        <f>法术数据!AE439</f>
        <v/>
      </c>
    </row>
    <row r="442" spans="11:12">
      <c r="K442" s="144" t="str">
        <f>法术数据!AD440</f>
        <v/>
      </c>
      <c r="L442" s="145" t="str">
        <f>法术数据!AE440</f>
        <v/>
      </c>
    </row>
    <row r="443" spans="11:12">
      <c r="K443" s="151" t="str">
        <f>法术数据!AD441</f>
        <v/>
      </c>
      <c r="L443" s="152" t="str">
        <f>法术数据!AE441</f>
        <v/>
      </c>
    </row>
    <row r="444" spans="11:12">
      <c r="K444" s="144" t="str">
        <f>法术数据!AD442</f>
        <v/>
      </c>
      <c r="L444" s="145" t="str">
        <f>法术数据!AE442</f>
        <v/>
      </c>
    </row>
    <row r="445" spans="11:12">
      <c r="K445" s="151" t="str">
        <f>法术数据!AD443</f>
        <v/>
      </c>
      <c r="L445" s="152" t="str">
        <f>法术数据!AE443</f>
        <v/>
      </c>
    </row>
    <row r="446" spans="11:12">
      <c r="K446" s="144" t="str">
        <f>法术数据!AD444</f>
        <v/>
      </c>
      <c r="L446" s="145" t="str">
        <f>法术数据!AE444</f>
        <v/>
      </c>
    </row>
    <row r="447" spans="11:12">
      <c r="K447" s="151" t="str">
        <f>法术数据!AD445</f>
        <v/>
      </c>
      <c r="L447" s="152" t="str">
        <f>法术数据!AE445</f>
        <v/>
      </c>
    </row>
    <row r="448" spans="11:12">
      <c r="K448" s="144" t="str">
        <f>法术数据!AD446</f>
        <v/>
      </c>
      <c r="L448" s="145" t="str">
        <f>法术数据!AE446</f>
        <v/>
      </c>
    </row>
    <row r="449" spans="11:12">
      <c r="K449" s="151" t="str">
        <f>法术数据!AD447</f>
        <v/>
      </c>
      <c r="L449" s="152" t="str">
        <f>法术数据!AE447</f>
        <v/>
      </c>
    </row>
    <row r="450" spans="11:12">
      <c r="K450" s="144" t="str">
        <f>法术数据!AD448</f>
        <v/>
      </c>
      <c r="L450" s="145" t="str">
        <f>法术数据!AE448</f>
        <v/>
      </c>
    </row>
    <row r="451" spans="11:12">
      <c r="K451" s="151" t="str">
        <f>法术数据!AD449</f>
        <v/>
      </c>
      <c r="L451" s="152" t="str">
        <f>法术数据!AE449</f>
        <v/>
      </c>
    </row>
    <row r="452" spans="11:12">
      <c r="K452" s="144" t="str">
        <f>法术数据!AD450</f>
        <v/>
      </c>
      <c r="L452" s="145" t="str">
        <f>法术数据!AE450</f>
        <v/>
      </c>
    </row>
    <row r="453" spans="11:12">
      <c r="K453" s="151" t="str">
        <f>法术数据!AD451</f>
        <v/>
      </c>
      <c r="L453" s="152" t="str">
        <f>法术数据!AE451</f>
        <v/>
      </c>
    </row>
    <row r="454" spans="11:12">
      <c r="K454" s="144" t="str">
        <f>法术数据!AD452</f>
        <v/>
      </c>
      <c r="L454" s="145" t="str">
        <f>法术数据!AE452</f>
        <v/>
      </c>
    </row>
    <row r="455" spans="11:12">
      <c r="K455" s="151" t="str">
        <f>法术数据!AD453</f>
        <v/>
      </c>
      <c r="L455" s="152" t="str">
        <f>法术数据!AE453</f>
        <v/>
      </c>
    </row>
    <row r="456" spans="11:12">
      <c r="K456" s="144" t="str">
        <f>法术数据!AD454</f>
        <v/>
      </c>
      <c r="L456" s="145" t="str">
        <f>法术数据!AE454</f>
        <v/>
      </c>
    </row>
    <row r="457" spans="11:12">
      <c r="K457" s="151" t="str">
        <f>法术数据!AD455</f>
        <v/>
      </c>
      <c r="L457" s="152" t="str">
        <f>法术数据!AE455</f>
        <v/>
      </c>
    </row>
    <row r="458" spans="11:12">
      <c r="K458" s="144" t="str">
        <f>法术数据!AD456</f>
        <v/>
      </c>
      <c r="L458" s="145" t="str">
        <f>法术数据!AE456</f>
        <v/>
      </c>
    </row>
    <row r="459" spans="11:12">
      <c r="K459" s="151" t="str">
        <f>法术数据!AD457</f>
        <v/>
      </c>
      <c r="L459" s="152" t="str">
        <f>法术数据!AE457</f>
        <v/>
      </c>
    </row>
    <row r="460" spans="11:12">
      <c r="K460" s="144" t="str">
        <f>法术数据!AD458</f>
        <v/>
      </c>
      <c r="L460" s="145" t="str">
        <f>法术数据!AE458</f>
        <v/>
      </c>
    </row>
    <row r="461" spans="11:12">
      <c r="K461" s="151" t="str">
        <f>法术数据!AD459</f>
        <v/>
      </c>
      <c r="L461" s="152" t="str">
        <f>法术数据!AE459</f>
        <v/>
      </c>
    </row>
    <row r="462" spans="11:12">
      <c r="K462" s="144" t="str">
        <f>法术数据!AD460</f>
        <v/>
      </c>
      <c r="L462" s="145" t="str">
        <f>法术数据!AE460</f>
        <v/>
      </c>
    </row>
    <row r="463" spans="11:12">
      <c r="K463" s="151" t="str">
        <f>法术数据!AD461</f>
        <v/>
      </c>
      <c r="L463" s="152" t="str">
        <f>法术数据!AE461</f>
        <v/>
      </c>
    </row>
    <row r="464" spans="11:12">
      <c r="K464" s="144" t="str">
        <f>法术数据!AD462</f>
        <v/>
      </c>
      <c r="L464" s="145" t="str">
        <f>法术数据!AE462</f>
        <v/>
      </c>
    </row>
    <row r="465" spans="11:12">
      <c r="K465" s="151" t="str">
        <f>法术数据!AD463</f>
        <v/>
      </c>
      <c r="L465" s="152" t="str">
        <f>法术数据!AE463</f>
        <v/>
      </c>
    </row>
    <row r="466" spans="11:12">
      <c r="K466" s="144" t="str">
        <f>法术数据!AD464</f>
        <v/>
      </c>
      <c r="L466" s="145" t="str">
        <f>法术数据!AE464</f>
        <v/>
      </c>
    </row>
    <row r="467" spans="11:12">
      <c r="K467" s="151" t="str">
        <f>法术数据!AD465</f>
        <v/>
      </c>
      <c r="L467" s="152" t="str">
        <f>法术数据!AE465</f>
        <v/>
      </c>
    </row>
    <row r="468" spans="11:12">
      <c r="K468" s="144" t="str">
        <f>法术数据!AD466</f>
        <v/>
      </c>
      <c r="L468" s="145" t="str">
        <f>法术数据!AE466</f>
        <v/>
      </c>
    </row>
    <row r="469" spans="11:12">
      <c r="K469" s="151" t="str">
        <f>法术数据!AD467</f>
        <v/>
      </c>
      <c r="L469" s="152" t="str">
        <f>法术数据!AE467</f>
        <v/>
      </c>
    </row>
    <row r="470" spans="11:12">
      <c r="K470" s="144" t="str">
        <f>法术数据!AD468</f>
        <v/>
      </c>
      <c r="L470" s="145" t="str">
        <f>法术数据!AE468</f>
        <v/>
      </c>
    </row>
    <row r="471" spans="11:12">
      <c r="K471" s="151" t="str">
        <f>法术数据!AD469</f>
        <v/>
      </c>
      <c r="L471" s="152" t="str">
        <f>法术数据!AE469</f>
        <v/>
      </c>
    </row>
    <row r="472" spans="11:12">
      <c r="K472" s="144" t="str">
        <f>法术数据!AD470</f>
        <v/>
      </c>
      <c r="L472" s="145" t="str">
        <f>法术数据!AE470</f>
        <v/>
      </c>
    </row>
    <row r="473" spans="11:12">
      <c r="K473" s="151" t="str">
        <f>法术数据!AD471</f>
        <v/>
      </c>
      <c r="L473" s="152" t="str">
        <f>法术数据!AE471</f>
        <v/>
      </c>
    </row>
    <row r="474" spans="11:12">
      <c r="K474" s="144" t="str">
        <f>法术数据!AD472</f>
        <v/>
      </c>
      <c r="L474" s="145" t="str">
        <f>法术数据!AE472</f>
        <v/>
      </c>
    </row>
    <row r="475" spans="11:12">
      <c r="K475" s="151" t="str">
        <f>法术数据!AD473</f>
        <v/>
      </c>
      <c r="L475" s="152" t="str">
        <f>法术数据!AE473</f>
        <v/>
      </c>
    </row>
    <row r="476" spans="11:12">
      <c r="K476" s="144" t="str">
        <f>法术数据!AD474</f>
        <v/>
      </c>
      <c r="L476" s="145" t="str">
        <f>法术数据!AE474</f>
        <v/>
      </c>
    </row>
    <row r="477" spans="11:12">
      <c r="K477" s="151" t="str">
        <f>法术数据!AD475</f>
        <v/>
      </c>
      <c r="L477" s="152" t="str">
        <f>法术数据!AE475</f>
        <v/>
      </c>
    </row>
    <row r="478" spans="11:12">
      <c r="K478" s="144" t="str">
        <f>法术数据!AD476</f>
        <v/>
      </c>
      <c r="L478" s="145" t="str">
        <f>法术数据!AE476</f>
        <v/>
      </c>
    </row>
    <row r="479" spans="11:12">
      <c r="K479" s="151" t="str">
        <f>法术数据!AD477</f>
        <v/>
      </c>
      <c r="L479" s="152" t="str">
        <f>法术数据!AE477</f>
        <v/>
      </c>
    </row>
    <row r="480" spans="11:12">
      <c r="K480" s="144" t="str">
        <f>法术数据!AD478</f>
        <v/>
      </c>
      <c r="L480" s="145" t="str">
        <f>法术数据!AE478</f>
        <v/>
      </c>
    </row>
    <row r="481" spans="11:12">
      <c r="K481" s="151" t="str">
        <f>法术数据!AD479</f>
        <v/>
      </c>
      <c r="L481" s="152" t="str">
        <f>法术数据!AE479</f>
        <v/>
      </c>
    </row>
    <row r="482" spans="11:12">
      <c r="K482" s="144" t="str">
        <f>法术数据!AD480</f>
        <v/>
      </c>
      <c r="L482" s="145" t="str">
        <f>法术数据!AE480</f>
        <v/>
      </c>
    </row>
    <row r="483" spans="11:12">
      <c r="K483" s="151" t="str">
        <f>法术数据!AD481</f>
        <v/>
      </c>
      <c r="L483" s="152" t="str">
        <f>法术数据!AE481</f>
        <v/>
      </c>
    </row>
    <row r="484" spans="11:12">
      <c r="K484" s="144" t="str">
        <f>法术数据!AD482</f>
        <v/>
      </c>
      <c r="L484" s="145" t="str">
        <f>法术数据!AE482</f>
        <v/>
      </c>
    </row>
    <row r="485" spans="11:12">
      <c r="K485" s="151" t="str">
        <f>法术数据!AD483</f>
        <v/>
      </c>
      <c r="L485" s="152" t="str">
        <f>法术数据!AE483</f>
        <v/>
      </c>
    </row>
    <row r="486" spans="11:12">
      <c r="K486" s="144" t="str">
        <f>法术数据!AD484</f>
        <v/>
      </c>
      <c r="L486" s="145" t="str">
        <f>法术数据!AE484</f>
        <v/>
      </c>
    </row>
    <row r="487" spans="11:12">
      <c r="K487" s="151" t="str">
        <f>法术数据!AD485</f>
        <v/>
      </c>
      <c r="L487" s="152" t="str">
        <f>法术数据!AE485</f>
        <v/>
      </c>
    </row>
    <row r="488" spans="11:12">
      <c r="K488" s="144" t="str">
        <f>法术数据!AD486</f>
        <v/>
      </c>
      <c r="L488" s="145" t="str">
        <f>法术数据!AE486</f>
        <v/>
      </c>
    </row>
    <row r="489" spans="11:12">
      <c r="K489" s="151" t="str">
        <f>法术数据!AD487</f>
        <v/>
      </c>
      <c r="L489" s="152" t="str">
        <f>法术数据!AE487</f>
        <v/>
      </c>
    </row>
    <row r="490" spans="11:12">
      <c r="K490" s="144" t="str">
        <f>法术数据!AD488</f>
        <v/>
      </c>
      <c r="L490" s="145" t="str">
        <f>法术数据!AE488</f>
        <v/>
      </c>
    </row>
    <row r="491" spans="11:12">
      <c r="K491" s="151" t="str">
        <f>法术数据!AD489</f>
        <v/>
      </c>
      <c r="L491" s="152" t="str">
        <f>法术数据!AE489</f>
        <v/>
      </c>
    </row>
    <row r="492" spans="11:12">
      <c r="K492" s="144" t="str">
        <f>法术数据!AD490</f>
        <v/>
      </c>
      <c r="L492" s="145" t="str">
        <f>法术数据!AE490</f>
        <v/>
      </c>
    </row>
    <row r="493" spans="11:12">
      <c r="K493" s="151" t="str">
        <f>法术数据!AD491</f>
        <v/>
      </c>
      <c r="L493" s="152" t="str">
        <f>法术数据!AE491</f>
        <v/>
      </c>
    </row>
    <row r="494" spans="11:12">
      <c r="K494" s="144" t="str">
        <f>法术数据!AD492</f>
        <v/>
      </c>
      <c r="L494" s="145" t="str">
        <f>法术数据!AE492</f>
        <v/>
      </c>
    </row>
    <row r="495" spans="11:12">
      <c r="K495" s="151" t="str">
        <f>法术数据!AD493</f>
        <v/>
      </c>
      <c r="L495" s="152" t="str">
        <f>法术数据!AE493</f>
        <v/>
      </c>
    </row>
    <row r="496" spans="11:12">
      <c r="K496" s="144" t="str">
        <f>法术数据!AD494</f>
        <v/>
      </c>
      <c r="L496" s="145" t="str">
        <f>法术数据!AE494</f>
        <v/>
      </c>
    </row>
    <row r="497" spans="11:12">
      <c r="K497" s="151" t="str">
        <f>法术数据!AD495</f>
        <v/>
      </c>
      <c r="L497" s="152" t="str">
        <f>法术数据!AE495</f>
        <v/>
      </c>
    </row>
    <row r="498" spans="11:12">
      <c r="K498" s="144" t="str">
        <f>法术数据!AD496</f>
        <v/>
      </c>
      <c r="L498" s="145" t="str">
        <f>法术数据!AE496</f>
        <v/>
      </c>
    </row>
    <row r="499" spans="11:12">
      <c r="K499" s="151" t="str">
        <f>法术数据!AD497</f>
        <v/>
      </c>
      <c r="L499" s="152" t="str">
        <f>法术数据!AE497</f>
        <v/>
      </c>
    </row>
    <row r="500" spans="11:12">
      <c r="K500" s="144" t="str">
        <f>法术数据!AD498</f>
        <v/>
      </c>
      <c r="L500" s="145" t="str">
        <f>法术数据!AE498</f>
        <v/>
      </c>
    </row>
    <row r="501" spans="11:12">
      <c r="K501" s="151" t="str">
        <f>法术数据!AD499</f>
        <v/>
      </c>
      <c r="L501" s="152" t="str">
        <f>法术数据!AE499</f>
        <v/>
      </c>
    </row>
    <row r="502" spans="11:12">
      <c r="K502" s="144" t="str">
        <f>法术数据!AD500</f>
        <v/>
      </c>
      <c r="L502" s="145" t="str">
        <f>法术数据!AE500</f>
        <v/>
      </c>
    </row>
    <row r="503" spans="11:12">
      <c r="K503" s="151" t="str">
        <f>法术数据!AD501</f>
        <v/>
      </c>
      <c r="L503" s="152" t="str">
        <f>法术数据!AE501</f>
        <v/>
      </c>
    </row>
    <row r="504" spans="11:12">
      <c r="K504" s="144" t="str">
        <f>法术数据!AD502</f>
        <v/>
      </c>
      <c r="L504" s="145" t="str">
        <f>法术数据!AE502</f>
        <v/>
      </c>
    </row>
    <row r="505" spans="11:12">
      <c r="K505" s="151" t="str">
        <f>法术数据!AD503</f>
        <v/>
      </c>
      <c r="L505" s="152" t="str">
        <f>法术数据!AE503</f>
        <v/>
      </c>
    </row>
    <row r="506" spans="11:12">
      <c r="K506" s="144" t="str">
        <f>法术数据!AD504</f>
        <v/>
      </c>
      <c r="L506" s="145" t="str">
        <f>法术数据!AE504</f>
        <v/>
      </c>
    </row>
    <row r="507" spans="11:12">
      <c r="K507" s="151" t="str">
        <f>法术数据!AD505</f>
        <v/>
      </c>
      <c r="L507" s="152" t="str">
        <f>法术数据!AE505</f>
        <v/>
      </c>
    </row>
    <row r="508" spans="11:12">
      <c r="K508" s="144" t="str">
        <f>法术数据!AD506</f>
        <v/>
      </c>
      <c r="L508" s="145" t="str">
        <f>法术数据!AE506</f>
        <v/>
      </c>
    </row>
    <row r="509" spans="11:12">
      <c r="K509" s="151" t="str">
        <f>法术数据!AD507</f>
        <v/>
      </c>
      <c r="L509" s="152" t="str">
        <f>法术数据!AE507</f>
        <v/>
      </c>
    </row>
    <row r="510" spans="11:12">
      <c r="K510" s="144" t="str">
        <f>法术数据!AD508</f>
        <v/>
      </c>
      <c r="L510" s="145" t="str">
        <f>法术数据!AE508</f>
        <v/>
      </c>
    </row>
    <row r="511" spans="11:12">
      <c r="K511" s="151" t="str">
        <f>法术数据!AD509</f>
        <v/>
      </c>
      <c r="L511" s="152" t="str">
        <f>法术数据!AE509</f>
        <v/>
      </c>
    </row>
    <row r="512" spans="11:12">
      <c r="K512" s="144" t="str">
        <f>法术数据!AD510</f>
        <v/>
      </c>
      <c r="L512" s="145" t="str">
        <f>法术数据!AE510</f>
        <v/>
      </c>
    </row>
    <row r="513" spans="11:12">
      <c r="K513" s="151" t="str">
        <f>法术数据!AD511</f>
        <v/>
      </c>
      <c r="L513" s="152" t="str">
        <f>法术数据!AE511</f>
        <v/>
      </c>
    </row>
    <row r="514" spans="11:12">
      <c r="K514" s="144" t="str">
        <f>法术数据!AD512</f>
        <v/>
      </c>
      <c r="L514" s="145" t="str">
        <f>法术数据!AE512</f>
        <v/>
      </c>
    </row>
    <row r="515" spans="11:12">
      <c r="K515" s="151" t="str">
        <f>法术数据!AD513</f>
        <v/>
      </c>
      <c r="L515" s="152" t="str">
        <f>法术数据!AE513</f>
        <v/>
      </c>
    </row>
    <row r="516" spans="11:12">
      <c r="K516" s="144" t="str">
        <f>法术数据!AD514</f>
        <v/>
      </c>
      <c r="L516" s="145" t="str">
        <f>法术数据!AE514</f>
        <v/>
      </c>
    </row>
    <row r="517" spans="11:12">
      <c r="K517" s="151" t="str">
        <f>法术数据!AD515</f>
        <v/>
      </c>
      <c r="L517" s="152" t="str">
        <f>法术数据!AE515</f>
        <v/>
      </c>
    </row>
    <row r="518" spans="11:12">
      <c r="K518" s="151" t="str">
        <f>法术数据!AD516</f>
        <v/>
      </c>
      <c r="L518" s="152" t="str">
        <f>法术数据!AE516</f>
        <v/>
      </c>
    </row>
    <row r="519" spans="11:12">
      <c r="K519" s="151" t="str">
        <f>法术数据!AD517</f>
        <v/>
      </c>
      <c r="L519" s="152" t="str">
        <f>法术数据!AE517</f>
        <v/>
      </c>
    </row>
    <row r="520" spans="11:12">
      <c r="K520" s="151" t="str">
        <f>法术数据!AD518</f>
        <v/>
      </c>
      <c r="L520" s="152" t="str">
        <f>法术数据!AE518</f>
        <v/>
      </c>
    </row>
    <row r="521" spans="11:12">
      <c r="K521" s="151" t="str">
        <f>法术数据!AD519</f>
        <v/>
      </c>
      <c r="L521" s="152" t="str">
        <f>法术数据!AE519</f>
        <v/>
      </c>
    </row>
    <row r="522" spans="11:12">
      <c r="K522" s="151" t="str">
        <f>法术数据!AD520</f>
        <v/>
      </c>
      <c r="L522" s="152" t="str">
        <f>法术数据!AE520</f>
        <v/>
      </c>
    </row>
    <row r="523" spans="11:12">
      <c r="K523" s="151" t="str">
        <f>法术数据!AD521</f>
        <v/>
      </c>
      <c r="L523" s="152" t="str">
        <f>法术数据!AE521</f>
        <v/>
      </c>
    </row>
    <row r="524" spans="11:12">
      <c r="K524" s="151" t="str">
        <f>法术数据!AD522</f>
        <v/>
      </c>
      <c r="L524" s="152" t="str">
        <f>法术数据!AE522</f>
        <v/>
      </c>
    </row>
  </sheetData>
  <mergeCells count="16">
    <mergeCell ref="A1:M1"/>
    <mergeCell ref="I3:J3"/>
    <mergeCell ref="K3:L3"/>
    <mergeCell ref="B5:E5"/>
    <mergeCell ref="F5:G5"/>
    <mergeCell ref="B8:E8"/>
    <mergeCell ref="F8:G8"/>
    <mergeCell ref="B9:E9"/>
    <mergeCell ref="F9:G9"/>
    <mergeCell ref="I15:J15"/>
    <mergeCell ref="N2:Q8"/>
    <mergeCell ref="N10:Q16"/>
    <mergeCell ref="B10:G14"/>
    <mergeCell ref="B15:G44"/>
    <mergeCell ref="B3:G4"/>
    <mergeCell ref="B6:G7"/>
  </mergeCells>
  <conditionalFormatting sqref="K4:L19">
    <cfRule type="containsBlanks" dxfId="26" priority="9">
      <formula>LEN(TRIM(K4))=0</formula>
    </cfRule>
  </conditionalFormatting>
  <conditionalFormatting sqref="B5:G44">
    <cfRule type="expression" dxfId="27" priority="1">
      <formula>LEN($F$5)=0</formula>
    </cfRule>
  </conditionalFormatting>
  <conditionalFormatting sqref="B6:G7">
    <cfRule type="containsText" dxfId="28" priority="3" operator="between" text="仪式">
      <formula>NOT(ISERROR(SEARCH("仪式",B6)))</formula>
    </cfRule>
  </conditionalFormatting>
  <conditionalFormatting sqref="K20:L524">
    <cfRule type="containsBlanks" dxfId="29" priority="8">
      <formula>LEN(TRIM(K20))=0</formula>
    </cfRule>
  </conditionalFormatting>
  <dataValidations count="8">
    <dataValidation type="list" allowBlank="1" showInputMessage="1" showErrorMessage="1" sqref="J4">
      <formula1>OFFSET(法术数据!$AI$48,,,SUMPRODUCT(N(LEN(法术数据!$AI$48:$AI$56)&gt;0)),)</formula1>
    </dataValidation>
    <dataValidation type="list" allowBlank="1" showInputMessage="1" showErrorMessage="1" sqref="J5">
      <formula1>OFFSET(法术数据!$AG$48,,,SUMPRODUCT(N(LEN(法术数据!$AG$48:$AG$57)&gt;0)),)</formula1>
    </dataValidation>
    <dataValidation type="list" allowBlank="1" showInputMessage="1" showErrorMessage="1" sqref="J6">
      <formula1>法术数据!$AF$13:$AF$20</formula1>
    </dataValidation>
    <dataValidation type="list" allowBlank="1" showInputMessage="1" showErrorMessage="1" sqref="J7">
      <formula1>法术数据!$AG$13:$AG$21</formula1>
    </dataValidation>
    <dataValidation type="list" allowBlank="1" showInputMessage="1" showErrorMessage="1" sqref="J8">
      <formula1>法术数据!$AH$13:$AH$46</formula1>
    </dataValidation>
    <dataValidation type="list" allowBlank="1" showInputMessage="1" showErrorMessage="1" sqref="J9">
      <formula1>法术数据!$AI$13:$AI$26</formula1>
    </dataValidation>
    <dataValidation type="list" allowBlank="1" showInputMessage="1" showErrorMessage="1" sqref="J10:J11 J16:J19">
      <formula1>法术数据!$AF$11:$AG$11</formula1>
    </dataValidation>
    <dataValidation type="list" allowBlank="1" showInputMessage="1" sqref="B3:G4">
      <formula1>OFFSET(法术数据!$AD$2,,,SUMPRODUCT(N(LEN(法术数据!$AD$2:$AD$516)&gt;1)),)</formula1>
    </dataValidation>
  </dataValidation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theme="0" tint="-0.499984740745262"/>
  </sheetPr>
  <dimension ref="B1:AD141"/>
  <sheetViews>
    <sheetView workbookViewId="0">
      <selection activeCell="H12" sqref="H12"/>
    </sheetView>
  </sheetViews>
  <sheetFormatPr defaultColWidth="9" defaultRowHeight="14.5"/>
  <cols>
    <col min="1" max="1" width="2.33636363636364" style="86" customWidth="1"/>
    <col min="2" max="2" width="7.21818181818182" style="86" customWidth="1"/>
    <col min="3" max="3" width="3.78181818181818" style="86" customWidth="1"/>
    <col min="4" max="4" width="2.33636363636364" style="86" customWidth="1"/>
    <col min="5" max="5" width="8.21818181818182" style="86" customWidth="1"/>
    <col min="6" max="6" width="2.33636363636364" style="86" customWidth="1"/>
    <col min="7" max="7" width="8.78181818181818" style="86" customWidth="1"/>
    <col min="8" max="8" width="4.33636363636364" style="86" customWidth="1"/>
    <col min="9" max="9" width="2.33636363636364" style="86" customWidth="1"/>
    <col min="10" max="10" width="4.33636363636364" style="86" customWidth="1"/>
    <col min="11" max="11" width="2.33636363636364" style="86" customWidth="1"/>
    <col min="12" max="13" width="4.33636363636364" style="86" customWidth="1"/>
    <col min="14" max="16" width="2.33636363636364" style="86" customWidth="1"/>
    <col min="17" max="17" width="20.4454545454545" style="86" customWidth="1"/>
    <col min="18" max="18" width="4.89090909090909" style="86" customWidth="1"/>
    <col min="19" max="19" width="7.89090909090909" style="87" customWidth="1"/>
    <col min="20" max="20" width="2.33636363636364" style="86" customWidth="1"/>
    <col min="21" max="30" width="3.10909090909091" style="86" customWidth="1"/>
    <col min="31" max="16384" width="8.89090909090909" style="86"/>
  </cols>
  <sheetData>
    <row r="1" ht="15" customHeight="1" spans="2:30">
      <c r="B1" s="88" t="s">
        <v>9104</v>
      </c>
      <c r="C1" s="89"/>
      <c r="D1" s="89"/>
      <c r="E1" s="90"/>
      <c r="G1" s="91" t="s">
        <v>9105</v>
      </c>
      <c r="H1" s="91"/>
      <c r="I1" s="91"/>
      <c r="J1" s="91"/>
      <c r="K1" s="91"/>
      <c r="L1" s="91"/>
      <c r="M1" s="91"/>
      <c r="N1" s="91"/>
      <c r="O1" s="91"/>
      <c r="Q1" s="88" t="s">
        <v>9106</v>
      </c>
      <c r="R1" s="89"/>
      <c r="S1" s="89"/>
      <c r="U1" s="92" t="s">
        <v>9107</v>
      </c>
      <c r="V1" s="91"/>
      <c r="W1" s="91"/>
      <c r="X1" s="91"/>
      <c r="Y1" s="91"/>
      <c r="Z1" s="91"/>
      <c r="AA1" s="91"/>
      <c r="AB1" s="91"/>
      <c r="AC1" s="91"/>
      <c r="AD1" s="91"/>
    </row>
    <row r="2" spans="2:30">
      <c r="B2" s="93" t="s">
        <v>68</v>
      </c>
      <c r="C2" s="94" t="s">
        <v>9108</v>
      </c>
      <c r="D2" s="94"/>
      <c r="E2" s="93" t="s">
        <v>9109</v>
      </c>
      <c r="G2" s="95" t="s">
        <v>172</v>
      </c>
      <c r="H2" s="96" t="s">
        <v>226</v>
      </c>
      <c r="I2" s="96" t="s">
        <v>1479</v>
      </c>
      <c r="J2" s="96"/>
      <c r="K2" s="96"/>
      <c r="L2" s="97" t="s">
        <v>9110</v>
      </c>
      <c r="M2" s="97"/>
      <c r="N2" s="98">
        <f>_xlfn.SWITCH(J13,1,4,2,6,3,14,4,17,5,27,6,32,7,38,8,44,9,57,10,64,11,73,12,73,13,83,14,83,15,94,16,94,17,107,18,114,19,123,20,133,0)</f>
        <v>6</v>
      </c>
      <c r="O2" s="98"/>
      <c r="Q2" s="97" t="s">
        <v>9111</v>
      </c>
      <c r="R2" s="99">
        <f>SUMPRODUCT(R4:R141,S4:S141)</f>
        <v>0</v>
      </c>
      <c r="S2" s="100"/>
      <c r="U2" s="101">
        <v>1</v>
      </c>
      <c r="V2" s="102" t="s">
        <v>9112</v>
      </c>
      <c r="W2" s="103"/>
      <c r="X2" s="104"/>
      <c r="Y2" s="105" t="s">
        <v>9113</v>
      </c>
      <c r="Z2" s="102"/>
      <c r="AA2" s="102" t="s">
        <v>9114</v>
      </c>
      <c r="AB2" s="106">
        <f>ROUND(U2*0.3048+X2*0.0254,2)</f>
        <v>0.3</v>
      </c>
      <c r="AC2" s="106"/>
      <c r="AD2" s="102" t="s">
        <v>9115</v>
      </c>
    </row>
    <row r="3" spans="2:30">
      <c r="B3" s="97" t="s">
        <v>76</v>
      </c>
      <c r="C3" s="104">
        <v>8</v>
      </c>
      <c r="D3" s="107"/>
      <c r="E3" s="107">
        <f>VLOOKUP(C3,综合数据!$S$2:$T$9,2,0)</f>
        <v>0</v>
      </c>
      <c r="G3" s="108" t="s">
        <v>1540</v>
      </c>
      <c r="H3" s="104">
        <v>0</v>
      </c>
      <c r="J3" s="107">
        <f>H3</f>
        <v>0</v>
      </c>
      <c r="L3" s="97" t="s">
        <v>9116</v>
      </c>
      <c r="M3" s="97"/>
      <c r="N3" s="98">
        <f>N2-M5*2-M6*3-M7*5-M8*6-M9*7-M10*9-M11*10-M12*11-M13*13</f>
        <v>6</v>
      </c>
      <c r="O3" s="98"/>
      <c r="Q3" s="109" t="s">
        <v>9117</v>
      </c>
      <c r="R3" s="110" t="s">
        <v>173</v>
      </c>
      <c r="S3" s="111" t="s">
        <v>9118</v>
      </c>
      <c r="U3" s="112">
        <v>0.3</v>
      </c>
      <c r="V3" s="112"/>
      <c r="W3" s="113" t="s">
        <v>9115</v>
      </c>
      <c r="X3" s="113" t="s">
        <v>9114</v>
      </c>
      <c r="Y3" s="106">
        <f>ROUNDDOWN(U3*3.2808399,0)+IF(U3*3.2808399-ROUNDDOWN(U3*3.2808399,0)&gt;23/24,1,0)</f>
        <v>1</v>
      </c>
      <c r="Z3" s="102" t="s">
        <v>9112</v>
      </c>
      <c r="AA3" s="102"/>
      <c r="AB3" s="106">
        <f>IF((U3*3.2808399-Y3)&lt;1/24,0,ROUND((U3*3.2808399-Y3)*12,0))</f>
        <v>0</v>
      </c>
      <c r="AC3" s="102" t="s">
        <v>9113</v>
      </c>
      <c r="AD3" s="102"/>
    </row>
    <row r="4" ht="15" customHeight="1" spans="2:30">
      <c r="B4" s="97" t="s">
        <v>78</v>
      </c>
      <c r="C4" s="104">
        <v>8</v>
      </c>
      <c r="D4" s="107"/>
      <c r="E4" s="107">
        <f>VLOOKUP(C4,综合数据!$S$2:$T$9,2,0)</f>
        <v>0</v>
      </c>
      <c r="G4" s="108" t="s">
        <v>1570</v>
      </c>
      <c r="H4" s="104">
        <v>0</v>
      </c>
      <c r="J4" s="107">
        <f>H4</f>
        <v>0</v>
      </c>
      <c r="L4" s="96" t="s">
        <v>9119</v>
      </c>
      <c r="M4" s="96" t="s">
        <v>9120</v>
      </c>
      <c r="N4" s="96"/>
      <c r="Q4" s="114"/>
      <c r="R4" s="114"/>
      <c r="S4" s="115" t="str">
        <f>IFERROR(VLOOKUP(Q4,装备数据!S:W,2,0),"")</f>
        <v/>
      </c>
    </row>
    <row r="5" ht="15" customHeight="1" spans="2:30">
      <c r="B5" s="97" t="s">
        <v>79</v>
      </c>
      <c r="C5" s="104">
        <v>8</v>
      </c>
      <c r="D5" s="107"/>
      <c r="E5" s="107">
        <f>VLOOKUP(C5,综合数据!$S$2:$T$9,2,0)</f>
        <v>0</v>
      </c>
      <c r="G5" s="108" t="s">
        <v>1600</v>
      </c>
      <c r="H5" s="104">
        <v>0</v>
      </c>
      <c r="J5" s="107">
        <f>H5</f>
        <v>0</v>
      </c>
      <c r="L5" s="97" t="s">
        <v>9121</v>
      </c>
      <c r="M5" s="116">
        <v>0</v>
      </c>
      <c r="N5" s="116"/>
      <c r="O5" s="86">
        <f>IF(J13&gt;=1,N2/2,0)</f>
        <v>3</v>
      </c>
      <c r="Q5" s="117"/>
      <c r="R5" s="117"/>
      <c r="S5" s="118" t="str">
        <f>IFERROR(VLOOKUP(Q5,装备数据!S:W,2,0),"")</f>
        <v/>
      </c>
      <c r="U5" s="119">
        <v>1</v>
      </c>
      <c r="V5" s="120"/>
      <c r="W5" s="102" t="s">
        <v>9122</v>
      </c>
      <c r="X5" s="102" t="s">
        <v>9114</v>
      </c>
      <c r="Y5" s="106">
        <f>ROUND(U5*0.45359237,1)</f>
        <v>0.5</v>
      </c>
      <c r="Z5" s="106"/>
      <c r="AA5" s="102" t="s">
        <v>9123</v>
      </c>
      <c r="AB5" s="102"/>
      <c r="AC5" s="113"/>
    </row>
    <row r="6" ht="15" customHeight="1" spans="2:30">
      <c r="B6" s="97" t="s">
        <v>80</v>
      </c>
      <c r="C6" s="104">
        <v>8</v>
      </c>
      <c r="D6" s="107"/>
      <c r="E6" s="107">
        <f>VLOOKUP(C6,综合数据!$S$2:$T$9,2,0)</f>
        <v>0</v>
      </c>
      <c r="G6" s="108" t="s">
        <v>1634</v>
      </c>
      <c r="H6" s="104">
        <v>0</v>
      </c>
      <c r="J6" s="107">
        <f>IF(H6&gt;=3,IF(SUM(H3:H5)+ROUNDDOWN(H7/2,)+ROUNDDOWN(H8/2,)+IF(H9&lt;3,0,1)+H10+SUM(H11:H12)=0,ROUNDUP(H6/3,),ROUNDDOWN(H6/3,)),0)</f>
        <v>0</v>
      </c>
      <c r="L6" s="97" t="s">
        <v>9124</v>
      </c>
      <c r="M6" s="116">
        <v>0</v>
      </c>
      <c r="N6" s="116"/>
      <c r="O6" s="86">
        <f>IF(J13&gt;=3,N2/3,0)</f>
        <v>0</v>
      </c>
      <c r="Q6" s="117"/>
      <c r="R6" s="117"/>
      <c r="S6" s="118" t="str">
        <f>IFERROR(VLOOKUP(Q6,装备数据!S:W,2,0),"")</f>
        <v/>
      </c>
      <c r="U6" s="119">
        <v>1</v>
      </c>
      <c r="V6" s="120"/>
      <c r="W6" s="105" t="s">
        <v>9123</v>
      </c>
      <c r="X6" s="102"/>
      <c r="Y6" s="102" t="s">
        <v>9114</v>
      </c>
      <c r="Z6" s="106">
        <f>ROUND(U6*2.2046226,0)</f>
        <v>2</v>
      </c>
      <c r="AA6" s="106"/>
      <c r="AB6" s="113" t="s">
        <v>9122</v>
      </c>
    </row>
    <row r="7" ht="15" customHeight="1" spans="2:30">
      <c r="B7" s="97" t="s">
        <v>81</v>
      </c>
      <c r="C7" s="104">
        <v>8</v>
      </c>
      <c r="D7" s="107"/>
      <c r="E7" s="107">
        <f>VLOOKUP(C7,综合数据!$S$2:$T$9,2,0)</f>
        <v>0</v>
      </c>
      <c r="G7" s="108" t="s">
        <v>1683</v>
      </c>
      <c r="H7" s="104">
        <v>0</v>
      </c>
      <c r="J7" s="107">
        <f>IF(H7&gt;=2,IF(SUM(H3:H5)+IF(H6&lt;3,0,1)+ROUNDDOWN(H8/2,)+IF(H9&lt;3,0,1)+H10+SUM(H11:H12)=0,ROUNDUP(H7/2,),ROUNDDOWN(H7/2,)),0)</f>
        <v>0</v>
      </c>
      <c r="L7" s="97" t="s">
        <v>9125</v>
      </c>
      <c r="M7" s="116">
        <v>0</v>
      </c>
      <c r="N7" s="116"/>
      <c r="O7" s="86">
        <f>IF(J13&gt;=5,N2/5,0)</f>
        <v>0</v>
      </c>
      <c r="Q7" s="117"/>
      <c r="R7" s="117"/>
      <c r="S7" s="118" t="str">
        <f>IFERROR(VLOOKUP(Q7,装备数据!S:W,2,0),"")</f>
        <v/>
      </c>
    </row>
    <row r="8" ht="15" customHeight="1" spans="2:30">
      <c r="B8" s="97" t="s">
        <v>82</v>
      </c>
      <c r="C8" s="104">
        <v>8</v>
      </c>
      <c r="D8" s="107"/>
      <c r="E8" s="107">
        <f>VLOOKUP(C8,综合数据!$S$2:$T$9,2,0)</f>
        <v>0</v>
      </c>
      <c r="G8" s="108" t="s">
        <v>1692</v>
      </c>
      <c r="H8" s="104">
        <v>0</v>
      </c>
      <c r="J8" s="107">
        <f>IF(H8&gt;=2,IF(SUM(H3:H5)+IF(H6=0,0,1)+ROUNDDOWN(H7/2,)+IF(H9=0,0,1)+H10+SUM(H11:H12)=0,ROUNDUP(H8/2,),ROUNDDOWN(H8/2,)),0)</f>
        <v>0</v>
      </c>
      <c r="L8" s="97" t="s">
        <v>9126</v>
      </c>
      <c r="M8" s="116">
        <v>0</v>
      </c>
      <c r="N8" s="116"/>
      <c r="O8" s="86">
        <f>IF(J13&gt;=7,N2/6,0)</f>
        <v>0</v>
      </c>
      <c r="Q8" s="117"/>
      <c r="R8" s="117"/>
      <c r="S8" s="118" t="str">
        <f>IFERROR(VLOOKUP(Q8,装备数据!S:W,2,0),"")</f>
        <v/>
      </c>
    </row>
    <row r="9" ht="15" customHeight="1" spans="2:30">
      <c r="B9" s="121" t="s">
        <v>9127</v>
      </c>
      <c r="C9" s="122"/>
      <c r="D9" s="123"/>
      <c r="E9" s="107">
        <f>SUM(E3:E8)</f>
        <v>0</v>
      </c>
      <c r="G9" s="108" t="s">
        <v>1704</v>
      </c>
      <c r="H9" s="104">
        <v>0</v>
      </c>
      <c r="J9" s="107">
        <f>IF(H9&gt;=3,IF(SUM(H3:H5)+IF(H6=0,0,1)+ROUNDDOWN(H7/2,)+ROUNDDOWN(H8/2,)+H10+SUM(H11:H12)=0,ROUNDUP(H9/3,),ROUNDDOWN(H9/3,)),0)</f>
        <v>0</v>
      </c>
      <c r="L9" s="97" t="s">
        <v>9128</v>
      </c>
      <c r="M9" s="116">
        <v>0</v>
      </c>
      <c r="N9" s="116"/>
      <c r="O9" s="86">
        <f>IF(J13&gt;=9,N2/7,0)</f>
        <v>0</v>
      </c>
      <c r="Q9" s="117"/>
      <c r="R9" s="117"/>
      <c r="S9" s="118" t="str">
        <f>IFERROR(VLOOKUP(Q9,装备数据!S:W,2,0),"")</f>
        <v/>
      </c>
    </row>
    <row r="10" ht="15" customHeight="1" spans="2:30">
      <c r="G10" s="108" t="s">
        <v>1711</v>
      </c>
      <c r="H10" s="104">
        <v>0</v>
      </c>
      <c r="J10" s="107">
        <f>H10</f>
        <v>0</v>
      </c>
      <c r="L10" s="97" t="s">
        <v>9129</v>
      </c>
      <c r="M10" s="116">
        <v>0</v>
      </c>
      <c r="N10" s="116"/>
      <c r="O10" s="86">
        <f>IF(J13&gt;=11,1,0)</f>
        <v>0</v>
      </c>
      <c r="Q10" s="117"/>
      <c r="R10" s="117"/>
      <c r="S10" s="118" t="str">
        <f>IFERROR(VLOOKUP(Q10,装备数据!S:W,2,0),"")</f>
        <v/>
      </c>
    </row>
    <row r="11" ht="15" customHeight="1" spans="2:30">
      <c r="G11" s="108" t="s">
        <v>1725</v>
      </c>
      <c r="H11" s="104">
        <v>0</v>
      </c>
      <c r="J11" s="107">
        <f>H11</f>
        <v>0</v>
      </c>
      <c r="L11" s="97" t="s">
        <v>9130</v>
      </c>
      <c r="M11" s="116">
        <v>0</v>
      </c>
      <c r="N11" s="116"/>
      <c r="O11" s="86">
        <f>IF(J13&gt;=13,1,0)</f>
        <v>0</v>
      </c>
      <c r="Q11" s="117"/>
      <c r="R11" s="117"/>
      <c r="S11" s="118" t="str">
        <f>IFERROR(VLOOKUP(Q11,装备数据!S:W,2,0),"")</f>
        <v/>
      </c>
    </row>
    <row r="12" ht="15" customHeight="1" spans="2:30">
      <c r="G12" s="108" t="s">
        <v>39</v>
      </c>
      <c r="H12" s="104">
        <v>3</v>
      </c>
      <c r="J12" s="107">
        <f>ROUNDUP(H12/2,)</f>
        <v>2</v>
      </c>
      <c r="L12" s="97" t="s">
        <v>9131</v>
      </c>
      <c r="M12" s="116">
        <v>0</v>
      </c>
      <c r="N12" s="116"/>
      <c r="O12" s="86">
        <f>IF(J13&gt;=15,1,0)</f>
        <v>0</v>
      </c>
      <c r="Q12" s="117"/>
      <c r="R12" s="117"/>
      <c r="S12" s="118" t="str">
        <f>IFERROR(VLOOKUP(Q12,装备数据!S:W,2,0),"")</f>
        <v/>
      </c>
    </row>
    <row r="13" ht="15" customHeight="1" spans="2:30">
      <c r="G13" s="124" t="s">
        <v>9132</v>
      </c>
      <c r="H13" s="125"/>
      <c r="I13" s="125"/>
      <c r="J13" s="107">
        <f>SUM(J3:J12)</f>
        <v>2</v>
      </c>
      <c r="L13" s="97" t="s">
        <v>9133</v>
      </c>
      <c r="M13" s="116">
        <v>0</v>
      </c>
      <c r="N13" s="116"/>
      <c r="O13" s="86">
        <f>IF(J13&gt;=17,1,0)</f>
        <v>0</v>
      </c>
      <c r="Q13" s="117"/>
      <c r="R13" s="117"/>
      <c r="S13" s="118" t="str">
        <f>IFERROR(VLOOKUP(Q13,装备数据!S:W,2,0),"")</f>
        <v/>
      </c>
    </row>
    <row r="14" spans="2:30">
      <c r="Q14" s="117"/>
      <c r="R14" s="117"/>
      <c r="S14" s="118" t="str">
        <f>IFERROR(VLOOKUP(Q14,装备数据!S:W,2,0),"")</f>
        <v/>
      </c>
    </row>
    <row r="15" spans="2:30">
      <c r="Q15" s="117"/>
      <c r="R15" s="117"/>
      <c r="S15" s="118" t="str">
        <f>IFERROR(VLOOKUP(Q15,装备数据!S:W,2,0),"")</f>
        <v/>
      </c>
    </row>
    <row r="16" spans="2:30">
      <c r="Q16" s="117"/>
      <c r="R16" s="117"/>
      <c r="S16" s="118" t="str">
        <f>IFERROR(VLOOKUP(Q16,装备数据!S:W,2,0),"")</f>
        <v/>
      </c>
    </row>
    <row r="17" spans="17:19">
      <c r="Q17" s="117"/>
      <c r="R17" s="117"/>
      <c r="S17" s="118" t="str">
        <f>IFERROR(VLOOKUP(Q17,装备数据!S:W,2,0),"")</f>
        <v/>
      </c>
    </row>
    <row r="18" spans="17:19">
      <c r="Q18" s="117"/>
      <c r="R18" s="117"/>
      <c r="S18" s="118" t="str">
        <f>IFERROR(VLOOKUP(Q18,装备数据!S:W,2,0),"")</f>
        <v/>
      </c>
    </row>
    <row r="19" spans="17:19">
      <c r="Q19" s="117"/>
      <c r="R19" s="117"/>
      <c r="S19" s="118" t="str">
        <f>IFERROR(VLOOKUP(Q19,装备数据!S:W,2,0),"")</f>
        <v/>
      </c>
    </row>
    <row r="20" spans="17:19">
      <c r="Q20" s="117"/>
      <c r="R20" s="117"/>
      <c r="S20" s="118" t="str">
        <f>IFERROR(VLOOKUP(Q20,装备数据!S:W,2,0),"")</f>
        <v/>
      </c>
    </row>
    <row r="21" spans="17:19">
      <c r="Q21" s="117"/>
      <c r="R21" s="117"/>
      <c r="S21" s="118" t="str">
        <f>IFERROR(VLOOKUP(Q21,装备数据!S:W,2,0),"")</f>
        <v/>
      </c>
    </row>
    <row r="22" spans="17:19">
      <c r="Q22" s="117"/>
      <c r="R22" s="117"/>
      <c r="S22" s="118" t="str">
        <f>IFERROR(VLOOKUP(Q22,装备数据!S:W,2,0),"")</f>
        <v/>
      </c>
    </row>
    <row r="23" spans="17:19">
      <c r="Q23" s="117"/>
      <c r="R23" s="117"/>
      <c r="S23" s="118" t="str">
        <f>IFERROR(VLOOKUP(Q23,装备数据!S:W,2,0),"")</f>
        <v/>
      </c>
    </row>
    <row r="24" spans="17:19">
      <c r="Q24" s="117"/>
      <c r="R24" s="117"/>
      <c r="S24" s="118" t="str">
        <f>IFERROR(VLOOKUP(Q24,装备数据!S:W,2,0),"")</f>
        <v/>
      </c>
    </row>
    <row r="25" spans="17:19">
      <c r="Q25" s="117"/>
      <c r="R25" s="117"/>
      <c r="S25" s="118" t="str">
        <f>IFERROR(VLOOKUP(Q25,装备数据!S:W,2,0),"")</f>
        <v/>
      </c>
    </row>
    <row r="26" spans="17:19">
      <c r="Q26" s="117"/>
      <c r="R26" s="117"/>
      <c r="S26" s="118" t="str">
        <f>IFERROR(VLOOKUP(Q26,装备数据!S:W,2,0),"")</f>
        <v/>
      </c>
    </row>
    <row r="27" spans="17:19">
      <c r="Q27" s="117"/>
      <c r="R27" s="117"/>
      <c r="S27" s="118" t="str">
        <f>IFERROR(VLOOKUP(Q27,装备数据!S:W,2,0),"")</f>
        <v/>
      </c>
    </row>
    <row r="28" spans="17:19">
      <c r="Q28" s="117"/>
      <c r="R28" s="117"/>
      <c r="S28" s="118" t="str">
        <f>IFERROR(VLOOKUP(Q28,装备数据!S:W,2,0),"")</f>
        <v/>
      </c>
    </row>
    <row r="29" spans="17:19">
      <c r="Q29" s="117"/>
      <c r="R29" s="117"/>
      <c r="S29" s="118" t="str">
        <f>IFERROR(VLOOKUP(Q29,装备数据!S:W,2,0),"")</f>
        <v/>
      </c>
    </row>
    <row r="30" spans="17:19">
      <c r="Q30" s="117"/>
      <c r="R30" s="117"/>
      <c r="S30" s="118" t="str">
        <f>IFERROR(VLOOKUP(Q30,装备数据!S:W,2,0),"")</f>
        <v/>
      </c>
    </row>
    <row r="31" spans="17:19">
      <c r="Q31" s="117"/>
      <c r="R31" s="117"/>
      <c r="S31" s="118" t="str">
        <f>IFERROR(VLOOKUP(Q31,装备数据!S:W,2,0),"")</f>
        <v/>
      </c>
    </row>
    <row r="32" spans="17:19">
      <c r="Q32" s="117"/>
      <c r="R32" s="117"/>
      <c r="S32" s="118" t="str">
        <f>IFERROR(VLOOKUP(Q32,装备数据!S:W,2,0),"")</f>
        <v/>
      </c>
    </row>
    <row r="33" spans="17:19">
      <c r="Q33" s="117"/>
      <c r="R33" s="117"/>
      <c r="S33" s="118" t="str">
        <f>IFERROR(VLOOKUP(Q33,装备数据!S:W,2,0),"")</f>
        <v/>
      </c>
    </row>
    <row r="34" spans="17:19">
      <c r="Q34" s="117"/>
      <c r="R34" s="117"/>
      <c r="S34" s="118" t="str">
        <f>IFERROR(VLOOKUP(Q34,装备数据!S:W,2,0),"")</f>
        <v/>
      </c>
    </row>
    <row r="35" spans="17:19">
      <c r="Q35" s="117"/>
      <c r="R35" s="117"/>
      <c r="S35" s="118" t="str">
        <f>IFERROR(VLOOKUP(Q35,装备数据!S:W,2,0),"")</f>
        <v/>
      </c>
    </row>
    <row r="36" spans="17:19">
      <c r="Q36" s="117"/>
      <c r="R36" s="117"/>
      <c r="S36" s="118" t="str">
        <f>IFERROR(VLOOKUP(Q36,装备数据!S:W,2,0),"")</f>
        <v/>
      </c>
    </row>
    <row r="37" spans="17:19">
      <c r="Q37" s="117"/>
      <c r="R37" s="117"/>
      <c r="S37" s="118" t="str">
        <f>IFERROR(VLOOKUP(Q37,装备数据!S:W,2,0),"")</f>
        <v/>
      </c>
    </row>
    <row r="38" spans="17:19">
      <c r="Q38" s="117"/>
      <c r="R38" s="117"/>
      <c r="S38" s="118" t="str">
        <f>IFERROR(VLOOKUP(Q38,装备数据!S:W,2,0),"")</f>
        <v/>
      </c>
    </row>
    <row r="39" spans="17:19">
      <c r="Q39" s="117"/>
      <c r="R39" s="117"/>
      <c r="S39" s="118" t="str">
        <f>IFERROR(VLOOKUP(Q39,装备数据!S:W,2,0),"")</f>
        <v/>
      </c>
    </row>
    <row r="40" spans="17:19">
      <c r="Q40" s="117"/>
      <c r="R40" s="117"/>
      <c r="S40" s="118" t="str">
        <f>IFERROR(VLOOKUP(Q40,装备数据!S:W,2,0),"")</f>
        <v/>
      </c>
    </row>
    <row r="41" spans="17:19">
      <c r="Q41" s="117"/>
      <c r="R41" s="117"/>
      <c r="S41" s="118" t="str">
        <f>IFERROR(VLOOKUP(Q41,装备数据!S:W,2,0),"")</f>
        <v/>
      </c>
    </row>
    <row r="42" spans="17:19">
      <c r="Q42" s="117"/>
      <c r="R42" s="117"/>
      <c r="S42" s="118" t="str">
        <f>IFERROR(VLOOKUP(Q42,装备数据!S:W,2,0),"")</f>
        <v/>
      </c>
    </row>
    <row r="43" spans="17:19">
      <c r="Q43" s="117"/>
      <c r="R43" s="117"/>
      <c r="S43" s="118" t="str">
        <f>IFERROR(VLOOKUP(Q43,装备数据!S:W,2,0),"")</f>
        <v/>
      </c>
    </row>
    <row r="44" spans="17:19">
      <c r="Q44" s="117"/>
      <c r="R44" s="117"/>
      <c r="S44" s="118" t="str">
        <f>IFERROR(VLOOKUP(Q44,装备数据!S:W,2,0),"")</f>
        <v/>
      </c>
    </row>
    <row r="45" spans="17:19">
      <c r="Q45" s="117"/>
      <c r="R45" s="117"/>
      <c r="S45" s="118" t="str">
        <f>IFERROR(VLOOKUP(Q45,装备数据!S:W,2,0),"")</f>
        <v/>
      </c>
    </row>
    <row r="46" spans="17:19">
      <c r="Q46" s="117"/>
      <c r="R46" s="117"/>
      <c r="S46" s="118" t="str">
        <f>IFERROR(VLOOKUP(Q46,装备数据!S:W,2,0),"")</f>
        <v/>
      </c>
    </row>
    <row r="47" spans="17:19">
      <c r="Q47" s="117"/>
      <c r="R47" s="117"/>
      <c r="S47" s="118" t="str">
        <f>IFERROR(VLOOKUP(Q47,装备数据!S:W,2,0),"")</f>
        <v/>
      </c>
    </row>
    <row r="48" spans="17:19">
      <c r="Q48" s="117"/>
      <c r="R48" s="117"/>
      <c r="S48" s="118" t="str">
        <f>IFERROR(VLOOKUP(Q48,装备数据!S:W,2,0),"")</f>
        <v/>
      </c>
    </row>
    <row r="49" spans="17:19">
      <c r="Q49" s="117"/>
      <c r="R49" s="117"/>
      <c r="S49" s="118" t="str">
        <f>IFERROR(VLOOKUP(Q49,装备数据!S:W,2,0),"")</f>
        <v/>
      </c>
    </row>
    <row r="50" spans="17:19">
      <c r="Q50" s="117"/>
      <c r="R50" s="117"/>
      <c r="S50" s="118" t="str">
        <f>IFERROR(VLOOKUP(Q50,装备数据!S:W,2,0),"")</f>
        <v/>
      </c>
    </row>
    <row r="51" spans="17:19">
      <c r="Q51" s="117"/>
      <c r="R51" s="117"/>
      <c r="S51" s="118" t="str">
        <f>IFERROR(VLOOKUP(Q51,装备数据!S:W,2,0),"")</f>
        <v/>
      </c>
    </row>
    <row r="52" spans="17:19">
      <c r="Q52" s="117"/>
      <c r="R52" s="117"/>
      <c r="S52" s="118" t="str">
        <f>IFERROR(VLOOKUP(Q52,装备数据!S:W,2,0),"")</f>
        <v/>
      </c>
    </row>
    <row r="53" spans="17:19">
      <c r="Q53" s="117"/>
      <c r="R53" s="117"/>
      <c r="S53" s="118" t="str">
        <f>IFERROR(VLOOKUP(Q53,装备数据!S:W,2,0),"")</f>
        <v/>
      </c>
    </row>
    <row r="54" spans="17:19">
      <c r="Q54" s="117"/>
      <c r="R54" s="117"/>
      <c r="S54" s="118" t="str">
        <f>IFERROR(VLOOKUP(Q54,装备数据!S:W,2,0),"")</f>
        <v/>
      </c>
    </row>
    <row r="55" spans="17:19">
      <c r="Q55" s="117"/>
      <c r="R55" s="117"/>
      <c r="S55" s="118" t="str">
        <f>IFERROR(VLOOKUP(Q55,装备数据!S:W,2,0),"")</f>
        <v/>
      </c>
    </row>
    <row r="56" spans="17:19">
      <c r="Q56" s="117"/>
      <c r="R56" s="117"/>
      <c r="S56" s="118" t="str">
        <f>IFERROR(VLOOKUP(Q56,装备数据!S:W,2,0),"")</f>
        <v/>
      </c>
    </row>
    <row r="57" spans="17:19">
      <c r="Q57" s="117"/>
      <c r="R57" s="117"/>
      <c r="S57" s="118" t="str">
        <f>IFERROR(VLOOKUP(Q57,装备数据!S:W,2,0),"")</f>
        <v/>
      </c>
    </row>
    <row r="58" spans="17:19">
      <c r="Q58" s="117"/>
      <c r="R58" s="117"/>
      <c r="S58" s="118" t="str">
        <f>IFERROR(VLOOKUP(Q58,装备数据!S:W,2,0),"")</f>
        <v/>
      </c>
    </row>
    <row r="59" spans="17:19">
      <c r="Q59" s="117"/>
      <c r="R59" s="117"/>
      <c r="S59" s="118" t="str">
        <f>IFERROR(VLOOKUP(Q59,装备数据!S:W,2,0),"")</f>
        <v/>
      </c>
    </row>
    <row r="60" spans="17:19">
      <c r="Q60" s="117"/>
      <c r="R60" s="117"/>
      <c r="S60" s="118" t="str">
        <f>IFERROR(VLOOKUP(Q60,装备数据!S:W,2,0),"")</f>
        <v/>
      </c>
    </row>
    <row r="61" spans="17:19">
      <c r="Q61" s="117"/>
      <c r="R61" s="117"/>
      <c r="S61" s="118" t="str">
        <f>IFERROR(VLOOKUP(Q61,装备数据!S:W,2,0),"")</f>
        <v/>
      </c>
    </row>
    <row r="62" spans="17:19">
      <c r="Q62" s="117"/>
      <c r="R62" s="117"/>
      <c r="S62" s="118" t="str">
        <f>IFERROR(VLOOKUP(Q62,装备数据!S:W,2,0),"")</f>
        <v/>
      </c>
    </row>
    <row r="63" spans="17:19">
      <c r="Q63" s="117"/>
      <c r="R63" s="117"/>
      <c r="S63" s="118" t="str">
        <f>IFERROR(VLOOKUP(Q63,装备数据!S:W,2,0),"")</f>
        <v/>
      </c>
    </row>
    <row r="64" spans="17:19">
      <c r="Q64" s="117"/>
      <c r="R64" s="117"/>
      <c r="S64" s="118" t="str">
        <f>IFERROR(VLOOKUP(Q64,装备数据!S:W,2,0),"")</f>
        <v/>
      </c>
    </row>
    <row r="65" spans="17:19">
      <c r="Q65" s="117"/>
      <c r="R65" s="117"/>
      <c r="S65" s="118" t="str">
        <f>IFERROR(VLOOKUP(Q65,装备数据!S:W,2,0),"")</f>
        <v/>
      </c>
    </row>
    <row r="66" spans="17:19">
      <c r="Q66" s="117"/>
      <c r="R66" s="117"/>
      <c r="S66" s="118" t="str">
        <f>IFERROR(VLOOKUP(Q66,装备数据!S:W,2,0),"")</f>
        <v/>
      </c>
    </row>
    <row r="67" spans="17:19">
      <c r="Q67" s="117"/>
      <c r="R67" s="117"/>
      <c r="S67" s="118" t="str">
        <f>IFERROR(VLOOKUP(Q67,装备数据!S:W,2,0),"")</f>
        <v/>
      </c>
    </row>
    <row r="68" spans="17:19">
      <c r="Q68" s="117"/>
      <c r="R68" s="117"/>
      <c r="S68" s="118" t="str">
        <f>IFERROR(VLOOKUP(Q68,装备数据!S:W,2,0),"")</f>
        <v/>
      </c>
    </row>
    <row r="69" spans="17:19">
      <c r="Q69" s="117"/>
      <c r="R69" s="117"/>
      <c r="S69" s="118" t="str">
        <f>IFERROR(VLOOKUP(Q69,装备数据!S:W,2,0),"")</f>
        <v/>
      </c>
    </row>
    <row r="70" spans="17:19">
      <c r="Q70" s="117"/>
      <c r="R70" s="117"/>
      <c r="S70" s="118" t="str">
        <f>IFERROR(VLOOKUP(Q70,装备数据!S:W,2,0),"")</f>
        <v/>
      </c>
    </row>
    <row r="71" spans="17:19">
      <c r="Q71" s="117"/>
      <c r="R71" s="117"/>
      <c r="S71" s="118" t="str">
        <f>IFERROR(VLOOKUP(Q71,装备数据!S:W,2,0),"")</f>
        <v/>
      </c>
    </row>
    <row r="72" spans="17:19">
      <c r="Q72" s="117"/>
      <c r="R72" s="117"/>
      <c r="S72" s="118" t="str">
        <f>IFERROR(VLOOKUP(Q72,装备数据!S:W,2,0),"")</f>
        <v/>
      </c>
    </row>
    <row r="73" spans="17:19">
      <c r="Q73" s="117"/>
      <c r="R73" s="117"/>
      <c r="S73" s="118" t="str">
        <f>IFERROR(VLOOKUP(Q73,装备数据!S:W,2,0),"")</f>
        <v/>
      </c>
    </row>
    <row r="74" spans="17:19">
      <c r="Q74" s="117"/>
      <c r="R74" s="117"/>
      <c r="S74" s="118" t="str">
        <f>IFERROR(VLOOKUP(Q74,装备数据!S:W,2,0),"")</f>
        <v/>
      </c>
    </row>
    <row r="75" spans="17:19">
      <c r="Q75" s="117"/>
      <c r="R75" s="117"/>
      <c r="S75" s="118" t="str">
        <f>IFERROR(VLOOKUP(Q75,装备数据!S:W,2,0),"")</f>
        <v/>
      </c>
    </row>
    <row r="76" spans="17:19">
      <c r="Q76" s="117"/>
      <c r="R76" s="117"/>
      <c r="S76" s="118" t="str">
        <f>IFERROR(VLOOKUP(Q76,装备数据!S:W,2,0),"")</f>
        <v/>
      </c>
    </row>
    <row r="77" spans="17:19">
      <c r="Q77" s="117"/>
      <c r="R77" s="117"/>
      <c r="S77" s="118" t="str">
        <f>IFERROR(VLOOKUP(Q77,装备数据!S:W,2,0),"")</f>
        <v/>
      </c>
    </row>
    <row r="78" spans="17:19">
      <c r="Q78" s="117"/>
      <c r="R78" s="117"/>
      <c r="S78" s="118" t="str">
        <f>IFERROR(VLOOKUP(Q78,装备数据!S:W,2,0),"")</f>
        <v/>
      </c>
    </row>
    <row r="79" spans="17:19">
      <c r="Q79" s="117"/>
      <c r="R79" s="117"/>
      <c r="S79" s="118" t="str">
        <f>IFERROR(VLOOKUP(Q79,装备数据!S:W,2,0),"")</f>
        <v/>
      </c>
    </row>
    <row r="80" spans="17:19">
      <c r="Q80" s="117"/>
      <c r="R80" s="117"/>
      <c r="S80" s="118" t="str">
        <f>IFERROR(VLOOKUP(Q80,装备数据!S:W,2,0),"")</f>
        <v/>
      </c>
    </row>
    <row r="81" spans="17:19">
      <c r="Q81" s="117"/>
      <c r="R81" s="117"/>
      <c r="S81" s="118" t="str">
        <f>IFERROR(VLOOKUP(Q81,装备数据!S:W,2,0),"")</f>
        <v/>
      </c>
    </row>
    <row r="82" spans="17:19">
      <c r="Q82" s="117"/>
      <c r="R82" s="117"/>
      <c r="S82" s="118" t="str">
        <f>IFERROR(VLOOKUP(Q82,装备数据!S:W,2,0),"")</f>
        <v/>
      </c>
    </row>
    <row r="83" spans="17:19">
      <c r="Q83" s="117"/>
      <c r="R83" s="117"/>
      <c r="S83" s="118" t="str">
        <f>IFERROR(VLOOKUP(Q83,装备数据!S:W,2,0),"")</f>
        <v/>
      </c>
    </row>
    <row r="84" spans="17:19">
      <c r="Q84" s="117"/>
      <c r="R84" s="117"/>
      <c r="S84" s="118" t="str">
        <f>IFERROR(VLOOKUP(Q84,装备数据!S:W,2,0),"")</f>
        <v/>
      </c>
    </row>
    <row r="85" spans="17:19">
      <c r="Q85" s="117"/>
      <c r="R85" s="117"/>
      <c r="S85" s="118" t="str">
        <f>IFERROR(VLOOKUP(Q85,装备数据!S:W,2,0),"")</f>
        <v/>
      </c>
    </row>
    <row r="86" spans="17:19">
      <c r="Q86" s="117"/>
      <c r="R86" s="117"/>
      <c r="S86" s="118" t="str">
        <f>IFERROR(VLOOKUP(Q86,装备数据!S:W,2,0),"")</f>
        <v/>
      </c>
    </row>
    <row r="87" spans="17:19">
      <c r="Q87" s="117"/>
      <c r="R87" s="117"/>
      <c r="S87" s="118" t="str">
        <f>IFERROR(VLOOKUP(Q87,装备数据!S:W,2,0),"")</f>
        <v/>
      </c>
    </row>
    <row r="88" spans="17:19">
      <c r="Q88" s="117"/>
      <c r="R88" s="117"/>
      <c r="S88" s="118" t="str">
        <f>IFERROR(VLOOKUP(Q88,装备数据!S:W,2,0),"")</f>
        <v/>
      </c>
    </row>
    <row r="89" spans="17:19">
      <c r="Q89" s="117"/>
      <c r="R89" s="117"/>
      <c r="S89" s="118" t="str">
        <f>IFERROR(VLOOKUP(Q89,装备数据!S:W,2,0),"")</f>
        <v/>
      </c>
    </row>
    <row r="90" spans="17:19">
      <c r="Q90" s="117"/>
      <c r="R90" s="117"/>
      <c r="S90" s="118" t="str">
        <f>IFERROR(VLOOKUP(Q90,装备数据!S:W,2,0),"")</f>
        <v/>
      </c>
    </row>
    <row r="91" spans="17:19">
      <c r="Q91" s="117"/>
      <c r="R91" s="117"/>
      <c r="S91" s="118" t="str">
        <f>IFERROR(VLOOKUP(Q91,装备数据!S:W,2,0),"")</f>
        <v/>
      </c>
    </row>
    <row r="92" spans="17:19">
      <c r="Q92" s="117"/>
      <c r="R92" s="117"/>
      <c r="S92" s="118" t="str">
        <f>IFERROR(VLOOKUP(Q92,装备数据!S:W,2,0),"")</f>
        <v/>
      </c>
    </row>
    <row r="93" spans="17:19">
      <c r="Q93" s="117"/>
      <c r="R93" s="117"/>
      <c r="S93" s="118" t="str">
        <f>IFERROR(VLOOKUP(Q93,装备数据!S:W,2,0),"")</f>
        <v/>
      </c>
    </row>
    <row r="94" spans="17:19">
      <c r="Q94" s="117"/>
      <c r="R94" s="117"/>
      <c r="S94" s="118" t="str">
        <f>IFERROR(VLOOKUP(Q94,装备数据!S:W,2,0),"")</f>
        <v/>
      </c>
    </row>
    <row r="95" spans="17:19">
      <c r="Q95" s="117"/>
      <c r="R95" s="117"/>
      <c r="S95" s="118" t="str">
        <f>IFERROR(VLOOKUP(Q95,装备数据!S:W,2,0),"")</f>
        <v/>
      </c>
    </row>
    <row r="96" spans="17:19">
      <c r="Q96" s="117"/>
      <c r="R96" s="117"/>
      <c r="S96" s="118" t="str">
        <f>IFERROR(VLOOKUP(Q96,装备数据!S:W,2,0),"")</f>
        <v/>
      </c>
    </row>
    <row r="97" spans="17:19">
      <c r="Q97" s="117"/>
      <c r="R97" s="117"/>
      <c r="S97" s="118" t="str">
        <f>IFERROR(VLOOKUP(Q97,装备数据!S:W,2,0),"")</f>
        <v/>
      </c>
    </row>
    <row r="98" spans="17:19">
      <c r="Q98" s="117"/>
      <c r="R98" s="117"/>
      <c r="S98" s="118" t="str">
        <f>IFERROR(VLOOKUP(Q98,装备数据!S:W,2,0),"")</f>
        <v/>
      </c>
    </row>
    <row r="99" spans="17:19">
      <c r="Q99" s="117"/>
      <c r="R99" s="117"/>
      <c r="S99" s="118" t="str">
        <f>IFERROR(VLOOKUP(Q99,装备数据!S:W,2,0),"")</f>
        <v/>
      </c>
    </row>
    <row r="100" spans="17:19">
      <c r="Q100" s="117"/>
      <c r="R100" s="117"/>
      <c r="S100" s="118" t="str">
        <f>IFERROR(VLOOKUP(Q100,装备数据!S:W,2,0),"")</f>
        <v/>
      </c>
    </row>
    <row r="101" spans="17:19">
      <c r="Q101" s="117"/>
      <c r="R101" s="117"/>
      <c r="S101" s="118" t="str">
        <f>IFERROR(VLOOKUP(Q101,装备数据!S:W,2,0),"")</f>
        <v/>
      </c>
    </row>
    <row r="102" spans="17:19">
      <c r="Q102" s="117"/>
      <c r="R102" s="117"/>
      <c r="S102" s="118" t="str">
        <f>IFERROR(VLOOKUP(Q102,装备数据!S:W,2,0),"")</f>
        <v/>
      </c>
    </row>
    <row r="103" spans="17:19">
      <c r="Q103" s="117"/>
      <c r="R103" s="117"/>
      <c r="S103" s="118" t="str">
        <f>IFERROR(VLOOKUP(Q103,装备数据!S:W,2,0),"")</f>
        <v/>
      </c>
    </row>
    <row r="104" spans="17:19">
      <c r="Q104" s="117"/>
      <c r="R104" s="117"/>
      <c r="S104" s="118" t="str">
        <f>IFERROR(VLOOKUP(Q104,装备数据!S:W,2,0),"")</f>
        <v/>
      </c>
    </row>
    <row r="105" spans="17:19">
      <c r="Q105" s="117"/>
      <c r="R105" s="117"/>
      <c r="S105" s="118" t="str">
        <f>IFERROR(VLOOKUP(Q105,装备数据!S:W,2,0),"")</f>
        <v/>
      </c>
    </row>
    <row r="106" spans="17:19">
      <c r="Q106" s="117"/>
      <c r="R106" s="117"/>
      <c r="S106" s="118" t="str">
        <f>IFERROR(VLOOKUP(Q106,装备数据!S:W,2,0),"")</f>
        <v/>
      </c>
    </row>
    <row r="107" spans="17:19">
      <c r="Q107" s="117"/>
      <c r="R107" s="117"/>
      <c r="S107" s="118" t="str">
        <f>IFERROR(VLOOKUP(Q107,装备数据!S:W,2,0),"")</f>
        <v/>
      </c>
    </row>
    <row r="108" spans="17:19">
      <c r="Q108" s="117"/>
      <c r="R108" s="117"/>
      <c r="S108" s="118" t="str">
        <f>IFERROR(VLOOKUP(Q108,装备数据!S:W,2,0),"")</f>
        <v/>
      </c>
    </row>
    <row r="109" spans="17:19">
      <c r="Q109" s="117"/>
      <c r="R109" s="117"/>
      <c r="S109" s="118" t="str">
        <f>IFERROR(VLOOKUP(Q109,装备数据!S:W,2,0),"")</f>
        <v/>
      </c>
    </row>
    <row r="110" spans="17:19">
      <c r="Q110" s="117"/>
      <c r="R110" s="117"/>
      <c r="S110" s="118" t="str">
        <f>IFERROR(VLOOKUP(Q110,装备数据!S:W,2,0),"")</f>
        <v/>
      </c>
    </row>
    <row r="111" spans="17:19">
      <c r="Q111" s="117"/>
      <c r="R111" s="117"/>
      <c r="S111" s="118" t="str">
        <f>IFERROR(VLOOKUP(Q111,装备数据!S:W,2,0),"")</f>
        <v/>
      </c>
    </row>
    <row r="112" spans="17:19">
      <c r="Q112" s="117"/>
      <c r="R112" s="117"/>
      <c r="S112" s="118" t="str">
        <f>IFERROR(VLOOKUP(Q112,装备数据!S:W,2,0),"")</f>
        <v/>
      </c>
    </row>
    <row r="113" spans="17:19">
      <c r="Q113" s="117"/>
      <c r="R113" s="117"/>
      <c r="S113" s="118" t="str">
        <f>IFERROR(VLOOKUP(Q113,装备数据!S:W,2,0),"")</f>
        <v/>
      </c>
    </row>
    <row r="114" spans="17:19">
      <c r="Q114" s="117"/>
      <c r="R114" s="117"/>
      <c r="S114" s="118" t="str">
        <f>IFERROR(VLOOKUP(Q114,装备数据!S:W,2,0),"")</f>
        <v/>
      </c>
    </row>
    <row r="115" spans="17:19">
      <c r="Q115" s="117"/>
      <c r="R115" s="117"/>
      <c r="S115" s="118" t="str">
        <f>IFERROR(VLOOKUP(Q115,装备数据!S:W,2,0),"")</f>
        <v/>
      </c>
    </row>
    <row r="116" spans="17:19">
      <c r="Q116" s="117"/>
      <c r="R116" s="117"/>
      <c r="S116" s="118" t="str">
        <f>IFERROR(VLOOKUP(Q116,装备数据!S:W,2,0),"")</f>
        <v/>
      </c>
    </row>
    <row r="117" spans="17:19">
      <c r="Q117" s="117"/>
      <c r="R117" s="117"/>
      <c r="S117" s="118" t="str">
        <f>IFERROR(VLOOKUP(Q117,装备数据!S:W,2,0),"")</f>
        <v/>
      </c>
    </row>
    <row r="118" spans="17:19">
      <c r="Q118" s="117"/>
      <c r="R118" s="117"/>
      <c r="S118" s="118" t="str">
        <f>IFERROR(VLOOKUP(Q118,装备数据!S:W,2,0),"")</f>
        <v/>
      </c>
    </row>
    <row r="119" spans="17:19">
      <c r="Q119" s="117"/>
      <c r="R119" s="117"/>
      <c r="S119" s="118" t="str">
        <f>IFERROR(VLOOKUP(Q119,装备数据!S:W,2,0),"")</f>
        <v/>
      </c>
    </row>
    <row r="120" spans="17:19">
      <c r="Q120" s="117"/>
      <c r="R120" s="117"/>
      <c r="S120" s="118" t="str">
        <f>IFERROR(VLOOKUP(Q120,装备数据!S:W,2,0),"")</f>
        <v/>
      </c>
    </row>
    <row r="121" spans="17:19">
      <c r="Q121" s="117"/>
      <c r="R121" s="117"/>
      <c r="S121" s="118" t="str">
        <f>IFERROR(VLOOKUP(Q121,装备数据!S:W,2,0),"")</f>
        <v/>
      </c>
    </row>
    <row r="122" spans="17:19">
      <c r="Q122" s="117"/>
      <c r="R122" s="117"/>
      <c r="S122" s="118" t="str">
        <f>IFERROR(VLOOKUP(Q122,装备数据!S:W,2,0),"")</f>
        <v/>
      </c>
    </row>
    <row r="123" spans="17:19">
      <c r="Q123" s="117"/>
      <c r="R123" s="117"/>
      <c r="S123" s="118" t="str">
        <f>IFERROR(VLOOKUP(Q123,装备数据!S:W,2,0),"")</f>
        <v/>
      </c>
    </row>
    <row r="124" spans="17:19">
      <c r="Q124" s="117"/>
      <c r="R124" s="117"/>
      <c r="S124" s="118" t="str">
        <f>IFERROR(VLOOKUP(Q124,装备数据!S:W,2,0),"")</f>
        <v/>
      </c>
    </row>
    <row r="125" spans="17:19">
      <c r="Q125" s="117"/>
      <c r="R125" s="117"/>
      <c r="S125" s="118" t="str">
        <f>IFERROR(VLOOKUP(Q125,装备数据!S:W,2,0),"")</f>
        <v/>
      </c>
    </row>
    <row r="126" spans="17:19">
      <c r="Q126" s="117"/>
      <c r="R126" s="117"/>
      <c r="S126" s="118" t="str">
        <f>IFERROR(VLOOKUP(Q126,装备数据!S:W,2,0),"")</f>
        <v/>
      </c>
    </row>
    <row r="127" spans="17:19">
      <c r="Q127" s="117"/>
      <c r="R127" s="117"/>
      <c r="S127" s="118" t="str">
        <f>IFERROR(VLOOKUP(Q127,装备数据!S:W,2,0),"")</f>
        <v/>
      </c>
    </row>
    <row r="128" spans="17:19">
      <c r="Q128" s="117"/>
      <c r="R128" s="117"/>
      <c r="S128" s="118" t="str">
        <f>IFERROR(VLOOKUP(Q128,装备数据!S:W,2,0),"")</f>
        <v/>
      </c>
    </row>
    <row r="129" spans="17:19">
      <c r="Q129" s="117"/>
      <c r="R129" s="117"/>
      <c r="S129" s="118" t="str">
        <f>IFERROR(VLOOKUP(Q129,装备数据!S:W,2,0),"")</f>
        <v/>
      </c>
    </row>
    <row r="130" spans="17:19">
      <c r="Q130" s="117"/>
      <c r="R130" s="117"/>
      <c r="S130" s="118" t="str">
        <f>IFERROR(VLOOKUP(Q130,装备数据!S:W,2,0),"")</f>
        <v/>
      </c>
    </row>
    <row r="131" spans="17:19">
      <c r="Q131" s="117"/>
      <c r="R131" s="117"/>
      <c r="S131" s="118" t="str">
        <f>IFERROR(VLOOKUP(Q131,装备数据!S:W,2,0),"")</f>
        <v/>
      </c>
    </row>
    <row r="132" spans="17:19">
      <c r="Q132" s="117"/>
      <c r="R132" s="117"/>
      <c r="S132" s="118" t="str">
        <f>IFERROR(VLOOKUP(Q132,装备数据!S:W,2,0),"")</f>
        <v/>
      </c>
    </row>
    <row r="133" spans="17:19">
      <c r="Q133" s="117"/>
      <c r="R133" s="117"/>
      <c r="S133" s="118" t="str">
        <f>IFERROR(VLOOKUP(Q133,装备数据!S:W,2,0),"")</f>
        <v/>
      </c>
    </row>
    <row r="134" spans="17:19">
      <c r="Q134" s="117"/>
      <c r="R134" s="117"/>
      <c r="S134" s="118" t="str">
        <f>IFERROR(VLOOKUP(Q134,装备数据!S:W,2,0),"")</f>
        <v/>
      </c>
    </row>
    <row r="135" spans="17:19">
      <c r="Q135" s="117"/>
      <c r="R135" s="117"/>
      <c r="S135" s="118" t="str">
        <f>IFERROR(VLOOKUP(Q135,装备数据!S:W,2,0),"")</f>
        <v/>
      </c>
    </row>
    <row r="136" spans="17:19">
      <c r="Q136" s="117"/>
      <c r="R136" s="117"/>
      <c r="S136" s="118" t="str">
        <f>IFERROR(VLOOKUP(Q136,装备数据!S:W,2,0),"")</f>
        <v/>
      </c>
    </row>
    <row r="137" spans="17:19">
      <c r="Q137" s="117"/>
      <c r="R137" s="117"/>
      <c r="S137" s="118" t="str">
        <f>IFERROR(VLOOKUP(Q137,装备数据!S:W,2,0),"")</f>
        <v/>
      </c>
    </row>
    <row r="138" spans="17:19">
      <c r="Q138" s="117"/>
      <c r="R138" s="117"/>
      <c r="S138" s="118" t="str">
        <f>IFERROR(VLOOKUP(Q138,装备数据!S:W,2,0),"")</f>
        <v/>
      </c>
    </row>
    <row r="139" spans="17:19">
      <c r="Q139" s="117"/>
      <c r="R139" s="117"/>
      <c r="S139" s="118" t="str">
        <f>IFERROR(VLOOKUP(Q139,装备数据!S:W,2,0),"")</f>
        <v/>
      </c>
    </row>
    <row r="140" spans="17:19">
      <c r="Q140" s="117"/>
      <c r="R140" s="117"/>
      <c r="S140" s="118" t="str">
        <f>IFERROR(VLOOKUP(Q140,装备数据!S:W,2,0),"")</f>
        <v/>
      </c>
    </row>
    <row r="141" spans="17:19">
      <c r="Q141" s="117"/>
      <c r="R141" s="117"/>
      <c r="S141" s="118" t="str">
        <f>IFERROR(VLOOKUP(Q141,装备数据!S:W,2,0),"")</f>
        <v/>
      </c>
    </row>
  </sheetData>
  <sheetProtection sheet="1" objects="1" scenarios="1"/>
  <mergeCells count="35">
    <mergeCell ref="B1:E1"/>
    <mergeCell ref="G1:O1"/>
    <mergeCell ref="Q1:S1"/>
    <mergeCell ref="U1:AD1"/>
    <mergeCell ref="C2:D2"/>
    <mergeCell ref="I2:K2"/>
    <mergeCell ref="L2:M2"/>
    <mergeCell ref="N2:O2"/>
    <mergeCell ref="R2:S2"/>
    <mergeCell ref="V2:W2"/>
    <mergeCell ref="Y2:Z2"/>
    <mergeCell ref="AB2:AC2"/>
    <mergeCell ref="L3:M3"/>
    <mergeCell ref="N3:O3"/>
    <mergeCell ref="U3:V3"/>
    <mergeCell ref="Z3:AA3"/>
    <mergeCell ref="AC3:AD3"/>
    <mergeCell ref="M4:N4"/>
    <mergeCell ref="M5:N5"/>
    <mergeCell ref="U5:V5"/>
    <mergeCell ref="Y5:Z5"/>
    <mergeCell ref="AA5:AB5"/>
    <mergeCell ref="M6:N6"/>
    <mergeCell ref="U6:V6"/>
    <mergeCell ref="W6:X6"/>
    <mergeCell ref="Z6:AA6"/>
    <mergeCell ref="M7:N7"/>
    <mergeCell ref="M8:N8"/>
    <mergeCell ref="B9:D9"/>
    <mergeCell ref="M9:N9"/>
    <mergeCell ref="M10:N10"/>
    <mergeCell ref="M11:N11"/>
    <mergeCell ref="M12:N12"/>
    <mergeCell ref="G13:I13"/>
    <mergeCell ref="M13:N13"/>
  </mergeCells>
  <conditionalFormatting sqref="AB2:AD2">
    <cfRule type="expression" dxfId="30" priority="5">
      <formula>$AB$2=0</formula>
    </cfRule>
  </conditionalFormatting>
  <conditionalFormatting sqref="N3:O3">
    <cfRule type="cellIs" dxfId="16" priority="16" operator="lessThan">
      <formula>0</formula>
    </cfRule>
  </conditionalFormatting>
  <conditionalFormatting sqref="Y3:AA3">
    <cfRule type="expression" dxfId="30" priority="4">
      <formula>$Y$3=0</formula>
    </cfRule>
  </conditionalFormatting>
  <conditionalFormatting sqref="AB3:AD3">
    <cfRule type="expression" dxfId="30" priority="3">
      <formula>$AB$3=0</formula>
    </cfRule>
  </conditionalFormatting>
  <conditionalFormatting sqref="Y5:AB5">
    <cfRule type="expression" dxfId="30" priority="2">
      <formula>$Y$5=0</formula>
    </cfRule>
  </conditionalFormatting>
  <conditionalFormatting sqref="Z6:AB6">
    <cfRule type="expression" dxfId="30" priority="1">
      <formula>$Z$6=0</formula>
    </cfRule>
  </conditionalFormatting>
  <conditionalFormatting sqref="M5:N13">
    <cfRule type="cellIs" dxfId="16" priority="20" operator="greaterThan">
      <formula>$O5</formula>
    </cfRule>
  </conditionalFormatting>
  <conditionalFormatting sqref="Q5:S141">
    <cfRule type="expression" dxfId="31" priority="14">
      <formula>COUNTA($Q4,$Q5)&gt;0</formula>
    </cfRule>
  </conditionalFormatting>
  <dataValidations count="26">
    <dataValidation type="whole" operator="between" allowBlank="1" showInputMessage="1" showErrorMessage="1" sqref="U2">
      <formula1>0</formula1>
      <formula2>99</formula2>
    </dataValidation>
    <dataValidation type="whole" operator="between" allowBlank="1" showInputMessage="1" showErrorMessage="1" sqref="X2">
      <formula1>0</formula1>
      <formula2>12</formula2>
    </dataValidation>
    <dataValidation type="decimal" operator="between" allowBlank="1" showInputMessage="1" showErrorMessage="1" sqref="U3:V3">
      <formula1>0</formula1>
      <formula2>9.9</formula2>
    </dataValidation>
    <dataValidation type="whole" operator="between" allowBlank="1" showInputMessage="1" showErrorMessage="1" sqref="M5">
      <formula1>0</formula1>
      <formula2>O5</formula2>
    </dataValidation>
    <dataValidation type="whole" operator="between" allowBlank="1" showInputMessage="1" showErrorMessage="1" sqref="N5">
      <formula1>0</formula1>
      <formula2>Q6</formula2>
    </dataValidation>
    <dataValidation type="whole" operator="between" allowBlank="1" showInputMessage="1" showErrorMessage="1" sqref="U5">
      <formula1>0</formula1>
      <formula2>999</formula2>
    </dataValidation>
    <dataValidation type="whole" operator="between" allowBlank="1" showInputMessage="1" showErrorMessage="1" sqref="M6">
      <formula1>0</formula1>
      <formula2>IF(J13&gt;3,N2/3,0)</formula2>
    </dataValidation>
    <dataValidation type="whole" operator="between" allowBlank="1" showInputMessage="1" showErrorMessage="1" sqref="N6">
      <formula1>0</formula1>
      <formula2>IF(L13&gt;3,P2/3,0)</formula2>
    </dataValidation>
    <dataValidation type="decimal" operator="between" allowBlank="1" showInputMessage="1" showErrorMessage="1" sqref="U6:V6">
      <formula1>0</formula1>
      <formula2>999</formula2>
    </dataValidation>
    <dataValidation type="whole" operator="between" allowBlank="1" showInputMessage="1" showErrorMessage="1" sqref="M7">
      <formula1>0</formula1>
      <formula2>IF(J13&gt;5,N2/5,0)</formula2>
    </dataValidation>
    <dataValidation type="whole" operator="between" allowBlank="1" showInputMessage="1" showErrorMessage="1" sqref="N7">
      <formula1>0</formula1>
      <formula2>IF(L13&gt;5,P2/5,0)</formula2>
    </dataValidation>
    <dataValidation type="whole" operator="between" allowBlank="1" showInputMessage="1" showErrorMessage="1" sqref="M8">
      <formula1>0</formula1>
      <formula2>IF(J13&gt;7,N2/6,0)</formula2>
    </dataValidation>
    <dataValidation type="whole" operator="between" allowBlank="1" showInputMessage="1" showErrorMessage="1" sqref="N8">
      <formula1>0</formula1>
      <formula2>IF(L13&gt;7,P2/6,0)</formula2>
    </dataValidation>
    <dataValidation type="whole" operator="between" allowBlank="1" showInputMessage="1" showErrorMessage="1" sqref="M9">
      <formula1>0</formula1>
      <formula2>IF(J13&gt;9,N2/7,0)</formula2>
    </dataValidation>
    <dataValidation type="whole" operator="between" allowBlank="1" showInputMessage="1" showErrorMessage="1" sqref="N9">
      <formula1>0</formula1>
      <formula2>IF(L13&gt;9,P2/7,0)</formula2>
    </dataValidation>
    <dataValidation type="whole" operator="between" allowBlank="1" showInputMessage="1" showErrorMessage="1" sqref="M10">
      <formula1>0</formula1>
      <formula2>IF(J13&gt;11,1,0)</formula2>
    </dataValidation>
    <dataValidation type="whole" operator="between" allowBlank="1" showInputMessage="1" showErrorMessage="1" sqref="N10">
      <formula1>0</formula1>
      <formula2>IF(L13&gt;11,1,0)</formula2>
    </dataValidation>
    <dataValidation type="whole" operator="between" allowBlank="1" showInputMessage="1" showErrorMessage="1" sqref="M11">
      <formula1>0</formula1>
      <formula2>IF(J13&gt;13,1,0)</formula2>
    </dataValidation>
    <dataValidation type="whole" operator="between" allowBlank="1" showInputMessage="1" showErrorMessage="1" sqref="N11">
      <formula1>0</formula1>
      <formula2>IF(L13&gt;13,1,0)</formula2>
    </dataValidation>
    <dataValidation type="whole" operator="between" allowBlank="1" showInputMessage="1" showErrorMessage="1" sqref="M12">
      <formula1>0</formula1>
      <formula2>IF(J13&gt;15,1,0)</formula2>
    </dataValidation>
    <dataValidation type="whole" operator="between" allowBlank="1" showInputMessage="1" showErrorMessage="1" sqref="N12">
      <formula1>0</formula1>
      <formula2>IF(L13&gt;15,1,0)</formula2>
    </dataValidation>
    <dataValidation type="whole" operator="between" allowBlank="1" showInputMessage="1" showErrorMessage="1" sqref="M13">
      <formula1>0</formula1>
      <formula2>IF(J13&gt;17,1,0)</formula2>
    </dataValidation>
    <dataValidation type="whole" operator="between" allowBlank="1" showInputMessage="1" showErrorMessage="1" sqref="N13">
      <formula1>0</formula1>
      <formula2>IF(L13&gt;17,1,0)</formula2>
    </dataValidation>
    <dataValidation type="whole" operator="between" allowBlank="1" showInputMessage="1" showErrorMessage="1" sqref="C3:C8">
      <formula1>8</formula1>
      <formula2>15</formula2>
    </dataValidation>
    <dataValidation type="whole" operator="between" allowBlank="1" showInputMessage="1" showErrorMessage="1" sqref="H3:H12">
      <formula1>0</formula1>
      <formula2>20</formula2>
    </dataValidation>
    <dataValidation type="list" allowBlank="1" showInputMessage="1" showErrorMessage="1" sqref="Q4:Q141">
      <formula1>装备数据!$S$3:$S$142</formula1>
    </dataValidation>
  </dataValidations>
  <pageMargins left="0.7" right="0.7" top="0.75" bottom="0.75" header="0.3" footer="0.3"/>
  <pageSetup paperSize="9" orientation="portrait" horizontalDpi="1200" verticalDpi="1200"/>
  <headerFooter/>
  <drawing r:id="rId2"/>
  <legacyDrawing r:id="rId3"/>
  <mc:AlternateContent xmlns:mc="http://schemas.openxmlformats.org/markup-compatibility/2006">
    <mc:Choice Requires="x14">
      <controls>
        <mc:AlternateContent xmlns:mc="http://schemas.openxmlformats.org/markup-compatibility/2006">
          <mc:Choice Requires="x14">
            <control shapeId="34817" name="Spinner 1" r:id="rId4">
              <controlPr defaultSize="0">
                <anchor moveWithCells="1">
                  <from>
                    <xdr:col>3</xdr:col>
                    <xdr:colOff>7620</xdr:colOff>
                    <xdr:row>2</xdr:row>
                    <xdr:rowOff>7620</xdr:rowOff>
                  </from>
                  <to>
                    <xdr:col>4</xdr:col>
                    <xdr:colOff>7620</xdr:colOff>
                    <xdr:row>3</xdr:row>
                    <xdr:rowOff>6350</xdr:rowOff>
                  </to>
                </anchor>
              </controlPr>
            </control>
          </mc:Choice>
        </mc:AlternateContent>
        <mc:AlternateContent xmlns:mc="http://schemas.openxmlformats.org/markup-compatibility/2006">
          <mc:Choice Requires="x14">
            <control shapeId="34818" name="Spinner 2" r:id="rId5">
              <controlPr defaultSize="0">
                <anchor moveWithCells="1">
                  <from>
                    <xdr:col>3</xdr:col>
                    <xdr:colOff>7620</xdr:colOff>
                    <xdr:row>3</xdr:row>
                    <xdr:rowOff>7620</xdr:rowOff>
                  </from>
                  <to>
                    <xdr:col>4</xdr:col>
                    <xdr:colOff>7620</xdr:colOff>
                    <xdr:row>4</xdr:row>
                    <xdr:rowOff>0</xdr:rowOff>
                  </to>
                </anchor>
              </controlPr>
            </control>
          </mc:Choice>
        </mc:AlternateContent>
        <mc:AlternateContent xmlns:mc="http://schemas.openxmlformats.org/markup-compatibility/2006">
          <mc:Choice Requires="x14">
            <control shapeId="34819" name="Spinner 3" r:id="rId6">
              <controlPr defaultSize="0">
                <anchor moveWithCells="1">
                  <from>
                    <xdr:col>3</xdr:col>
                    <xdr:colOff>7620</xdr:colOff>
                    <xdr:row>4</xdr:row>
                    <xdr:rowOff>7620</xdr:rowOff>
                  </from>
                  <to>
                    <xdr:col>4</xdr:col>
                    <xdr:colOff>7620</xdr:colOff>
                    <xdr:row>5</xdr:row>
                    <xdr:rowOff>0</xdr:rowOff>
                  </to>
                </anchor>
              </controlPr>
            </control>
          </mc:Choice>
        </mc:AlternateContent>
        <mc:AlternateContent xmlns:mc="http://schemas.openxmlformats.org/markup-compatibility/2006">
          <mc:Choice Requires="x14">
            <control shapeId="34820" name="Spinner 4" r:id="rId7">
              <controlPr defaultSize="0">
                <anchor moveWithCells="1">
                  <from>
                    <xdr:col>3</xdr:col>
                    <xdr:colOff>7620</xdr:colOff>
                    <xdr:row>5</xdr:row>
                    <xdr:rowOff>7620</xdr:rowOff>
                  </from>
                  <to>
                    <xdr:col>4</xdr:col>
                    <xdr:colOff>7620</xdr:colOff>
                    <xdr:row>6</xdr:row>
                    <xdr:rowOff>0</xdr:rowOff>
                  </to>
                </anchor>
              </controlPr>
            </control>
          </mc:Choice>
        </mc:AlternateContent>
        <mc:AlternateContent xmlns:mc="http://schemas.openxmlformats.org/markup-compatibility/2006">
          <mc:Choice Requires="x14">
            <control shapeId="34821" name="Spinner 5" r:id="rId8">
              <controlPr defaultSize="0">
                <anchor moveWithCells="1">
                  <from>
                    <xdr:col>3</xdr:col>
                    <xdr:colOff>7620</xdr:colOff>
                    <xdr:row>6</xdr:row>
                    <xdr:rowOff>7620</xdr:rowOff>
                  </from>
                  <to>
                    <xdr:col>4</xdr:col>
                    <xdr:colOff>7620</xdr:colOff>
                    <xdr:row>7</xdr:row>
                    <xdr:rowOff>0</xdr:rowOff>
                  </to>
                </anchor>
              </controlPr>
            </control>
          </mc:Choice>
        </mc:AlternateContent>
        <mc:AlternateContent xmlns:mc="http://schemas.openxmlformats.org/markup-compatibility/2006">
          <mc:Choice Requires="x14">
            <control shapeId="34822" name="Spinner 6" r:id="rId9">
              <controlPr defaultSize="0">
                <anchor moveWithCells="1">
                  <from>
                    <xdr:col>3</xdr:col>
                    <xdr:colOff>7620</xdr:colOff>
                    <xdr:row>7</xdr:row>
                    <xdr:rowOff>7620</xdr:rowOff>
                  </from>
                  <to>
                    <xdr:col>4</xdr:col>
                    <xdr:colOff>7620</xdr:colOff>
                    <xdr:row>8</xdr:row>
                    <xdr:rowOff>0</xdr:rowOff>
                  </to>
                </anchor>
              </controlPr>
            </control>
          </mc:Choice>
        </mc:AlternateContent>
        <mc:AlternateContent xmlns:mc="http://schemas.openxmlformats.org/markup-compatibility/2006">
          <mc:Choice Requires="x14">
            <control shapeId="34823" name="Spinner 7" r:id="rId10">
              <controlPr defaultSize="0">
                <anchor moveWithCells="1">
                  <from>
                    <xdr:col>8</xdr:col>
                    <xdr:colOff>7620</xdr:colOff>
                    <xdr:row>2</xdr:row>
                    <xdr:rowOff>7620</xdr:rowOff>
                  </from>
                  <to>
                    <xdr:col>9</xdr:col>
                    <xdr:colOff>7620</xdr:colOff>
                    <xdr:row>3</xdr:row>
                    <xdr:rowOff>6350</xdr:rowOff>
                  </to>
                </anchor>
              </controlPr>
            </control>
          </mc:Choice>
        </mc:AlternateContent>
        <mc:AlternateContent xmlns:mc="http://schemas.openxmlformats.org/markup-compatibility/2006">
          <mc:Choice Requires="x14">
            <control shapeId="34824" name="Spinner 8" r:id="rId11">
              <controlPr defaultSize="0">
                <anchor moveWithCells="1">
                  <from>
                    <xdr:col>8</xdr:col>
                    <xdr:colOff>7620</xdr:colOff>
                    <xdr:row>3</xdr:row>
                    <xdr:rowOff>7620</xdr:rowOff>
                  </from>
                  <to>
                    <xdr:col>9</xdr:col>
                    <xdr:colOff>7620</xdr:colOff>
                    <xdr:row>4</xdr:row>
                    <xdr:rowOff>0</xdr:rowOff>
                  </to>
                </anchor>
              </controlPr>
            </control>
          </mc:Choice>
        </mc:AlternateContent>
        <mc:AlternateContent xmlns:mc="http://schemas.openxmlformats.org/markup-compatibility/2006">
          <mc:Choice Requires="x14">
            <control shapeId="34825" name="Spinner 9" r:id="rId12">
              <controlPr defaultSize="0">
                <anchor moveWithCells="1">
                  <from>
                    <xdr:col>8</xdr:col>
                    <xdr:colOff>7620</xdr:colOff>
                    <xdr:row>4</xdr:row>
                    <xdr:rowOff>7620</xdr:rowOff>
                  </from>
                  <to>
                    <xdr:col>9</xdr:col>
                    <xdr:colOff>7620</xdr:colOff>
                    <xdr:row>5</xdr:row>
                    <xdr:rowOff>0</xdr:rowOff>
                  </to>
                </anchor>
              </controlPr>
            </control>
          </mc:Choice>
        </mc:AlternateContent>
        <mc:AlternateContent xmlns:mc="http://schemas.openxmlformats.org/markup-compatibility/2006">
          <mc:Choice Requires="x14">
            <control shapeId="34826" name="Spinner 10" r:id="rId13">
              <controlPr defaultSize="0">
                <anchor moveWithCells="1">
                  <from>
                    <xdr:col>8</xdr:col>
                    <xdr:colOff>7620</xdr:colOff>
                    <xdr:row>5</xdr:row>
                    <xdr:rowOff>7620</xdr:rowOff>
                  </from>
                  <to>
                    <xdr:col>9</xdr:col>
                    <xdr:colOff>7620</xdr:colOff>
                    <xdr:row>6</xdr:row>
                    <xdr:rowOff>0</xdr:rowOff>
                  </to>
                </anchor>
              </controlPr>
            </control>
          </mc:Choice>
        </mc:AlternateContent>
        <mc:AlternateContent xmlns:mc="http://schemas.openxmlformats.org/markup-compatibility/2006">
          <mc:Choice Requires="x14">
            <control shapeId="34827" name="Spinner 11" r:id="rId14">
              <controlPr defaultSize="0">
                <anchor moveWithCells="1">
                  <from>
                    <xdr:col>8</xdr:col>
                    <xdr:colOff>7620</xdr:colOff>
                    <xdr:row>6</xdr:row>
                    <xdr:rowOff>7620</xdr:rowOff>
                  </from>
                  <to>
                    <xdr:col>9</xdr:col>
                    <xdr:colOff>7620</xdr:colOff>
                    <xdr:row>7</xdr:row>
                    <xdr:rowOff>0</xdr:rowOff>
                  </to>
                </anchor>
              </controlPr>
            </control>
          </mc:Choice>
        </mc:AlternateContent>
        <mc:AlternateContent xmlns:mc="http://schemas.openxmlformats.org/markup-compatibility/2006">
          <mc:Choice Requires="x14">
            <control shapeId="34828" name="Spinner 12" r:id="rId15">
              <controlPr defaultSize="0">
                <anchor moveWithCells="1">
                  <from>
                    <xdr:col>8</xdr:col>
                    <xdr:colOff>7620</xdr:colOff>
                    <xdr:row>7</xdr:row>
                    <xdr:rowOff>7620</xdr:rowOff>
                  </from>
                  <to>
                    <xdr:col>9</xdr:col>
                    <xdr:colOff>7620</xdr:colOff>
                    <xdr:row>8</xdr:row>
                    <xdr:rowOff>0</xdr:rowOff>
                  </to>
                </anchor>
              </controlPr>
            </control>
          </mc:Choice>
        </mc:AlternateContent>
        <mc:AlternateContent xmlns:mc="http://schemas.openxmlformats.org/markup-compatibility/2006">
          <mc:Choice Requires="x14">
            <control shapeId="34829" name="Spinner 13" r:id="rId16">
              <controlPr defaultSize="0">
                <anchor moveWithCells="1">
                  <from>
                    <xdr:col>8</xdr:col>
                    <xdr:colOff>7620</xdr:colOff>
                    <xdr:row>8</xdr:row>
                    <xdr:rowOff>7620</xdr:rowOff>
                  </from>
                  <to>
                    <xdr:col>9</xdr:col>
                    <xdr:colOff>7620</xdr:colOff>
                    <xdr:row>9</xdr:row>
                    <xdr:rowOff>0</xdr:rowOff>
                  </to>
                </anchor>
              </controlPr>
            </control>
          </mc:Choice>
        </mc:AlternateContent>
        <mc:AlternateContent xmlns:mc="http://schemas.openxmlformats.org/markup-compatibility/2006">
          <mc:Choice Requires="x14">
            <control shapeId="34830" name="Spinner 14" r:id="rId17">
              <controlPr defaultSize="0">
                <anchor moveWithCells="1">
                  <from>
                    <xdr:col>8</xdr:col>
                    <xdr:colOff>7620</xdr:colOff>
                    <xdr:row>9</xdr:row>
                    <xdr:rowOff>7620</xdr:rowOff>
                  </from>
                  <to>
                    <xdr:col>9</xdr:col>
                    <xdr:colOff>7620</xdr:colOff>
                    <xdr:row>10</xdr:row>
                    <xdr:rowOff>0</xdr:rowOff>
                  </to>
                </anchor>
              </controlPr>
            </control>
          </mc:Choice>
        </mc:AlternateContent>
        <mc:AlternateContent xmlns:mc="http://schemas.openxmlformats.org/markup-compatibility/2006">
          <mc:Choice Requires="x14">
            <control shapeId="34831" name="Spinner 15" r:id="rId18">
              <controlPr defaultSize="0">
                <anchor moveWithCells="1">
                  <from>
                    <xdr:col>8</xdr:col>
                    <xdr:colOff>7620</xdr:colOff>
                    <xdr:row>10</xdr:row>
                    <xdr:rowOff>7620</xdr:rowOff>
                  </from>
                  <to>
                    <xdr:col>9</xdr:col>
                    <xdr:colOff>7620</xdr:colOff>
                    <xdr:row>11</xdr:row>
                    <xdr:rowOff>0</xdr:rowOff>
                  </to>
                </anchor>
              </controlPr>
            </control>
          </mc:Choice>
        </mc:AlternateContent>
        <mc:AlternateContent xmlns:mc="http://schemas.openxmlformats.org/markup-compatibility/2006">
          <mc:Choice Requires="x14">
            <control shapeId="34832" name="Spinner 16" r:id="rId19">
              <controlPr defaultSize="0">
                <anchor moveWithCells="1">
                  <from>
                    <xdr:col>8</xdr:col>
                    <xdr:colOff>7620</xdr:colOff>
                    <xdr:row>11</xdr:row>
                    <xdr:rowOff>7620</xdr:rowOff>
                  </from>
                  <to>
                    <xdr:col>9</xdr:col>
                    <xdr:colOff>7620</xdr:colOff>
                    <xdr:row>12</xdr:row>
                    <xdr:rowOff>0</xdr:rowOff>
                  </to>
                </anchor>
              </controlPr>
            </control>
          </mc:Choice>
        </mc:AlternateContent>
        <mc:AlternateContent xmlns:mc="http://schemas.openxmlformats.org/markup-compatibility/2006">
          <mc:Choice Requires="x14">
            <control shapeId="34833" name="Spinner 17" r:id="rId20">
              <controlPr defaultSize="0">
                <anchor moveWithCells="1">
                  <from>
                    <xdr:col>14</xdr:col>
                    <xdr:colOff>7620</xdr:colOff>
                    <xdr:row>4</xdr:row>
                    <xdr:rowOff>7620</xdr:rowOff>
                  </from>
                  <to>
                    <xdr:col>15</xdr:col>
                    <xdr:colOff>7620</xdr:colOff>
                    <xdr:row>5</xdr:row>
                    <xdr:rowOff>0</xdr:rowOff>
                  </to>
                </anchor>
              </controlPr>
            </control>
          </mc:Choice>
        </mc:AlternateContent>
        <mc:AlternateContent xmlns:mc="http://schemas.openxmlformats.org/markup-compatibility/2006">
          <mc:Choice Requires="x14">
            <control shapeId="34834" name="Spinner 18" r:id="rId21">
              <controlPr defaultSize="0">
                <anchor moveWithCells="1">
                  <from>
                    <xdr:col>14</xdr:col>
                    <xdr:colOff>7620</xdr:colOff>
                    <xdr:row>5</xdr:row>
                    <xdr:rowOff>7620</xdr:rowOff>
                  </from>
                  <to>
                    <xdr:col>15</xdr:col>
                    <xdr:colOff>7620</xdr:colOff>
                    <xdr:row>6</xdr:row>
                    <xdr:rowOff>0</xdr:rowOff>
                  </to>
                </anchor>
              </controlPr>
            </control>
          </mc:Choice>
        </mc:AlternateContent>
        <mc:AlternateContent xmlns:mc="http://schemas.openxmlformats.org/markup-compatibility/2006">
          <mc:Choice Requires="x14">
            <control shapeId="34835" name="Spinner 19" r:id="rId22">
              <controlPr defaultSize="0">
                <anchor moveWithCells="1">
                  <from>
                    <xdr:col>14</xdr:col>
                    <xdr:colOff>7620</xdr:colOff>
                    <xdr:row>6</xdr:row>
                    <xdr:rowOff>7620</xdr:rowOff>
                  </from>
                  <to>
                    <xdr:col>15</xdr:col>
                    <xdr:colOff>7620</xdr:colOff>
                    <xdr:row>7</xdr:row>
                    <xdr:rowOff>0</xdr:rowOff>
                  </to>
                </anchor>
              </controlPr>
            </control>
          </mc:Choice>
        </mc:AlternateContent>
        <mc:AlternateContent xmlns:mc="http://schemas.openxmlformats.org/markup-compatibility/2006">
          <mc:Choice Requires="x14">
            <control shapeId="34836" name="Spinner 20" r:id="rId23">
              <controlPr defaultSize="0">
                <anchor moveWithCells="1">
                  <from>
                    <xdr:col>14</xdr:col>
                    <xdr:colOff>7620</xdr:colOff>
                    <xdr:row>7</xdr:row>
                    <xdr:rowOff>7620</xdr:rowOff>
                  </from>
                  <to>
                    <xdr:col>15</xdr:col>
                    <xdr:colOff>7620</xdr:colOff>
                    <xdr:row>8</xdr:row>
                    <xdr:rowOff>0</xdr:rowOff>
                  </to>
                </anchor>
              </controlPr>
            </control>
          </mc:Choice>
        </mc:AlternateContent>
        <mc:AlternateContent xmlns:mc="http://schemas.openxmlformats.org/markup-compatibility/2006">
          <mc:Choice Requires="x14">
            <control shapeId="34837" name="Spinner 21" r:id="rId24">
              <controlPr defaultSize="0">
                <anchor moveWithCells="1">
                  <from>
                    <xdr:col>14</xdr:col>
                    <xdr:colOff>7620</xdr:colOff>
                    <xdr:row>8</xdr:row>
                    <xdr:rowOff>7620</xdr:rowOff>
                  </from>
                  <to>
                    <xdr:col>15</xdr:col>
                    <xdr:colOff>7620</xdr:colOff>
                    <xdr:row>9</xdr:row>
                    <xdr:rowOff>0</xdr:rowOff>
                  </to>
                </anchor>
              </controlPr>
            </control>
          </mc:Choice>
        </mc:AlternateContent>
        <mc:AlternateContent xmlns:mc="http://schemas.openxmlformats.org/markup-compatibility/2006">
          <mc:Choice Requires="x14">
            <control shapeId="34838" name="Spinner 22" r:id="rId25">
              <controlPr defaultSize="0">
                <anchor moveWithCells="1">
                  <from>
                    <xdr:col>14</xdr:col>
                    <xdr:colOff>7620</xdr:colOff>
                    <xdr:row>9</xdr:row>
                    <xdr:rowOff>7620</xdr:rowOff>
                  </from>
                  <to>
                    <xdr:col>15</xdr:col>
                    <xdr:colOff>7620</xdr:colOff>
                    <xdr:row>10</xdr:row>
                    <xdr:rowOff>0</xdr:rowOff>
                  </to>
                </anchor>
              </controlPr>
            </control>
          </mc:Choice>
        </mc:AlternateContent>
        <mc:AlternateContent xmlns:mc="http://schemas.openxmlformats.org/markup-compatibility/2006">
          <mc:Choice Requires="x14">
            <control shapeId="34839" name="Spinner 23" r:id="rId26">
              <controlPr defaultSize="0">
                <anchor moveWithCells="1">
                  <from>
                    <xdr:col>14</xdr:col>
                    <xdr:colOff>7620</xdr:colOff>
                    <xdr:row>10</xdr:row>
                    <xdr:rowOff>7620</xdr:rowOff>
                  </from>
                  <to>
                    <xdr:col>15</xdr:col>
                    <xdr:colOff>7620</xdr:colOff>
                    <xdr:row>11</xdr:row>
                    <xdr:rowOff>0</xdr:rowOff>
                  </to>
                </anchor>
              </controlPr>
            </control>
          </mc:Choice>
        </mc:AlternateContent>
        <mc:AlternateContent xmlns:mc="http://schemas.openxmlformats.org/markup-compatibility/2006">
          <mc:Choice Requires="x14">
            <control shapeId="34840" name="Spinner 24" r:id="rId27">
              <controlPr defaultSize="0">
                <anchor moveWithCells="1">
                  <from>
                    <xdr:col>14</xdr:col>
                    <xdr:colOff>7620</xdr:colOff>
                    <xdr:row>11</xdr:row>
                    <xdr:rowOff>7620</xdr:rowOff>
                  </from>
                  <to>
                    <xdr:col>15</xdr:col>
                    <xdr:colOff>7620</xdr:colOff>
                    <xdr:row>12</xdr:row>
                    <xdr:rowOff>0</xdr:rowOff>
                  </to>
                </anchor>
              </controlPr>
            </control>
          </mc:Choice>
        </mc:AlternateContent>
        <mc:AlternateContent xmlns:mc="http://schemas.openxmlformats.org/markup-compatibility/2006">
          <mc:Choice Requires="x14">
            <control shapeId="34841" name="Spinner 25" r:id="rId28">
              <controlPr defaultSize="0">
                <anchor moveWithCells="1">
                  <from>
                    <xdr:col>14</xdr:col>
                    <xdr:colOff>7620</xdr:colOff>
                    <xdr:row>12</xdr:row>
                    <xdr:rowOff>7620</xdr:rowOff>
                  </from>
                  <to>
                    <xdr:col>15</xdr:col>
                    <xdr:colOff>7620</xdr:colOff>
                    <xdr:row>13</xdr:row>
                    <xdr:rowOff>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00D800"/>
  </sheetPr>
  <dimension ref="A1:BV46"/>
  <sheetViews>
    <sheetView workbookViewId="0">
      <selection activeCell="A2" sqref="A2"/>
    </sheetView>
  </sheetViews>
  <sheetFormatPr defaultColWidth="2.78181818181818" defaultRowHeight="14"/>
  <cols>
    <col min="1" max="16384" width="2.78181818181818" style="40"/>
  </cols>
  <sheetData>
    <row r="1" ht="16.5" spans="1:72">
      <c r="A1" s="41" t="s">
        <v>9134</v>
      </c>
      <c r="B1" s="42"/>
      <c r="C1" s="42"/>
      <c r="D1" s="42"/>
      <c r="E1" s="42"/>
      <c r="F1" s="42"/>
      <c r="G1" s="42"/>
      <c r="H1" s="42"/>
      <c r="I1" s="42"/>
      <c r="J1" s="42"/>
      <c r="K1" s="42"/>
      <c r="L1" s="42"/>
      <c r="M1" s="42"/>
      <c r="N1" s="42"/>
      <c r="O1" s="42"/>
      <c r="P1" s="42"/>
      <c r="Q1" s="42"/>
      <c r="R1" s="42"/>
      <c r="S1" s="42"/>
      <c r="T1" s="42"/>
      <c r="U1" s="42"/>
      <c r="V1" s="42"/>
      <c r="W1" s="42"/>
      <c r="X1" s="42"/>
      <c r="Y1" s="42"/>
      <c r="Z1" s="43"/>
      <c r="AA1" s="42"/>
      <c r="AB1" s="42"/>
      <c r="AC1" s="42"/>
      <c r="AD1" s="42"/>
      <c r="AE1" s="42"/>
      <c r="AF1" s="42"/>
      <c r="AG1" s="42"/>
      <c r="AH1" s="42"/>
      <c r="AI1" s="42"/>
      <c r="AJ1" s="42"/>
      <c r="AK1" s="42"/>
      <c r="AL1" s="42"/>
      <c r="AM1" s="42"/>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row>
    <row r="2" ht="16.5" spans="1:72">
      <c r="A2" s="44"/>
      <c r="B2" s="45" t="s">
        <v>9135</v>
      </c>
      <c r="C2" s="45"/>
      <c r="D2" s="45"/>
      <c r="E2" s="45"/>
      <c r="F2" s="45"/>
      <c r="G2" s="45"/>
      <c r="H2" s="45"/>
      <c r="I2" s="45"/>
      <c r="J2" s="45"/>
      <c r="K2" s="45"/>
      <c r="L2" s="45"/>
      <c r="M2" s="45"/>
      <c r="N2" s="45"/>
      <c r="O2" s="45"/>
      <c r="P2" s="45"/>
      <c r="Q2" s="45"/>
      <c r="R2" s="45"/>
      <c r="S2" s="45"/>
      <c r="T2" s="45"/>
      <c r="U2" s="45"/>
      <c r="V2" s="45"/>
      <c r="W2" s="45"/>
      <c r="X2" s="45"/>
      <c r="Y2" s="45"/>
      <c r="Z2" s="46"/>
      <c r="AA2" s="47" t="s">
        <v>9136</v>
      </c>
      <c r="AB2" s="47"/>
      <c r="AC2" s="47"/>
      <c r="AD2" s="47"/>
      <c r="AE2" s="47"/>
      <c r="AF2" s="47"/>
      <c r="AG2" s="47"/>
      <c r="AH2" s="47"/>
      <c r="AI2" s="47"/>
      <c r="AJ2" s="47"/>
      <c r="AK2" s="47"/>
      <c r="AL2" s="47"/>
      <c r="AM2" s="47"/>
      <c r="AN2" s="48"/>
      <c r="AO2" s="49" t="s">
        <v>9137</v>
      </c>
      <c r="AP2" s="49"/>
      <c r="AQ2" s="49"/>
      <c r="AR2" s="49"/>
      <c r="AS2" s="49"/>
      <c r="AT2" s="49"/>
      <c r="AU2" s="49"/>
      <c r="AV2" s="49"/>
      <c r="AW2" s="49"/>
      <c r="AX2" s="49"/>
      <c r="AY2" s="49"/>
      <c r="AZ2" s="49"/>
      <c r="BA2" s="49"/>
      <c r="BB2" s="50"/>
      <c r="BC2" s="49" t="s">
        <v>9138</v>
      </c>
      <c r="BD2" s="49"/>
      <c r="BE2" s="49"/>
      <c r="BF2" s="49"/>
      <c r="BG2" s="49"/>
      <c r="BH2" s="49"/>
      <c r="BI2" s="49"/>
      <c r="BJ2" s="49"/>
      <c r="BK2" s="49"/>
      <c r="BL2" s="49"/>
      <c r="BM2" s="49"/>
      <c r="BN2" s="49"/>
      <c r="BO2" s="49"/>
      <c r="BP2" s="50"/>
      <c r="BQ2" s="43"/>
      <c r="BR2" s="43"/>
      <c r="BS2" s="43"/>
      <c r="BT2" s="43"/>
    </row>
    <row r="3" ht="16.5" spans="1:72">
      <c r="A3" s="44"/>
      <c r="B3" s="51" t="s">
        <v>9139</v>
      </c>
      <c r="C3" s="51"/>
      <c r="D3" s="51"/>
      <c r="E3" s="51"/>
      <c r="F3" s="51"/>
      <c r="G3" s="51"/>
      <c r="H3" s="51"/>
      <c r="I3" s="51"/>
      <c r="J3" s="51"/>
      <c r="K3" s="51"/>
      <c r="L3" s="51"/>
      <c r="M3" s="51"/>
      <c r="N3" s="51"/>
      <c r="O3" s="51"/>
      <c r="P3" s="51"/>
      <c r="Q3" s="51"/>
      <c r="R3" s="51"/>
      <c r="S3" s="51"/>
      <c r="T3" s="51"/>
      <c r="U3" s="51"/>
      <c r="V3" s="51"/>
      <c r="W3" s="51"/>
      <c r="X3" s="51"/>
      <c r="Y3" s="51"/>
      <c r="Z3" s="46"/>
      <c r="AA3" s="52" t="s">
        <v>9140</v>
      </c>
      <c r="AB3" s="52"/>
      <c r="AC3" s="52"/>
      <c r="AD3" s="52"/>
      <c r="AE3" s="52"/>
      <c r="AF3" s="52"/>
      <c r="AG3" s="52"/>
      <c r="AH3" s="52"/>
      <c r="AI3" s="52"/>
      <c r="AJ3" s="52"/>
      <c r="AK3" s="52"/>
      <c r="AL3" s="52"/>
      <c r="AM3" s="52"/>
      <c r="AN3" s="46"/>
      <c r="AO3" s="53" t="s">
        <v>9141</v>
      </c>
      <c r="AP3" s="53"/>
      <c r="AQ3" s="52" t="s">
        <v>9142</v>
      </c>
      <c r="AR3" s="52"/>
      <c r="AS3" s="52"/>
      <c r="AT3" s="52"/>
      <c r="AU3" s="52"/>
      <c r="AV3" s="52"/>
      <c r="AW3" s="52"/>
      <c r="AX3" s="52"/>
      <c r="AY3" s="52"/>
      <c r="AZ3" s="52"/>
      <c r="BA3" s="52"/>
      <c r="BB3" s="46"/>
      <c r="BC3" s="52" t="s">
        <v>9143</v>
      </c>
      <c r="BD3" s="52"/>
      <c r="BE3" s="52"/>
      <c r="BF3" s="52"/>
      <c r="BG3" s="52"/>
      <c r="BH3" s="52"/>
      <c r="BI3" s="52"/>
      <c r="BJ3" s="52"/>
      <c r="BK3" s="52"/>
      <c r="BL3" s="52"/>
      <c r="BM3" s="52"/>
      <c r="BN3" s="52"/>
      <c r="BO3" s="52"/>
      <c r="BP3" s="48"/>
      <c r="BQ3" s="43"/>
      <c r="BR3" s="43"/>
      <c r="BS3" s="43"/>
      <c r="BT3" s="43"/>
    </row>
    <row r="4" ht="16.5" spans="1:72">
      <c r="A4" s="44"/>
      <c r="B4" s="51"/>
      <c r="C4" s="51"/>
      <c r="D4" s="51"/>
      <c r="E4" s="51"/>
      <c r="F4" s="51"/>
      <c r="G4" s="51"/>
      <c r="H4" s="51"/>
      <c r="I4" s="51"/>
      <c r="J4" s="51"/>
      <c r="K4" s="51"/>
      <c r="L4" s="51"/>
      <c r="M4" s="51"/>
      <c r="N4" s="51"/>
      <c r="O4" s="51"/>
      <c r="P4" s="51"/>
      <c r="Q4" s="51"/>
      <c r="R4" s="51"/>
      <c r="S4" s="51"/>
      <c r="T4" s="51"/>
      <c r="U4" s="51"/>
      <c r="V4" s="51"/>
      <c r="W4" s="51"/>
      <c r="X4" s="51"/>
      <c r="Y4" s="51"/>
      <c r="Z4" s="46"/>
      <c r="AA4" s="52" t="s">
        <v>9144</v>
      </c>
      <c r="AB4" s="52"/>
      <c r="AC4" s="52"/>
      <c r="AD4" s="52"/>
      <c r="AE4" s="52"/>
      <c r="AF4" s="52"/>
      <c r="AG4" s="52"/>
      <c r="AH4" s="52"/>
      <c r="AI4" s="52"/>
      <c r="AJ4" s="52"/>
      <c r="AK4" s="52"/>
      <c r="AL4" s="52"/>
      <c r="AM4" s="52"/>
      <c r="AN4" s="46"/>
      <c r="AO4" s="53"/>
      <c r="AP4" s="53"/>
      <c r="AQ4" s="52" t="s">
        <v>9145</v>
      </c>
      <c r="AR4" s="52"/>
      <c r="AS4" s="52"/>
      <c r="AT4" s="52"/>
      <c r="AU4" s="52"/>
      <c r="AV4" s="52"/>
      <c r="AW4" s="52"/>
      <c r="AX4" s="52"/>
      <c r="AY4" s="52"/>
      <c r="AZ4" s="52"/>
      <c r="BA4" s="52"/>
      <c r="BB4" s="46"/>
      <c r="BC4" s="52" t="s">
        <v>9146</v>
      </c>
      <c r="BD4" s="52"/>
      <c r="BE4" s="52"/>
      <c r="BF4" s="52"/>
      <c r="BG4" s="52"/>
      <c r="BH4" s="52"/>
      <c r="BI4" s="52"/>
      <c r="BJ4" s="52"/>
      <c r="BK4" s="52"/>
      <c r="BL4" s="52"/>
      <c r="BM4" s="52"/>
      <c r="BN4" s="52"/>
      <c r="BO4" s="52"/>
      <c r="BP4" s="48"/>
      <c r="BQ4" s="43"/>
      <c r="BR4" s="43"/>
      <c r="BS4" s="43"/>
      <c r="BT4" s="43"/>
    </row>
    <row r="5" ht="16.5" spans="1:72">
      <c r="A5" s="44"/>
      <c r="B5" s="54" t="s">
        <v>9147</v>
      </c>
      <c r="C5" s="54"/>
      <c r="D5" s="54"/>
      <c r="E5" s="54"/>
      <c r="F5" s="54"/>
      <c r="G5" s="54"/>
      <c r="H5" s="54"/>
      <c r="I5" s="54"/>
      <c r="J5" s="54"/>
      <c r="K5" s="54"/>
      <c r="L5" s="54"/>
      <c r="M5" s="54"/>
      <c r="N5" s="54"/>
      <c r="O5" s="54"/>
      <c r="P5" s="54"/>
      <c r="Q5" s="54"/>
      <c r="R5" s="54"/>
      <c r="S5" s="54"/>
      <c r="T5" s="54"/>
      <c r="U5" s="54"/>
      <c r="V5" s="54"/>
      <c r="W5" s="54"/>
      <c r="X5" s="54"/>
      <c r="Y5" s="54"/>
      <c r="Z5" s="46"/>
      <c r="AA5" s="52" t="s">
        <v>9148</v>
      </c>
      <c r="AB5" s="52"/>
      <c r="AC5" s="52"/>
      <c r="AD5" s="52"/>
      <c r="AE5" s="52"/>
      <c r="AF5" s="52"/>
      <c r="AG5" s="52"/>
      <c r="AH5" s="52"/>
      <c r="AI5" s="52"/>
      <c r="AJ5" s="52"/>
      <c r="AK5" s="52"/>
      <c r="AL5" s="52"/>
      <c r="AM5" s="52"/>
      <c r="AN5" s="48"/>
      <c r="AO5" s="55"/>
      <c r="AP5" s="55"/>
      <c r="AQ5" s="55"/>
      <c r="AR5" s="55"/>
      <c r="AS5" s="55"/>
      <c r="AT5" s="55"/>
      <c r="AU5" s="55"/>
      <c r="AV5" s="55"/>
      <c r="AW5" s="55"/>
      <c r="AX5" s="55"/>
      <c r="AY5" s="55"/>
      <c r="AZ5" s="55"/>
      <c r="BA5" s="55"/>
      <c r="BB5" s="56"/>
      <c r="BC5" s="52"/>
      <c r="BD5" s="52"/>
      <c r="BE5" s="52"/>
      <c r="BF5" s="52"/>
      <c r="BG5" s="52"/>
      <c r="BH5" s="52"/>
      <c r="BI5" s="52"/>
      <c r="BJ5" s="52"/>
      <c r="BK5" s="52"/>
      <c r="BL5" s="52"/>
      <c r="BM5" s="52"/>
      <c r="BN5" s="52"/>
      <c r="BO5" s="52"/>
      <c r="BP5" s="48"/>
      <c r="BQ5" s="43"/>
      <c r="BR5" s="43"/>
      <c r="BS5" s="43"/>
      <c r="BT5" s="43"/>
    </row>
    <row r="6" ht="16.5" spans="1:72">
      <c r="A6" s="44"/>
      <c r="B6" s="54" t="s">
        <v>9149</v>
      </c>
      <c r="C6" s="54"/>
      <c r="D6" s="54"/>
      <c r="E6" s="54"/>
      <c r="F6" s="54"/>
      <c r="G6" s="54"/>
      <c r="H6" s="54"/>
      <c r="I6" s="54"/>
      <c r="J6" s="54"/>
      <c r="K6" s="54"/>
      <c r="L6" s="54"/>
      <c r="M6" s="54"/>
      <c r="N6" s="54"/>
      <c r="O6" s="54"/>
      <c r="P6" s="54"/>
      <c r="Q6" s="54"/>
      <c r="R6" s="54"/>
      <c r="S6" s="54"/>
      <c r="T6" s="54"/>
      <c r="U6" s="54"/>
      <c r="V6" s="54"/>
      <c r="W6" s="54"/>
      <c r="X6" s="54"/>
      <c r="Y6" s="54"/>
      <c r="Z6" s="46"/>
      <c r="AA6" s="52"/>
      <c r="AB6" s="52"/>
      <c r="AC6" s="52"/>
      <c r="AD6" s="52"/>
      <c r="AE6" s="52"/>
      <c r="AF6" s="52"/>
      <c r="AG6" s="52"/>
      <c r="AH6" s="52"/>
      <c r="AI6" s="52"/>
      <c r="AJ6" s="52"/>
      <c r="AK6" s="52"/>
      <c r="AL6" s="52"/>
      <c r="AM6" s="52"/>
      <c r="AN6" s="46"/>
      <c r="AO6" s="57"/>
      <c r="AP6" s="57"/>
      <c r="AQ6" s="52" t="s">
        <v>9150</v>
      </c>
      <c r="AR6" s="52"/>
      <c r="AS6" s="52"/>
      <c r="AT6" s="52"/>
      <c r="AU6" s="52"/>
      <c r="AV6" s="52"/>
      <c r="AW6" s="52"/>
      <c r="AX6" s="52"/>
      <c r="AY6" s="52"/>
      <c r="AZ6" s="52"/>
      <c r="BA6" s="52"/>
      <c r="BB6" s="48"/>
      <c r="BC6" s="58"/>
      <c r="BD6" s="58"/>
      <c r="BE6" s="58"/>
      <c r="BF6" s="58"/>
      <c r="BG6" s="58"/>
      <c r="BH6" s="58"/>
      <c r="BI6" s="58"/>
      <c r="BJ6" s="58"/>
      <c r="BK6" s="58"/>
      <c r="BL6" s="58"/>
      <c r="BM6" s="58"/>
      <c r="BN6" s="58"/>
      <c r="BO6" s="58"/>
      <c r="BP6" s="50"/>
      <c r="BQ6" s="43"/>
      <c r="BR6" s="43"/>
      <c r="BS6" s="43"/>
      <c r="BT6" s="43"/>
    </row>
    <row r="7" ht="16.5" spans="1:72">
      <c r="A7" s="44"/>
      <c r="B7" s="54" t="s">
        <v>9151</v>
      </c>
      <c r="C7" s="54"/>
      <c r="D7" s="54"/>
      <c r="E7" s="54"/>
      <c r="F7" s="54"/>
      <c r="G7" s="54"/>
      <c r="H7" s="54"/>
      <c r="I7" s="54"/>
      <c r="J7" s="54"/>
      <c r="K7" s="54"/>
      <c r="L7" s="54"/>
      <c r="M7" s="54"/>
      <c r="N7" s="54"/>
      <c r="O7" s="54"/>
      <c r="P7" s="54"/>
      <c r="Q7" s="54"/>
      <c r="R7" s="54"/>
      <c r="S7" s="54"/>
      <c r="T7" s="54"/>
      <c r="U7" s="54"/>
      <c r="V7" s="54"/>
      <c r="W7" s="54"/>
      <c r="X7" s="54"/>
      <c r="Y7" s="54"/>
      <c r="Z7" s="46"/>
      <c r="AA7" s="52"/>
      <c r="AB7" s="52"/>
      <c r="AC7" s="52"/>
      <c r="AD7" s="52"/>
      <c r="AE7" s="52"/>
      <c r="AF7" s="52"/>
      <c r="AG7" s="52"/>
      <c r="AH7" s="52"/>
      <c r="AI7" s="52"/>
      <c r="AJ7" s="52"/>
      <c r="AK7" s="52"/>
      <c r="AL7" s="52"/>
      <c r="AM7" s="52"/>
      <c r="AN7" s="46"/>
      <c r="AO7" s="57"/>
      <c r="AP7" s="57"/>
      <c r="AQ7" s="52" t="s">
        <v>9152</v>
      </c>
      <c r="AR7" s="52"/>
      <c r="AS7" s="52"/>
      <c r="AT7" s="52"/>
      <c r="AU7" s="52"/>
      <c r="AV7" s="52"/>
      <c r="AW7" s="52"/>
      <c r="AX7" s="52"/>
      <c r="AY7" s="52"/>
      <c r="AZ7" s="52"/>
      <c r="BA7" s="52"/>
      <c r="BB7" s="46"/>
      <c r="BC7" s="52" t="s">
        <v>9153</v>
      </c>
      <c r="BD7" s="52"/>
      <c r="BE7" s="52"/>
      <c r="BF7" s="52"/>
      <c r="BG7" s="52"/>
      <c r="BH7" s="52"/>
      <c r="BI7" s="52"/>
      <c r="BJ7" s="52"/>
      <c r="BK7" s="52"/>
      <c r="BL7" s="52"/>
      <c r="BM7" s="52"/>
      <c r="BN7" s="52"/>
      <c r="BO7" s="52"/>
      <c r="BP7" s="48"/>
      <c r="BQ7" s="43"/>
      <c r="BR7" s="43"/>
      <c r="BS7" s="43"/>
      <c r="BT7" s="43"/>
    </row>
    <row r="8" ht="16.5" spans="1:72">
      <c r="A8" s="44"/>
      <c r="B8" s="54" t="s">
        <v>9154</v>
      </c>
      <c r="C8" s="54"/>
      <c r="D8" s="54"/>
      <c r="E8" s="54"/>
      <c r="F8" s="54"/>
      <c r="G8" s="54"/>
      <c r="H8" s="54"/>
      <c r="I8" s="54"/>
      <c r="J8" s="54"/>
      <c r="K8" s="54"/>
      <c r="L8" s="54"/>
      <c r="M8" s="54"/>
      <c r="N8" s="54"/>
      <c r="O8" s="54"/>
      <c r="P8" s="54"/>
      <c r="Q8" s="54"/>
      <c r="R8" s="54"/>
      <c r="S8" s="54"/>
      <c r="T8" s="54"/>
      <c r="U8" s="54"/>
      <c r="V8" s="54"/>
      <c r="W8" s="54"/>
      <c r="X8" s="54"/>
      <c r="Y8" s="54"/>
      <c r="Z8" s="46"/>
      <c r="AA8" s="52"/>
      <c r="AB8" s="52"/>
      <c r="AC8" s="52"/>
      <c r="AD8" s="52"/>
      <c r="AE8" s="52"/>
      <c r="AF8" s="52"/>
      <c r="AG8" s="52"/>
      <c r="AH8" s="52"/>
      <c r="AI8" s="52"/>
      <c r="AJ8" s="52"/>
      <c r="AK8" s="52"/>
      <c r="AL8" s="52"/>
      <c r="AM8" s="52"/>
      <c r="AN8" s="48"/>
      <c r="AO8" s="55"/>
      <c r="AP8" s="55"/>
      <c r="AQ8" s="55"/>
      <c r="AR8" s="55"/>
      <c r="AS8" s="55"/>
      <c r="AT8" s="55"/>
      <c r="AU8" s="55"/>
      <c r="AV8" s="55"/>
      <c r="AW8" s="55"/>
      <c r="AX8" s="55"/>
      <c r="AY8" s="55"/>
      <c r="AZ8" s="55"/>
      <c r="BA8" s="55"/>
      <c r="BB8" s="56"/>
      <c r="BC8" s="52" t="s">
        <v>9155</v>
      </c>
      <c r="BD8" s="52"/>
      <c r="BE8" s="52"/>
      <c r="BF8" s="52"/>
      <c r="BG8" s="52"/>
      <c r="BH8" s="52"/>
      <c r="BI8" s="52"/>
      <c r="BJ8" s="52"/>
      <c r="BK8" s="52"/>
      <c r="BL8" s="52"/>
      <c r="BM8" s="52"/>
      <c r="BN8" s="52"/>
      <c r="BO8" s="52"/>
      <c r="BP8" s="48"/>
      <c r="BQ8" s="43"/>
      <c r="BR8" s="43"/>
      <c r="BS8" s="43"/>
      <c r="BT8" s="43"/>
    </row>
    <row r="9" ht="16.5" spans="1:72">
      <c r="A9" s="44"/>
      <c r="B9" s="54" t="s">
        <v>9156</v>
      </c>
      <c r="C9" s="54"/>
      <c r="D9" s="54"/>
      <c r="E9" s="54"/>
      <c r="F9" s="54"/>
      <c r="G9" s="54"/>
      <c r="H9" s="54"/>
      <c r="I9" s="54"/>
      <c r="J9" s="54"/>
      <c r="K9" s="54"/>
      <c r="L9" s="54"/>
      <c r="M9" s="54"/>
      <c r="N9" s="54"/>
      <c r="O9" s="54"/>
      <c r="P9" s="54"/>
      <c r="Q9" s="54"/>
      <c r="R9" s="54"/>
      <c r="S9" s="54"/>
      <c r="T9" s="54"/>
      <c r="U9" s="54"/>
      <c r="V9" s="54"/>
      <c r="W9" s="54"/>
      <c r="X9" s="54"/>
      <c r="Y9" s="54"/>
      <c r="Z9" s="46"/>
      <c r="AA9" s="52"/>
      <c r="AB9" s="52"/>
      <c r="AC9" s="52"/>
      <c r="AD9" s="52"/>
      <c r="AE9" s="52"/>
      <c r="AF9" s="52"/>
      <c r="AG9" s="52"/>
      <c r="AH9" s="52"/>
      <c r="AI9" s="52"/>
      <c r="AJ9" s="52"/>
      <c r="AK9" s="52"/>
      <c r="AL9" s="52"/>
      <c r="AM9" s="52"/>
      <c r="AN9" s="46"/>
      <c r="AO9" s="53" t="s">
        <v>9141</v>
      </c>
      <c r="AP9" s="53"/>
      <c r="AQ9" s="59" t="s">
        <v>9157</v>
      </c>
      <c r="AR9" s="59"/>
      <c r="AS9" s="59"/>
      <c r="AT9" s="59"/>
      <c r="AU9" s="59"/>
      <c r="AV9" s="59"/>
      <c r="AW9" s="59"/>
      <c r="AX9" s="59"/>
      <c r="AY9" s="59"/>
      <c r="AZ9" s="59"/>
      <c r="BA9" s="59"/>
      <c r="BB9" s="46"/>
      <c r="BC9" s="52"/>
      <c r="BD9" s="52"/>
      <c r="BE9" s="52"/>
      <c r="BF9" s="52"/>
      <c r="BG9" s="52"/>
      <c r="BH9" s="52"/>
      <c r="BI9" s="52"/>
      <c r="BJ9" s="52"/>
      <c r="BK9" s="52"/>
      <c r="BL9" s="52"/>
      <c r="BM9" s="52"/>
      <c r="BN9" s="52"/>
      <c r="BO9" s="52"/>
      <c r="BP9" s="48"/>
      <c r="BQ9" s="43"/>
      <c r="BR9" s="43"/>
      <c r="BS9" s="43"/>
      <c r="BT9" s="43"/>
    </row>
    <row r="10" ht="16.5" spans="1:72">
      <c r="A10" s="44"/>
      <c r="B10" s="54" t="s">
        <v>9158</v>
      </c>
      <c r="C10" s="54"/>
      <c r="D10" s="54"/>
      <c r="E10" s="54"/>
      <c r="F10" s="54"/>
      <c r="G10" s="54"/>
      <c r="H10" s="54"/>
      <c r="I10" s="54"/>
      <c r="J10" s="54"/>
      <c r="K10" s="54"/>
      <c r="L10" s="54"/>
      <c r="M10" s="54"/>
      <c r="N10" s="54"/>
      <c r="O10" s="54"/>
      <c r="P10" s="54"/>
      <c r="Q10" s="54"/>
      <c r="R10" s="54"/>
      <c r="S10" s="54"/>
      <c r="T10" s="54"/>
      <c r="U10" s="54"/>
      <c r="V10" s="54"/>
      <c r="W10" s="54"/>
      <c r="X10" s="54"/>
      <c r="Y10" s="54"/>
      <c r="Z10" s="46"/>
      <c r="AA10" s="52"/>
      <c r="AB10" s="52"/>
      <c r="AC10" s="52"/>
      <c r="AD10" s="52"/>
      <c r="AE10" s="52"/>
      <c r="AF10" s="52"/>
      <c r="AG10" s="52"/>
      <c r="AH10" s="52"/>
      <c r="AI10" s="52"/>
      <c r="AJ10" s="52"/>
      <c r="AK10" s="52"/>
      <c r="AL10" s="52"/>
      <c r="AM10" s="52"/>
      <c r="AN10" s="46"/>
      <c r="AO10" s="53"/>
      <c r="AP10" s="53"/>
      <c r="AQ10" s="52" t="s">
        <v>9145</v>
      </c>
      <c r="AR10" s="52"/>
      <c r="AS10" s="52"/>
      <c r="AT10" s="52"/>
      <c r="AU10" s="52"/>
      <c r="AV10" s="52"/>
      <c r="AW10" s="52"/>
      <c r="AX10" s="52"/>
      <c r="AY10" s="52"/>
      <c r="AZ10" s="52"/>
      <c r="BA10" s="52"/>
      <c r="BB10" s="48"/>
      <c r="BC10" s="58"/>
      <c r="BD10" s="58"/>
      <c r="BE10" s="58"/>
      <c r="BF10" s="58"/>
      <c r="BG10" s="58"/>
      <c r="BH10" s="58"/>
      <c r="BI10" s="58"/>
      <c r="BJ10" s="58"/>
      <c r="BK10" s="58"/>
      <c r="BL10" s="58"/>
      <c r="BM10" s="58"/>
      <c r="BN10" s="58"/>
      <c r="BO10" s="58"/>
      <c r="BP10" s="50"/>
      <c r="BQ10" s="43"/>
      <c r="BR10" s="43"/>
      <c r="BS10" s="43"/>
      <c r="BT10" s="43"/>
    </row>
    <row r="11" ht="16.5" spans="1:72">
      <c r="A11" s="44"/>
      <c r="B11" s="54" t="s">
        <v>9159</v>
      </c>
      <c r="C11" s="54"/>
      <c r="D11" s="54"/>
      <c r="E11" s="54"/>
      <c r="F11" s="54"/>
      <c r="G11" s="54"/>
      <c r="H11" s="54"/>
      <c r="I11" s="54"/>
      <c r="J11" s="54"/>
      <c r="K11" s="54"/>
      <c r="L11" s="54"/>
      <c r="M11" s="54"/>
      <c r="N11" s="54"/>
      <c r="O11" s="54"/>
      <c r="P11" s="54"/>
      <c r="Q11" s="54"/>
      <c r="R11" s="54"/>
      <c r="S11" s="54"/>
      <c r="T11" s="54"/>
      <c r="U11" s="54"/>
      <c r="V11" s="54"/>
      <c r="W11" s="54"/>
      <c r="X11" s="54"/>
      <c r="Y11" s="54"/>
      <c r="Z11" s="46"/>
      <c r="AA11" s="52"/>
      <c r="AB11" s="52"/>
      <c r="AC11" s="52"/>
      <c r="AD11" s="52"/>
      <c r="AE11" s="52"/>
      <c r="AF11" s="52"/>
      <c r="AG11" s="52"/>
      <c r="AH11" s="52"/>
      <c r="AI11" s="52"/>
      <c r="AJ11" s="52"/>
      <c r="AK11" s="52"/>
      <c r="AL11" s="52"/>
      <c r="AM11" s="52"/>
      <c r="AN11" s="48"/>
      <c r="AO11" s="55"/>
      <c r="AP11" s="55"/>
      <c r="AQ11" s="55"/>
      <c r="AR11" s="55"/>
      <c r="AS11" s="55"/>
      <c r="AT11" s="55"/>
      <c r="AU11" s="55"/>
      <c r="AV11" s="55"/>
      <c r="AW11" s="55"/>
      <c r="AX11" s="55"/>
      <c r="AY11" s="55"/>
      <c r="AZ11" s="55"/>
      <c r="BA11" s="55"/>
      <c r="BB11" s="56"/>
      <c r="BC11" s="52" t="s">
        <v>9160</v>
      </c>
      <c r="BD11" s="52"/>
      <c r="BE11" s="52"/>
      <c r="BF11" s="52"/>
      <c r="BG11" s="52"/>
      <c r="BH11" s="52"/>
      <c r="BI11" s="52"/>
      <c r="BJ11" s="52"/>
      <c r="BK11" s="52"/>
      <c r="BL11" s="52"/>
      <c r="BM11" s="52"/>
      <c r="BN11" s="52"/>
      <c r="BO11" s="52"/>
      <c r="BP11" s="48"/>
      <c r="BQ11" s="43"/>
      <c r="BR11" s="43"/>
      <c r="BS11" s="43"/>
      <c r="BT11" s="43"/>
    </row>
    <row r="12" ht="15.6" customHeight="1" spans="1:72">
      <c r="A12" s="44"/>
      <c r="B12" s="54" t="s">
        <v>9161</v>
      </c>
      <c r="C12" s="54"/>
      <c r="D12" s="54"/>
      <c r="E12" s="54"/>
      <c r="F12" s="54"/>
      <c r="G12" s="54"/>
      <c r="H12" s="54"/>
      <c r="I12" s="54"/>
      <c r="J12" s="54"/>
      <c r="K12" s="54"/>
      <c r="L12" s="54"/>
      <c r="M12" s="54"/>
      <c r="N12" s="54"/>
      <c r="O12" s="54"/>
      <c r="P12" s="54"/>
      <c r="Q12" s="54"/>
      <c r="R12" s="54"/>
      <c r="S12" s="54"/>
      <c r="T12" s="54"/>
      <c r="U12" s="54"/>
      <c r="V12" s="54"/>
      <c r="W12" s="54"/>
      <c r="X12" s="54"/>
      <c r="Y12" s="54"/>
      <c r="Z12" s="46"/>
      <c r="AA12" s="52"/>
      <c r="AB12" s="52"/>
      <c r="AC12" s="52"/>
      <c r="AD12" s="52"/>
      <c r="AE12" s="52"/>
      <c r="AF12" s="52"/>
      <c r="AG12" s="52"/>
      <c r="AH12" s="52"/>
      <c r="AI12" s="52"/>
      <c r="AJ12" s="52"/>
      <c r="AK12" s="52"/>
      <c r="AL12" s="52"/>
      <c r="AM12" s="52"/>
      <c r="AN12" s="46"/>
      <c r="AO12" s="57"/>
      <c r="AP12" s="57"/>
      <c r="AQ12" s="52" t="s">
        <v>9162</v>
      </c>
      <c r="AR12" s="52"/>
      <c r="AS12" s="52"/>
      <c r="AT12" s="52"/>
      <c r="AU12" s="52"/>
      <c r="AV12" s="52"/>
      <c r="AW12" s="52"/>
      <c r="AX12" s="52"/>
      <c r="AY12" s="52"/>
      <c r="AZ12" s="52"/>
      <c r="BA12" s="52"/>
      <c r="BB12" s="46"/>
      <c r="BC12" s="52" t="s">
        <v>9163</v>
      </c>
      <c r="BD12" s="52"/>
      <c r="BE12" s="52"/>
      <c r="BF12" s="52"/>
      <c r="BG12" s="52"/>
      <c r="BH12" s="52"/>
      <c r="BI12" s="52"/>
      <c r="BJ12" s="52"/>
      <c r="BK12" s="52"/>
      <c r="BL12" s="52"/>
      <c r="BM12" s="52"/>
      <c r="BN12" s="52"/>
      <c r="BO12" s="52"/>
      <c r="BP12" s="48"/>
      <c r="BQ12" s="43"/>
      <c r="BR12" s="43"/>
      <c r="BS12" s="43"/>
      <c r="BT12" s="43"/>
    </row>
    <row r="13" ht="15.6" customHeight="1" spans="1:72">
      <c r="A13" s="44"/>
      <c r="B13" s="54" t="s">
        <v>9164</v>
      </c>
      <c r="C13" s="54"/>
      <c r="D13" s="54"/>
      <c r="E13" s="54"/>
      <c r="F13" s="54"/>
      <c r="G13" s="54"/>
      <c r="H13" s="54"/>
      <c r="I13" s="54"/>
      <c r="J13" s="54"/>
      <c r="K13" s="54"/>
      <c r="L13" s="54"/>
      <c r="M13" s="54"/>
      <c r="N13" s="54"/>
      <c r="O13" s="54"/>
      <c r="P13" s="54"/>
      <c r="Q13" s="54"/>
      <c r="R13" s="54"/>
      <c r="S13" s="54"/>
      <c r="T13" s="54"/>
      <c r="U13" s="54"/>
      <c r="V13" s="54"/>
      <c r="W13" s="54"/>
      <c r="X13" s="54"/>
      <c r="Y13" s="54"/>
      <c r="Z13" s="46"/>
      <c r="AA13" s="52"/>
      <c r="AB13" s="52"/>
      <c r="AC13" s="52"/>
      <c r="AD13" s="52"/>
      <c r="AE13" s="52"/>
      <c r="AF13" s="52"/>
      <c r="AG13" s="52"/>
      <c r="AH13" s="52"/>
      <c r="AI13" s="52"/>
      <c r="AJ13" s="52"/>
      <c r="AK13" s="52"/>
      <c r="AL13" s="52"/>
      <c r="AM13" s="52"/>
      <c r="AN13" s="46"/>
      <c r="AO13" s="57"/>
      <c r="AP13" s="57"/>
      <c r="AQ13" t="s">
        <v>9165</v>
      </c>
      <c r="AR13"/>
      <c r="AS13"/>
      <c r="AT13"/>
      <c r="AU13"/>
      <c r="AV13"/>
      <c r="AW13"/>
      <c r="AX13"/>
      <c r="AY13"/>
      <c r="AZ13"/>
      <c r="BA13"/>
      <c r="BB13" s="46"/>
      <c r="BC13" s="52"/>
      <c r="BD13" s="52"/>
      <c r="BE13" s="52"/>
      <c r="BF13" s="52"/>
      <c r="BG13" s="52"/>
      <c r="BH13" s="52"/>
      <c r="BI13" s="52"/>
      <c r="BJ13" s="52"/>
      <c r="BK13" s="52"/>
      <c r="BL13" s="52"/>
      <c r="BM13" s="52"/>
      <c r="BN13" s="52"/>
      <c r="BO13" s="52"/>
      <c r="BP13" s="48"/>
      <c r="BQ13" s="43"/>
      <c r="BR13" s="43"/>
      <c r="BS13" s="43"/>
      <c r="BT13" s="43"/>
    </row>
    <row r="14" ht="16.5" spans="1:72">
      <c r="A14" s="44"/>
      <c r="B14" s="54" t="s">
        <v>9166</v>
      </c>
      <c r="C14" s="54"/>
      <c r="D14" s="54"/>
      <c r="E14" s="54"/>
      <c r="F14" s="54"/>
      <c r="G14" s="54"/>
      <c r="H14" s="54"/>
      <c r="I14" s="54"/>
      <c r="J14" s="54"/>
      <c r="K14" s="54"/>
      <c r="L14" s="54"/>
      <c r="M14" s="54"/>
      <c r="N14" s="54"/>
      <c r="O14" s="54"/>
      <c r="P14" s="54"/>
      <c r="Q14" s="54"/>
      <c r="R14" s="54"/>
      <c r="S14" s="54"/>
      <c r="T14" s="54"/>
      <c r="U14" s="54"/>
      <c r="V14" s="54"/>
      <c r="W14" s="54"/>
      <c r="X14" s="54"/>
      <c r="Y14" s="54"/>
      <c r="Z14" s="48"/>
      <c r="AA14" s="60"/>
      <c r="AB14" s="60"/>
      <c r="AC14" s="60"/>
      <c r="AD14" s="60"/>
      <c r="AE14" s="60"/>
      <c r="AF14" s="60"/>
      <c r="AG14" s="60"/>
      <c r="AH14" s="60"/>
      <c r="AI14" s="60"/>
      <c r="AJ14" s="60"/>
      <c r="AK14" s="60"/>
      <c r="AL14" s="60"/>
      <c r="AM14" s="60"/>
      <c r="AN14" s="50"/>
      <c r="AO14" s="61"/>
      <c r="AP14" s="61"/>
      <c r="AQ14" s="61"/>
      <c r="AR14" s="61"/>
      <c r="AS14" s="61"/>
      <c r="AT14" s="61"/>
      <c r="AU14" s="61"/>
      <c r="AV14" s="61"/>
      <c r="AW14" s="61"/>
      <c r="AX14" s="61"/>
      <c r="AY14" s="61"/>
      <c r="AZ14" s="61"/>
      <c r="BA14" s="61"/>
      <c r="BB14" s="50"/>
      <c r="BC14" s="58"/>
      <c r="BD14" s="58"/>
      <c r="BE14" s="58"/>
      <c r="BF14" s="58"/>
      <c r="BG14" s="58"/>
      <c r="BH14" s="58"/>
      <c r="BI14" s="58"/>
      <c r="BJ14" s="58"/>
      <c r="BK14" s="58"/>
      <c r="BL14" s="58"/>
      <c r="BM14" s="58"/>
      <c r="BN14" s="58"/>
      <c r="BO14" s="58"/>
      <c r="BP14" s="50"/>
      <c r="BQ14" s="43"/>
      <c r="BR14" s="43"/>
      <c r="BS14" s="43"/>
      <c r="BT14" s="43"/>
    </row>
    <row r="15" ht="15.6" customHeight="1" spans="1:72">
      <c r="A15" s="44"/>
      <c r="B15" s="54" t="s">
        <v>9167</v>
      </c>
      <c r="C15" s="54"/>
      <c r="D15" s="54"/>
      <c r="E15" s="54"/>
      <c r="F15" s="54"/>
      <c r="G15" s="54"/>
      <c r="H15" s="54"/>
      <c r="I15" s="54"/>
      <c r="J15" s="54"/>
      <c r="K15" s="54"/>
      <c r="L15" s="54"/>
      <c r="M15" s="54"/>
      <c r="N15" s="54"/>
      <c r="O15" s="54"/>
      <c r="P15" s="54"/>
      <c r="Q15" s="54"/>
      <c r="R15" s="54"/>
      <c r="S15" s="54"/>
      <c r="T15" s="54"/>
      <c r="U15" s="54"/>
      <c r="V15" s="54"/>
      <c r="W15" s="54"/>
      <c r="X15" s="54"/>
      <c r="Y15" s="54"/>
      <c r="Z15" s="48"/>
      <c r="AA15" s="50"/>
      <c r="AB15" s="50"/>
      <c r="AC15" s="50"/>
      <c r="AD15" s="50"/>
      <c r="AE15" s="50"/>
      <c r="AF15" s="50"/>
      <c r="AG15" s="50"/>
      <c r="AH15" s="50"/>
      <c r="AI15" s="50"/>
      <c r="AJ15" s="50"/>
      <c r="AK15" s="50"/>
      <c r="AL15" s="50"/>
      <c r="AM15" s="50"/>
      <c r="AN15" s="56"/>
      <c r="AO15" s="57"/>
      <c r="AP15" s="57"/>
      <c r="AQ15" s="52" t="s">
        <v>9168</v>
      </c>
      <c r="AR15" s="52"/>
      <c r="AS15" s="52"/>
      <c r="AT15" s="52"/>
      <c r="AU15" s="52"/>
      <c r="AV15" s="52"/>
      <c r="AW15" s="52"/>
      <c r="AX15" s="52"/>
      <c r="AY15" s="52"/>
      <c r="AZ15" s="52"/>
      <c r="BA15" s="52"/>
      <c r="BB15" s="46"/>
      <c r="BC15" s="52" t="s">
        <v>9169</v>
      </c>
      <c r="BD15" s="52"/>
      <c r="BE15" s="52"/>
      <c r="BF15" s="52"/>
      <c r="BG15" s="52"/>
      <c r="BH15" s="52"/>
      <c r="BI15" s="52"/>
      <c r="BJ15" s="52"/>
      <c r="BK15" s="52"/>
      <c r="BL15" s="52"/>
      <c r="BM15" s="52"/>
      <c r="BN15" s="52"/>
      <c r="BO15" s="52"/>
      <c r="BP15" s="48"/>
      <c r="BQ15" s="43"/>
      <c r="BR15" s="43"/>
      <c r="BS15" s="43"/>
      <c r="BT15" s="43"/>
    </row>
    <row r="16" ht="15.6" customHeight="1" spans="1:72">
      <c r="A16" s="44"/>
      <c r="B16" s="54" t="s">
        <v>9170</v>
      </c>
      <c r="C16" s="54"/>
      <c r="D16" s="54"/>
      <c r="E16" s="54"/>
      <c r="F16" s="54"/>
      <c r="G16" s="54"/>
      <c r="H16" s="54"/>
      <c r="I16" s="54"/>
      <c r="J16" s="54"/>
      <c r="K16" s="54"/>
      <c r="L16" s="54"/>
      <c r="M16" s="54"/>
      <c r="N16" s="54"/>
      <c r="O16" s="54"/>
      <c r="P16" s="54"/>
      <c r="Q16" s="54"/>
      <c r="R16" s="54"/>
      <c r="S16" s="54"/>
      <c r="T16" s="54"/>
      <c r="U16" s="54"/>
      <c r="V16" s="54"/>
      <c r="W16" s="54"/>
      <c r="X16" s="54"/>
      <c r="Y16" s="54"/>
      <c r="Z16" s="48"/>
      <c r="AA16" s="62" t="s">
        <v>9171</v>
      </c>
      <c r="AB16" s="62"/>
      <c r="AC16" s="62"/>
      <c r="AD16" s="62"/>
      <c r="AE16" s="62"/>
      <c r="AF16" s="62"/>
      <c r="AG16" s="62"/>
      <c r="AH16" s="62"/>
      <c r="AI16" s="62"/>
      <c r="AJ16" s="62"/>
      <c r="AK16" s="62"/>
      <c r="AL16" s="62"/>
      <c r="AM16" s="62"/>
      <c r="AN16" s="56"/>
      <c r="AO16" s="57"/>
      <c r="AP16" s="57"/>
      <c r="AQ16" t="s">
        <v>9172</v>
      </c>
      <c r="AR16"/>
      <c r="AS16"/>
      <c r="AT16"/>
      <c r="AU16"/>
      <c r="AV16"/>
      <c r="AW16"/>
      <c r="AX16"/>
      <c r="AY16"/>
      <c r="AZ16"/>
      <c r="BA16"/>
      <c r="BB16" s="46"/>
      <c r="BC16" s="52" t="s">
        <v>9173</v>
      </c>
      <c r="BD16" s="52"/>
      <c r="BE16" s="52"/>
      <c r="BF16" s="52"/>
      <c r="BG16" s="52"/>
      <c r="BH16" s="52"/>
      <c r="BI16" s="52"/>
      <c r="BJ16" s="52"/>
      <c r="BK16" s="52"/>
      <c r="BL16" s="52"/>
      <c r="BM16" s="52"/>
      <c r="BN16" s="52"/>
      <c r="BO16" s="52"/>
      <c r="BP16" s="48"/>
      <c r="BQ16" s="43"/>
      <c r="BR16" s="43"/>
      <c r="BS16" s="43"/>
      <c r="BT16" s="43"/>
    </row>
    <row r="17" ht="16.5" spans="1:74">
      <c r="A17" s="44"/>
      <c r="B17" s="54" t="s">
        <v>9174</v>
      </c>
      <c r="C17" s="54"/>
      <c r="D17" s="54"/>
      <c r="E17" s="54"/>
      <c r="F17" s="54"/>
      <c r="G17" s="54"/>
      <c r="H17" s="54"/>
      <c r="I17" s="54"/>
      <c r="J17" s="54"/>
      <c r="K17" s="54"/>
      <c r="L17" s="54"/>
      <c r="M17" s="54"/>
      <c r="N17" s="54"/>
      <c r="O17" s="54"/>
      <c r="P17" s="54"/>
      <c r="Q17" s="54"/>
      <c r="R17" s="54"/>
      <c r="S17" s="54"/>
      <c r="T17" s="54"/>
      <c r="U17" s="54"/>
      <c r="V17" s="54"/>
      <c r="W17" s="54"/>
      <c r="X17" s="54"/>
      <c r="Y17" s="54"/>
      <c r="Z17" s="48"/>
      <c r="AA17" s="62" t="s">
        <v>9175</v>
      </c>
      <c r="AB17" s="62"/>
      <c r="AC17" s="62"/>
      <c r="AD17" s="62"/>
      <c r="AE17" s="62"/>
      <c r="AF17" s="62"/>
      <c r="AG17" s="62"/>
      <c r="AH17" s="62"/>
      <c r="AI17" s="62"/>
      <c r="AJ17" s="62"/>
      <c r="AK17" s="62"/>
      <c r="AL17" s="62"/>
      <c r="AM17" s="62"/>
      <c r="AN17" s="50"/>
      <c r="AO17" s="61"/>
      <c r="AP17" s="61"/>
      <c r="AQ17" s="61"/>
      <c r="AR17" s="61"/>
      <c r="AS17" s="61"/>
      <c r="AT17" s="61"/>
      <c r="AU17" s="61"/>
      <c r="AV17" s="61"/>
      <c r="AW17" s="61"/>
      <c r="AX17" s="61"/>
      <c r="AY17" s="61"/>
      <c r="AZ17" s="61"/>
      <c r="BA17" s="61"/>
      <c r="BB17" s="56"/>
      <c r="BC17" s="52"/>
      <c r="BD17" s="52"/>
      <c r="BE17" s="52"/>
      <c r="BF17" s="52"/>
      <c r="BG17" s="52"/>
      <c r="BH17" s="52"/>
      <c r="BI17" s="52"/>
      <c r="BJ17" s="52"/>
      <c r="BK17" s="52"/>
      <c r="BL17" s="52"/>
      <c r="BM17" s="52"/>
      <c r="BN17" s="52"/>
      <c r="BO17" s="52"/>
      <c r="BP17" s="48"/>
      <c r="BQ17" s="43"/>
      <c r="BR17" s="43"/>
      <c r="BS17" s="43"/>
      <c r="BT17" s="43"/>
    </row>
    <row r="18" ht="17.4" customHeight="1" spans="1:74">
      <c r="A18" s="44"/>
      <c r="B18" s="54" t="s">
        <v>9176</v>
      </c>
      <c r="C18" s="54"/>
      <c r="D18" s="54"/>
      <c r="E18" s="54"/>
      <c r="F18" s="54"/>
      <c r="G18" s="54"/>
      <c r="H18" s="54"/>
      <c r="I18" s="54"/>
      <c r="J18" s="54"/>
      <c r="K18" s="54"/>
      <c r="L18" s="54"/>
      <c r="M18" s="54"/>
      <c r="N18" s="54"/>
      <c r="O18" s="54"/>
      <c r="P18" s="54"/>
      <c r="Q18" s="54"/>
      <c r="R18" s="54"/>
      <c r="S18" s="54"/>
      <c r="T18" s="54"/>
      <c r="U18" s="54"/>
      <c r="V18" s="54"/>
      <c r="W18" s="54"/>
      <c r="X18" s="54"/>
      <c r="Y18" s="54"/>
      <c r="Z18" s="48"/>
      <c r="AA18" s="63" t="s">
        <v>9177</v>
      </c>
      <c r="AB18" s="63"/>
      <c r="AC18" s="63"/>
      <c r="AD18" s="63"/>
      <c r="AE18" s="63"/>
      <c r="AF18" s="63"/>
      <c r="AG18" s="63"/>
      <c r="AH18" s="63"/>
      <c r="AI18" s="63"/>
      <c r="AJ18" s="63"/>
      <c r="AK18" s="63"/>
      <c r="AL18" s="63"/>
      <c r="AM18" s="50"/>
      <c r="AN18" s="56"/>
      <c r="AO18" s="57"/>
      <c r="AP18" s="57"/>
      <c r="AQ18" s="52" t="s">
        <v>9178</v>
      </c>
      <c r="AR18" s="52"/>
      <c r="AS18" s="52"/>
      <c r="AT18" s="52"/>
      <c r="AU18" s="52"/>
      <c r="AV18" s="52"/>
      <c r="AW18" s="52"/>
      <c r="AX18" s="52"/>
      <c r="AY18" s="52"/>
      <c r="AZ18" s="52"/>
      <c r="BA18" s="52"/>
      <c r="BB18" s="48"/>
      <c r="BC18" s="64"/>
      <c r="BD18" s="64"/>
      <c r="BE18" s="64"/>
      <c r="BF18" s="64"/>
      <c r="BG18" s="64"/>
      <c r="BH18" s="64"/>
      <c r="BI18" s="64"/>
      <c r="BJ18" s="64"/>
      <c r="BK18" s="64"/>
      <c r="BL18" s="64"/>
      <c r="BM18" s="64"/>
      <c r="BN18" s="64"/>
      <c r="BO18" s="64"/>
      <c r="BP18" s="50"/>
      <c r="BQ18" s="43"/>
      <c r="BR18" s="43"/>
      <c r="BS18" s="43"/>
      <c r="BT18" s="43"/>
      <c r="BU18" s="43"/>
      <c r="BV18" s="43"/>
    </row>
    <row r="19" ht="15.6" customHeight="1" spans="1:74">
      <c r="A19" s="44"/>
      <c r="B19" s="54" t="s">
        <v>9179</v>
      </c>
      <c r="C19" s="54"/>
      <c r="D19" s="54"/>
      <c r="E19" s="54"/>
      <c r="F19" s="54"/>
      <c r="G19" s="54"/>
      <c r="H19" s="54"/>
      <c r="I19" s="54"/>
      <c r="J19" s="54"/>
      <c r="K19" s="54"/>
      <c r="L19" s="54"/>
      <c r="M19" s="54"/>
      <c r="N19" s="54"/>
      <c r="O19" s="54"/>
      <c r="P19" s="54"/>
      <c r="Q19" s="54"/>
      <c r="R19" s="54"/>
      <c r="S19" s="54"/>
      <c r="T19" s="54"/>
      <c r="U19" s="54"/>
      <c r="V19" s="54"/>
      <c r="W19" s="54"/>
      <c r="X19" s="54"/>
      <c r="Y19" s="54"/>
      <c r="Z19" s="48"/>
      <c r="AA19" s="50"/>
      <c r="AB19" s="50"/>
      <c r="AC19" s="50"/>
      <c r="AD19" s="50"/>
      <c r="AE19" s="50"/>
      <c r="AF19" s="50"/>
      <c r="AG19" s="50"/>
      <c r="AH19" s="50"/>
      <c r="AI19" s="50"/>
      <c r="AJ19" s="50"/>
      <c r="AK19" s="50"/>
      <c r="AL19" s="50"/>
      <c r="AM19" s="50"/>
      <c r="AN19" s="56"/>
      <c r="AO19" s="57"/>
      <c r="AP19" s="57"/>
      <c r="AQ19" t="s">
        <v>9180</v>
      </c>
      <c r="AR19"/>
      <c r="AS19"/>
      <c r="AT19"/>
      <c r="AU19"/>
      <c r="AV19"/>
      <c r="AW19"/>
      <c r="AX19"/>
      <c r="AY19"/>
      <c r="AZ19"/>
      <c r="BA19"/>
      <c r="BB19" s="46"/>
      <c r="BC19" s="65" t="s">
        <v>9181</v>
      </c>
      <c r="BD19" s="66"/>
      <c r="BE19" s="66"/>
      <c r="BF19" s="66"/>
      <c r="BG19" s="66"/>
      <c r="BH19" s="66"/>
      <c r="BI19" s="66"/>
      <c r="BJ19" s="66"/>
      <c r="BK19" s="66"/>
      <c r="BL19" s="66"/>
      <c r="BM19" s="66"/>
      <c r="BN19" s="66"/>
      <c r="BO19" s="67"/>
      <c r="BP19" s="68"/>
      <c r="BQ19" s="43"/>
      <c r="BR19" s="43"/>
      <c r="BS19" s="43"/>
      <c r="BT19" s="43"/>
      <c r="BU19" s="43"/>
      <c r="BV19" s="43"/>
    </row>
    <row r="20" ht="15.6" customHeight="1" spans="1:74">
      <c r="A20" s="44"/>
      <c r="B20" s="54" t="s">
        <v>9182</v>
      </c>
      <c r="C20" s="54"/>
      <c r="D20" s="54"/>
      <c r="E20" s="54"/>
      <c r="F20" s="54"/>
      <c r="G20" s="54"/>
      <c r="H20" s="54"/>
      <c r="I20" s="54"/>
      <c r="J20" s="54"/>
      <c r="K20" s="54"/>
      <c r="L20" s="54"/>
      <c r="M20" s="54"/>
      <c r="N20" s="54"/>
      <c r="O20" s="54"/>
      <c r="P20" s="54"/>
      <c r="Q20" s="54"/>
      <c r="R20" s="54"/>
      <c r="S20" s="54"/>
      <c r="T20" s="54"/>
      <c r="U20" s="54"/>
      <c r="V20" s="54"/>
      <c r="W20" s="54"/>
      <c r="X20" s="54"/>
      <c r="Y20" s="54"/>
      <c r="Z20" s="48"/>
      <c r="AA20" s="69" t="s">
        <v>9183</v>
      </c>
      <c r="AB20" s="69"/>
      <c r="AC20" s="69"/>
      <c r="AD20" s="69"/>
      <c r="AE20" s="69"/>
      <c r="AF20" s="69"/>
      <c r="AG20" s="69"/>
      <c r="AH20" s="69"/>
      <c r="AI20" s="69"/>
      <c r="AJ20" s="69"/>
      <c r="AK20" s="69"/>
      <c r="AL20" s="69"/>
      <c r="AM20" s="69"/>
      <c r="AN20" s="50"/>
      <c r="AO20" s="70"/>
      <c r="AP20" s="70"/>
      <c r="AQ20" s="70"/>
      <c r="AR20" s="70"/>
      <c r="AS20" s="70"/>
      <c r="AT20" s="70"/>
      <c r="AU20" s="70"/>
      <c r="AV20" s="71"/>
      <c r="AW20" s="70"/>
      <c r="AX20" s="70"/>
      <c r="AY20" s="70"/>
      <c r="AZ20" s="70"/>
      <c r="BA20" s="70"/>
      <c r="BB20" s="56"/>
      <c r="BC20" s="72" t="s">
        <v>9184</v>
      </c>
      <c r="BD20" s="73"/>
      <c r="BE20" s="73"/>
      <c r="BF20" s="73"/>
      <c r="BG20" s="73"/>
      <c r="BH20" s="74"/>
      <c r="BI20" s="75"/>
      <c r="BJ20" s="72" t="s">
        <v>9185</v>
      </c>
      <c r="BK20" s="73"/>
      <c r="BL20" s="73"/>
      <c r="BM20" s="73"/>
      <c r="BN20" s="73"/>
      <c r="BO20" s="74"/>
      <c r="BP20" s="48"/>
      <c r="BQ20" s="43"/>
      <c r="BR20" s="43"/>
      <c r="BS20" s="43"/>
      <c r="BT20" s="43"/>
      <c r="BU20" s="43"/>
      <c r="BV20" s="43"/>
    </row>
    <row r="21" ht="15.6" customHeight="1" spans="1:74">
      <c r="A21" s="44"/>
      <c r="B21" s="54" t="s">
        <v>9186</v>
      </c>
      <c r="C21" s="54"/>
      <c r="D21" s="54"/>
      <c r="E21" s="54"/>
      <c r="F21" s="54"/>
      <c r="G21" s="54"/>
      <c r="H21" s="54"/>
      <c r="I21" s="54"/>
      <c r="J21" s="54"/>
      <c r="K21" s="54"/>
      <c r="L21" s="54"/>
      <c r="M21" s="54"/>
      <c r="N21" s="54"/>
      <c r="O21" s="54"/>
      <c r="P21" s="54"/>
      <c r="Q21" s="54"/>
      <c r="R21" s="54"/>
      <c r="S21" s="54"/>
      <c r="T21" s="54"/>
      <c r="U21" s="54"/>
      <c r="V21" s="54"/>
      <c r="W21" s="54"/>
      <c r="X21" s="54"/>
      <c r="Y21" s="54"/>
      <c r="Z21" s="48"/>
      <c r="AA21" s="69" t="s">
        <v>9187</v>
      </c>
      <c r="AB21" s="69"/>
      <c r="AC21" s="69"/>
      <c r="AD21" s="69"/>
      <c r="AE21" s="69"/>
      <c r="AF21" s="69"/>
      <c r="AG21" s="69"/>
      <c r="AH21" s="69"/>
      <c r="AI21" s="69"/>
      <c r="AJ21" s="69"/>
      <c r="AK21" s="69"/>
      <c r="AL21" s="69"/>
      <c r="AM21" s="69"/>
      <c r="AN21" s="50"/>
      <c r="BB21" s="50"/>
      <c r="BC21" s="76"/>
      <c r="BD21" s="77"/>
      <c r="BE21" s="77"/>
      <c r="BF21" s="77"/>
      <c r="BG21" s="77"/>
      <c r="BH21" s="78"/>
      <c r="BI21" s="79"/>
      <c r="BJ21" s="76"/>
      <c r="BK21" s="77"/>
      <c r="BL21" s="77"/>
      <c r="BM21" s="77"/>
      <c r="BN21" s="77"/>
      <c r="BO21" s="78"/>
      <c r="BP21" s="50"/>
      <c r="BQ21" s="43"/>
      <c r="BR21" s="43"/>
      <c r="BS21" s="43"/>
      <c r="BT21" s="43"/>
      <c r="BU21" s="43"/>
      <c r="BV21" s="43"/>
    </row>
    <row r="22" ht="15.6" customHeight="1" spans="1:74">
      <c r="A22" s="44"/>
      <c r="B22" s="54" t="s">
        <v>9188</v>
      </c>
      <c r="C22" s="54"/>
      <c r="D22" s="54"/>
      <c r="E22" s="54"/>
      <c r="F22" s="54"/>
      <c r="G22" s="54"/>
      <c r="H22" s="54"/>
      <c r="I22" s="54"/>
      <c r="J22" s="54"/>
      <c r="K22" s="54"/>
      <c r="L22" s="54"/>
      <c r="M22" s="54"/>
      <c r="N22" s="54"/>
      <c r="O22" s="54"/>
      <c r="P22" s="54"/>
      <c r="Q22" s="54"/>
      <c r="R22" s="54"/>
      <c r="S22" s="54"/>
      <c r="T22" s="54"/>
      <c r="U22" s="54"/>
      <c r="V22" s="54"/>
      <c r="W22" s="54"/>
      <c r="X22" s="54"/>
      <c r="Y22" s="54"/>
      <c r="Z22" s="48"/>
      <c r="AA22" s="50"/>
      <c r="AB22" s="80"/>
      <c r="AC22" s="80"/>
      <c r="AD22" s="80"/>
      <c r="AE22" s="80"/>
      <c r="AF22" s="80"/>
      <c r="AG22" s="80"/>
      <c r="AH22" s="80"/>
      <c r="AI22" s="80"/>
      <c r="AJ22" s="80"/>
      <c r="AK22" s="80"/>
      <c r="AL22" s="80"/>
      <c r="AM22" s="80"/>
      <c r="AN22" s="80"/>
      <c r="AO22" s="64"/>
      <c r="AP22" s="64"/>
      <c r="AQ22" s="64"/>
      <c r="AR22" s="64"/>
      <c r="AS22" s="64"/>
      <c r="AT22" s="64"/>
      <c r="AU22" s="64"/>
      <c r="AV22" s="64"/>
      <c r="AW22" s="64"/>
      <c r="AX22" s="64"/>
      <c r="AY22" s="64"/>
      <c r="AZ22" s="64"/>
      <c r="BA22" s="64"/>
      <c r="BB22" s="50"/>
      <c r="BP22" s="50"/>
      <c r="BQ22" s="43"/>
      <c r="BR22" s="43"/>
      <c r="BS22" s="43"/>
      <c r="BT22" s="43"/>
      <c r="BU22" s="43"/>
      <c r="BV22" s="43"/>
    </row>
    <row r="23" ht="15.6" customHeight="1" spans="1:74">
      <c r="A23" s="44"/>
      <c r="B23" s="81" t="s">
        <v>9189</v>
      </c>
      <c r="C23" s="81"/>
      <c r="D23" s="81"/>
      <c r="E23" s="81"/>
      <c r="F23" s="81"/>
      <c r="G23" s="81"/>
      <c r="H23" s="81"/>
      <c r="I23" s="81"/>
      <c r="J23" s="81"/>
      <c r="K23" s="81"/>
      <c r="L23" s="81"/>
      <c r="M23" s="81"/>
      <c r="N23" s="81"/>
      <c r="O23" s="81"/>
      <c r="P23" s="81"/>
      <c r="Q23" s="81"/>
      <c r="R23" s="81"/>
      <c r="S23" s="81"/>
      <c r="T23" s="81"/>
      <c r="U23" s="81"/>
      <c r="V23" s="81"/>
      <c r="W23" s="81"/>
      <c r="X23" s="81"/>
      <c r="Y23" s="81"/>
      <c r="Z23" s="48"/>
      <c r="AA23" s="56"/>
      <c r="AB23" s="82" t="s">
        <v>9190</v>
      </c>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48"/>
      <c r="BP23" s="50"/>
      <c r="BQ23" s="43"/>
      <c r="BR23" s="43"/>
      <c r="BS23" s="43"/>
      <c r="BT23" s="43"/>
      <c r="BU23" s="43"/>
      <c r="BV23" s="43"/>
    </row>
    <row r="24" ht="15.6" customHeight="1" spans="1:74">
      <c r="A24" s="44"/>
      <c r="B24" s="54" t="s">
        <v>9191</v>
      </c>
      <c r="C24" s="54"/>
      <c r="D24" s="54"/>
      <c r="E24" s="54"/>
      <c r="F24" s="54"/>
      <c r="G24" s="54"/>
      <c r="H24" s="54"/>
      <c r="I24" s="54"/>
      <c r="J24" s="54"/>
      <c r="K24" s="54"/>
      <c r="L24" s="54"/>
      <c r="M24" s="54"/>
      <c r="N24" s="54"/>
      <c r="O24" s="54"/>
      <c r="P24" s="54"/>
      <c r="Q24" s="54"/>
      <c r="R24" s="54"/>
      <c r="S24" s="54"/>
      <c r="T24" s="54"/>
      <c r="U24" s="54"/>
      <c r="V24" s="54"/>
      <c r="W24" s="54"/>
      <c r="X24" s="54"/>
      <c r="Y24" s="54"/>
      <c r="Z24" s="48"/>
      <c r="AA24" s="83"/>
      <c r="AB24" s="82" t="s">
        <v>9192</v>
      </c>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48"/>
      <c r="BP24" s="50"/>
      <c r="BQ24" s="43"/>
      <c r="BR24" s="43"/>
      <c r="BS24" s="43"/>
      <c r="BT24" s="43"/>
      <c r="BU24" s="43"/>
      <c r="BV24" s="43"/>
    </row>
    <row r="25" ht="15.6" customHeight="1" spans="1:74">
      <c r="A25" s="44"/>
      <c r="B25" s="54" t="s">
        <v>9193</v>
      </c>
      <c r="C25" s="54"/>
      <c r="D25" s="54"/>
      <c r="E25" s="54"/>
      <c r="F25" s="54"/>
      <c r="G25" s="54"/>
      <c r="H25" s="54"/>
      <c r="I25" s="54"/>
      <c r="J25" s="54"/>
      <c r="K25" s="54"/>
      <c r="L25" s="54"/>
      <c r="M25" s="54"/>
      <c r="N25" s="54"/>
      <c r="O25" s="54"/>
      <c r="P25" s="54"/>
      <c r="Q25" s="54"/>
      <c r="R25" s="54"/>
      <c r="S25" s="54"/>
      <c r="T25" s="54"/>
      <c r="U25" s="54"/>
      <c r="V25" s="54"/>
      <c r="W25" s="54"/>
      <c r="X25" s="54"/>
      <c r="Y25" s="54"/>
      <c r="Z25" s="48"/>
      <c r="AA25" s="83"/>
      <c r="AB25" s="82" t="s">
        <v>9194</v>
      </c>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48"/>
      <c r="BP25" s="50"/>
      <c r="BQ25" s="43"/>
      <c r="BR25" s="43"/>
      <c r="BS25" s="43"/>
      <c r="BT25" s="43"/>
      <c r="BU25" s="43"/>
      <c r="BV25" s="43"/>
    </row>
    <row r="26" ht="15.6" customHeight="1" spans="1:74">
      <c r="A26" s="44"/>
      <c r="B26" s="54" t="s">
        <v>9195</v>
      </c>
      <c r="C26" s="54"/>
      <c r="D26" s="54"/>
      <c r="E26" s="54"/>
      <c r="F26" s="54"/>
      <c r="G26" s="54"/>
      <c r="H26" s="54"/>
      <c r="I26" s="54"/>
      <c r="J26" s="54"/>
      <c r="K26" s="54"/>
      <c r="L26" s="54"/>
      <c r="M26" s="54"/>
      <c r="N26" s="54"/>
      <c r="O26" s="54"/>
      <c r="P26" s="54"/>
      <c r="Q26" s="54"/>
      <c r="R26" s="54"/>
      <c r="S26" s="54"/>
      <c r="T26" s="54"/>
      <c r="U26" s="54"/>
      <c r="V26" s="54"/>
      <c r="W26" s="54"/>
      <c r="X26" s="54"/>
      <c r="Y26" s="54"/>
      <c r="Z26" s="48"/>
      <c r="AA26" s="83"/>
      <c r="AB26" s="82" t="s">
        <v>9196</v>
      </c>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48"/>
      <c r="BC26" s="79"/>
      <c r="BD26" s="79"/>
      <c r="BE26" s="79"/>
      <c r="BF26" s="79"/>
      <c r="BG26" s="79"/>
      <c r="BH26" s="79"/>
      <c r="BI26" s="79"/>
      <c r="BJ26" s="79"/>
      <c r="BK26" s="79"/>
      <c r="BL26" s="79"/>
      <c r="BM26" s="79"/>
      <c r="BN26" s="79"/>
      <c r="BO26" s="79"/>
      <c r="BP26" s="50"/>
      <c r="BQ26" s="43"/>
      <c r="BR26" s="43"/>
      <c r="BS26" s="43"/>
      <c r="BT26" s="43"/>
    </row>
    <row r="27" ht="15.6" customHeight="1" spans="1:74">
      <c r="A27" s="44"/>
      <c r="B27" s="54" t="s">
        <v>9197</v>
      </c>
      <c r="C27" s="54"/>
      <c r="D27" s="54"/>
      <c r="E27" s="54"/>
      <c r="F27" s="54"/>
      <c r="G27" s="54"/>
      <c r="H27" s="54"/>
      <c r="I27" s="54"/>
      <c r="J27" s="54"/>
      <c r="K27" s="54"/>
      <c r="L27" s="54"/>
      <c r="M27" s="54"/>
      <c r="N27" s="54"/>
      <c r="O27" s="54"/>
      <c r="P27" s="54"/>
      <c r="Q27" s="54"/>
      <c r="R27" s="54"/>
      <c r="S27" s="54"/>
      <c r="T27" s="54"/>
      <c r="U27" s="54"/>
      <c r="V27" s="54"/>
      <c r="W27" s="54"/>
      <c r="X27" s="54"/>
      <c r="Y27" s="54"/>
      <c r="Z27" s="48"/>
      <c r="AA27" s="83"/>
      <c r="AB27" s="82" t="s">
        <v>9198</v>
      </c>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48"/>
      <c r="BC27" s="79"/>
      <c r="BD27" s="79"/>
      <c r="BE27" s="79"/>
      <c r="BF27" s="79"/>
      <c r="BG27" s="79"/>
      <c r="BH27" s="79"/>
      <c r="BI27" s="79"/>
      <c r="BJ27" s="79"/>
      <c r="BK27" s="79"/>
      <c r="BL27" s="79"/>
      <c r="BM27" s="79"/>
      <c r="BN27" s="79"/>
      <c r="BO27" s="79"/>
      <c r="BP27" s="50"/>
      <c r="BQ27" s="43"/>
      <c r="BR27" s="43"/>
      <c r="BS27" s="43"/>
      <c r="BT27" s="43"/>
    </row>
    <row r="28" ht="15.6" customHeight="1" spans="1:74">
      <c r="A28" s="44"/>
      <c r="B28" s="54" t="s">
        <v>9199</v>
      </c>
      <c r="C28" s="54"/>
      <c r="D28" s="54"/>
      <c r="E28" s="54"/>
      <c r="F28" s="54"/>
      <c r="G28" s="54"/>
      <c r="H28" s="54"/>
      <c r="I28" s="54"/>
      <c r="J28" s="54"/>
      <c r="K28" s="54"/>
      <c r="L28" s="54"/>
      <c r="M28" s="54"/>
      <c r="N28" s="54"/>
      <c r="O28" s="54"/>
      <c r="P28" s="54"/>
      <c r="Q28" s="54"/>
      <c r="R28" s="54"/>
      <c r="S28" s="54"/>
      <c r="T28" s="54"/>
      <c r="U28" s="54"/>
      <c r="V28" s="54"/>
      <c r="W28" s="54"/>
      <c r="X28" s="54"/>
      <c r="Y28" s="54"/>
      <c r="Z28" s="48"/>
      <c r="AA28" s="56"/>
      <c r="AB28" s="82" t="s">
        <v>9200</v>
      </c>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48"/>
      <c r="BC28" s="79"/>
      <c r="BD28" s="79"/>
      <c r="BE28" s="79"/>
      <c r="BF28" s="79"/>
      <c r="BG28" s="79"/>
      <c r="BH28" s="79"/>
      <c r="BI28" s="79"/>
      <c r="BJ28" s="79"/>
      <c r="BK28" s="79"/>
      <c r="BL28" s="79"/>
      <c r="BM28" s="79"/>
      <c r="BN28" s="79"/>
      <c r="BO28" s="79"/>
      <c r="BP28" s="50"/>
      <c r="BQ28" s="43"/>
      <c r="BR28" s="43"/>
      <c r="BS28" s="43"/>
      <c r="BT28" s="43"/>
    </row>
    <row r="29" ht="15.6" customHeight="1" spans="1:74">
      <c r="A29" s="44"/>
      <c r="B29" s="54" t="s">
        <v>9201</v>
      </c>
      <c r="C29" s="54"/>
      <c r="D29" s="54"/>
      <c r="E29" s="54"/>
      <c r="F29" s="54"/>
      <c r="G29" s="54"/>
      <c r="H29" s="54"/>
      <c r="I29" s="54"/>
      <c r="J29" s="54"/>
      <c r="K29" s="54"/>
      <c r="L29" s="54"/>
      <c r="M29" s="54"/>
      <c r="N29" s="54"/>
      <c r="O29" s="54"/>
      <c r="P29" s="54"/>
      <c r="Q29" s="54"/>
      <c r="R29" s="54"/>
      <c r="S29" s="54"/>
      <c r="T29" s="54"/>
      <c r="U29" s="54"/>
      <c r="V29" s="54"/>
      <c r="W29" s="54"/>
      <c r="X29" s="54"/>
      <c r="Y29" s="54"/>
      <c r="Z29" s="48"/>
      <c r="AA29" s="56"/>
      <c r="AB29" s="82" t="s">
        <v>9202</v>
      </c>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48"/>
      <c r="BC29" s="79"/>
      <c r="BD29" s="79"/>
      <c r="BE29" s="79"/>
      <c r="BF29" s="79"/>
      <c r="BG29" s="79"/>
      <c r="BH29" s="79"/>
      <c r="BI29" s="79"/>
      <c r="BJ29" s="79"/>
      <c r="BK29" s="79"/>
      <c r="BL29" s="79"/>
      <c r="BM29" s="79"/>
      <c r="BN29" s="79"/>
      <c r="BO29" s="79"/>
      <c r="BP29" s="50"/>
      <c r="BQ29" s="43"/>
      <c r="BR29" s="43"/>
      <c r="BS29" s="43"/>
      <c r="BT29" s="43"/>
    </row>
    <row r="30" ht="16.5" spans="1:74">
      <c r="A30" s="44"/>
      <c r="B30" s="54" t="s">
        <v>9203</v>
      </c>
      <c r="C30" s="54"/>
      <c r="D30" s="54"/>
      <c r="E30" s="54"/>
      <c r="F30" s="54"/>
      <c r="G30" s="54"/>
      <c r="H30" s="54"/>
      <c r="I30" s="54"/>
      <c r="J30" s="54"/>
      <c r="K30" s="54"/>
      <c r="L30" s="54"/>
      <c r="M30" s="54"/>
      <c r="N30" s="54"/>
      <c r="O30" s="54"/>
      <c r="P30" s="54"/>
      <c r="Q30" s="54"/>
      <c r="R30" s="54"/>
      <c r="S30" s="54"/>
      <c r="T30" s="54"/>
      <c r="U30" s="54"/>
      <c r="V30" s="54"/>
      <c r="W30" s="54"/>
      <c r="X30" s="54"/>
      <c r="Y30" s="54"/>
      <c r="Z30" s="48"/>
      <c r="AA30" s="56"/>
      <c r="AB30" s="82" t="s">
        <v>9204</v>
      </c>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48"/>
      <c r="BC30" s="84"/>
      <c r="BD30" s="50"/>
      <c r="BE30" s="50"/>
      <c r="BF30" s="50"/>
      <c r="BG30" s="50"/>
      <c r="BH30" s="50"/>
      <c r="BI30" s="50"/>
      <c r="BJ30" s="50"/>
      <c r="BK30" s="50"/>
      <c r="BL30" s="50"/>
      <c r="BM30" s="50"/>
      <c r="BN30" s="50"/>
      <c r="BO30" s="50"/>
      <c r="BP30" s="50"/>
      <c r="BQ30" s="43"/>
      <c r="BR30" s="43"/>
      <c r="BS30" s="43"/>
      <c r="BT30" s="43"/>
    </row>
    <row r="31" ht="16.5" spans="1:74">
      <c r="A31" s="44"/>
      <c r="B31" s="54" t="s">
        <v>9205</v>
      </c>
      <c r="C31" s="54"/>
      <c r="D31" s="54"/>
      <c r="E31" s="54"/>
      <c r="F31" s="54"/>
      <c r="G31" s="54"/>
      <c r="H31" s="54"/>
      <c r="I31" s="54"/>
      <c r="J31" s="54"/>
      <c r="K31" s="54"/>
      <c r="L31" s="54"/>
      <c r="M31" s="54"/>
      <c r="N31" s="54"/>
      <c r="O31" s="54"/>
      <c r="P31" s="54"/>
      <c r="Q31" s="54"/>
      <c r="R31" s="54"/>
      <c r="S31" s="54"/>
      <c r="T31" s="54"/>
      <c r="U31" s="54"/>
      <c r="V31" s="54"/>
      <c r="W31" s="54"/>
      <c r="X31" s="54"/>
      <c r="Y31" s="54"/>
      <c r="Z31" s="48"/>
      <c r="AA31" s="56"/>
      <c r="AB31" s="82" t="s">
        <v>9206</v>
      </c>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48"/>
      <c r="BC31" s="50"/>
      <c r="BD31" s="50"/>
      <c r="BE31" s="50"/>
      <c r="BF31" s="50"/>
      <c r="BG31" s="50"/>
      <c r="BH31" s="50"/>
      <c r="BI31" s="50"/>
      <c r="BJ31" s="50"/>
      <c r="BK31" s="50"/>
      <c r="BL31" s="50"/>
      <c r="BM31" s="50"/>
      <c r="BN31" s="50"/>
      <c r="BO31" s="50"/>
      <c r="BP31" s="50"/>
      <c r="BQ31" s="43"/>
      <c r="BR31" s="43"/>
      <c r="BS31" s="43"/>
      <c r="BT31" s="43"/>
    </row>
    <row r="32" ht="16.5" spans="1:74">
      <c r="A32" s="44"/>
      <c r="B32" s="54" t="s">
        <v>9207</v>
      </c>
      <c r="C32" s="54"/>
      <c r="D32" s="54"/>
      <c r="E32" s="54"/>
      <c r="F32" s="54"/>
      <c r="G32" s="54"/>
      <c r="H32" s="54"/>
      <c r="I32" s="54"/>
      <c r="J32" s="54"/>
      <c r="K32" s="54"/>
      <c r="L32" s="54"/>
      <c r="M32" s="54"/>
      <c r="N32" s="54"/>
      <c r="O32" s="54"/>
      <c r="P32" s="54"/>
      <c r="Q32" s="54"/>
      <c r="R32" s="54"/>
      <c r="S32" s="54"/>
      <c r="T32" s="54"/>
      <c r="U32" s="54"/>
      <c r="V32" s="54"/>
      <c r="W32" s="54"/>
      <c r="X32" s="54"/>
      <c r="Y32" s="54"/>
      <c r="Z32" s="48"/>
      <c r="AA32" s="56"/>
      <c r="AB32" s="82" t="s">
        <v>9208</v>
      </c>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48"/>
      <c r="BC32" s="50"/>
      <c r="BD32" s="50"/>
      <c r="BE32" s="50"/>
      <c r="BF32" s="50"/>
      <c r="BG32" s="50"/>
      <c r="BH32" s="50"/>
      <c r="BI32" s="50"/>
      <c r="BJ32" s="50"/>
      <c r="BK32" s="50"/>
      <c r="BL32" s="50"/>
      <c r="BM32" s="50"/>
      <c r="BN32" s="50"/>
      <c r="BO32" s="50"/>
      <c r="BP32" s="50"/>
      <c r="BQ32" s="43"/>
      <c r="BR32" s="43"/>
      <c r="BS32" s="43"/>
      <c r="BT32" s="43"/>
    </row>
    <row r="33" ht="16.5" spans="1:72">
      <c r="A33" s="44"/>
      <c r="B33" s="54" t="s">
        <v>9209</v>
      </c>
      <c r="C33" s="54"/>
      <c r="D33" s="54"/>
      <c r="E33" s="54"/>
      <c r="F33" s="54"/>
      <c r="G33" s="54"/>
      <c r="H33" s="54"/>
      <c r="I33" s="54"/>
      <c r="J33" s="54"/>
      <c r="K33" s="54"/>
      <c r="L33" s="54"/>
      <c r="M33" s="54"/>
      <c r="N33" s="54"/>
      <c r="O33" s="54"/>
      <c r="P33" s="54"/>
      <c r="Q33" s="54"/>
      <c r="R33" s="54"/>
      <c r="S33" s="54"/>
      <c r="T33" s="54"/>
      <c r="U33" s="54"/>
      <c r="V33" s="54"/>
      <c r="W33" s="54"/>
      <c r="X33" s="54"/>
      <c r="Y33" s="54"/>
      <c r="Z33" s="48"/>
      <c r="AA33" s="50"/>
      <c r="AB33" s="60"/>
      <c r="AC33" s="60"/>
      <c r="AD33" s="60"/>
      <c r="AE33" s="60"/>
      <c r="AF33" s="60"/>
      <c r="AG33" s="60"/>
      <c r="AH33" s="60"/>
      <c r="AI33" s="60"/>
      <c r="AJ33" s="60"/>
      <c r="AK33" s="60"/>
      <c r="AL33" s="60"/>
      <c r="AM33" s="60"/>
      <c r="AN33" s="60"/>
      <c r="AO33" s="60"/>
      <c r="AP33" s="60"/>
      <c r="AQ33" s="70"/>
      <c r="AR33" s="70"/>
      <c r="AS33" s="70"/>
      <c r="AT33" s="70"/>
      <c r="AU33" s="70"/>
      <c r="AV33" s="70"/>
      <c r="AW33" s="70"/>
      <c r="AX33" s="70"/>
      <c r="AY33" s="70"/>
      <c r="AZ33" s="70"/>
      <c r="BA33" s="70"/>
      <c r="BD33" s="50"/>
      <c r="BE33" s="50"/>
      <c r="BF33" s="50"/>
      <c r="BG33" s="50"/>
      <c r="BH33" s="50"/>
      <c r="BI33" s="50"/>
      <c r="BJ33" s="50"/>
      <c r="BK33" s="50"/>
      <c r="BL33" s="50"/>
      <c r="BM33" s="50"/>
      <c r="BN33" s="50"/>
      <c r="BO33" s="50"/>
      <c r="BP33" s="50"/>
      <c r="BQ33" s="43"/>
      <c r="BR33" s="43"/>
      <c r="BS33" s="43"/>
      <c r="BT33" s="43"/>
    </row>
    <row r="34" ht="15.6" customHeight="1" spans="1:72">
      <c r="A34" s="44"/>
      <c r="B34" s="51" t="s">
        <v>9210</v>
      </c>
      <c r="C34" s="51"/>
      <c r="D34" s="51"/>
      <c r="E34" s="51"/>
      <c r="F34" s="51"/>
      <c r="G34" s="51"/>
      <c r="H34" s="51"/>
      <c r="I34" s="51"/>
      <c r="J34" s="51"/>
      <c r="K34" s="51"/>
      <c r="L34" s="51"/>
      <c r="M34" s="51"/>
      <c r="N34" s="51"/>
      <c r="O34" s="51"/>
      <c r="P34" s="51"/>
      <c r="Q34" s="51"/>
      <c r="R34" s="51"/>
      <c r="S34" s="51"/>
      <c r="T34" s="51"/>
      <c r="U34" s="51"/>
      <c r="V34" s="51"/>
      <c r="W34" s="51"/>
      <c r="X34" s="51"/>
      <c r="Y34" s="51"/>
      <c r="BD34" s="50"/>
      <c r="BE34" s="50"/>
      <c r="BF34" s="50"/>
      <c r="BG34" s="50"/>
      <c r="BH34" s="50"/>
      <c r="BI34" s="50"/>
      <c r="BJ34" s="50"/>
      <c r="BK34" s="50"/>
      <c r="BL34" s="50"/>
      <c r="BM34" s="50"/>
      <c r="BN34" s="50"/>
      <c r="BO34" s="50"/>
      <c r="BP34" s="50"/>
      <c r="BQ34" s="43"/>
      <c r="BR34" s="43"/>
      <c r="BS34" s="43"/>
      <c r="BT34" s="43"/>
    </row>
    <row r="35" ht="15.6" customHeight="1" spans="1:72">
      <c r="A35" s="44"/>
      <c r="B35" s="51"/>
      <c r="C35" s="51"/>
      <c r="D35" s="51"/>
      <c r="E35" s="51"/>
      <c r="F35" s="51"/>
      <c r="G35" s="51"/>
      <c r="H35" s="51"/>
      <c r="I35" s="51"/>
      <c r="J35" s="51"/>
      <c r="K35" s="51"/>
      <c r="L35" s="51"/>
      <c r="M35" s="51"/>
      <c r="N35" s="51"/>
      <c r="O35" s="51"/>
      <c r="P35" s="51"/>
      <c r="Q35" s="51"/>
      <c r="R35" s="51"/>
      <c r="S35" s="51"/>
      <c r="T35" s="51"/>
      <c r="U35" s="51"/>
      <c r="V35" s="51"/>
      <c r="W35" s="51"/>
      <c r="X35" s="51"/>
      <c r="Y35" s="51"/>
      <c r="BD35" s="50"/>
      <c r="BE35" s="50"/>
      <c r="BF35" s="50"/>
      <c r="BG35" s="50"/>
      <c r="BH35" s="50"/>
      <c r="BI35" s="50"/>
      <c r="BJ35" s="50"/>
      <c r="BK35" s="50"/>
      <c r="BL35" s="50"/>
      <c r="BM35" s="50"/>
      <c r="BN35" s="50"/>
      <c r="BO35" s="50"/>
      <c r="BP35" s="50"/>
      <c r="BQ35" s="43"/>
      <c r="BR35" s="43"/>
      <c r="BS35" s="43"/>
      <c r="BT35" s="43"/>
    </row>
    <row r="36" ht="15" customHeight="1" spans="1:72">
      <c r="A36" s="83"/>
      <c r="B36" s="54" t="s">
        <v>9211</v>
      </c>
      <c r="C36" s="54"/>
      <c r="D36" s="54"/>
      <c r="E36" s="54"/>
      <c r="F36" s="54"/>
      <c r="G36" s="54"/>
      <c r="H36" s="54"/>
      <c r="I36" s="54"/>
      <c r="J36" s="54"/>
      <c r="K36" s="54"/>
      <c r="L36" s="54"/>
      <c r="M36" s="54"/>
      <c r="N36" s="54"/>
      <c r="O36" s="54"/>
      <c r="P36" s="54"/>
      <c r="Q36" s="54"/>
      <c r="R36" s="54"/>
      <c r="S36" s="54"/>
      <c r="T36" s="54"/>
      <c r="U36" s="54"/>
      <c r="V36" s="54"/>
      <c r="W36" s="54"/>
      <c r="X36" s="54"/>
      <c r="Y36" s="54"/>
    </row>
    <row r="37" ht="15" customHeight="1" spans="1:72">
      <c r="A37" s="83"/>
      <c r="B37" s="54" t="s">
        <v>9212</v>
      </c>
      <c r="C37" s="54"/>
      <c r="D37" s="54"/>
      <c r="E37" s="54"/>
      <c r="F37" s="54"/>
      <c r="G37" s="54"/>
      <c r="H37" s="54"/>
      <c r="I37" s="54"/>
      <c r="J37" s="54"/>
      <c r="K37" s="54"/>
      <c r="L37" s="54"/>
      <c r="M37" s="54"/>
      <c r="N37" s="54"/>
      <c r="O37" s="54"/>
      <c r="P37" s="54"/>
      <c r="Q37" s="54"/>
      <c r="R37" s="54"/>
      <c r="S37" s="54"/>
      <c r="T37" s="54"/>
      <c r="U37" s="54"/>
      <c r="V37" s="54"/>
      <c r="W37" s="54"/>
      <c r="X37" s="54"/>
      <c r="Y37" s="54"/>
    </row>
    <row r="38" ht="14.4" customHeight="1" spans="1:72">
      <c r="A38" s="83"/>
    </row>
    <row r="39" ht="15" customHeight="1" spans="1:72">
      <c r="A39" s="83"/>
    </row>
    <row r="40" ht="15" customHeight="1" spans="1:72">
      <c r="A40" s="83"/>
    </row>
    <row r="41" ht="15" customHeight="1" spans="1:72">
      <c r="A41" s="83"/>
    </row>
    <row r="42" ht="15" customHeight="1" spans="1:72">
      <c r="A42" s="83"/>
    </row>
    <row r="43" ht="15" customHeight="1" spans="1:72">
      <c r="A43" s="83"/>
    </row>
    <row r="44" spans="1:72">
      <c r="A44" s="83"/>
      <c r="Z44" s="85"/>
    </row>
    <row r="45" spans="1:72">
      <c r="A45" s="83"/>
      <c r="Z45" s="85"/>
    </row>
    <row r="46" spans="1:72">
      <c r="B46" s="70"/>
      <c r="C46" s="70"/>
      <c r="D46" s="70"/>
      <c r="E46" s="70"/>
      <c r="F46" s="70"/>
      <c r="G46" s="70"/>
      <c r="H46" s="70"/>
      <c r="I46" s="70"/>
      <c r="J46" s="70"/>
      <c r="K46" s="70"/>
      <c r="L46" s="70"/>
      <c r="M46" s="70"/>
      <c r="N46" s="70"/>
      <c r="O46" s="70"/>
      <c r="P46" s="70"/>
      <c r="Q46" s="70"/>
      <c r="R46" s="70"/>
      <c r="S46" s="70"/>
      <c r="T46" s="70"/>
      <c r="U46" s="70"/>
      <c r="V46" s="70"/>
      <c r="W46" s="70"/>
      <c r="X46" s="70"/>
      <c r="Y46" s="70"/>
    </row>
  </sheetData>
  <sheetProtection algorithmName="SHA-512" hashValue="raHOvqkrfSiYy6tEvIRsd/02pon2biq61+wRyxK4gJwE76UbubQzhURHL3tYd4Vva8lJOZRTyk/BqR7Ta+faJA==" saltValue="zw1bK2/4QSC4kInm3cg/0Q==" spinCount="100000" sheet="1" objects="1" scenarios="1"/>
  <mergeCells count="92">
    <mergeCell ref="B2:Y2"/>
    <mergeCell ref="AA2:AM2"/>
    <mergeCell ref="AO2:BA2"/>
    <mergeCell ref="BC2:BO2"/>
    <mergeCell ref="AA3:AM3"/>
    <mergeCell ref="AQ3:BA3"/>
    <mergeCell ref="BC3:BO3"/>
    <mergeCell ref="AA4:AM4"/>
    <mergeCell ref="AQ4:BA4"/>
    <mergeCell ref="B5:Y5"/>
    <mergeCell ref="AA5:AM5"/>
    <mergeCell ref="B6:Y6"/>
    <mergeCell ref="AA6:AM6"/>
    <mergeCell ref="AQ6:BA6"/>
    <mergeCell ref="B7:Y7"/>
    <mergeCell ref="AA7:AM7"/>
    <mergeCell ref="AQ7:BA7"/>
    <mergeCell ref="BC7:BO7"/>
    <mergeCell ref="B8:Y8"/>
    <mergeCell ref="AA8:AM8"/>
    <mergeCell ref="B9:Y9"/>
    <mergeCell ref="AA9:AM9"/>
    <mergeCell ref="AQ9:BA9"/>
    <mergeCell ref="B10:Y10"/>
    <mergeCell ref="AA10:AM10"/>
    <mergeCell ref="AQ10:BA10"/>
    <mergeCell ref="B11:Y11"/>
    <mergeCell ref="AA11:AM11"/>
    <mergeCell ref="BC11:BO11"/>
    <mergeCell ref="B12:Y12"/>
    <mergeCell ref="AA12:AM12"/>
    <mergeCell ref="AQ12:BA12"/>
    <mergeCell ref="B13:Y13"/>
    <mergeCell ref="AA13:AM13"/>
    <mergeCell ref="AQ13:BA13"/>
    <mergeCell ref="B14:Y14"/>
    <mergeCell ref="B15:Y15"/>
    <mergeCell ref="AQ15:BA15"/>
    <mergeCell ref="BC15:BO15"/>
    <mergeCell ref="B16:Y16"/>
    <mergeCell ref="AA16:AM16"/>
    <mergeCell ref="AQ16:BA16"/>
    <mergeCell ref="B17:Y17"/>
    <mergeCell ref="AA17:AM17"/>
    <mergeCell ref="B18:Y18"/>
    <mergeCell ref="AA18:AL18"/>
    <mergeCell ref="AQ18:BA18"/>
    <mergeCell ref="B19:Y19"/>
    <mergeCell ref="AQ19:BA19"/>
    <mergeCell ref="BC19:BO19"/>
    <mergeCell ref="B20:Y20"/>
    <mergeCell ref="AA20:AM20"/>
    <mergeCell ref="B21:Y21"/>
    <mergeCell ref="AA21:AM21"/>
    <mergeCell ref="B22:Y22"/>
    <mergeCell ref="B23:Y23"/>
    <mergeCell ref="AB23:BA23"/>
    <mergeCell ref="B24:Y24"/>
    <mergeCell ref="AB24:BA24"/>
    <mergeCell ref="B25:Y25"/>
    <mergeCell ref="AB25:BA25"/>
    <mergeCell ref="B26:Y26"/>
    <mergeCell ref="AB26:BA26"/>
    <mergeCell ref="B27:Y27"/>
    <mergeCell ref="AB27:BA27"/>
    <mergeCell ref="B28:Y28"/>
    <mergeCell ref="AB28:BA28"/>
    <mergeCell ref="B29:Y29"/>
    <mergeCell ref="AB29:BA29"/>
    <mergeCell ref="B30:Y30"/>
    <mergeCell ref="AB30:BA30"/>
    <mergeCell ref="B31:Y31"/>
    <mergeCell ref="AB31:BA31"/>
    <mergeCell ref="B32:Y32"/>
    <mergeCell ref="AB32:BA32"/>
    <mergeCell ref="B33:Y33"/>
    <mergeCell ref="B36:Y36"/>
    <mergeCell ref="B37:Y37"/>
    <mergeCell ref="B34:Y35"/>
    <mergeCell ref="AO18:AP19"/>
    <mergeCell ref="AO15:AP16"/>
    <mergeCell ref="BC16:BO17"/>
    <mergeCell ref="AO12:AP13"/>
    <mergeCell ref="BC12:BO13"/>
    <mergeCell ref="BC8:BO9"/>
    <mergeCell ref="AO9:AP10"/>
    <mergeCell ref="AO6:AP7"/>
    <mergeCell ref="BJ20:BO21"/>
    <mergeCell ref="BC20:BH21"/>
    <mergeCell ref="B3:Y4"/>
    <mergeCell ref="AO3:AP4"/>
    <mergeCell ref="BC4:BO5"/>
  </mergeCells>
  <hyperlinks>
    <hyperlink ref="BJ20" r:id="rId2" display="天麟网盘"/>
    <hyperlink ref="BC20" r:id="rId3" display="喵拜百度盘"/>
    <hyperlink ref="BC20:BH21" r:id="rId4" display="喵拜百度盘"/>
    <hyperlink ref="BJ20:BO21" r:id="rId5" display="天麟网盘"/>
  </hyperlinks>
  <pageMargins left="0.7" right="0.7" top="0.75" bottom="0.75" header="0.3" footer="0.3"/>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0" tint="-0.149998474074526"/>
  </sheetPr>
  <dimension ref="A1:AZ54"/>
  <sheetViews>
    <sheetView workbookViewId="0">
      <pane ySplit="2" topLeftCell="A3" activePane="bottomLeft" state="frozen"/>
      <selection/>
      <selection pane="bottomLeft" activeCell="AS3" sqref="B3:AT3"/>
    </sheetView>
  </sheetViews>
  <sheetFormatPr defaultColWidth="9" defaultRowHeight="14.5"/>
  <cols>
    <col min="1" max="52" width="2.33636363636364" style="28" customWidth="1"/>
    <col min="53" max="16384" width="9" style="28"/>
  </cols>
  <sheetData>
    <row r="1" ht="16.95" customHeight="1" spans="1:52">
      <c r="A1" s="2" t="s">
        <v>9213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9"/>
    </row>
    <row r="2" ht="16.95" customHeight="1" spans="1:52">
      <c r="A2" s="30"/>
      <c r="B2" s="30" t="s">
        <v>6629</v>
      </c>
      <c r="C2" s="30"/>
      <c r="D2" s="30" t="s">
        <v>114</v>
      </c>
      <c r="E2" s="30"/>
      <c r="F2" s="30"/>
      <c r="G2" s="30"/>
      <c r="H2" s="30"/>
      <c r="I2" s="30" t="s">
        <v>228</v>
      </c>
      <c r="J2" s="30"/>
      <c r="K2" s="30"/>
      <c r="L2" s="30" t="s">
        <v>129</v>
      </c>
      <c r="M2" s="30"/>
      <c r="N2" s="30"/>
      <c r="O2" s="30"/>
      <c r="P2" s="30" t="s">
        <v>229</v>
      </c>
      <c r="Q2" s="30"/>
      <c r="R2" s="30"/>
      <c r="S2" s="31" t="s">
        <v>9214</v>
      </c>
      <c r="T2" s="31"/>
      <c r="U2" s="31"/>
      <c r="V2" s="31" t="s">
        <v>6626</v>
      </c>
      <c r="W2" s="31"/>
      <c r="X2" s="31"/>
      <c r="Y2" s="31"/>
      <c r="Z2" s="31"/>
      <c r="AA2" s="31"/>
      <c r="AB2" s="30" t="s">
        <v>230</v>
      </c>
      <c r="AC2" s="30"/>
      <c r="AD2" s="30"/>
      <c r="AE2" s="32" t="s">
        <v>9215</v>
      </c>
      <c r="AF2" s="32"/>
      <c r="AG2" s="32"/>
      <c r="AH2" s="32"/>
      <c r="AI2" s="32"/>
      <c r="AJ2" s="32"/>
      <c r="AK2" s="32"/>
      <c r="AL2" s="32"/>
      <c r="AM2" s="32"/>
      <c r="AN2" s="32"/>
      <c r="AO2" s="32"/>
      <c r="AP2" s="32"/>
      <c r="AQ2" s="32"/>
      <c r="AR2" s="32"/>
      <c r="AS2" s="30" t="s">
        <v>221</v>
      </c>
      <c r="AT2" s="30"/>
      <c r="AU2" s="30"/>
      <c r="AV2" s="33"/>
    </row>
    <row r="3" ht="16.95" customHeight="1" spans="1:52">
      <c r="A3" s="34"/>
      <c r="B3" s="35"/>
      <c r="C3" s="35"/>
      <c r="D3" s="35"/>
      <c r="E3" s="35"/>
      <c r="F3" s="35"/>
      <c r="G3" s="35"/>
      <c r="H3" s="35"/>
      <c r="I3" s="35"/>
      <c r="J3" s="35"/>
      <c r="K3" s="35"/>
      <c r="L3" s="35"/>
      <c r="M3" s="35"/>
      <c r="N3" s="35"/>
      <c r="O3" s="35"/>
      <c r="P3" s="35"/>
      <c r="Q3" s="35"/>
      <c r="R3" s="35"/>
      <c r="S3" s="35"/>
      <c r="T3" s="35"/>
      <c r="U3" s="35"/>
      <c r="V3" s="36"/>
      <c r="W3" s="36"/>
      <c r="X3" s="36"/>
      <c r="Y3" s="36"/>
      <c r="Z3" s="36"/>
      <c r="AA3" s="36"/>
      <c r="AB3" s="35"/>
      <c r="AC3" s="35"/>
      <c r="AD3" s="35"/>
      <c r="AE3" s="35"/>
      <c r="AF3" s="35"/>
      <c r="AG3" s="35"/>
      <c r="AH3" s="35"/>
      <c r="AI3" s="35"/>
      <c r="AJ3" s="35"/>
      <c r="AK3" s="35"/>
      <c r="AL3" s="35"/>
      <c r="AM3" s="35"/>
      <c r="AN3" s="35"/>
      <c r="AO3" s="35"/>
      <c r="AP3" s="35"/>
      <c r="AQ3" s="35"/>
      <c r="AR3" s="35"/>
      <c r="AS3" s="35"/>
      <c r="AT3" s="35"/>
      <c r="AV3" s="37" t="s">
        <v>873</v>
      </c>
      <c r="AW3" s="37" t="s">
        <v>6672</v>
      </c>
      <c r="AX3" s="37" t="s">
        <v>6712</v>
      </c>
      <c r="AY3" s="37" t="s">
        <v>6766</v>
      </c>
      <c r="AZ3" s="37" t="s">
        <v>6731</v>
      </c>
    </row>
    <row r="4" ht="16.95" customHeight="1" spans="1:52">
      <c r="B4" s="38"/>
      <c r="C4" s="38"/>
      <c r="D4" s="38"/>
      <c r="E4" s="38"/>
      <c r="F4" s="38"/>
      <c r="G4" s="38"/>
      <c r="H4" s="38"/>
      <c r="I4" s="38"/>
      <c r="J4" s="38"/>
      <c r="K4" s="38"/>
      <c r="L4" s="38"/>
      <c r="M4" s="38"/>
      <c r="N4" s="38"/>
      <c r="O4" s="38"/>
      <c r="P4" s="38"/>
      <c r="Q4" s="38"/>
      <c r="R4" s="38"/>
      <c r="S4" s="38"/>
      <c r="T4" s="38"/>
      <c r="U4" s="38"/>
      <c r="V4" s="39"/>
      <c r="W4" s="39"/>
      <c r="X4" s="39"/>
      <c r="Y4" s="39"/>
      <c r="Z4" s="39"/>
      <c r="AA4" s="39"/>
      <c r="AB4" s="38"/>
      <c r="AC4" s="38"/>
      <c r="AD4" s="38"/>
      <c r="AE4" s="38"/>
      <c r="AF4" s="38"/>
      <c r="AG4" s="38"/>
      <c r="AH4" s="38"/>
      <c r="AI4" s="38"/>
      <c r="AJ4" s="38"/>
      <c r="AK4" s="38"/>
      <c r="AL4" s="38"/>
      <c r="AM4" s="38"/>
      <c r="AN4" s="38"/>
      <c r="AO4" s="38"/>
      <c r="AP4" s="38"/>
      <c r="AQ4" s="38"/>
      <c r="AR4" s="38"/>
      <c r="AS4" s="38"/>
      <c r="AT4" s="38"/>
      <c r="AV4" s="37" t="s">
        <v>9121</v>
      </c>
      <c r="AW4" s="37" t="s">
        <v>6664</v>
      </c>
      <c r="AX4" s="37" t="s">
        <v>6642</v>
      </c>
      <c r="AY4" s="37" t="s">
        <v>6730</v>
      </c>
      <c r="AZ4" s="37" t="s">
        <v>6780</v>
      </c>
    </row>
    <row r="5" ht="16.95" customHeight="1" spans="1:52">
      <c r="B5" s="35"/>
      <c r="C5" s="35"/>
      <c r="D5" s="35"/>
      <c r="E5" s="35"/>
      <c r="F5" s="35"/>
      <c r="G5" s="35"/>
      <c r="H5" s="35"/>
      <c r="I5" s="35"/>
      <c r="J5" s="35"/>
      <c r="K5" s="35"/>
      <c r="L5" s="35"/>
      <c r="M5" s="35"/>
      <c r="N5" s="35"/>
      <c r="O5" s="35"/>
      <c r="P5" s="35"/>
      <c r="Q5" s="35"/>
      <c r="R5" s="35"/>
      <c r="S5" s="35"/>
      <c r="T5" s="35"/>
      <c r="U5" s="35"/>
      <c r="V5" s="36"/>
      <c r="W5" s="36"/>
      <c r="X5" s="36"/>
      <c r="Y5" s="36"/>
      <c r="Z5" s="36"/>
      <c r="AA5" s="36"/>
      <c r="AB5" s="35"/>
      <c r="AC5" s="35"/>
      <c r="AD5" s="35"/>
      <c r="AE5" s="35"/>
      <c r="AF5" s="35"/>
      <c r="AG5" s="35"/>
      <c r="AH5" s="35"/>
      <c r="AI5" s="35"/>
      <c r="AJ5" s="35"/>
      <c r="AK5" s="35"/>
      <c r="AL5" s="35"/>
      <c r="AM5" s="35"/>
      <c r="AN5" s="35"/>
      <c r="AO5" s="35"/>
      <c r="AP5" s="35"/>
      <c r="AQ5" s="35"/>
      <c r="AR5" s="35"/>
      <c r="AS5" s="35"/>
      <c r="AT5" s="35"/>
      <c r="AV5" s="37" t="s">
        <v>9124</v>
      </c>
      <c r="AW5" s="37" t="s">
        <v>6650</v>
      </c>
      <c r="AX5" s="37" t="s">
        <v>6704</v>
      </c>
      <c r="AY5" s="37" t="s">
        <v>6658</v>
      </c>
      <c r="AZ5" s="37" t="s">
        <v>9216</v>
      </c>
    </row>
    <row r="6" ht="16.95" customHeight="1" spans="1:52">
      <c r="B6" s="38"/>
      <c r="C6" s="38"/>
      <c r="D6" s="38"/>
      <c r="E6" s="38"/>
      <c r="F6" s="38"/>
      <c r="G6" s="38"/>
      <c r="H6" s="38"/>
      <c r="I6" s="38"/>
      <c r="J6" s="38"/>
      <c r="K6" s="38"/>
      <c r="L6" s="38"/>
      <c r="M6" s="38"/>
      <c r="N6" s="38"/>
      <c r="O6" s="38"/>
      <c r="P6" s="38"/>
      <c r="Q6" s="38"/>
      <c r="R6" s="38"/>
      <c r="S6" s="38"/>
      <c r="T6" s="38"/>
      <c r="U6" s="38"/>
      <c r="V6" s="39"/>
      <c r="W6" s="39"/>
      <c r="X6" s="39"/>
      <c r="Y6" s="39"/>
      <c r="Z6" s="39"/>
      <c r="AA6" s="39"/>
      <c r="AB6" s="38"/>
      <c r="AC6" s="38"/>
      <c r="AD6" s="38"/>
      <c r="AE6" s="38"/>
      <c r="AF6" s="38"/>
      <c r="AG6" s="38"/>
      <c r="AH6" s="38"/>
      <c r="AI6" s="38"/>
      <c r="AJ6" s="38"/>
      <c r="AK6" s="38"/>
      <c r="AL6" s="38"/>
      <c r="AM6" s="38"/>
      <c r="AN6" s="38"/>
      <c r="AO6" s="38"/>
      <c r="AP6" s="38"/>
      <c r="AQ6" s="38"/>
      <c r="AR6" s="38"/>
      <c r="AS6" s="38"/>
      <c r="AT6" s="38"/>
      <c r="AV6" s="37" t="s">
        <v>9125</v>
      </c>
      <c r="AW6" s="37" t="s">
        <v>6657</v>
      </c>
      <c r="AX6" s="37" t="s">
        <v>6709</v>
      </c>
      <c r="AY6" s="37" t="s">
        <v>6779</v>
      </c>
      <c r="AZ6" s="37" t="s">
        <v>6709</v>
      </c>
    </row>
    <row r="7" ht="16.95" customHeight="1" spans="1:52">
      <c r="B7" s="35"/>
      <c r="C7" s="35"/>
      <c r="D7" s="35"/>
      <c r="E7" s="35"/>
      <c r="F7" s="35"/>
      <c r="G7" s="35"/>
      <c r="H7" s="35"/>
      <c r="I7" s="35"/>
      <c r="J7" s="35"/>
      <c r="K7" s="35"/>
      <c r="L7" s="35"/>
      <c r="M7" s="35"/>
      <c r="N7" s="35"/>
      <c r="O7" s="35"/>
      <c r="P7" s="35"/>
      <c r="Q7" s="35"/>
      <c r="R7" s="35"/>
      <c r="S7" s="35"/>
      <c r="T7" s="35"/>
      <c r="U7" s="35"/>
      <c r="V7" s="36"/>
      <c r="W7" s="36"/>
      <c r="X7" s="36"/>
      <c r="Y7" s="36"/>
      <c r="Z7" s="36"/>
      <c r="AA7" s="36"/>
      <c r="AB7" s="35"/>
      <c r="AC7" s="35"/>
      <c r="AD7" s="35"/>
      <c r="AE7" s="35"/>
      <c r="AF7" s="35"/>
      <c r="AG7" s="35"/>
      <c r="AH7" s="35"/>
      <c r="AI7" s="35"/>
      <c r="AJ7" s="35"/>
      <c r="AK7" s="35"/>
      <c r="AL7" s="35"/>
      <c r="AM7" s="35"/>
      <c r="AN7" s="35"/>
      <c r="AO7" s="35"/>
      <c r="AP7" s="35"/>
      <c r="AQ7" s="35"/>
      <c r="AR7" s="35"/>
      <c r="AS7" s="35"/>
      <c r="AT7" s="35"/>
      <c r="AV7" s="37" t="s">
        <v>9126</v>
      </c>
      <c r="AW7" s="37" t="s">
        <v>6695</v>
      </c>
      <c r="AX7" s="37" t="s">
        <v>6731</v>
      </c>
      <c r="AY7" s="37" t="s">
        <v>6736</v>
      </c>
      <c r="AZ7" s="37" t="s">
        <v>6652</v>
      </c>
    </row>
    <row r="8" ht="16.95" customHeight="1" spans="1:52">
      <c r="B8" s="38"/>
      <c r="C8" s="38"/>
      <c r="D8" s="38"/>
      <c r="E8" s="38"/>
      <c r="F8" s="38"/>
      <c r="G8" s="38"/>
      <c r="H8" s="38"/>
      <c r="I8" s="38"/>
      <c r="J8" s="38"/>
      <c r="K8" s="38"/>
      <c r="L8" s="38"/>
      <c r="M8" s="38"/>
      <c r="N8" s="38"/>
      <c r="O8" s="38"/>
      <c r="P8" s="38"/>
      <c r="Q8" s="38"/>
      <c r="R8" s="38"/>
      <c r="S8" s="38"/>
      <c r="T8" s="38"/>
      <c r="U8" s="38"/>
      <c r="V8" s="39"/>
      <c r="W8" s="39"/>
      <c r="X8" s="39"/>
      <c r="Y8" s="39"/>
      <c r="Z8" s="39"/>
      <c r="AA8" s="39"/>
      <c r="AB8" s="38"/>
      <c r="AC8" s="38"/>
      <c r="AD8" s="38"/>
      <c r="AE8" s="38"/>
      <c r="AF8" s="38"/>
      <c r="AG8" s="38"/>
      <c r="AH8" s="38"/>
      <c r="AI8" s="38"/>
      <c r="AJ8" s="38"/>
      <c r="AK8" s="38"/>
      <c r="AL8" s="38"/>
      <c r="AM8" s="38"/>
      <c r="AN8" s="38"/>
      <c r="AO8" s="38"/>
      <c r="AP8" s="38"/>
      <c r="AQ8" s="38"/>
      <c r="AR8" s="38"/>
      <c r="AS8" s="38"/>
      <c r="AT8" s="38"/>
      <c r="AV8" s="37" t="s">
        <v>9128</v>
      </c>
      <c r="AW8" s="37" t="s">
        <v>6641</v>
      </c>
      <c r="AX8" s="37" t="s">
        <v>6748</v>
      </c>
      <c r="AY8" s="37" t="s">
        <v>6800</v>
      </c>
      <c r="AZ8" s="37" t="s">
        <v>6767</v>
      </c>
    </row>
    <row r="9" ht="16.95" customHeight="1" spans="1:52">
      <c r="B9" s="35"/>
      <c r="C9" s="35"/>
      <c r="D9" s="35"/>
      <c r="E9" s="35"/>
      <c r="F9" s="35"/>
      <c r="G9" s="35"/>
      <c r="H9" s="35"/>
      <c r="I9" s="35"/>
      <c r="J9" s="35"/>
      <c r="K9" s="35"/>
      <c r="L9" s="35"/>
      <c r="M9" s="35"/>
      <c r="N9" s="35"/>
      <c r="O9" s="35"/>
      <c r="P9" s="35"/>
      <c r="Q9" s="35"/>
      <c r="R9" s="35"/>
      <c r="S9" s="35"/>
      <c r="T9" s="35"/>
      <c r="U9" s="35"/>
      <c r="V9" s="36"/>
      <c r="W9" s="36"/>
      <c r="X9" s="36"/>
      <c r="Y9" s="36"/>
      <c r="Z9" s="36"/>
      <c r="AA9" s="36"/>
      <c r="AB9" s="35"/>
      <c r="AC9" s="35"/>
      <c r="AD9" s="35"/>
      <c r="AE9" s="35"/>
      <c r="AF9" s="35"/>
      <c r="AG9" s="35"/>
      <c r="AH9" s="35"/>
      <c r="AI9" s="35"/>
      <c r="AJ9" s="35"/>
      <c r="AK9" s="35"/>
      <c r="AL9" s="35"/>
      <c r="AM9" s="35"/>
      <c r="AN9" s="35"/>
      <c r="AO9" s="35"/>
      <c r="AP9" s="35"/>
      <c r="AQ9" s="35"/>
      <c r="AR9" s="35"/>
      <c r="AS9" s="35"/>
      <c r="AT9" s="35"/>
      <c r="AV9" s="37" t="s">
        <v>9129</v>
      </c>
      <c r="AW9" s="37" t="s">
        <v>6688</v>
      </c>
      <c r="AX9" s="37" t="s">
        <v>6759</v>
      </c>
      <c r="AY9" s="37" t="s">
        <v>6786</v>
      </c>
      <c r="AZ9" s="37" t="s">
        <v>6704</v>
      </c>
    </row>
    <row r="10" ht="16.95" customHeight="1" spans="1:52">
      <c r="B10" s="38"/>
      <c r="C10" s="38"/>
      <c r="D10" s="38"/>
      <c r="E10" s="38"/>
      <c r="F10" s="38"/>
      <c r="G10" s="38"/>
      <c r="H10" s="38"/>
      <c r="I10" s="38"/>
      <c r="J10" s="38"/>
      <c r="K10" s="38"/>
      <c r="L10" s="38"/>
      <c r="M10" s="38"/>
      <c r="N10" s="38"/>
      <c r="O10" s="38"/>
      <c r="P10" s="38"/>
      <c r="Q10" s="38"/>
      <c r="R10" s="38"/>
      <c r="S10" s="38"/>
      <c r="T10" s="38"/>
      <c r="U10" s="38"/>
      <c r="V10" s="39"/>
      <c r="W10" s="39"/>
      <c r="X10" s="39"/>
      <c r="Y10" s="39"/>
      <c r="Z10" s="39"/>
      <c r="AA10" s="39"/>
      <c r="AB10" s="38"/>
      <c r="AC10" s="38"/>
      <c r="AD10" s="38"/>
      <c r="AE10" s="38"/>
      <c r="AF10" s="38"/>
      <c r="AG10" s="38"/>
      <c r="AH10" s="38"/>
      <c r="AI10" s="38"/>
      <c r="AJ10" s="38"/>
      <c r="AK10" s="38"/>
      <c r="AL10" s="38"/>
      <c r="AM10" s="38"/>
      <c r="AN10" s="38"/>
      <c r="AO10" s="38"/>
      <c r="AP10" s="38"/>
      <c r="AQ10" s="38"/>
      <c r="AR10" s="38"/>
      <c r="AS10" s="38"/>
      <c r="AT10" s="38"/>
      <c r="AV10" s="37" t="s">
        <v>9130</v>
      </c>
      <c r="AW10" s="37" t="s">
        <v>6726</v>
      </c>
      <c r="AX10" s="37" t="s">
        <v>6754</v>
      </c>
      <c r="AY10" s="37" t="s">
        <v>6673</v>
      </c>
      <c r="AZ10" s="37" t="s">
        <v>9217</v>
      </c>
    </row>
    <row r="11" ht="16.95" customHeight="1" spans="1:52">
      <c r="B11" s="35"/>
      <c r="C11" s="35"/>
      <c r="D11" s="35"/>
      <c r="E11" s="35"/>
      <c r="F11" s="35"/>
      <c r="G11" s="35"/>
      <c r="H11" s="35"/>
      <c r="I11" s="35"/>
      <c r="J11" s="35"/>
      <c r="K11" s="35"/>
      <c r="L11" s="35"/>
      <c r="M11" s="35"/>
      <c r="N11" s="35"/>
      <c r="O11" s="35"/>
      <c r="P11" s="35"/>
      <c r="Q11" s="35"/>
      <c r="R11" s="35"/>
      <c r="S11" s="35"/>
      <c r="T11" s="35"/>
      <c r="U11" s="35"/>
      <c r="V11" s="36"/>
      <c r="W11" s="36"/>
      <c r="X11" s="36"/>
      <c r="Y11" s="36"/>
      <c r="Z11" s="36"/>
      <c r="AA11" s="36"/>
      <c r="AB11" s="35"/>
      <c r="AC11" s="35"/>
      <c r="AD11" s="35"/>
      <c r="AE11" s="35"/>
      <c r="AF11" s="35"/>
      <c r="AG11" s="35"/>
      <c r="AH11" s="35"/>
      <c r="AI11" s="35"/>
      <c r="AJ11" s="35"/>
      <c r="AK11" s="35"/>
      <c r="AL11" s="35"/>
      <c r="AM11" s="35"/>
      <c r="AN11" s="35"/>
      <c r="AO11" s="35"/>
      <c r="AP11" s="35"/>
      <c r="AQ11" s="35"/>
      <c r="AR11" s="35"/>
      <c r="AS11" s="35"/>
      <c r="AT11" s="35"/>
      <c r="AV11" s="37" t="s">
        <v>9131</v>
      </c>
      <c r="AW11" s="37" t="s">
        <v>9218</v>
      </c>
      <c r="AX11" s="37"/>
      <c r="AY11" s="37" t="s">
        <v>6793</v>
      </c>
      <c r="AZ11" s="37" t="s">
        <v>6759</v>
      </c>
    </row>
    <row r="12" ht="16.95" customHeight="1" spans="1:52">
      <c r="B12" s="38"/>
      <c r="C12" s="38"/>
      <c r="D12" s="38"/>
      <c r="E12" s="38"/>
      <c r="F12" s="38"/>
      <c r="G12" s="38"/>
      <c r="H12" s="38"/>
      <c r="I12" s="38"/>
      <c r="J12" s="38"/>
      <c r="K12" s="38"/>
      <c r="L12" s="38"/>
      <c r="M12" s="38"/>
      <c r="N12" s="38"/>
      <c r="O12" s="38"/>
      <c r="P12" s="38"/>
      <c r="Q12" s="38"/>
      <c r="R12" s="38"/>
      <c r="S12" s="38"/>
      <c r="T12" s="38"/>
      <c r="U12" s="38"/>
      <c r="V12" s="39"/>
      <c r="W12" s="39"/>
      <c r="X12" s="39"/>
      <c r="Y12" s="39"/>
      <c r="Z12" s="39"/>
      <c r="AA12" s="39"/>
      <c r="AB12" s="38"/>
      <c r="AC12" s="38"/>
      <c r="AD12" s="38"/>
      <c r="AE12" s="38"/>
      <c r="AF12" s="38"/>
      <c r="AG12" s="38"/>
      <c r="AH12" s="38"/>
      <c r="AI12" s="38"/>
      <c r="AJ12" s="38"/>
      <c r="AK12" s="38"/>
      <c r="AL12" s="38"/>
      <c r="AM12" s="38"/>
      <c r="AN12" s="38"/>
      <c r="AO12" s="38"/>
      <c r="AP12" s="38"/>
      <c r="AQ12" s="38"/>
      <c r="AR12" s="38"/>
      <c r="AS12" s="38"/>
      <c r="AT12" s="38"/>
      <c r="AV12" s="37" t="s">
        <v>9133</v>
      </c>
      <c r="AW12" s="37" t="s">
        <v>9219</v>
      </c>
      <c r="AX12" s="37"/>
      <c r="AY12" s="37" t="s">
        <v>9220</v>
      </c>
      <c r="AZ12" s="37" t="s">
        <v>6787</v>
      </c>
    </row>
    <row r="13" ht="16.95" customHeight="1" spans="1:52">
      <c r="B13" s="35"/>
      <c r="C13" s="35"/>
      <c r="D13" s="35"/>
      <c r="E13" s="35"/>
      <c r="F13" s="35"/>
      <c r="G13" s="35"/>
      <c r="H13" s="35"/>
      <c r="I13" s="35"/>
      <c r="J13" s="35"/>
      <c r="K13" s="35"/>
      <c r="L13" s="35"/>
      <c r="M13" s="35"/>
      <c r="N13" s="35"/>
      <c r="O13" s="35"/>
      <c r="P13" s="35"/>
      <c r="Q13" s="35"/>
      <c r="R13" s="35"/>
      <c r="S13" s="35"/>
      <c r="T13" s="35"/>
      <c r="U13" s="35"/>
      <c r="V13" s="36"/>
      <c r="W13" s="36"/>
      <c r="X13" s="36"/>
      <c r="Y13" s="36"/>
      <c r="Z13" s="36"/>
      <c r="AA13" s="36"/>
      <c r="AB13" s="35"/>
      <c r="AC13" s="35"/>
      <c r="AD13" s="35"/>
      <c r="AE13" s="35"/>
      <c r="AF13" s="35"/>
      <c r="AG13" s="35"/>
      <c r="AH13" s="35"/>
      <c r="AI13" s="35"/>
      <c r="AJ13" s="35"/>
      <c r="AK13" s="35"/>
      <c r="AL13" s="35"/>
      <c r="AM13" s="35"/>
      <c r="AN13" s="35"/>
      <c r="AO13" s="35"/>
      <c r="AP13" s="35"/>
      <c r="AQ13" s="35"/>
      <c r="AR13" s="35"/>
      <c r="AS13" s="35"/>
      <c r="AT13" s="35"/>
      <c r="AV13" s="37"/>
      <c r="AW13" s="37" t="s">
        <v>9221</v>
      </c>
      <c r="AX13" s="37"/>
      <c r="AY13" s="37" t="s">
        <v>6723</v>
      </c>
      <c r="AZ13" s="37" t="s">
        <v>6773</v>
      </c>
    </row>
    <row r="14" ht="16.95" customHeight="1" spans="1:52">
      <c r="B14" s="38"/>
      <c r="C14" s="38"/>
      <c r="D14" s="38"/>
      <c r="E14" s="38"/>
      <c r="F14" s="38"/>
      <c r="G14" s="38"/>
      <c r="H14" s="38"/>
      <c r="I14" s="38"/>
      <c r="J14" s="38"/>
      <c r="K14" s="38"/>
      <c r="L14" s="38"/>
      <c r="M14" s="38"/>
      <c r="N14" s="38"/>
      <c r="O14" s="38"/>
      <c r="P14" s="38"/>
      <c r="Q14" s="38"/>
      <c r="R14" s="38"/>
      <c r="S14" s="38"/>
      <c r="T14" s="38"/>
      <c r="U14" s="38"/>
      <c r="V14" s="39"/>
      <c r="W14" s="39"/>
      <c r="X14" s="39"/>
      <c r="Y14" s="39"/>
      <c r="Z14" s="39"/>
      <c r="AA14" s="39"/>
      <c r="AB14" s="38"/>
      <c r="AC14" s="38"/>
      <c r="AD14" s="38"/>
      <c r="AE14" s="38"/>
      <c r="AF14" s="38"/>
      <c r="AG14" s="38"/>
      <c r="AH14" s="38"/>
      <c r="AI14" s="38"/>
      <c r="AJ14" s="38"/>
      <c r="AK14" s="38"/>
      <c r="AL14" s="38"/>
      <c r="AM14" s="38"/>
      <c r="AN14" s="38"/>
      <c r="AO14" s="38"/>
      <c r="AP14" s="38"/>
      <c r="AQ14" s="38"/>
      <c r="AR14" s="38"/>
      <c r="AS14" s="38"/>
      <c r="AT14" s="38"/>
      <c r="AV14" s="37"/>
      <c r="AW14" s="37" t="s">
        <v>9222</v>
      </c>
      <c r="AX14" s="37"/>
      <c r="AY14" s="37" t="s">
        <v>6643</v>
      </c>
      <c r="AZ14" s="37" t="s">
        <v>6748</v>
      </c>
    </row>
    <row r="15" ht="16.95" customHeight="1" spans="1:52">
      <c r="B15" s="35"/>
      <c r="C15" s="35"/>
      <c r="D15" s="35"/>
      <c r="E15" s="35"/>
      <c r="F15" s="35"/>
      <c r="G15" s="35"/>
      <c r="H15" s="35"/>
      <c r="I15" s="35"/>
      <c r="J15" s="35"/>
      <c r="K15" s="35"/>
      <c r="L15" s="35"/>
      <c r="M15" s="35"/>
      <c r="N15" s="35"/>
      <c r="O15" s="35"/>
      <c r="P15" s="35"/>
      <c r="Q15" s="35"/>
      <c r="R15" s="35"/>
      <c r="S15" s="35"/>
      <c r="T15" s="35"/>
      <c r="U15" s="35"/>
      <c r="V15" s="36"/>
      <c r="W15" s="36"/>
      <c r="X15" s="36"/>
      <c r="Y15" s="36"/>
      <c r="Z15" s="36"/>
      <c r="AA15" s="36"/>
      <c r="AB15" s="35"/>
      <c r="AC15" s="35"/>
      <c r="AD15" s="35"/>
      <c r="AE15" s="35"/>
      <c r="AF15" s="35"/>
      <c r="AG15" s="35"/>
      <c r="AH15" s="35"/>
      <c r="AI15" s="35"/>
      <c r="AJ15" s="35"/>
      <c r="AK15" s="35"/>
      <c r="AL15" s="35"/>
      <c r="AM15" s="35"/>
      <c r="AN15" s="35"/>
      <c r="AO15" s="35"/>
      <c r="AP15" s="35"/>
      <c r="AQ15" s="35"/>
      <c r="AR15" s="35"/>
      <c r="AS15" s="35"/>
      <c r="AT15" s="35"/>
      <c r="AV15" s="37"/>
      <c r="AW15" s="37" t="s">
        <v>9223</v>
      </c>
      <c r="AX15" s="37"/>
      <c r="AY15" s="37" t="s">
        <v>6760</v>
      </c>
      <c r="AZ15" s="37" t="s">
        <v>9224</v>
      </c>
    </row>
    <row r="16" ht="16.95" customHeight="1" spans="1:52">
      <c r="B16" s="38"/>
      <c r="C16" s="38"/>
      <c r="D16" s="38"/>
      <c r="E16" s="38"/>
      <c r="F16" s="38"/>
      <c r="G16" s="38"/>
      <c r="H16" s="38"/>
      <c r="I16" s="38"/>
      <c r="J16" s="38"/>
      <c r="K16" s="38"/>
      <c r="L16" s="38"/>
      <c r="M16" s="38"/>
      <c r="N16" s="38"/>
      <c r="O16" s="38"/>
      <c r="P16" s="38"/>
      <c r="Q16" s="38"/>
      <c r="R16" s="38"/>
      <c r="S16" s="38"/>
      <c r="T16" s="38"/>
      <c r="U16" s="38"/>
      <c r="V16" s="39"/>
      <c r="W16" s="39"/>
      <c r="X16" s="39"/>
      <c r="Y16" s="39"/>
      <c r="Z16" s="39"/>
      <c r="AA16" s="39"/>
      <c r="AB16" s="38"/>
      <c r="AC16" s="38"/>
      <c r="AD16" s="38"/>
      <c r="AE16" s="38"/>
      <c r="AF16" s="38"/>
      <c r="AG16" s="38"/>
      <c r="AH16" s="38"/>
      <c r="AI16" s="38"/>
      <c r="AJ16" s="38"/>
      <c r="AK16" s="38"/>
      <c r="AL16" s="38"/>
      <c r="AM16" s="38"/>
      <c r="AN16" s="38"/>
      <c r="AO16" s="38"/>
      <c r="AP16" s="38"/>
      <c r="AQ16" s="38"/>
      <c r="AR16" s="38"/>
      <c r="AS16" s="38"/>
      <c r="AT16" s="38"/>
      <c r="AV16" s="37"/>
      <c r="AW16" s="37" t="s">
        <v>9225</v>
      </c>
      <c r="AX16" s="37"/>
      <c r="AY16" s="37" t="s">
        <v>9226</v>
      </c>
      <c r="AZ16" s="37" t="s">
        <v>6644</v>
      </c>
    </row>
    <row r="17" ht="16.95" customHeight="1" spans="2:52">
      <c r="B17" s="35"/>
      <c r="C17" s="35"/>
      <c r="D17" s="35"/>
      <c r="E17" s="35"/>
      <c r="F17" s="35"/>
      <c r="G17" s="35"/>
      <c r="H17" s="35"/>
      <c r="I17" s="35"/>
      <c r="J17" s="35"/>
      <c r="K17" s="35"/>
      <c r="L17" s="35"/>
      <c r="M17" s="35"/>
      <c r="N17" s="35"/>
      <c r="O17" s="35"/>
      <c r="P17" s="35"/>
      <c r="Q17" s="35"/>
      <c r="R17" s="35"/>
      <c r="S17" s="35"/>
      <c r="T17" s="35"/>
      <c r="U17" s="35"/>
      <c r="V17" s="36"/>
      <c r="W17" s="36"/>
      <c r="X17" s="36"/>
      <c r="Y17" s="36"/>
      <c r="Z17" s="36"/>
      <c r="AA17" s="36"/>
      <c r="AB17" s="35"/>
      <c r="AC17" s="35"/>
      <c r="AD17" s="35"/>
      <c r="AE17" s="35"/>
      <c r="AF17" s="35"/>
      <c r="AG17" s="35"/>
      <c r="AH17" s="35"/>
      <c r="AI17" s="35"/>
      <c r="AJ17" s="35"/>
      <c r="AK17" s="35"/>
      <c r="AL17" s="35"/>
      <c r="AM17" s="35"/>
      <c r="AN17" s="35"/>
      <c r="AO17" s="35"/>
      <c r="AP17" s="35"/>
      <c r="AQ17" s="35"/>
      <c r="AR17" s="35"/>
      <c r="AS17" s="35"/>
      <c r="AT17" s="35"/>
      <c r="AV17" s="37"/>
      <c r="AW17" s="37" t="s">
        <v>9227</v>
      </c>
      <c r="AX17" s="37"/>
      <c r="AY17" s="37" t="s">
        <v>3760</v>
      </c>
      <c r="AZ17" s="37" t="s">
        <v>9228</v>
      </c>
    </row>
    <row r="18" ht="16.95" customHeight="1" spans="2:52">
      <c r="B18" s="38"/>
      <c r="C18" s="38"/>
      <c r="D18" s="38"/>
      <c r="E18" s="38"/>
      <c r="F18" s="38"/>
      <c r="G18" s="38"/>
      <c r="H18" s="38"/>
      <c r="I18" s="38"/>
      <c r="J18" s="38"/>
      <c r="K18" s="38"/>
      <c r="L18" s="38"/>
      <c r="M18" s="38"/>
      <c r="N18" s="38"/>
      <c r="O18" s="38"/>
      <c r="P18" s="38"/>
      <c r="Q18" s="38"/>
      <c r="R18" s="38"/>
      <c r="S18" s="38"/>
      <c r="T18" s="38"/>
      <c r="U18" s="38"/>
      <c r="V18" s="39"/>
      <c r="W18" s="39"/>
      <c r="X18" s="39"/>
      <c r="Y18" s="39"/>
      <c r="Z18" s="39"/>
      <c r="AA18" s="39"/>
      <c r="AB18" s="38"/>
      <c r="AC18" s="38"/>
      <c r="AD18" s="38"/>
      <c r="AE18" s="38"/>
      <c r="AF18" s="38"/>
      <c r="AG18" s="38"/>
      <c r="AH18" s="38"/>
      <c r="AI18" s="38"/>
      <c r="AJ18" s="38"/>
      <c r="AK18" s="38"/>
      <c r="AL18" s="38"/>
      <c r="AM18" s="38"/>
      <c r="AN18" s="38"/>
      <c r="AO18" s="38"/>
      <c r="AP18" s="38"/>
      <c r="AQ18" s="38"/>
      <c r="AR18" s="38"/>
      <c r="AS18" s="38"/>
      <c r="AT18" s="38"/>
      <c r="AV18" s="37"/>
      <c r="AW18" s="37" t="s">
        <v>9229</v>
      </c>
      <c r="AX18" s="37"/>
      <c r="AY18" s="37" t="s">
        <v>9230</v>
      </c>
      <c r="AZ18" s="37" t="s">
        <v>6837</v>
      </c>
    </row>
    <row r="19" ht="16.95" customHeight="1" spans="2:52">
      <c r="B19" s="35"/>
      <c r="C19" s="35"/>
      <c r="D19" s="35"/>
      <c r="E19" s="35"/>
      <c r="F19" s="35"/>
      <c r="G19" s="35"/>
      <c r="H19" s="35"/>
      <c r="I19" s="35"/>
      <c r="J19" s="35"/>
      <c r="K19" s="35"/>
      <c r="L19" s="35"/>
      <c r="M19" s="35"/>
      <c r="N19" s="35"/>
      <c r="O19" s="35"/>
      <c r="P19" s="35"/>
      <c r="Q19" s="35"/>
      <c r="R19" s="35"/>
      <c r="S19" s="35"/>
      <c r="T19" s="35"/>
      <c r="U19" s="35"/>
      <c r="V19" s="36"/>
      <c r="W19" s="36"/>
      <c r="X19" s="36"/>
      <c r="Y19" s="36"/>
      <c r="Z19" s="36"/>
      <c r="AA19" s="36"/>
      <c r="AB19" s="35"/>
      <c r="AC19" s="35"/>
      <c r="AD19" s="35"/>
      <c r="AE19" s="35"/>
      <c r="AF19" s="35"/>
      <c r="AG19" s="35"/>
      <c r="AH19" s="35"/>
      <c r="AI19" s="35"/>
      <c r="AJ19" s="35"/>
      <c r="AK19" s="35"/>
      <c r="AL19" s="35"/>
      <c r="AM19" s="35"/>
      <c r="AN19" s="35"/>
      <c r="AO19" s="35"/>
      <c r="AP19" s="35"/>
      <c r="AQ19" s="35"/>
      <c r="AR19" s="35"/>
      <c r="AS19" s="35"/>
      <c r="AT19" s="35"/>
      <c r="AV19" s="37"/>
      <c r="AW19" s="37"/>
      <c r="AX19" s="37"/>
      <c r="AY19" s="37" t="s">
        <v>6820</v>
      </c>
      <c r="AZ19" s="37" t="s">
        <v>6638</v>
      </c>
    </row>
    <row r="20" ht="16.95" customHeight="1" spans="2:52">
      <c r="B20" s="38"/>
      <c r="C20" s="38"/>
      <c r="D20" s="38"/>
      <c r="E20" s="38"/>
      <c r="F20" s="38"/>
      <c r="G20" s="38"/>
      <c r="H20" s="38"/>
      <c r="I20" s="38"/>
      <c r="J20" s="38"/>
      <c r="K20" s="38"/>
      <c r="L20" s="38"/>
      <c r="M20" s="38"/>
      <c r="N20" s="38"/>
      <c r="O20" s="38"/>
      <c r="P20" s="38"/>
      <c r="Q20" s="38"/>
      <c r="R20" s="38"/>
      <c r="S20" s="38"/>
      <c r="T20" s="38"/>
      <c r="U20" s="38"/>
      <c r="V20" s="39"/>
      <c r="W20" s="39"/>
      <c r="X20" s="39"/>
      <c r="Y20" s="39"/>
      <c r="Z20" s="39"/>
      <c r="AA20" s="39"/>
      <c r="AB20" s="38"/>
      <c r="AC20" s="38"/>
      <c r="AD20" s="38"/>
      <c r="AE20" s="38"/>
      <c r="AF20" s="38"/>
      <c r="AG20" s="38"/>
      <c r="AH20" s="38"/>
      <c r="AI20" s="38"/>
      <c r="AJ20" s="38"/>
      <c r="AK20" s="38"/>
      <c r="AL20" s="38"/>
      <c r="AM20" s="38"/>
      <c r="AN20" s="38"/>
      <c r="AO20" s="38"/>
      <c r="AP20" s="38"/>
      <c r="AQ20" s="38"/>
      <c r="AR20" s="38"/>
      <c r="AS20" s="38"/>
      <c r="AT20" s="38"/>
      <c r="AV20" s="37"/>
      <c r="AW20" s="37"/>
      <c r="AX20" s="37"/>
      <c r="AY20" s="37" t="s">
        <v>6638</v>
      </c>
      <c r="AZ20" s="37" t="s">
        <v>9231</v>
      </c>
    </row>
    <row r="21" ht="16.95" customHeight="1" spans="2:52">
      <c r="B21" s="35"/>
      <c r="C21" s="35"/>
      <c r="D21" s="35"/>
      <c r="E21" s="35"/>
      <c r="F21" s="35"/>
      <c r="G21" s="35"/>
      <c r="H21" s="35"/>
      <c r="I21" s="35"/>
      <c r="J21" s="35"/>
      <c r="K21" s="35"/>
      <c r="L21" s="35"/>
      <c r="M21" s="35"/>
      <c r="N21" s="35"/>
      <c r="O21" s="35"/>
      <c r="P21" s="35"/>
      <c r="Q21" s="35"/>
      <c r="R21" s="35"/>
      <c r="S21" s="35"/>
      <c r="T21" s="35"/>
      <c r="U21" s="35"/>
      <c r="V21" s="36"/>
      <c r="W21" s="36"/>
      <c r="X21" s="36"/>
      <c r="Y21" s="36"/>
      <c r="Z21" s="36"/>
      <c r="AA21" s="36"/>
      <c r="AB21" s="35"/>
      <c r="AC21" s="35"/>
      <c r="AD21" s="35"/>
      <c r="AE21" s="35"/>
      <c r="AF21" s="35"/>
      <c r="AG21" s="35"/>
      <c r="AH21" s="35"/>
      <c r="AI21" s="35"/>
      <c r="AJ21" s="35"/>
      <c r="AK21" s="35"/>
      <c r="AL21" s="35"/>
      <c r="AM21" s="35"/>
      <c r="AN21" s="35"/>
      <c r="AO21" s="35"/>
      <c r="AP21" s="35"/>
      <c r="AQ21" s="35"/>
      <c r="AR21" s="35"/>
      <c r="AS21" s="35"/>
      <c r="AT21" s="35"/>
      <c r="AV21" s="37"/>
      <c r="AW21" s="37"/>
      <c r="AX21" s="37"/>
      <c r="AY21" s="37" t="s">
        <v>6826</v>
      </c>
      <c r="AZ21" s="37" t="s">
        <v>9232</v>
      </c>
    </row>
    <row r="22" ht="16.95" customHeight="1" spans="2:52">
      <c r="B22" s="38"/>
      <c r="C22" s="38"/>
      <c r="D22" s="38"/>
      <c r="E22" s="38"/>
      <c r="F22" s="38"/>
      <c r="G22" s="38"/>
      <c r="H22" s="38"/>
      <c r="I22" s="38"/>
      <c r="J22" s="38"/>
      <c r="K22" s="38"/>
      <c r="L22" s="38"/>
      <c r="M22" s="38"/>
      <c r="N22" s="38"/>
      <c r="O22" s="38"/>
      <c r="P22" s="38"/>
      <c r="Q22" s="38"/>
      <c r="R22" s="38"/>
      <c r="S22" s="38"/>
      <c r="T22" s="38"/>
      <c r="U22" s="38"/>
      <c r="V22" s="39"/>
      <c r="W22" s="39"/>
      <c r="X22" s="39"/>
      <c r="Y22" s="39"/>
      <c r="Z22" s="39"/>
      <c r="AA22" s="39"/>
      <c r="AB22" s="38"/>
      <c r="AC22" s="38"/>
      <c r="AD22" s="38"/>
      <c r="AE22" s="38"/>
      <c r="AF22" s="38"/>
      <c r="AG22" s="38"/>
      <c r="AH22" s="38"/>
      <c r="AI22" s="38"/>
      <c r="AJ22" s="38"/>
      <c r="AK22" s="38"/>
      <c r="AL22" s="38"/>
      <c r="AM22" s="38"/>
      <c r="AN22" s="38"/>
      <c r="AO22" s="38"/>
      <c r="AP22" s="38"/>
      <c r="AQ22" s="38"/>
      <c r="AR22" s="38"/>
      <c r="AS22" s="38"/>
      <c r="AT22" s="38"/>
      <c r="AV22" s="37"/>
      <c r="AW22" s="37"/>
      <c r="AX22" s="37"/>
      <c r="AY22" s="37" t="s">
        <v>6651</v>
      </c>
      <c r="AZ22" s="37" t="s">
        <v>9233</v>
      </c>
    </row>
    <row r="23" ht="16.95" customHeight="1" spans="2:52">
      <c r="B23" s="35"/>
      <c r="C23" s="35"/>
      <c r="D23" s="35"/>
      <c r="E23" s="35"/>
      <c r="F23" s="35"/>
      <c r="G23" s="35"/>
      <c r="H23" s="35"/>
      <c r="I23" s="35"/>
      <c r="J23" s="35"/>
      <c r="K23" s="35"/>
      <c r="L23" s="35"/>
      <c r="M23" s="35"/>
      <c r="N23" s="35"/>
      <c r="O23" s="35"/>
      <c r="P23" s="35"/>
      <c r="Q23" s="35"/>
      <c r="R23" s="35"/>
      <c r="S23" s="35"/>
      <c r="T23" s="35"/>
      <c r="U23" s="35"/>
      <c r="V23" s="36"/>
      <c r="W23" s="36"/>
      <c r="X23" s="36"/>
      <c r="Y23" s="36"/>
      <c r="Z23" s="36"/>
      <c r="AA23" s="36"/>
      <c r="AB23" s="35"/>
      <c r="AC23" s="35"/>
      <c r="AD23" s="35"/>
      <c r="AE23" s="35"/>
      <c r="AF23" s="35"/>
      <c r="AG23" s="35"/>
      <c r="AH23" s="35"/>
      <c r="AI23" s="35"/>
      <c r="AJ23" s="35"/>
      <c r="AK23" s="35"/>
      <c r="AL23" s="35"/>
      <c r="AM23" s="35"/>
      <c r="AN23" s="35"/>
      <c r="AO23" s="35"/>
      <c r="AP23" s="35"/>
      <c r="AQ23" s="35"/>
      <c r="AR23" s="35"/>
      <c r="AS23" s="35"/>
      <c r="AT23" s="35"/>
      <c r="AV23" s="37"/>
      <c r="AW23" s="37"/>
      <c r="AX23" s="37"/>
      <c r="AY23" s="37" t="s">
        <v>9234</v>
      </c>
      <c r="AZ23" s="37" t="s">
        <v>6666</v>
      </c>
    </row>
    <row r="24" ht="16.95" customHeight="1" spans="2:52">
      <c r="B24" s="38"/>
      <c r="C24" s="38"/>
      <c r="D24" s="38"/>
      <c r="E24" s="38"/>
      <c r="F24" s="38"/>
      <c r="G24" s="38"/>
      <c r="H24" s="38"/>
      <c r="I24" s="38"/>
      <c r="J24" s="38"/>
      <c r="K24" s="38"/>
      <c r="L24" s="38"/>
      <c r="M24" s="38"/>
      <c r="N24" s="38"/>
      <c r="O24" s="38"/>
      <c r="P24" s="38"/>
      <c r="Q24" s="38"/>
      <c r="R24" s="38"/>
      <c r="S24" s="38"/>
      <c r="T24" s="38"/>
      <c r="U24" s="38"/>
      <c r="V24" s="39"/>
      <c r="W24" s="39"/>
      <c r="X24" s="39"/>
      <c r="Y24" s="39"/>
      <c r="Z24" s="39"/>
      <c r="AA24" s="39"/>
      <c r="AB24" s="38"/>
      <c r="AC24" s="38"/>
      <c r="AD24" s="38"/>
      <c r="AE24" s="38"/>
      <c r="AF24" s="38"/>
      <c r="AG24" s="38"/>
      <c r="AH24" s="38"/>
      <c r="AI24" s="38"/>
      <c r="AJ24" s="38"/>
      <c r="AK24" s="38"/>
      <c r="AL24" s="38"/>
      <c r="AM24" s="38"/>
      <c r="AN24" s="38"/>
      <c r="AO24" s="38"/>
      <c r="AP24" s="38"/>
      <c r="AQ24" s="38"/>
      <c r="AR24" s="38"/>
      <c r="AS24" s="38"/>
      <c r="AT24" s="38"/>
      <c r="AV24" s="37"/>
      <c r="AW24" s="37"/>
      <c r="AX24" s="37"/>
      <c r="AY24" s="37" t="s">
        <v>9235</v>
      </c>
      <c r="AZ24" s="37" t="s">
        <v>6739</v>
      </c>
    </row>
    <row r="25" ht="16.95" customHeight="1" spans="2:52">
      <c r="B25" s="35"/>
      <c r="C25" s="35"/>
      <c r="D25" s="35"/>
      <c r="E25" s="35"/>
      <c r="F25" s="35"/>
      <c r="G25" s="35"/>
      <c r="H25" s="35"/>
      <c r="I25" s="35"/>
      <c r="J25" s="35"/>
      <c r="K25" s="35"/>
      <c r="L25" s="35"/>
      <c r="M25" s="35"/>
      <c r="N25" s="35"/>
      <c r="O25" s="35"/>
      <c r="P25" s="35"/>
      <c r="Q25" s="35"/>
      <c r="R25" s="35"/>
      <c r="S25" s="35"/>
      <c r="T25" s="35"/>
      <c r="U25" s="35"/>
      <c r="V25" s="36"/>
      <c r="W25" s="36"/>
      <c r="X25" s="36"/>
      <c r="Y25" s="36"/>
      <c r="Z25" s="36"/>
      <c r="AA25" s="36"/>
      <c r="AB25" s="35"/>
      <c r="AC25" s="35"/>
      <c r="AD25" s="35"/>
      <c r="AE25" s="35"/>
      <c r="AF25" s="35"/>
      <c r="AG25" s="35"/>
      <c r="AH25" s="35"/>
      <c r="AI25" s="35"/>
      <c r="AJ25" s="35"/>
      <c r="AK25" s="35"/>
      <c r="AL25" s="35"/>
      <c r="AM25" s="35"/>
      <c r="AN25" s="35"/>
      <c r="AO25" s="35"/>
      <c r="AP25" s="35"/>
      <c r="AQ25" s="35"/>
      <c r="AR25" s="35"/>
      <c r="AS25" s="35"/>
      <c r="AT25" s="35"/>
      <c r="AV25" s="37"/>
      <c r="AW25" s="37"/>
      <c r="AX25" s="37"/>
      <c r="AY25" s="37" t="s">
        <v>9236</v>
      </c>
      <c r="AZ25" s="37" t="s">
        <v>9237</v>
      </c>
    </row>
    <row r="26" ht="16.95" customHeight="1" spans="2:52">
      <c r="B26" s="38"/>
      <c r="C26" s="38"/>
      <c r="D26" s="38"/>
      <c r="E26" s="38"/>
      <c r="F26" s="38"/>
      <c r="G26" s="38"/>
      <c r="H26" s="38"/>
      <c r="I26" s="38"/>
      <c r="J26" s="38"/>
      <c r="K26" s="38"/>
      <c r="L26" s="38"/>
      <c r="M26" s="38"/>
      <c r="N26" s="38"/>
      <c r="O26" s="38"/>
      <c r="P26" s="38"/>
      <c r="Q26" s="38"/>
      <c r="R26" s="38"/>
      <c r="S26" s="38"/>
      <c r="T26" s="38"/>
      <c r="U26" s="38"/>
      <c r="V26" s="39"/>
      <c r="W26" s="39"/>
      <c r="X26" s="39"/>
      <c r="Y26" s="39"/>
      <c r="Z26" s="39"/>
      <c r="AA26" s="39"/>
      <c r="AB26" s="38"/>
      <c r="AC26" s="38"/>
      <c r="AD26" s="38"/>
      <c r="AE26" s="38"/>
      <c r="AF26" s="38"/>
      <c r="AG26" s="38"/>
      <c r="AH26" s="38"/>
      <c r="AI26" s="38"/>
      <c r="AJ26" s="38"/>
      <c r="AK26" s="38"/>
      <c r="AL26" s="38"/>
      <c r="AM26" s="38"/>
      <c r="AN26" s="38"/>
      <c r="AO26" s="38"/>
      <c r="AP26" s="38"/>
      <c r="AQ26" s="38"/>
      <c r="AR26" s="38"/>
      <c r="AS26" s="38"/>
      <c r="AT26" s="38"/>
      <c r="AV26" s="37"/>
      <c r="AW26" s="37"/>
      <c r="AX26" s="37"/>
      <c r="AY26" s="37" t="s">
        <v>9238</v>
      </c>
      <c r="AZ26" s="37" t="s">
        <v>9239</v>
      </c>
    </row>
    <row r="27" ht="16.95" customHeight="1" spans="2:52">
      <c r="B27" s="35"/>
      <c r="C27" s="35"/>
      <c r="D27" s="35"/>
      <c r="E27" s="35"/>
      <c r="F27" s="35"/>
      <c r="G27" s="35"/>
      <c r="H27" s="35"/>
      <c r="I27" s="35"/>
      <c r="J27" s="35"/>
      <c r="K27" s="35"/>
      <c r="L27" s="35"/>
      <c r="M27" s="35"/>
      <c r="N27" s="35"/>
      <c r="O27" s="35"/>
      <c r="P27" s="35"/>
      <c r="Q27" s="35"/>
      <c r="R27" s="35"/>
      <c r="S27" s="35"/>
      <c r="T27" s="35"/>
      <c r="U27" s="35"/>
      <c r="V27" s="36"/>
      <c r="W27" s="36"/>
      <c r="X27" s="36"/>
      <c r="Y27" s="36"/>
      <c r="Z27" s="36"/>
      <c r="AA27" s="36"/>
      <c r="AB27" s="35"/>
      <c r="AC27" s="35"/>
      <c r="AD27" s="35"/>
      <c r="AE27" s="35"/>
      <c r="AF27" s="35"/>
      <c r="AG27" s="35"/>
      <c r="AH27" s="35"/>
      <c r="AI27" s="35"/>
      <c r="AJ27" s="35"/>
      <c r="AK27" s="35"/>
      <c r="AL27" s="35"/>
      <c r="AM27" s="35"/>
      <c r="AN27" s="35"/>
      <c r="AO27" s="35"/>
      <c r="AP27" s="35"/>
      <c r="AQ27" s="35"/>
      <c r="AR27" s="35"/>
      <c r="AS27" s="35"/>
      <c r="AT27" s="35"/>
      <c r="AV27" s="37"/>
      <c r="AW27" s="37"/>
      <c r="AX27" s="37"/>
      <c r="AY27" s="37" t="s">
        <v>9240</v>
      </c>
      <c r="AZ27" s="37" t="s">
        <v>9241</v>
      </c>
    </row>
    <row r="28" ht="16.95" customHeight="1" spans="2:52">
      <c r="B28" s="38"/>
      <c r="C28" s="38"/>
      <c r="D28" s="38"/>
      <c r="E28" s="38"/>
      <c r="F28" s="38"/>
      <c r="G28" s="38"/>
      <c r="H28" s="38"/>
      <c r="I28" s="38"/>
      <c r="J28" s="38"/>
      <c r="K28" s="38"/>
      <c r="L28" s="38"/>
      <c r="M28" s="38"/>
      <c r="N28" s="38"/>
      <c r="O28" s="38"/>
      <c r="P28" s="38"/>
      <c r="Q28" s="38"/>
      <c r="R28" s="38"/>
      <c r="S28" s="38"/>
      <c r="T28" s="38"/>
      <c r="U28" s="38"/>
      <c r="V28" s="39"/>
      <c r="W28" s="39"/>
      <c r="X28" s="39"/>
      <c r="Y28" s="39"/>
      <c r="Z28" s="39"/>
      <c r="AA28" s="39"/>
      <c r="AB28" s="38"/>
      <c r="AC28" s="38"/>
      <c r="AD28" s="38"/>
      <c r="AE28" s="38"/>
      <c r="AF28" s="38"/>
      <c r="AG28" s="38"/>
      <c r="AH28" s="38"/>
      <c r="AI28" s="38"/>
      <c r="AJ28" s="38"/>
      <c r="AK28" s="38"/>
      <c r="AL28" s="38"/>
      <c r="AM28" s="38"/>
      <c r="AN28" s="38"/>
      <c r="AO28" s="38"/>
      <c r="AP28" s="38"/>
      <c r="AQ28" s="38"/>
      <c r="AR28" s="38"/>
      <c r="AS28" s="38"/>
      <c r="AT28" s="38"/>
      <c r="AV28" s="37"/>
      <c r="AW28" s="37"/>
      <c r="AX28" s="37"/>
      <c r="AY28" s="37" t="s">
        <v>9242</v>
      </c>
      <c r="AZ28" s="37" t="s">
        <v>9243</v>
      </c>
    </row>
    <row r="29" ht="16.95" customHeight="1" spans="2:52">
      <c r="B29" s="35"/>
      <c r="C29" s="35"/>
      <c r="D29" s="35"/>
      <c r="E29" s="35"/>
      <c r="F29" s="35"/>
      <c r="G29" s="35"/>
      <c r="H29" s="35"/>
      <c r="I29" s="35"/>
      <c r="J29" s="35"/>
      <c r="K29" s="35"/>
      <c r="L29" s="35"/>
      <c r="M29" s="35"/>
      <c r="N29" s="35"/>
      <c r="O29" s="35"/>
      <c r="P29" s="35"/>
      <c r="Q29" s="35"/>
      <c r="R29" s="35"/>
      <c r="S29" s="35"/>
      <c r="T29" s="35"/>
      <c r="U29" s="35"/>
      <c r="V29" s="36"/>
      <c r="W29" s="36"/>
      <c r="X29" s="36"/>
      <c r="Y29" s="36"/>
      <c r="Z29" s="36"/>
      <c r="AA29" s="36"/>
      <c r="AB29" s="35"/>
      <c r="AC29" s="35"/>
      <c r="AD29" s="35"/>
      <c r="AE29" s="35"/>
      <c r="AF29" s="35"/>
      <c r="AG29" s="35"/>
      <c r="AH29" s="35"/>
      <c r="AI29" s="35"/>
      <c r="AJ29" s="35"/>
      <c r="AK29" s="35"/>
      <c r="AL29" s="35"/>
      <c r="AM29" s="35"/>
      <c r="AN29" s="35"/>
      <c r="AO29" s="35"/>
      <c r="AP29" s="35"/>
      <c r="AQ29" s="35"/>
      <c r="AR29" s="35"/>
      <c r="AS29" s="35"/>
      <c r="AT29" s="35"/>
      <c r="AV29" s="37"/>
      <c r="AW29" s="37"/>
      <c r="AX29" s="37"/>
      <c r="AY29" s="37" t="s">
        <v>9244</v>
      </c>
      <c r="AZ29" s="37" t="s">
        <v>9245</v>
      </c>
    </row>
    <row r="30" ht="16.95" customHeight="1" spans="2:52">
      <c r="B30" s="38"/>
      <c r="C30" s="38"/>
      <c r="D30" s="38"/>
      <c r="E30" s="38"/>
      <c r="F30" s="38"/>
      <c r="G30" s="38"/>
      <c r="H30" s="38"/>
      <c r="I30" s="38"/>
      <c r="J30" s="38"/>
      <c r="K30" s="38"/>
      <c r="L30" s="38"/>
      <c r="M30" s="38"/>
      <c r="N30" s="38"/>
      <c r="O30" s="38"/>
      <c r="P30" s="38"/>
      <c r="Q30" s="38"/>
      <c r="R30" s="38"/>
      <c r="S30" s="38"/>
      <c r="T30" s="38"/>
      <c r="U30" s="38"/>
      <c r="V30" s="39"/>
      <c r="W30" s="39"/>
      <c r="X30" s="39"/>
      <c r="Y30" s="39"/>
      <c r="Z30" s="39"/>
      <c r="AA30" s="39"/>
      <c r="AB30" s="38"/>
      <c r="AC30" s="38"/>
      <c r="AD30" s="38"/>
      <c r="AE30" s="38"/>
      <c r="AF30" s="38"/>
      <c r="AG30" s="38"/>
      <c r="AH30" s="38"/>
      <c r="AI30" s="38"/>
      <c r="AJ30" s="38"/>
      <c r="AK30" s="38"/>
      <c r="AL30" s="38"/>
      <c r="AM30" s="38"/>
      <c r="AN30" s="38"/>
      <c r="AO30" s="38"/>
      <c r="AP30" s="38"/>
      <c r="AQ30" s="38"/>
      <c r="AR30" s="38"/>
      <c r="AS30" s="38"/>
      <c r="AT30" s="38"/>
      <c r="AV30" s="37"/>
      <c r="AW30" s="37"/>
      <c r="AX30" s="37"/>
      <c r="AY30" s="37" t="s">
        <v>9246</v>
      </c>
      <c r="AZ30" s="37" t="s">
        <v>9247</v>
      </c>
    </row>
    <row r="31" ht="16.95" customHeight="1" spans="2:52">
      <c r="B31" s="35"/>
      <c r="C31" s="35"/>
      <c r="D31" s="35"/>
      <c r="E31" s="35"/>
      <c r="F31" s="35"/>
      <c r="G31" s="35"/>
      <c r="H31" s="35"/>
      <c r="I31" s="35"/>
      <c r="J31" s="35"/>
      <c r="K31" s="35"/>
      <c r="L31" s="35"/>
      <c r="M31" s="35"/>
      <c r="N31" s="35"/>
      <c r="O31" s="35"/>
      <c r="P31" s="35"/>
      <c r="Q31" s="35"/>
      <c r="R31" s="35"/>
      <c r="S31" s="35"/>
      <c r="T31" s="35"/>
      <c r="U31" s="35"/>
      <c r="V31" s="36"/>
      <c r="W31" s="36"/>
      <c r="X31" s="36"/>
      <c r="Y31" s="36"/>
      <c r="Z31" s="36"/>
      <c r="AA31" s="36"/>
      <c r="AB31" s="35"/>
      <c r="AC31" s="35"/>
      <c r="AD31" s="35"/>
      <c r="AE31" s="35"/>
      <c r="AF31" s="35"/>
      <c r="AG31" s="35"/>
      <c r="AH31" s="35"/>
      <c r="AI31" s="35"/>
      <c r="AJ31" s="35"/>
      <c r="AK31" s="35"/>
      <c r="AL31" s="35"/>
      <c r="AM31" s="35"/>
      <c r="AN31" s="35"/>
      <c r="AO31" s="35"/>
      <c r="AP31" s="35"/>
      <c r="AQ31" s="35"/>
      <c r="AR31" s="35"/>
      <c r="AS31" s="35"/>
      <c r="AT31" s="35"/>
      <c r="AV31" s="37"/>
      <c r="AW31" s="37"/>
      <c r="AX31" s="37"/>
      <c r="AY31" s="37" t="s">
        <v>9248</v>
      </c>
      <c r="AZ31" s="37" t="s">
        <v>9249</v>
      </c>
    </row>
    <row r="32" ht="16.95" customHeight="1" spans="2:52">
      <c r="B32" s="38"/>
      <c r="C32" s="38"/>
      <c r="D32" s="38"/>
      <c r="E32" s="38"/>
      <c r="F32" s="38"/>
      <c r="G32" s="38"/>
      <c r="H32" s="38"/>
      <c r="I32" s="38"/>
      <c r="J32" s="38"/>
      <c r="K32" s="38"/>
      <c r="L32" s="38"/>
      <c r="M32" s="38"/>
      <c r="N32" s="38"/>
      <c r="O32" s="38"/>
      <c r="P32" s="38"/>
      <c r="Q32" s="38"/>
      <c r="R32" s="38"/>
      <c r="S32" s="38"/>
      <c r="T32" s="38"/>
      <c r="U32" s="38"/>
      <c r="V32" s="39"/>
      <c r="W32" s="39"/>
      <c r="X32" s="39"/>
      <c r="Y32" s="39"/>
      <c r="Z32" s="39"/>
      <c r="AA32" s="39"/>
      <c r="AB32" s="38"/>
      <c r="AC32" s="38"/>
      <c r="AD32" s="38"/>
      <c r="AE32" s="38"/>
      <c r="AF32" s="38"/>
      <c r="AG32" s="38"/>
      <c r="AH32" s="38"/>
      <c r="AI32" s="38"/>
      <c r="AJ32" s="38"/>
      <c r="AK32" s="38"/>
      <c r="AL32" s="38"/>
      <c r="AM32" s="38"/>
      <c r="AN32" s="38"/>
      <c r="AO32" s="38"/>
      <c r="AP32" s="38"/>
      <c r="AQ32" s="38"/>
      <c r="AR32" s="38"/>
      <c r="AS32" s="38"/>
      <c r="AT32" s="38"/>
      <c r="AV32" s="37"/>
      <c r="AW32" s="37"/>
      <c r="AX32" s="37"/>
      <c r="AY32" s="37" t="s">
        <v>9250</v>
      </c>
      <c r="AZ32" s="37" t="s">
        <v>9251</v>
      </c>
    </row>
    <row r="33" ht="16.95" customHeight="1" spans="2:52">
      <c r="B33" s="35"/>
      <c r="C33" s="35"/>
      <c r="D33" s="35"/>
      <c r="E33" s="35"/>
      <c r="F33" s="35"/>
      <c r="G33" s="35"/>
      <c r="H33" s="35"/>
      <c r="I33" s="35"/>
      <c r="J33" s="35"/>
      <c r="K33" s="35"/>
      <c r="L33" s="35"/>
      <c r="M33" s="35"/>
      <c r="N33" s="35"/>
      <c r="O33" s="35"/>
      <c r="P33" s="35"/>
      <c r="Q33" s="35"/>
      <c r="R33" s="35"/>
      <c r="S33" s="35"/>
      <c r="T33" s="35"/>
      <c r="U33" s="35"/>
      <c r="V33" s="36"/>
      <c r="W33" s="36"/>
      <c r="X33" s="36"/>
      <c r="Y33" s="36"/>
      <c r="Z33" s="36"/>
      <c r="AA33" s="36"/>
      <c r="AB33" s="35"/>
      <c r="AC33" s="35"/>
      <c r="AD33" s="35"/>
      <c r="AE33" s="35"/>
      <c r="AF33" s="35"/>
      <c r="AG33" s="35"/>
      <c r="AH33" s="35"/>
      <c r="AI33" s="35"/>
      <c r="AJ33" s="35"/>
      <c r="AK33" s="35"/>
      <c r="AL33" s="35"/>
      <c r="AM33" s="35"/>
      <c r="AN33" s="35"/>
      <c r="AO33" s="35"/>
      <c r="AP33" s="35"/>
      <c r="AQ33" s="35"/>
      <c r="AR33" s="35"/>
      <c r="AS33" s="35"/>
      <c r="AT33" s="35"/>
      <c r="AV33" s="37"/>
      <c r="AW33" s="37"/>
      <c r="AX33" s="37"/>
      <c r="AY33" s="37" t="s">
        <v>9252</v>
      </c>
      <c r="AZ33" s="37" t="s">
        <v>9253</v>
      </c>
    </row>
    <row r="34" ht="16.95" customHeight="1" spans="2:52">
      <c r="B34" s="38"/>
      <c r="C34" s="38"/>
      <c r="D34" s="38"/>
      <c r="E34" s="38"/>
      <c r="F34" s="38"/>
      <c r="G34" s="38"/>
      <c r="H34" s="38"/>
      <c r="I34" s="38"/>
      <c r="J34" s="38"/>
      <c r="K34" s="38"/>
      <c r="L34" s="38"/>
      <c r="M34" s="38"/>
      <c r="N34" s="38"/>
      <c r="O34" s="38"/>
      <c r="P34" s="38"/>
      <c r="Q34" s="38"/>
      <c r="R34" s="38"/>
      <c r="S34" s="38"/>
      <c r="T34" s="38"/>
      <c r="U34" s="38"/>
      <c r="V34" s="39"/>
      <c r="W34" s="39"/>
      <c r="X34" s="39"/>
      <c r="Y34" s="39"/>
      <c r="Z34" s="39"/>
      <c r="AA34" s="39"/>
      <c r="AB34" s="38"/>
      <c r="AC34" s="38"/>
      <c r="AD34" s="38"/>
      <c r="AE34" s="38"/>
      <c r="AF34" s="38"/>
      <c r="AG34" s="38"/>
      <c r="AH34" s="38"/>
      <c r="AI34" s="38"/>
      <c r="AJ34" s="38"/>
      <c r="AK34" s="38"/>
      <c r="AL34" s="38"/>
      <c r="AM34" s="38"/>
      <c r="AN34" s="38"/>
      <c r="AO34" s="38"/>
      <c r="AP34" s="38"/>
      <c r="AQ34" s="38"/>
      <c r="AR34" s="38"/>
      <c r="AS34" s="38"/>
      <c r="AT34" s="38"/>
      <c r="AV34" s="37"/>
      <c r="AW34" s="37"/>
      <c r="AX34" s="37"/>
      <c r="AY34" s="37" t="s">
        <v>9254</v>
      </c>
      <c r="AZ34" s="37" t="s">
        <v>9255</v>
      </c>
    </row>
    <row r="35" ht="16.95" customHeight="1" spans="2:52">
      <c r="B35" s="35"/>
      <c r="C35" s="35"/>
      <c r="D35" s="35"/>
      <c r="E35" s="35"/>
      <c r="F35" s="35"/>
      <c r="G35" s="35"/>
      <c r="H35" s="35"/>
      <c r="I35" s="35"/>
      <c r="J35" s="35"/>
      <c r="K35" s="35"/>
      <c r="L35" s="35"/>
      <c r="M35" s="35"/>
      <c r="N35" s="35"/>
      <c r="O35" s="35"/>
      <c r="P35" s="35"/>
      <c r="Q35" s="35"/>
      <c r="R35" s="35"/>
      <c r="S35" s="35"/>
      <c r="T35" s="35"/>
      <c r="U35" s="35"/>
      <c r="V35" s="36"/>
      <c r="W35" s="36"/>
      <c r="X35" s="36"/>
      <c r="Y35" s="36"/>
      <c r="Z35" s="36"/>
      <c r="AA35" s="36"/>
      <c r="AB35" s="35"/>
      <c r="AC35" s="35"/>
      <c r="AD35" s="35"/>
      <c r="AE35" s="35"/>
      <c r="AF35" s="35"/>
      <c r="AG35" s="35"/>
      <c r="AH35" s="35"/>
      <c r="AI35" s="35"/>
      <c r="AJ35" s="35"/>
      <c r="AK35" s="35"/>
      <c r="AL35" s="35"/>
      <c r="AM35" s="35"/>
      <c r="AN35" s="35"/>
      <c r="AO35" s="35"/>
      <c r="AP35" s="35"/>
      <c r="AQ35" s="35"/>
      <c r="AR35" s="35"/>
      <c r="AS35" s="35"/>
      <c r="AT35" s="35"/>
      <c r="AV35" s="37"/>
      <c r="AW35" s="37"/>
      <c r="AX35" s="37"/>
      <c r="AY35" s="37" t="s">
        <v>9256</v>
      </c>
      <c r="AZ35" s="37" t="s">
        <v>9257</v>
      </c>
    </row>
    <row r="36" ht="16.95" customHeight="1" spans="2:52">
      <c r="B36" s="38"/>
      <c r="C36" s="38"/>
      <c r="D36" s="38"/>
      <c r="E36" s="38"/>
      <c r="F36" s="38"/>
      <c r="G36" s="38"/>
      <c r="H36" s="38"/>
      <c r="I36" s="38"/>
      <c r="J36" s="38"/>
      <c r="K36" s="38"/>
      <c r="L36" s="38"/>
      <c r="M36" s="38"/>
      <c r="N36" s="38"/>
      <c r="O36" s="38"/>
      <c r="P36" s="38"/>
      <c r="Q36" s="38"/>
      <c r="R36" s="38"/>
      <c r="S36" s="38"/>
      <c r="T36" s="38"/>
      <c r="U36" s="38"/>
      <c r="V36" s="39"/>
      <c r="W36" s="39"/>
      <c r="X36" s="39"/>
      <c r="Y36" s="39"/>
      <c r="Z36" s="39"/>
      <c r="AA36" s="39"/>
      <c r="AB36" s="38"/>
      <c r="AC36" s="38"/>
      <c r="AD36" s="38"/>
      <c r="AE36" s="38"/>
      <c r="AF36" s="38"/>
      <c r="AG36" s="38"/>
      <c r="AH36" s="38"/>
      <c r="AI36" s="38"/>
      <c r="AJ36" s="38"/>
      <c r="AK36" s="38"/>
      <c r="AL36" s="38"/>
      <c r="AM36" s="38"/>
      <c r="AN36" s="38"/>
      <c r="AO36" s="38"/>
      <c r="AP36" s="38"/>
      <c r="AQ36" s="38"/>
      <c r="AR36" s="38"/>
      <c r="AS36" s="38"/>
      <c r="AT36" s="38"/>
      <c r="AV36" s="37"/>
      <c r="AW36" s="37"/>
      <c r="AX36" s="37"/>
      <c r="AY36" s="37" t="s">
        <v>9258</v>
      </c>
      <c r="AZ36" s="37" t="s">
        <v>9259</v>
      </c>
    </row>
    <row r="37" ht="16.95" customHeight="1" spans="2:52">
      <c r="B37" s="35"/>
      <c r="C37" s="35"/>
      <c r="D37" s="35"/>
      <c r="E37" s="35"/>
      <c r="F37" s="35"/>
      <c r="G37" s="35"/>
      <c r="H37" s="35"/>
      <c r="I37" s="35"/>
      <c r="J37" s="35"/>
      <c r="K37" s="35"/>
      <c r="L37" s="35"/>
      <c r="M37" s="35"/>
      <c r="N37" s="35"/>
      <c r="O37" s="35"/>
      <c r="P37" s="35"/>
      <c r="Q37" s="35"/>
      <c r="R37" s="35"/>
      <c r="S37" s="35"/>
      <c r="T37" s="35"/>
      <c r="U37" s="35"/>
      <c r="V37" s="36"/>
      <c r="W37" s="36"/>
      <c r="X37" s="36"/>
      <c r="Y37" s="36"/>
      <c r="Z37" s="36"/>
      <c r="AA37" s="36"/>
      <c r="AB37" s="35"/>
      <c r="AC37" s="35"/>
      <c r="AD37" s="35"/>
      <c r="AE37" s="35"/>
      <c r="AF37" s="35"/>
      <c r="AG37" s="35"/>
      <c r="AH37" s="35"/>
      <c r="AI37" s="35"/>
      <c r="AJ37" s="35"/>
      <c r="AK37" s="35"/>
      <c r="AL37" s="35"/>
      <c r="AM37" s="35"/>
      <c r="AN37" s="35"/>
      <c r="AO37" s="35"/>
      <c r="AP37" s="35"/>
      <c r="AQ37" s="35"/>
      <c r="AR37" s="35"/>
      <c r="AS37" s="35"/>
      <c r="AT37" s="35"/>
      <c r="AV37" s="37"/>
      <c r="AW37" s="37"/>
      <c r="AX37" s="37"/>
      <c r="AY37" s="37" t="s">
        <v>9260</v>
      </c>
      <c r="AZ37" s="37" t="s">
        <v>9261</v>
      </c>
    </row>
    <row r="38" ht="16.95" customHeight="1" spans="2:52">
      <c r="B38" s="38"/>
      <c r="C38" s="38"/>
      <c r="D38" s="38"/>
      <c r="E38" s="38"/>
      <c r="F38" s="38"/>
      <c r="G38" s="38"/>
      <c r="H38" s="38"/>
      <c r="I38" s="38"/>
      <c r="J38" s="38"/>
      <c r="K38" s="38"/>
      <c r="L38" s="38"/>
      <c r="M38" s="38"/>
      <c r="N38" s="38"/>
      <c r="O38" s="38"/>
      <c r="P38" s="38"/>
      <c r="Q38" s="38"/>
      <c r="R38" s="38"/>
      <c r="S38" s="38"/>
      <c r="T38" s="38"/>
      <c r="U38" s="38"/>
      <c r="V38" s="39"/>
      <c r="W38" s="39"/>
      <c r="X38" s="39"/>
      <c r="Y38" s="39"/>
      <c r="Z38" s="39"/>
      <c r="AA38" s="39"/>
      <c r="AB38" s="38"/>
      <c r="AC38" s="38"/>
      <c r="AD38" s="38"/>
      <c r="AE38" s="38"/>
      <c r="AF38" s="38"/>
      <c r="AG38" s="38"/>
      <c r="AH38" s="38"/>
      <c r="AI38" s="38"/>
      <c r="AJ38" s="38"/>
      <c r="AK38" s="38"/>
      <c r="AL38" s="38"/>
      <c r="AM38" s="38"/>
      <c r="AN38" s="38"/>
      <c r="AO38" s="38"/>
      <c r="AP38" s="38"/>
      <c r="AQ38" s="38"/>
      <c r="AR38" s="38"/>
      <c r="AS38" s="38"/>
      <c r="AT38" s="38"/>
      <c r="AV38" s="37"/>
      <c r="AW38" s="37"/>
      <c r="AX38" s="37"/>
      <c r="AY38" s="37"/>
      <c r="AZ38" s="37" t="s">
        <v>9262</v>
      </c>
    </row>
    <row r="39" ht="16.95" customHeight="1" spans="2:52">
      <c r="B39" s="35"/>
      <c r="C39" s="35"/>
      <c r="D39" s="35"/>
      <c r="E39" s="35"/>
      <c r="F39" s="35"/>
      <c r="G39" s="35"/>
      <c r="H39" s="35"/>
      <c r="I39" s="35"/>
      <c r="J39" s="35"/>
      <c r="K39" s="35"/>
      <c r="L39" s="35"/>
      <c r="M39" s="35"/>
      <c r="N39" s="35"/>
      <c r="O39" s="35"/>
      <c r="P39" s="35"/>
      <c r="Q39" s="35"/>
      <c r="R39" s="35"/>
      <c r="S39" s="35"/>
      <c r="T39" s="35"/>
      <c r="U39" s="35"/>
      <c r="V39" s="36"/>
      <c r="W39" s="36"/>
      <c r="X39" s="36"/>
      <c r="Y39" s="36"/>
      <c r="Z39" s="36"/>
      <c r="AA39" s="36"/>
      <c r="AB39" s="35"/>
      <c r="AC39" s="35"/>
      <c r="AD39" s="35"/>
      <c r="AE39" s="35"/>
      <c r="AF39" s="35"/>
      <c r="AG39" s="35"/>
      <c r="AH39" s="35"/>
      <c r="AI39" s="35"/>
      <c r="AJ39" s="35"/>
      <c r="AK39" s="35"/>
      <c r="AL39" s="35"/>
      <c r="AM39" s="35"/>
      <c r="AN39" s="35"/>
      <c r="AO39" s="35"/>
      <c r="AP39" s="35"/>
      <c r="AQ39" s="35"/>
      <c r="AR39" s="35"/>
      <c r="AS39" s="35"/>
      <c r="AT39" s="35"/>
      <c r="AV39" s="37"/>
      <c r="AW39" s="37"/>
      <c r="AX39" s="37"/>
      <c r="AY39" s="37"/>
      <c r="AZ39" s="37" t="s">
        <v>9263</v>
      </c>
    </row>
    <row r="40" ht="16.95" customHeight="1" spans="2:52">
      <c r="B40" s="38"/>
      <c r="C40" s="38"/>
      <c r="D40" s="38"/>
      <c r="E40" s="38"/>
      <c r="F40" s="38"/>
      <c r="G40" s="38"/>
      <c r="H40" s="38"/>
      <c r="I40" s="38"/>
      <c r="J40" s="38"/>
      <c r="K40" s="38"/>
      <c r="L40" s="38"/>
      <c r="M40" s="38"/>
      <c r="N40" s="38"/>
      <c r="O40" s="38"/>
      <c r="P40" s="38"/>
      <c r="Q40" s="38"/>
      <c r="R40" s="38"/>
      <c r="S40" s="38"/>
      <c r="T40" s="38"/>
      <c r="U40" s="38"/>
      <c r="V40" s="39"/>
      <c r="W40" s="39"/>
      <c r="X40" s="39"/>
      <c r="Y40" s="39"/>
      <c r="Z40" s="39"/>
      <c r="AA40" s="39"/>
      <c r="AB40" s="38"/>
      <c r="AC40" s="38"/>
      <c r="AD40" s="38"/>
      <c r="AE40" s="38"/>
      <c r="AF40" s="38"/>
      <c r="AG40" s="38"/>
      <c r="AH40" s="38"/>
      <c r="AI40" s="38"/>
      <c r="AJ40" s="38"/>
      <c r="AK40" s="38"/>
      <c r="AL40" s="38"/>
      <c r="AM40" s="38"/>
      <c r="AN40" s="38"/>
      <c r="AO40" s="38"/>
      <c r="AP40" s="38"/>
      <c r="AQ40" s="38"/>
      <c r="AR40" s="38"/>
      <c r="AS40" s="38"/>
      <c r="AT40" s="38"/>
    </row>
    <row r="41" ht="16.95" customHeight="1" spans="2:52">
      <c r="B41" s="35"/>
      <c r="C41" s="35"/>
      <c r="D41" s="35"/>
      <c r="E41" s="35"/>
      <c r="F41" s="35"/>
      <c r="G41" s="35"/>
      <c r="H41" s="35"/>
      <c r="I41" s="35"/>
      <c r="J41" s="35"/>
      <c r="K41" s="35"/>
      <c r="L41" s="35"/>
      <c r="M41" s="35"/>
      <c r="N41" s="35"/>
      <c r="O41" s="35"/>
      <c r="P41" s="35"/>
      <c r="Q41" s="35"/>
      <c r="R41" s="35"/>
      <c r="S41" s="35"/>
      <c r="T41" s="35"/>
      <c r="U41" s="35"/>
      <c r="V41" s="36"/>
      <c r="W41" s="36"/>
      <c r="X41" s="36"/>
      <c r="Y41" s="36"/>
      <c r="Z41" s="36"/>
      <c r="AA41" s="36"/>
      <c r="AB41" s="35"/>
      <c r="AC41" s="35"/>
      <c r="AD41" s="35"/>
      <c r="AE41" s="35"/>
      <c r="AF41" s="35"/>
      <c r="AG41" s="35"/>
      <c r="AH41" s="35"/>
      <c r="AI41" s="35"/>
      <c r="AJ41" s="35"/>
      <c r="AK41" s="35"/>
      <c r="AL41" s="35"/>
      <c r="AM41" s="35"/>
      <c r="AN41" s="35"/>
      <c r="AO41" s="35"/>
      <c r="AP41" s="35"/>
      <c r="AQ41" s="35"/>
      <c r="AR41" s="35"/>
      <c r="AS41" s="35"/>
      <c r="AT41" s="35"/>
    </row>
    <row r="42" ht="16.95" customHeight="1" spans="2:52">
      <c r="B42" s="38"/>
      <c r="C42" s="38"/>
      <c r="D42" s="38"/>
      <c r="E42" s="38"/>
      <c r="F42" s="38"/>
      <c r="G42" s="38"/>
      <c r="H42" s="38"/>
      <c r="I42" s="38"/>
      <c r="J42" s="38"/>
      <c r="K42" s="38"/>
      <c r="L42" s="38"/>
      <c r="M42" s="38"/>
      <c r="N42" s="38"/>
      <c r="O42" s="38"/>
      <c r="P42" s="38"/>
      <c r="Q42" s="38"/>
      <c r="R42" s="38"/>
      <c r="S42" s="38"/>
      <c r="T42" s="38"/>
      <c r="U42" s="38"/>
      <c r="V42" s="39"/>
      <c r="W42" s="39"/>
      <c r="X42" s="39"/>
      <c r="Y42" s="39"/>
      <c r="Z42" s="39"/>
      <c r="AA42" s="39"/>
      <c r="AB42" s="38"/>
      <c r="AC42" s="38"/>
      <c r="AD42" s="38"/>
      <c r="AE42" s="38"/>
      <c r="AF42" s="38"/>
      <c r="AG42" s="38"/>
      <c r="AH42" s="38"/>
      <c r="AI42" s="38"/>
      <c r="AJ42" s="38"/>
      <c r="AK42" s="38"/>
      <c r="AL42" s="38"/>
      <c r="AM42" s="38"/>
      <c r="AN42" s="38"/>
      <c r="AO42" s="38"/>
      <c r="AP42" s="38"/>
      <c r="AQ42" s="38"/>
      <c r="AR42" s="38"/>
      <c r="AS42" s="38"/>
      <c r="AT42" s="38"/>
    </row>
    <row r="43" ht="16.95" customHeight="1" spans="2:52">
      <c r="B43" s="35"/>
      <c r="C43" s="35"/>
      <c r="D43" s="35"/>
      <c r="E43" s="35"/>
      <c r="F43" s="35"/>
      <c r="G43" s="35"/>
      <c r="H43" s="35"/>
      <c r="I43" s="35"/>
      <c r="J43" s="35"/>
      <c r="K43" s="35"/>
      <c r="L43" s="35"/>
      <c r="M43" s="35"/>
      <c r="N43" s="35"/>
      <c r="O43" s="35"/>
      <c r="P43" s="35"/>
      <c r="Q43" s="35"/>
      <c r="R43" s="35"/>
      <c r="S43" s="35"/>
      <c r="T43" s="35"/>
      <c r="U43" s="35"/>
      <c r="V43" s="36"/>
      <c r="W43" s="36"/>
      <c r="X43" s="36"/>
      <c r="Y43" s="36"/>
      <c r="Z43" s="36"/>
      <c r="AA43" s="36"/>
      <c r="AB43" s="35"/>
      <c r="AC43" s="35"/>
      <c r="AD43" s="35"/>
      <c r="AE43" s="35"/>
      <c r="AF43" s="35"/>
      <c r="AG43" s="35"/>
      <c r="AH43" s="35"/>
      <c r="AI43" s="35"/>
      <c r="AJ43" s="35"/>
      <c r="AK43" s="35"/>
      <c r="AL43" s="35"/>
      <c r="AM43" s="35"/>
      <c r="AN43" s="35"/>
      <c r="AO43" s="35"/>
      <c r="AP43" s="35"/>
      <c r="AQ43" s="35"/>
      <c r="AR43" s="35"/>
      <c r="AS43" s="35"/>
      <c r="AT43" s="35"/>
    </row>
    <row r="44" ht="16.95" customHeight="1" spans="2:52">
      <c r="B44" s="38"/>
      <c r="C44" s="38"/>
      <c r="D44" s="38"/>
      <c r="E44" s="38"/>
      <c r="F44" s="38"/>
      <c r="G44" s="38"/>
      <c r="H44" s="38"/>
      <c r="I44" s="38"/>
      <c r="J44" s="38"/>
      <c r="K44" s="38"/>
      <c r="L44" s="38"/>
      <c r="M44" s="38"/>
      <c r="N44" s="38"/>
      <c r="O44" s="38"/>
      <c r="P44" s="38"/>
      <c r="Q44" s="38"/>
      <c r="R44" s="38"/>
      <c r="S44" s="38"/>
      <c r="T44" s="38"/>
      <c r="U44" s="38"/>
      <c r="V44" s="39"/>
      <c r="W44" s="39"/>
      <c r="X44" s="39"/>
      <c r="Y44" s="39"/>
      <c r="Z44" s="39"/>
      <c r="AA44" s="39"/>
      <c r="AB44" s="38"/>
      <c r="AC44" s="38"/>
      <c r="AD44" s="38"/>
      <c r="AE44" s="38"/>
      <c r="AF44" s="38"/>
      <c r="AG44" s="38"/>
      <c r="AH44" s="38"/>
      <c r="AI44" s="38"/>
      <c r="AJ44" s="38"/>
      <c r="AK44" s="38"/>
      <c r="AL44" s="38"/>
      <c r="AM44" s="38"/>
      <c r="AN44" s="38"/>
      <c r="AO44" s="38"/>
      <c r="AP44" s="38"/>
      <c r="AQ44" s="38"/>
      <c r="AR44" s="38"/>
      <c r="AS44" s="38"/>
      <c r="AT44" s="38"/>
    </row>
    <row r="45" ht="16.95" customHeight="1" spans="2:52">
      <c r="B45" s="35"/>
      <c r="C45" s="35"/>
      <c r="D45" s="35"/>
      <c r="E45" s="35"/>
      <c r="F45" s="35"/>
      <c r="G45" s="35"/>
      <c r="H45" s="35"/>
      <c r="I45" s="35"/>
      <c r="J45" s="35"/>
      <c r="K45" s="35"/>
      <c r="L45" s="35"/>
      <c r="M45" s="35"/>
      <c r="N45" s="35"/>
      <c r="O45" s="35"/>
      <c r="P45" s="35"/>
      <c r="Q45" s="35"/>
      <c r="R45" s="35"/>
      <c r="S45" s="35"/>
      <c r="T45" s="35"/>
      <c r="U45" s="35"/>
      <c r="V45" s="36"/>
      <c r="W45" s="36"/>
      <c r="X45" s="36"/>
      <c r="Y45" s="36"/>
      <c r="Z45" s="36"/>
      <c r="AA45" s="36"/>
      <c r="AB45" s="35"/>
      <c r="AC45" s="35"/>
      <c r="AD45" s="35"/>
      <c r="AE45" s="35"/>
      <c r="AF45" s="35"/>
      <c r="AG45" s="35"/>
      <c r="AH45" s="35"/>
      <c r="AI45" s="35"/>
      <c r="AJ45" s="35"/>
      <c r="AK45" s="35"/>
      <c r="AL45" s="35"/>
      <c r="AM45" s="35"/>
      <c r="AN45" s="35"/>
      <c r="AO45" s="35"/>
      <c r="AP45" s="35"/>
      <c r="AQ45" s="35"/>
      <c r="AR45" s="35"/>
      <c r="AS45" s="35"/>
      <c r="AT45" s="35"/>
    </row>
    <row r="46" ht="16.95" customHeight="1" spans="2:52">
      <c r="B46" s="38"/>
      <c r="C46" s="38"/>
      <c r="D46" s="38"/>
      <c r="E46" s="38"/>
      <c r="F46" s="38"/>
      <c r="G46" s="38"/>
      <c r="H46" s="38"/>
      <c r="I46" s="38"/>
      <c r="J46" s="38"/>
      <c r="K46" s="38"/>
      <c r="L46" s="38"/>
      <c r="M46" s="38"/>
      <c r="N46" s="38"/>
      <c r="O46" s="38"/>
      <c r="P46" s="38"/>
      <c r="Q46" s="38"/>
      <c r="R46" s="38"/>
      <c r="S46" s="38"/>
      <c r="T46" s="38"/>
      <c r="U46" s="38"/>
      <c r="V46" s="39"/>
      <c r="W46" s="39"/>
      <c r="X46" s="39"/>
      <c r="Y46" s="39"/>
      <c r="Z46" s="39"/>
      <c r="AA46" s="39"/>
      <c r="AB46" s="38"/>
      <c r="AC46" s="38"/>
      <c r="AD46" s="38"/>
      <c r="AE46" s="38"/>
      <c r="AF46" s="38"/>
      <c r="AG46" s="38"/>
      <c r="AH46" s="38"/>
      <c r="AI46" s="38"/>
      <c r="AJ46" s="38"/>
      <c r="AK46" s="38"/>
      <c r="AL46" s="38"/>
      <c r="AM46" s="38"/>
      <c r="AN46" s="38"/>
      <c r="AO46" s="38"/>
      <c r="AP46" s="38"/>
      <c r="AQ46" s="38"/>
      <c r="AR46" s="38"/>
      <c r="AS46" s="38"/>
      <c r="AT46" s="38"/>
    </row>
    <row r="47" spans="2:52">
      <c r="B47" s="35"/>
      <c r="C47" s="35"/>
      <c r="D47" s="35"/>
      <c r="E47" s="35"/>
      <c r="F47" s="35"/>
      <c r="G47" s="35"/>
      <c r="H47" s="35"/>
      <c r="I47" s="35"/>
      <c r="J47" s="35"/>
      <c r="K47" s="35"/>
      <c r="L47" s="35"/>
      <c r="M47" s="35"/>
      <c r="N47" s="35"/>
      <c r="O47" s="35"/>
      <c r="P47" s="35"/>
      <c r="Q47" s="35"/>
      <c r="R47" s="35"/>
      <c r="S47" s="35"/>
      <c r="T47" s="35"/>
      <c r="U47" s="35"/>
      <c r="V47" s="36"/>
      <c r="W47" s="36"/>
      <c r="X47" s="36"/>
      <c r="Y47" s="36"/>
      <c r="Z47" s="36"/>
      <c r="AA47" s="36"/>
      <c r="AB47" s="35"/>
      <c r="AC47" s="35"/>
      <c r="AD47" s="35"/>
      <c r="AE47" s="35"/>
      <c r="AF47" s="35"/>
      <c r="AG47" s="35"/>
      <c r="AH47" s="35"/>
      <c r="AI47" s="35"/>
      <c r="AJ47" s="35"/>
      <c r="AK47" s="35"/>
      <c r="AL47" s="35"/>
      <c r="AM47" s="35"/>
      <c r="AN47" s="35"/>
      <c r="AO47" s="35"/>
      <c r="AP47" s="35"/>
      <c r="AQ47" s="35"/>
      <c r="AR47" s="35"/>
      <c r="AS47" s="35"/>
      <c r="AT47" s="35"/>
    </row>
    <row r="48" spans="2:52">
      <c r="B48" s="38"/>
      <c r="C48" s="38"/>
      <c r="D48" s="38"/>
      <c r="E48" s="38"/>
      <c r="F48" s="38"/>
      <c r="G48" s="38"/>
      <c r="H48" s="38"/>
      <c r="I48" s="38"/>
      <c r="J48" s="38"/>
      <c r="K48" s="38"/>
      <c r="L48" s="38"/>
      <c r="M48" s="38"/>
      <c r="N48" s="38"/>
      <c r="O48" s="38"/>
      <c r="P48" s="38"/>
      <c r="Q48" s="38"/>
      <c r="R48" s="38"/>
      <c r="S48" s="38"/>
      <c r="T48" s="38"/>
      <c r="U48" s="38"/>
      <c r="V48" s="39"/>
      <c r="W48" s="39"/>
      <c r="X48" s="39"/>
      <c r="Y48" s="39"/>
      <c r="Z48" s="39"/>
      <c r="AA48" s="39"/>
      <c r="AB48" s="38"/>
      <c r="AC48" s="38"/>
      <c r="AD48" s="38"/>
      <c r="AE48" s="38"/>
      <c r="AF48" s="38"/>
      <c r="AG48" s="38"/>
      <c r="AH48" s="38"/>
      <c r="AI48" s="38"/>
      <c r="AJ48" s="38"/>
      <c r="AK48" s="38"/>
      <c r="AL48" s="38"/>
      <c r="AM48" s="38"/>
      <c r="AN48" s="38"/>
      <c r="AO48" s="38"/>
      <c r="AP48" s="38"/>
      <c r="AQ48" s="38"/>
      <c r="AR48" s="38"/>
      <c r="AS48" s="38"/>
      <c r="AT48" s="38"/>
    </row>
    <row r="49" spans="2:46">
      <c r="B49" s="35"/>
      <c r="C49" s="35"/>
      <c r="D49" s="35"/>
      <c r="E49" s="35"/>
      <c r="F49" s="35"/>
      <c r="G49" s="35"/>
      <c r="H49" s="35"/>
      <c r="I49" s="35"/>
      <c r="J49" s="35"/>
      <c r="K49" s="35"/>
      <c r="L49" s="35"/>
      <c r="M49" s="35"/>
      <c r="N49" s="35"/>
      <c r="O49" s="35"/>
      <c r="P49" s="35"/>
      <c r="Q49" s="35"/>
      <c r="R49" s="35"/>
      <c r="S49" s="35"/>
      <c r="T49" s="35"/>
      <c r="U49" s="35"/>
      <c r="V49" s="36"/>
      <c r="W49" s="36"/>
      <c r="X49" s="36"/>
      <c r="Y49" s="36"/>
      <c r="Z49" s="36"/>
      <c r="AA49" s="36"/>
      <c r="AB49" s="35"/>
      <c r="AC49" s="35"/>
      <c r="AD49" s="35"/>
      <c r="AE49" s="35"/>
      <c r="AF49" s="35"/>
      <c r="AG49" s="35"/>
      <c r="AH49" s="35"/>
      <c r="AI49" s="35"/>
      <c r="AJ49" s="35"/>
      <c r="AK49" s="35"/>
      <c r="AL49" s="35"/>
      <c r="AM49" s="35"/>
      <c r="AN49" s="35"/>
      <c r="AO49" s="35"/>
      <c r="AP49" s="35"/>
      <c r="AQ49" s="35"/>
      <c r="AR49" s="35"/>
      <c r="AS49" s="35"/>
      <c r="AT49" s="35"/>
    </row>
    <row r="50" spans="2:46">
      <c r="B50" s="38"/>
      <c r="C50" s="38"/>
      <c r="D50" s="38"/>
      <c r="E50" s="38"/>
      <c r="F50" s="38"/>
      <c r="G50" s="38"/>
      <c r="H50" s="38"/>
      <c r="I50" s="38"/>
      <c r="J50" s="38"/>
      <c r="K50" s="38"/>
      <c r="L50" s="38"/>
      <c r="M50" s="38"/>
      <c r="N50" s="38"/>
      <c r="O50" s="38"/>
      <c r="P50" s="38"/>
      <c r="Q50" s="38"/>
      <c r="R50" s="38"/>
      <c r="S50" s="38"/>
      <c r="T50" s="38"/>
      <c r="U50" s="38"/>
      <c r="V50" s="39"/>
      <c r="W50" s="39"/>
      <c r="X50" s="39"/>
      <c r="Y50" s="39"/>
      <c r="Z50" s="39"/>
      <c r="AA50" s="39"/>
      <c r="AB50" s="38"/>
      <c r="AC50" s="38"/>
      <c r="AD50" s="38"/>
      <c r="AE50" s="38"/>
      <c r="AF50" s="38"/>
      <c r="AG50" s="38"/>
      <c r="AH50" s="38"/>
      <c r="AI50" s="38"/>
      <c r="AJ50" s="38"/>
      <c r="AK50" s="38"/>
      <c r="AL50" s="38"/>
      <c r="AM50" s="38"/>
      <c r="AN50" s="38"/>
      <c r="AO50" s="38"/>
      <c r="AP50" s="38"/>
      <c r="AQ50" s="38"/>
      <c r="AR50" s="38"/>
      <c r="AS50" s="38"/>
      <c r="AT50" s="38"/>
    </row>
    <row r="51" spans="2:46">
      <c r="B51" s="35"/>
      <c r="C51" s="35"/>
      <c r="D51" s="35"/>
      <c r="E51" s="35"/>
      <c r="F51" s="35"/>
      <c r="G51" s="35"/>
      <c r="H51" s="35"/>
      <c r="I51" s="35"/>
      <c r="J51" s="35"/>
      <c r="K51" s="35"/>
      <c r="L51" s="35"/>
      <c r="M51" s="35"/>
      <c r="N51" s="35"/>
      <c r="O51" s="35"/>
      <c r="P51" s="35"/>
      <c r="Q51" s="35"/>
      <c r="R51" s="35"/>
      <c r="S51" s="35"/>
      <c r="T51" s="35"/>
      <c r="U51" s="35"/>
      <c r="V51" s="36"/>
      <c r="W51" s="36"/>
      <c r="X51" s="36"/>
      <c r="Y51" s="36"/>
      <c r="Z51" s="36"/>
      <c r="AA51" s="36"/>
      <c r="AB51" s="35"/>
      <c r="AC51" s="35"/>
      <c r="AD51" s="35"/>
      <c r="AE51" s="35"/>
      <c r="AF51" s="35"/>
      <c r="AG51" s="35"/>
      <c r="AH51" s="35"/>
      <c r="AI51" s="35"/>
      <c r="AJ51" s="35"/>
      <c r="AK51" s="35"/>
      <c r="AL51" s="35"/>
      <c r="AM51" s="35"/>
      <c r="AN51" s="35"/>
      <c r="AO51" s="35"/>
      <c r="AP51" s="35"/>
      <c r="AQ51" s="35"/>
      <c r="AR51" s="35"/>
      <c r="AS51" s="35"/>
      <c r="AT51" s="35"/>
    </row>
    <row r="52" spans="2:46">
      <c r="B52" s="38"/>
      <c r="C52" s="38"/>
      <c r="D52" s="38"/>
      <c r="E52" s="38"/>
      <c r="F52" s="38"/>
      <c r="G52" s="38"/>
      <c r="H52" s="38"/>
      <c r="I52" s="38"/>
      <c r="J52" s="38"/>
      <c r="K52" s="38"/>
      <c r="L52" s="38"/>
      <c r="M52" s="38"/>
      <c r="N52" s="38"/>
      <c r="O52" s="38"/>
      <c r="P52" s="38"/>
      <c r="Q52" s="38"/>
      <c r="R52" s="38"/>
      <c r="S52" s="38"/>
      <c r="T52" s="38"/>
      <c r="U52" s="38"/>
      <c r="V52" s="39"/>
      <c r="W52" s="39"/>
      <c r="X52" s="39"/>
      <c r="Y52" s="39"/>
      <c r="Z52" s="39"/>
      <c r="AA52" s="39"/>
      <c r="AB52" s="38"/>
      <c r="AC52" s="38"/>
      <c r="AD52" s="38"/>
      <c r="AE52" s="38"/>
      <c r="AF52" s="38"/>
      <c r="AG52" s="38"/>
      <c r="AH52" s="38"/>
      <c r="AI52" s="38"/>
      <c r="AJ52" s="38"/>
      <c r="AK52" s="38"/>
      <c r="AL52" s="38"/>
      <c r="AM52" s="38"/>
      <c r="AN52" s="38"/>
      <c r="AO52" s="38"/>
      <c r="AP52" s="38"/>
      <c r="AQ52" s="38"/>
      <c r="AR52" s="38"/>
      <c r="AS52" s="38"/>
      <c r="AT52" s="38"/>
    </row>
    <row r="53" spans="2:46">
      <c r="B53" s="35"/>
      <c r="C53" s="35"/>
      <c r="D53" s="35"/>
      <c r="E53" s="35"/>
      <c r="F53" s="35"/>
      <c r="G53" s="35"/>
      <c r="H53" s="35"/>
      <c r="I53" s="35"/>
      <c r="J53" s="35"/>
      <c r="K53" s="35"/>
      <c r="L53" s="35"/>
      <c r="M53" s="35"/>
      <c r="N53" s="35"/>
      <c r="O53" s="35"/>
      <c r="P53" s="35"/>
      <c r="Q53" s="35"/>
      <c r="R53" s="35"/>
      <c r="S53" s="35"/>
      <c r="T53" s="35"/>
      <c r="U53" s="35"/>
      <c r="V53" s="36"/>
      <c r="W53" s="36"/>
      <c r="X53" s="36"/>
      <c r="Y53" s="36"/>
      <c r="Z53" s="36"/>
      <c r="AA53" s="36"/>
      <c r="AB53" s="35"/>
      <c r="AC53" s="35"/>
      <c r="AD53" s="35"/>
      <c r="AE53" s="35"/>
      <c r="AF53" s="35"/>
      <c r="AG53" s="35"/>
      <c r="AH53" s="35"/>
      <c r="AI53" s="35"/>
      <c r="AJ53" s="35"/>
      <c r="AK53" s="35"/>
      <c r="AL53" s="35"/>
      <c r="AM53" s="35"/>
      <c r="AN53" s="35"/>
      <c r="AO53" s="35"/>
      <c r="AP53" s="35"/>
      <c r="AQ53" s="35"/>
      <c r="AR53" s="35"/>
      <c r="AS53" s="35"/>
      <c r="AT53" s="35"/>
    </row>
    <row r="54" spans="2:46">
      <c r="B54" s="38"/>
      <c r="C54" s="38"/>
      <c r="D54" s="38"/>
      <c r="E54" s="38"/>
      <c r="F54" s="38"/>
      <c r="G54" s="38"/>
      <c r="H54" s="38"/>
      <c r="I54" s="38"/>
      <c r="J54" s="38"/>
      <c r="K54" s="38"/>
      <c r="L54" s="38"/>
      <c r="M54" s="38"/>
      <c r="N54" s="38"/>
      <c r="O54" s="38"/>
      <c r="P54" s="38"/>
      <c r="Q54" s="38"/>
      <c r="R54" s="38"/>
      <c r="S54" s="38"/>
      <c r="T54" s="38"/>
      <c r="U54" s="38"/>
      <c r="V54" s="39"/>
      <c r="W54" s="39"/>
      <c r="X54" s="39"/>
      <c r="Y54" s="39"/>
      <c r="Z54" s="39"/>
      <c r="AA54" s="39"/>
      <c r="AB54" s="38"/>
      <c r="AC54" s="38"/>
      <c r="AD54" s="38"/>
      <c r="AE54" s="38"/>
      <c r="AF54" s="38"/>
      <c r="AG54" s="38"/>
      <c r="AH54" s="38"/>
      <c r="AI54" s="38"/>
      <c r="AJ54" s="38"/>
      <c r="AK54" s="38"/>
      <c r="AL54" s="38"/>
      <c r="AM54" s="38"/>
      <c r="AN54" s="38"/>
      <c r="AO54" s="38"/>
      <c r="AP54" s="38"/>
      <c r="AQ54" s="38"/>
      <c r="AR54" s="38"/>
      <c r="AS54" s="38"/>
      <c r="AT54" s="38"/>
    </row>
  </sheetData>
  <sheetProtection selectLockedCells="1"/>
  <mergeCells count="479">
    <mergeCell ref="A1:AU1"/>
    <mergeCell ref="B2:C2"/>
    <mergeCell ref="D2:H2"/>
    <mergeCell ref="I2:K2"/>
    <mergeCell ref="L2:O2"/>
    <mergeCell ref="P2:R2"/>
    <mergeCell ref="S2:U2"/>
    <mergeCell ref="V2:AA2"/>
    <mergeCell ref="AB2:AD2"/>
    <mergeCell ref="AE2:AR2"/>
    <mergeCell ref="AS2:AT2"/>
    <mergeCell ref="B3:C3"/>
    <mergeCell ref="D3:H3"/>
    <mergeCell ref="I3:K3"/>
    <mergeCell ref="L3:O3"/>
    <mergeCell ref="P3:R3"/>
    <mergeCell ref="V3:AA3"/>
    <mergeCell ref="AB3:AD3"/>
    <mergeCell ref="AE3:AR3"/>
    <mergeCell ref="AS3:AT3"/>
    <mergeCell ref="B4:C4"/>
    <mergeCell ref="D4:H4"/>
    <mergeCell ref="I4:K4"/>
    <mergeCell ref="L4:O4"/>
    <mergeCell ref="P4:R4"/>
    <mergeCell ref="V4:AA4"/>
    <mergeCell ref="AB4:AD4"/>
    <mergeCell ref="AE4:AR4"/>
    <mergeCell ref="AS4:AT4"/>
    <mergeCell ref="B5:C5"/>
    <mergeCell ref="D5:H5"/>
    <mergeCell ref="I5:K5"/>
    <mergeCell ref="L5:O5"/>
    <mergeCell ref="P5:R5"/>
    <mergeCell ref="V5:AA5"/>
    <mergeCell ref="AB5:AD5"/>
    <mergeCell ref="AE5:AR5"/>
    <mergeCell ref="AS5:AT5"/>
    <mergeCell ref="B6:C6"/>
    <mergeCell ref="D6:H6"/>
    <mergeCell ref="I6:K6"/>
    <mergeCell ref="L6:O6"/>
    <mergeCell ref="P6:R6"/>
    <mergeCell ref="V6:AA6"/>
    <mergeCell ref="AB6:AD6"/>
    <mergeCell ref="AE6:AR6"/>
    <mergeCell ref="AS6:AT6"/>
    <mergeCell ref="B7:C7"/>
    <mergeCell ref="D7:H7"/>
    <mergeCell ref="I7:K7"/>
    <mergeCell ref="L7:O7"/>
    <mergeCell ref="P7:R7"/>
    <mergeCell ref="V7:AA7"/>
    <mergeCell ref="AB7:AD7"/>
    <mergeCell ref="AE7:AR7"/>
    <mergeCell ref="AS7:AT7"/>
    <mergeCell ref="B8:C8"/>
    <mergeCell ref="D8:H8"/>
    <mergeCell ref="I8:K8"/>
    <mergeCell ref="L8:O8"/>
    <mergeCell ref="P8:R8"/>
    <mergeCell ref="V8:AA8"/>
    <mergeCell ref="AB8:AD8"/>
    <mergeCell ref="AE8:AR8"/>
    <mergeCell ref="AS8:AT8"/>
    <mergeCell ref="B9:C9"/>
    <mergeCell ref="D9:H9"/>
    <mergeCell ref="I9:K9"/>
    <mergeCell ref="L9:O9"/>
    <mergeCell ref="P9:R9"/>
    <mergeCell ref="V9:AA9"/>
    <mergeCell ref="AB9:AD9"/>
    <mergeCell ref="AE9:AR9"/>
    <mergeCell ref="AS9:AT9"/>
    <mergeCell ref="B10:C10"/>
    <mergeCell ref="D10:H10"/>
    <mergeCell ref="I10:K10"/>
    <mergeCell ref="L10:O10"/>
    <mergeCell ref="P10:R10"/>
    <mergeCell ref="V10:AA10"/>
    <mergeCell ref="AB10:AD10"/>
    <mergeCell ref="AE10:AR10"/>
    <mergeCell ref="AS10:AT10"/>
    <mergeCell ref="B11:C11"/>
    <mergeCell ref="D11:H11"/>
    <mergeCell ref="I11:K11"/>
    <mergeCell ref="L11:O11"/>
    <mergeCell ref="P11:R11"/>
    <mergeCell ref="V11:AA11"/>
    <mergeCell ref="AB11:AD11"/>
    <mergeCell ref="AE11:AR11"/>
    <mergeCell ref="AS11:AT11"/>
    <mergeCell ref="B12:C12"/>
    <mergeCell ref="D12:H12"/>
    <mergeCell ref="I12:K12"/>
    <mergeCell ref="L12:O12"/>
    <mergeCell ref="P12:R12"/>
    <mergeCell ref="V12:AA12"/>
    <mergeCell ref="AB12:AD12"/>
    <mergeCell ref="AE12:AR12"/>
    <mergeCell ref="AS12:AT12"/>
    <mergeCell ref="B13:C13"/>
    <mergeCell ref="D13:H13"/>
    <mergeCell ref="I13:K13"/>
    <mergeCell ref="L13:O13"/>
    <mergeCell ref="P13:R13"/>
    <mergeCell ref="V13:AA13"/>
    <mergeCell ref="AB13:AD13"/>
    <mergeCell ref="AE13:AR13"/>
    <mergeCell ref="AS13:AT13"/>
    <mergeCell ref="B14:C14"/>
    <mergeCell ref="D14:H14"/>
    <mergeCell ref="I14:K14"/>
    <mergeCell ref="L14:O14"/>
    <mergeCell ref="P14:R14"/>
    <mergeCell ref="V14:AA14"/>
    <mergeCell ref="AB14:AD14"/>
    <mergeCell ref="AE14:AR14"/>
    <mergeCell ref="AS14:AT14"/>
    <mergeCell ref="B15:C15"/>
    <mergeCell ref="D15:H15"/>
    <mergeCell ref="I15:K15"/>
    <mergeCell ref="L15:O15"/>
    <mergeCell ref="P15:R15"/>
    <mergeCell ref="V15:AA15"/>
    <mergeCell ref="AB15:AD15"/>
    <mergeCell ref="AE15:AR15"/>
    <mergeCell ref="AS15:AT15"/>
    <mergeCell ref="B16:C16"/>
    <mergeCell ref="D16:H16"/>
    <mergeCell ref="I16:K16"/>
    <mergeCell ref="L16:O16"/>
    <mergeCell ref="P16:R16"/>
    <mergeCell ref="V16:AA16"/>
    <mergeCell ref="AB16:AD16"/>
    <mergeCell ref="AE16:AR16"/>
    <mergeCell ref="AS16:AT16"/>
    <mergeCell ref="B17:C17"/>
    <mergeCell ref="D17:H17"/>
    <mergeCell ref="I17:K17"/>
    <mergeCell ref="L17:O17"/>
    <mergeCell ref="P17:R17"/>
    <mergeCell ref="V17:AA17"/>
    <mergeCell ref="AB17:AD17"/>
    <mergeCell ref="AE17:AR17"/>
    <mergeCell ref="AS17:AT17"/>
    <mergeCell ref="B18:C18"/>
    <mergeCell ref="D18:H18"/>
    <mergeCell ref="I18:K18"/>
    <mergeCell ref="L18:O18"/>
    <mergeCell ref="P18:R18"/>
    <mergeCell ref="V18:AA18"/>
    <mergeCell ref="AB18:AD18"/>
    <mergeCell ref="AE18:AR18"/>
    <mergeCell ref="AS18:AT18"/>
    <mergeCell ref="B19:C19"/>
    <mergeCell ref="D19:H19"/>
    <mergeCell ref="I19:K19"/>
    <mergeCell ref="L19:O19"/>
    <mergeCell ref="P19:R19"/>
    <mergeCell ref="V19:AA19"/>
    <mergeCell ref="AB19:AD19"/>
    <mergeCell ref="AE19:AR19"/>
    <mergeCell ref="AS19:AT19"/>
    <mergeCell ref="B20:C20"/>
    <mergeCell ref="D20:H20"/>
    <mergeCell ref="I20:K20"/>
    <mergeCell ref="L20:O20"/>
    <mergeCell ref="P20:R20"/>
    <mergeCell ref="V20:AA20"/>
    <mergeCell ref="AB20:AD20"/>
    <mergeCell ref="AE20:AR20"/>
    <mergeCell ref="AS20:AT20"/>
    <mergeCell ref="B21:C21"/>
    <mergeCell ref="D21:H21"/>
    <mergeCell ref="I21:K21"/>
    <mergeCell ref="L21:O21"/>
    <mergeCell ref="P21:R21"/>
    <mergeCell ref="V21:AA21"/>
    <mergeCell ref="AB21:AD21"/>
    <mergeCell ref="AE21:AR21"/>
    <mergeCell ref="AS21:AT21"/>
    <mergeCell ref="B22:C22"/>
    <mergeCell ref="D22:H22"/>
    <mergeCell ref="I22:K22"/>
    <mergeCell ref="L22:O22"/>
    <mergeCell ref="P22:R22"/>
    <mergeCell ref="V22:AA22"/>
    <mergeCell ref="AB22:AD22"/>
    <mergeCell ref="AE22:AR22"/>
    <mergeCell ref="AS22:AT22"/>
    <mergeCell ref="B23:C23"/>
    <mergeCell ref="D23:H23"/>
    <mergeCell ref="I23:K23"/>
    <mergeCell ref="L23:O23"/>
    <mergeCell ref="P23:R23"/>
    <mergeCell ref="V23:AA23"/>
    <mergeCell ref="AB23:AD23"/>
    <mergeCell ref="AE23:AR23"/>
    <mergeCell ref="AS23:AT23"/>
    <mergeCell ref="B24:C24"/>
    <mergeCell ref="D24:H24"/>
    <mergeCell ref="I24:K24"/>
    <mergeCell ref="L24:O24"/>
    <mergeCell ref="P24:R24"/>
    <mergeCell ref="V24:AA24"/>
    <mergeCell ref="AB24:AD24"/>
    <mergeCell ref="AE24:AR24"/>
    <mergeCell ref="AS24:AT24"/>
    <mergeCell ref="B25:C25"/>
    <mergeCell ref="D25:H25"/>
    <mergeCell ref="I25:K25"/>
    <mergeCell ref="L25:O25"/>
    <mergeCell ref="P25:R25"/>
    <mergeCell ref="V25:AA25"/>
    <mergeCell ref="AB25:AD25"/>
    <mergeCell ref="AE25:AR25"/>
    <mergeCell ref="AS25:AT25"/>
    <mergeCell ref="B26:C26"/>
    <mergeCell ref="D26:H26"/>
    <mergeCell ref="I26:K26"/>
    <mergeCell ref="L26:O26"/>
    <mergeCell ref="P26:R26"/>
    <mergeCell ref="V26:AA26"/>
    <mergeCell ref="AB26:AD26"/>
    <mergeCell ref="AE26:AR26"/>
    <mergeCell ref="AS26:AT26"/>
    <mergeCell ref="B27:C27"/>
    <mergeCell ref="D27:H27"/>
    <mergeCell ref="I27:K27"/>
    <mergeCell ref="L27:O27"/>
    <mergeCell ref="P27:R27"/>
    <mergeCell ref="V27:AA27"/>
    <mergeCell ref="AB27:AD27"/>
    <mergeCell ref="AE27:AR27"/>
    <mergeCell ref="AS27:AT27"/>
    <mergeCell ref="B28:C28"/>
    <mergeCell ref="D28:H28"/>
    <mergeCell ref="I28:K28"/>
    <mergeCell ref="L28:O28"/>
    <mergeCell ref="P28:R28"/>
    <mergeCell ref="V28:AA28"/>
    <mergeCell ref="AB28:AD28"/>
    <mergeCell ref="AE28:AR28"/>
    <mergeCell ref="AS28:AT28"/>
    <mergeCell ref="B29:C29"/>
    <mergeCell ref="D29:H29"/>
    <mergeCell ref="I29:K29"/>
    <mergeCell ref="L29:O29"/>
    <mergeCell ref="P29:R29"/>
    <mergeCell ref="V29:AA29"/>
    <mergeCell ref="AB29:AD29"/>
    <mergeCell ref="AE29:AR29"/>
    <mergeCell ref="AS29:AT29"/>
    <mergeCell ref="B30:C30"/>
    <mergeCell ref="D30:H30"/>
    <mergeCell ref="I30:K30"/>
    <mergeCell ref="L30:O30"/>
    <mergeCell ref="P30:R30"/>
    <mergeCell ref="V30:AA30"/>
    <mergeCell ref="AB30:AD30"/>
    <mergeCell ref="AE30:AR30"/>
    <mergeCell ref="AS30:AT30"/>
    <mergeCell ref="B31:C31"/>
    <mergeCell ref="D31:H31"/>
    <mergeCell ref="I31:K31"/>
    <mergeCell ref="L31:O31"/>
    <mergeCell ref="P31:R31"/>
    <mergeCell ref="V31:AA31"/>
    <mergeCell ref="AB31:AD31"/>
    <mergeCell ref="AE31:AR31"/>
    <mergeCell ref="AS31:AT31"/>
    <mergeCell ref="B32:C32"/>
    <mergeCell ref="D32:H32"/>
    <mergeCell ref="I32:K32"/>
    <mergeCell ref="L32:O32"/>
    <mergeCell ref="P32:R32"/>
    <mergeCell ref="V32:AA32"/>
    <mergeCell ref="AB32:AD32"/>
    <mergeCell ref="AE32:AR32"/>
    <mergeCell ref="AS32:AT32"/>
    <mergeCell ref="B33:C33"/>
    <mergeCell ref="D33:H33"/>
    <mergeCell ref="I33:K33"/>
    <mergeCell ref="L33:O33"/>
    <mergeCell ref="P33:R33"/>
    <mergeCell ref="V33:AA33"/>
    <mergeCell ref="AB33:AD33"/>
    <mergeCell ref="AE33:AR33"/>
    <mergeCell ref="AS33:AT33"/>
    <mergeCell ref="B34:C34"/>
    <mergeCell ref="D34:H34"/>
    <mergeCell ref="I34:K34"/>
    <mergeCell ref="L34:O34"/>
    <mergeCell ref="P34:R34"/>
    <mergeCell ref="V34:AA34"/>
    <mergeCell ref="AB34:AD34"/>
    <mergeCell ref="AE34:AR34"/>
    <mergeCell ref="AS34:AT34"/>
    <mergeCell ref="B35:C35"/>
    <mergeCell ref="D35:H35"/>
    <mergeCell ref="I35:K35"/>
    <mergeCell ref="L35:O35"/>
    <mergeCell ref="P35:R35"/>
    <mergeCell ref="V35:AA35"/>
    <mergeCell ref="AB35:AD35"/>
    <mergeCell ref="AE35:AR35"/>
    <mergeCell ref="AS35:AT35"/>
    <mergeCell ref="B36:C36"/>
    <mergeCell ref="D36:H36"/>
    <mergeCell ref="I36:K36"/>
    <mergeCell ref="L36:O36"/>
    <mergeCell ref="P36:R36"/>
    <mergeCell ref="V36:AA36"/>
    <mergeCell ref="AB36:AD36"/>
    <mergeCell ref="AE36:AR36"/>
    <mergeCell ref="AS36:AT36"/>
    <mergeCell ref="B37:C37"/>
    <mergeCell ref="D37:H37"/>
    <mergeCell ref="I37:K37"/>
    <mergeCell ref="L37:O37"/>
    <mergeCell ref="P37:R37"/>
    <mergeCell ref="V37:AA37"/>
    <mergeCell ref="AB37:AD37"/>
    <mergeCell ref="AE37:AR37"/>
    <mergeCell ref="AS37:AT37"/>
    <mergeCell ref="B38:C38"/>
    <mergeCell ref="D38:H38"/>
    <mergeCell ref="I38:K38"/>
    <mergeCell ref="L38:O38"/>
    <mergeCell ref="P38:R38"/>
    <mergeCell ref="V38:AA38"/>
    <mergeCell ref="AB38:AD38"/>
    <mergeCell ref="AE38:AR38"/>
    <mergeCell ref="AS38:AT38"/>
    <mergeCell ref="B39:C39"/>
    <mergeCell ref="D39:H39"/>
    <mergeCell ref="I39:K39"/>
    <mergeCell ref="L39:O39"/>
    <mergeCell ref="P39:R39"/>
    <mergeCell ref="V39:AA39"/>
    <mergeCell ref="AB39:AD39"/>
    <mergeCell ref="AE39:AR39"/>
    <mergeCell ref="AS39:AT39"/>
    <mergeCell ref="B40:C40"/>
    <mergeCell ref="D40:H40"/>
    <mergeCell ref="I40:K40"/>
    <mergeCell ref="L40:O40"/>
    <mergeCell ref="P40:R40"/>
    <mergeCell ref="V40:AA40"/>
    <mergeCell ref="AB40:AD40"/>
    <mergeCell ref="AE40:AR40"/>
    <mergeCell ref="AS40:AT40"/>
    <mergeCell ref="B41:C41"/>
    <mergeCell ref="D41:H41"/>
    <mergeCell ref="I41:K41"/>
    <mergeCell ref="L41:O41"/>
    <mergeCell ref="P41:R41"/>
    <mergeCell ref="V41:AA41"/>
    <mergeCell ref="AB41:AD41"/>
    <mergeCell ref="AE41:AR41"/>
    <mergeCell ref="AS41:AT41"/>
    <mergeCell ref="B42:C42"/>
    <mergeCell ref="D42:H42"/>
    <mergeCell ref="I42:K42"/>
    <mergeCell ref="L42:O42"/>
    <mergeCell ref="P42:R42"/>
    <mergeCell ref="V42:AA42"/>
    <mergeCell ref="AB42:AD42"/>
    <mergeCell ref="AE42:AR42"/>
    <mergeCell ref="AS42:AT42"/>
    <mergeCell ref="B43:C43"/>
    <mergeCell ref="D43:H43"/>
    <mergeCell ref="I43:K43"/>
    <mergeCell ref="L43:O43"/>
    <mergeCell ref="P43:R43"/>
    <mergeCell ref="V43:AA43"/>
    <mergeCell ref="AB43:AD43"/>
    <mergeCell ref="AE43:AR43"/>
    <mergeCell ref="AS43:AT43"/>
    <mergeCell ref="B44:C44"/>
    <mergeCell ref="D44:H44"/>
    <mergeCell ref="I44:K44"/>
    <mergeCell ref="L44:O44"/>
    <mergeCell ref="P44:R44"/>
    <mergeCell ref="V44:AA44"/>
    <mergeCell ref="AB44:AD44"/>
    <mergeCell ref="AE44:AR44"/>
    <mergeCell ref="AS44:AT44"/>
    <mergeCell ref="B45:C45"/>
    <mergeCell ref="D45:H45"/>
    <mergeCell ref="I45:K45"/>
    <mergeCell ref="L45:O45"/>
    <mergeCell ref="P45:R45"/>
    <mergeCell ref="V45:AA45"/>
    <mergeCell ref="AB45:AD45"/>
    <mergeCell ref="AE45:AR45"/>
    <mergeCell ref="AS45:AT45"/>
    <mergeCell ref="B46:C46"/>
    <mergeCell ref="D46:H46"/>
    <mergeCell ref="I46:K46"/>
    <mergeCell ref="L46:O46"/>
    <mergeCell ref="P46:R46"/>
    <mergeCell ref="V46:AA46"/>
    <mergeCell ref="AB46:AD46"/>
    <mergeCell ref="AE46:AR46"/>
    <mergeCell ref="AS46:AT46"/>
    <mergeCell ref="B47:C47"/>
    <mergeCell ref="D47:H47"/>
    <mergeCell ref="I47:K47"/>
    <mergeCell ref="L47:O47"/>
    <mergeCell ref="P47:R47"/>
    <mergeCell ref="V47:AA47"/>
    <mergeCell ref="AB47:AD47"/>
    <mergeCell ref="AE47:AR47"/>
    <mergeCell ref="AS47:AT47"/>
    <mergeCell ref="B48:C48"/>
    <mergeCell ref="D48:H48"/>
    <mergeCell ref="I48:K48"/>
    <mergeCell ref="L48:O48"/>
    <mergeCell ref="P48:R48"/>
    <mergeCell ref="V48:AA48"/>
    <mergeCell ref="AB48:AD48"/>
    <mergeCell ref="AE48:AR48"/>
    <mergeCell ref="AS48:AT48"/>
    <mergeCell ref="B49:C49"/>
    <mergeCell ref="D49:H49"/>
    <mergeCell ref="I49:K49"/>
    <mergeCell ref="L49:O49"/>
    <mergeCell ref="P49:R49"/>
    <mergeCell ref="V49:AA49"/>
    <mergeCell ref="AB49:AD49"/>
    <mergeCell ref="AE49:AR49"/>
    <mergeCell ref="AS49:AT49"/>
    <mergeCell ref="B50:C50"/>
    <mergeCell ref="D50:H50"/>
    <mergeCell ref="I50:K50"/>
    <mergeCell ref="L50:O50"/>
    <mergeCell ref="P50:R50"/>
    <mergeCell ref="V50:AA50"/>
    <mergeCell ref="AB50:AD50"/>
    <mergeCell ref="AE50:AR50"/>
    <mergeCell ref="AS50:AT50"/>
    <mergeCell ref="B51:C51"/>
    <mergeCell ref="D51:H51"/>
    <mergeCell ref="I51:K51"/>
    <mergeCell ref="L51:O51"/>
    <mergeCell ref="P51:R51"/>
    <mergeCell ref="V51:AA51"/>
    <mergeCell ref="AB51:AD51"/>
    <mergeCell ref="AE51:AR51"/>
    <mergeCell ref="AS51:AT51"/>
    <mergeCell ref="B52:C52"/>
    <mergeCell ref="D52:H52"/>
    <mergeCell ref="I52:K52"/>
    <mergeCell ref="L52:O52"/>
    <mergeCell ref="P52:R52"/>
    <mergeCell ref="V52:AA52"/>
    <mergeCell ref="AB52:AD52"/>
    <mergeCell ref="AE52:AR52"/>
    <mergeCell ref="AS52:AT52"/>
    <mergeCell ref="B53:C53"/>
    <mergeCell ref="D53:H53"/>
    <mergeCell ref="I53:K53"/>
    <mergeCell ref="L53:O53"/>
    <mergeCell ref="P53:R53"/>
    <mergeCell ref="V53:AA53"/>
    <mergeCell ref="AB53:AD53"/>
    <mergeCell ref="AE53:AR53"/>
    <mergeCell ref="AS53:AT53"/>
    <mergeCell ref="B54:C54"/>
    <mergeCell ref="D54:H54"/>
    <mergeCell ref="I54:K54"/>
    <mergeCell ref="L54:O54"/>
    <mergeCell ref="P54:R54"/>
    <mergeCell ref="V54:AA54"/>
    <mergeCell ref="AB54:AD54"/>
    <mergeCell ref="AE54:AR54"/>
    <mergeCell ref="AS54:AT54"/>
  </mergeCells>
  <dataValidations count="7">
    <dataValidation type="list" allowBlank="1" showInputMessage="1" sqref="AS3:AT54">
      <formula1>"√"</formula1>
    </dataValidation>
    <dataValidation type="list" allowBlank="1" showInputMessage="1" sqref="I3:K54">
      <formula1>$AY$3:$AY$37</formula1>
    </dataValidation>
    <dataValidation type="list" allowBlank="1" showInputMessage="1" sqref="B3:C54">
      <formula1>$AV$3:$AV$12</formula1>
    </dataValidation>
    <dataValidation type="list" allowBlank="1" showInputMessage="1" sqref="P3:R54">
      <formula1>$AX$3:$AX$10</formula1>
    </dataValidation>
    <dataValidation type="list" allowBlank="1" showInputMessage="1" showErrorMessage="1" sqref="S3:U54">
      <formula1>#REF!</formula1>
    </dataValidation>
    <dataValidation type="list" allowBlank="1" showInputMessage="1" sqref="AB3:AD54">
      <formula1>$AZ$3:$AZ$39</formula1>
    </dataValidation>
    <dataValidation type="list" allowBlank="1" showInputMessage="1" sqref="L3:O54">
      <formula1>$AW$3:$AW$18</formula1>
    </dataValidation>
  </dataValidations>
  <pageMargins left="0.75" right="0.75" top="1" bottom="1" header="0.511805555555556" footer="0.511805555555556"/>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AT100"/>
  <sheetViews>
    <sheetView workbookViewId="0">
      <selection activeCell="AL4" sqref="AL4"/>
    </sheetView>
  </sheetViews>
  <sheetFormatPr defaultColWidth="9" defaultRowHeight="14"/>
  <cols>
    <col min="1" max="52" width="2.33636363636364" style="25" customWidth="1"/>
    <col min="53" max="16384" width="9" style="25"/>
  </cols>
  <sheetData>
    <row r="1" ht="16.95" customHeight="1" spans="1:46">
      <c r="A1" s="26" t="s">
        <v>9264</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7"/>
    </row>
    <row r="2" ht="16.95" customHeight="1"/>
    <row r="3" ht="16.95" customHeight="1"/>
    <row r="4" ht="16.95" customHeight="1"/>
    <row r="5" ht="16.95" customHeight="1"/>
    <row r="6" ht="16.95" customHeight="1"/>
    <row r="7" ht="16.95" customHeight="1"/>
    <row r="8" ht="16.95" customHeight="1"/>
    <row r="9" ht="16.95" customHeight="1"/>
    <row r="10" ht="16.95" customHeight="1"/>
    <row r="11" ht="16.95" customHeight="1"/>
    <row r="12" ht="16.95" customHeight="1"/>
    <row r="13" ht="16.95" customHeight="1"/>
    <row r="14" ht="16.95" customHeight="1"/>
    <row r="15" ht="16.95" customHeight="1"/>
    <row r="16" ht="16.95" customHeight="1"/>
    <row r="17" ht="16.95" customHeight="1"/>
    <row r="18" ht="16.95" customHeight="1"/>
    <row r="19" ht="16.95" customHeight="1"/>
    <row r="20" ht="16.95" customHeight="1"/>
    <row r="21" ht="16.95" customHeight="1"/>
    <row r="22" ht="16.95" customHeight="1"/>
    <row r="23" ht="16.95" customHeight="1"/>
    <row r="24" ht="16.95" customHeight="1"/>
    <row r="25" ht="16.95" customHeight="1"/>
    <row r="26" ht="16.95" customHeight="1"/>
    <row r="27" ht="16.95" customHeight="1"/>
    <row r="28" ht="16.95" customHeight="1"/>
    <row r="29" ht="16.95" customHeight="1"/>
    <row r="30" ht="16.95" customHeight="1"/>
    <row r="31" ht="16.95" customHeight="1"/>
    <row r="32" ht="16.95" customHeight="1"/>
    <row r="33" ht="16.95" customHeight="1"/>
    <row r="34" ht="16.95" customHeight="1"/>
    <row r="35" ht="16.95" customHeight="1"/>
    <row r="36" ht="16.95" customHeight="1"/>
    <row r="37" ht="16.95" customHeight="1"/>
    <row r="38" ht="16.95" customHeight="1"/>
    <row r="39" ht="16.95" customHeight="1"/>
    <row r="40" ht="16.95" customHeight="1"/>
    <row r="41" ht="16.95" customHeight="1"/>
    <row r="42" ht="16.95" customHeight="1"/>
    <row r="43" ht="16.95" customHeight="1"/>
    <row r="44" ht="16.95" customHeight="1"/>
    <row r="45" ht="16.95" customHeight="1"/>
    <row r="46" ht="16.95" customHeight="1"/>
    <row r="47" ht="16.95" customHeight="1"/>
    <row r="48" ht="16.95" customHeight="1"/>
    <row r="49" ht="16.95" customHeight="1"/>
    <row r="50" ht="16.95" customHeight="1"/>
    <row r="51" ht="16.95" customHeight="1"/>
    <row r="52" ht="16.95" customHeight="1"/>
    <row r="53" ht="16.95" customHeight="1"/>
    <row r="54" ht="16.95" customHeight="1"/>
    <row r="55" ht="16.95" customHeight="1"/>
    <row r="56" ht="16.95" customHeight="1"/>
    <row r="57" ht="16.95" customHeight="1"/>
    <row r="58" ht="16.95" customHeight="1"/>
    <row r="59" ht="16.95" customHeight="1"/>
    <row r="60" ht="16.95" customHeight="1"/>
    <row r="61" ht="16.95" customHeight="1"/>
    <row r="62" ht="16.95" customHeight="1"/>
    <row r="63" ht="16.95" customHeight="1"/>
    <row r="64" ht="16.95" customHeight="1"/>
    <row r="65" ht="16.95" customHeight="1"/>
    <row r="66" ht="16.95" customHeight="1"/>
    <row r="67" ht="16.95" customHeight="1"/>
    <row r="68" ht="16.95" customHeight="1"/>
    <row r="69" ht="16.95" customHeight="1"/>
    <row r="70" ht="16.95" customHeight="1"/>
    <row r="71" ht="16.95" customHeight="1"/>
    <row r="72" ht="16.95" customHeight="1"/>
    <row r="73" ht="16.95" customHeight="1"/>
    <row r="74" ht="16.95" customHeight="1"/>
    <row r="75" ht="16.95" customHeight="1"/>
    <row r="76" ht="16.95" customHeight="1"/>
    <row r="77" ht="16.95" customHeight="1"/>
    <row r="78" ht="16.95" customHeight="1"/>
    <row r="79" ht="16.95" customHeight="1"/>
    <row r="80" ht="16.95" customHeight="1"/>
    <row r="81" ht="16.95" customHeight="1"/>
    <row r="82" ht="16.95" customHeight="1"/>
    <row r="83" ht="16.95" customHeight="1"/>
    <row r="84" ht="16.95" customHeight="1"/>
    <row r="85" ht="16.95" customHeight="1"/>
    <row r="86" ht="16.95" customHeight="1"/>
    <row r="87" ht="16.95" customHeight="1"/>
    <row r="88" ht="16.95" customHeight="1"/>
    <row r="89" ht="16.95" customHeight="1"/>
    <row r="90" ht="16.95" customHeight="1"/>
    <row r="91" ht="16.95" customHeight="1"/>
    <row r="92" ht="16.95" customHeight="1"/>
    <row r="93" ht="16.95" customHeight="1"/>
    <row r="94" ht="16.95" customHeight="1"/>
    <row r="95" ht="16.95" customHeight="1"/>
    <row r="96" ht="16.95" customHeight="1"/>
    <row r="97" ht="16.95" customHeight="1"/>
    <row r="98" ht="16.95" customHeight="1"/>
    <row r="99" ht="16.95" customHeight="1"/>
    <row r="100" ht="16.95" customHeight="1"/>
  </sheetData>
  <mergeCells count="1">
    <mergeCell ref="A1:AS1"/>
  </mergeCells>
  <pageMargins left="0.75" right="0.75" top="1" bottom="1" header="0.511805555555556" footer="0.511805555555556"/>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theme="7" tint="-0.249977111117893"/>
  </sheetPr>
  <dimension ref="A1:HZ110"/>
  <sheetViews>
    <sheetView workbookViewId="0">
      <pane xSplit="1" ySplit="1" topLeftCell="B2" activePane="bottomRight" state="frozen"/>
      <selection/>
      <selection pane="topRight"/>
      <selection pane="bottomLeft"/>
      <selection pane="bottomRight" activeCell="AJ11" sqref="AJ11:AT11"/>
    </sheetView>
  </sheetViews>
  <sheetFormatPr defaultColWidth="2.33636363636364" defaultRowHeight="17.1" customHeight="1"/>
  <cols>
    <col min="1" max="16384" width="2.33636363636364" style="1"/>
  </cols>
  <sheetData>
    <row r="1" customHeight="1" spans="1:234">
      <c r="A1" s="2" t="s">
        <v>9265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customHeight="1" spans="1:234">
      <c r="B2" s="3"/>
      <c r="C2" s="4" t="s">
        <v>9266</v>
      </c>
      <c r="D2" s="4"/>
      <c r="E2" s="4"/>
      <c r="F2" s="4"/>
      <c r="G2" s="4"/>
      <c r="H2" s="4"/>
      <c r="I2" s="4" t="s">
        <v>9267</v>
      </c>
      <c r="J2" s="4"/>
      <c r="K2" s="4"/>
      <c r="L2" s="4"/>
      <c r="M2" s="4"/>
      <c r="N2" s="4"/>
      <c r="O2" s="4" t="s">
        <v>9268</v>
      </c>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customHeight="1" spans="1:234">
      <c r="B3" s="5">
        <v>1</v>
      </c>
      <c r="C3" s="6"/>
      <c r="D3" s="6"/>
      <c r="E3" s="6"/>
      <c r="F3" s="6"/>
      <c r="G3" s="6"/>
      <c r="H3" s="6"/>
      <c r="I3" s="6"/>
      <c r="J3" s="6"/>
      <c r="K3" s="6"/>
      <c r="L3" s="6"/>
      <c r="M3" s="6"/>
      <c r="N3" s="6"/>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row>
    <row r="4" customHeight="1" spans="1:234">
      <c r="B4" s="8">
        <v>2</v>
      </c>
      <c r="C4" s="9"/>
      <c r="D4" s="9"/>
      <c r="E4" s="9"/>
      <c r="F4" s="9"/>
      <c r="G4" s="9"/>
      <c r="H4" s="9"/>
      <c r="I4" s="9"/>
      <c r="J4" s="9"/>
      <c r="K4" s="9"/>
      <c r="L4" s="9"/>
      <c r="M4" s="9"/>
      <c r="N4" s="9"/>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row>
    <row r="5" customHeight="1" spans="1:234">
      <c r="B5" s="5">
        <v>3</v>
      </c>
      <c r="C5" s="6"/>
      <c r="D5" s="6"/>
      <c r="E5" s="6"/>
      <c r="F5" s="6"/>
      <c r="G5" s="6"/>
      <c r="H5" s="6"/>
      <c r="I5" s="6"/>
      <c r="J5" s="6"/>
      <c r="K5" s="6"/>
      <c r="L5" s="6"/>
      <c r="M5" s="6"/>
      <c r="N5" s="6"/>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row>
    <row r="6" customHeight="1" spans="1:234">
      <c r="B6" s="8">
        <v>4</v>
      </c>
      <c r="C6" s="9"/>
      <c r="D6" s="9"/>
      <c r="E6" s="9"/>
      <c r="F6" s="9"/>
      <c r="G6" s="9"/>
      <c r="H6" s="9"/>
      <c r="I6" s="9"/>
      <c r="J6" s="9"/>
      <c r="K6" s="9"/>
      <c r="L6" s="9"/>
      <c r="M6" s="9"/>
      <c r="N6" s="9"/>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row>
    <row r="7" customHeight="1" spans="1:234">
      <c r="B7" s="5">
        <v>5</v>
      </c>
      <c r="C7" s="6"/>
      <c r="D7" s="6"/>
      <c r="E7" s="6"/>
      <c r="F7" s="6"/>
      <c r="G7" s="6"/>
      <c r="H7" s="6"/>
      <c r="I7" s="6"/>
      <c r="J7" s="6"/>
      <c r="K7" s="6"/>
      <c r="L7" s="6"/>
      <c r="M7" s="6"/>
      <c r="N7" s="6"/>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row>
    <row r="9" customHeight="1" spans="1:234">
      <c r="B9" s="11" t="str">
        <f>IF(C3="","",C3&amp;"的储物箱")</f>
        <v/>
      </c>
      <c r="C9" s="11"/>
      <c r="D9" s="11"/>
      <c r="E9" s="11"/>
      <c r="F9" s="11"/>
      <c r="G9" s="11"/>
      <c r="H9" s="11"/>
      <c r="I9" s="11"/>
      <c r="J9" s="11"/>
      <c r="K9" s="11"/>
      <c r="L9" s="11"/>
      <c r="M9" s="11"/>
      <c r="N9" s="11"/>
      <c r="O9" s="11"/>
      <c r="P9" s="11"/>
      <c r="Q9" s="11"/>
      <c r="R9" s="11"/>
      <c r="S9" s="11"/>
      <c r="T9" s="11"/>
      <c r="U9" s="11"/>
      <c r="V9" s="11"/>
      <c r="W9" s="11"/>
      <c r="Y9" s="11" t="str">
        <f>IF(C3="","",C3&amp;"的财产状况")</f>
        <v/>
      </c>
      <c r="Z9" s="11"/>
      <c r="AA9" s="11"/>
      <c r="AB9" s="11"/>
      <c r="AC9" s="11"/>
      <c r="AD9" s="11"/>
      <c r="AE9" s="11"/>
      <c r="AF9" s="11"/>
      <c r="AG9" s="3"/>
      <c r="AH9" s="11" t="str">
        <f>IF(C3="","",C3&amp;"的财产收入")</f>
        <v/>
      </c>
      <c r="AI9" s="11"/>
      <c r="AJ9" s="11"/>
      <c r="AK9" s="11"/>
      <c r="AL9" s="11"/>
      <c r="AM9" s="11"/>
      <c r="AN9" s="11"/>
      <c r="AO9" s="11"/>
      <c r="AP9" s="11"/>
      <c r="AQ9" s="11"/>
      <c r="AR9" s="11"/>
      <c r="AS9" s="11"/>
      <c r="AT9" s="11"/>
      <c r="AW9" s="11" t="str">
        <f>IF(C4="","",C4&amp;"的储物箱")</f>
        <v/>
      </c>
      <c r="AX9" s="11"/>
      <c r="AY9" s="11"/>
      <c r="AZ9" s="11"/>
      <c r="BA9" s="11"/>
      <c r="BB9" s="11"/>
      <c r="BC9" s="11"/>
      <c r="BD9" s="11"/>
      <c r="BE9" s="11"/>
      <c r="BF9" s="11"/>
      <c r="BG9" s="11"/>
      <c r="BH9" s="11"/>
      <c r="BI9" s="11"/>
      <c r="BJ9" s="11"/>
      <c r="BK9" s="11"/>
      <c r="BL9" s="11"/>
      <c r="BM9" s="11"/>
      <c r="BN9" s="11"/>
      <c r="BO9" s="11"/>
      <c r="BP9" s="11"/>
      <c r="BQ9" s="11"/>
      <c r="BR9" s="11"/>
      <c r="BT9" s="11" t="str">
        <f>IF(C4="","",C4&amp;"的财产状况")</f>
        <v/>
      </c>
      <c r="BU9" s="11"/>
      <c r="BV9" s="11"/>
      <c r="BW9" s="11"/>
      <c r="BX9" s="11"/>
      <c r="BY9" s="11"/>
      <c r="BZ9" s="11"/>
      <c r="CA9" s="11"/>
      <c r="CB9" s="3"/>
      <c r="CC9" s="11" t="str">
        <f>IF(C4="","",C4&amp;"的财产收入")</f>
        <v/>
      </c>
      <c r="CD9" s="11"/>
      <c r="CE9" s="11"/>
      <c r="CF9" s="11"/>
      <c r="CG9" s="11"/>
      <c r="CH9" s="11"/>
      <c r="CI9" s="11"/>
      <c r="CJ9" s="11"/>
      <c r="CK9" s="11"/>
      <c r="CL9" s="11"/>
      <c r="CM9" s="11"/>
      <c r="CN9" s="11"/>
      <c r="CO9" s="11"/>
      <c r="CR9" s="11" t="str">
        <f>IF(C5="","",C5&amp;"的储物箱")</f>
        <v/>
      </c>
      <c r="CS9" s="11"/>
      <c r="CT9" s="11"/>
      <c r="CU9" s="11"/>
      <c r="CV9" s="11"/>
      <c r="CW9" s="11"/>
      <c r="CX9" s="11"/>
      <c r="CY9" s="11"/>
      <c r="CZ9" s="11"/>
      <c r="DA9" s="11"/>
      <c r="DB9" s="11"/>
      <c r="DC9" s="11"/>
      <c r="DD9" s="11"/>
      <c r="DE9" s="11"/>
      <c r="DF9" s="11"/>
      <c r="DG9" s="11"/>
      <c r="DH9" s="11"/>
      <c r="DI9" s="11"/>
      <c r="DJ9" s="11"/>
      <c r="DK9" s="11"/>
      <c r="DL9" s="11"/>
      <c r="DM9" s="11"/>
      <c r="DO9" s="11" t="str">
        <f>IF(C5="","",C5&amp;"的财产状况")</f>
        <v/>
      </c>
      <c r="DP9" s="11"/>
      <c r="DQ9" s="11"/>
      <c r="DR9" s="11"/>
      <c r="DS9" s="11"/>
      <c r="DT9" s="11"/>
      <c r="DU9" s="11"/>
      <c r="DV9" s="11"/>
      <c r="DW9" s="3"/>
      <c r="DX9" s="11" t="str">
        <f>IF(C5="","",C5&amp;"的财产收入")</f>
        <v/>
      </c>
      <c r="DY9" s="11"/>
      <c r="DZ9" s="11"/>
      <c r="EA9" s="11"/>
      <c r="EB9" s="11"/>
      <c r="EC9" s="11"/>
      <c r="ED9" s="11"/>
      <c r="EE9" s="11"/>
      <c r="EF9" s="11"/>
      <c r="EG9" s="11"/>
      <c r="EH9" s="11"/>
      <c r="EI9" s="11"/>
      <c r="EJ9" s="11"/>
      <c r="EM9" s="11" t="str">
        <f>IF(C6="","",C6&amp;"的储物箱")</f>
        <v/>
      </c>
      <c r="EN9" s="11"/>
      <c r="EO9" s="11"/>
      <c r="EP9" s="11"/>
      <c r="EQ9" s="11"/>
      <c r="ER9" s="11"/>
      <c r="ES9" s="11"/>
      <c r="ET9" s="11"/>
      <c r="EU9" s="11"/>
      <c r="EV9" s="11"/>
      <c r="EW9" s="11"/>
      <c r="EX9" s="11"/>
      <c r="EY9" s="11"/>
      <c r="EZ9" s="11"/>
      <c r="FA9" s="11"/>
      <c r="FB9" s="11"/>
      <c r="FC9" s="11"/>
      <c r="FD9" s="11"/>
      <c r="FE9" s="11"/>
      <c r="FF9" s="11"/>
      <c r="FG9" s="11"/>
      <c r="FH9" s="11"/>
      <c r="FJ9" s="11" t="str">
        <f>IF(C6="","",C6&amp;"的财产状况")</f>
        <v/>
      </c>
      <c r="FK9" s="11"/>
      <c r="FL9" s="11"/>
      <c r="FM9" s="11"/>
      <c r="FN9" s="11"/>
      <c r="FO9" s="11"/>
      <c r="FP9" s="11"/>
      <c r="FQ9" s="11"/>
      <c r="FR9" s="3"/>
      <c r="FS9" s="11" t="str">
        <f>IF(C6="","",C6&amp;"的财产收入")</f>
        <v/>
      </c>
      <c r="FT9" s="11"/>
      <c r="FU9" s="11"/>
      <c r="FV9" s="11"/>
      <c r="FW9" s="11"/>
      <c r="FX9" s="11"/>
      <c r="FY9" s="11"/>
      <c r="FZ9" s="11"/>
      <c r="GA9" s="11"/>
      <c r="GB9" s="11"/>
      <c r="GC9" s="11"/>
      <c r="GD9" s="11"/>
      <c r="GE9" s="11"/>
      <c r="GH9" s="11" t="str">
        <f>IF(C7="","",C7&amp;"的储物箱")</f>
        <v/>
      </c>
      <c r="GI9" s="11"/>
      <c r="GJ9" s="11"/>
      <c r="GK9" s="11"/>
      <c r="GL9" s="11"/>
      <c r="GM9" s="11"/>
      <c r="GN9" s="11"/>
      <c r="GO9" s="11"/>
      <c r="GP9" s="11"/>
      <c r="GQ9" s="11"/>
      <c r="GR9" s="11"/>
      <c r="GS9" s="11"/>
      <c r="GT9" s="11"/>
      <c r="GU9" s="11"/>
      <c r="GV9" s="11"/>
      <c r="GW9" s="11"/>
      <c r="GX9" s="11"/>
      <c r="GY9" s="11"/>
      <c r="GZ9" s="11"/>
      <c r="HA9" s="11"/>
      <c r="HB9" s="11"/>
      <c r="HC9" s="11"/>
      <c r="HE9" s="11" t="str">
        <f>IF(C7="","",C7&amp;"的财产状况")</f>
        <v/>
      </c>
      <c r="HF9" s="11"/>
      <c r="HG9" s="11"/>
      <c r="HH9" s="11"/>
      <c r="HI9" s="11"/>
      <c r="HJ9" s="11"/>
      <c r="HK9" s="11"/>
      <c r="HL9" s="11"/>
      <c r="HM9" s="3"/>
      <c r="HN9" s="11" t="str">
        <f>IF(C7="","",C7&amp;"的财产收入")</f>
        <v/>
      </c>
      <c r="HO9" s="11"/>
      <c r="HP9" s="11"/>
      <c r="HQ9" s="11"/>
      <c r="HR9" s="11"/>
      <c r="HS9" s="11"/>
      <c r="HT9" s="11"/>
      <c r="HU9" s="11"/>
      <c r="HV9" s="11"/>
      <c r="HW9" s="11"/>
      <c r="HX9" s="11"/>
      <c r="HY9" s="11"/>
      <c r="HZ9" s="11"/>
    </row>
    <row r="10" customHeight="1" spans="1:234">
      <c r="B10" s="3"/>
      <c r="C10" s="4" t="s">
        <v>9269</v>
      </c>
      <c r="D10" s="4"/>
      <c r="E10" s="4"/>
      <c r="F10" s="4"/>
      <c r="G10" s="4"/>
      <c r="H10" s="4"/>
      <c r="I10" s="4" t="s">
        <v>9270</v>
      </c>
      <c r="J10" s="4"/>
      <c r="K10" s="4"/>
      <c r="L10" s="4"/>
      <c r="M10" s="4"/>
      <c r="N10" s="4"/>
      <c r="O10" s="4"/>
      <c r="P10" s="4"/>
      <c r="Q10" s="4"/>
      <c r="R10" s="4"/>
      <c r="S10" s="4"/>
      <c r="T10" s="4"/>
      <c r="U10" s="4"/>
      <c r="V10" s="4" t="s">
        <v>173</v>
      </c>
      <c r="W10" s="4"/>
      <c r="Y10" s="4" t="s">
        <v>9271</v>
      </c>
      <c r="Z10" s="4"/>
      <c r="AA10" s="4" t="s">
        <v>173</v>
      </c>
      <c r="AB10" s="4"/>
      <c r="AC10" s="4"/>
      <c r="AD10" s="4"/>
      <c r="AE10" s="4"/>
      <c r="AF10" s="4"/>
      <c r="AG10" s="3"/>
      <c r="AH10" s="4" t="s">
        <v>9271</v>
      </c>
      <c r="AI10" s="4"/>
      <c r="AJ10" s="4" t="s">
        <v>9272</v>
      </c>
      <c r="AK10" s="4"/>
      <c r="AL10" s="4"/>
      <c r="AM10" s="4"/>
      <c r="AN10" s="4"/>
      <c r="AO10" s="4"/>
      <c r="AP10" s="4"/>
      <c r="AQ10" s="4"/>
      <c r="AR10" s="4"/>
      <c r="AS10" s="4"/>
      <c r="AT10" s="4"/>
      <c r="AW10" s="3"/>
      <c r="AX10" s="4" t="s">
        <v>9269</v>
      </c>
      <c r="AY10" s="4"/>
      <c r="AZ10" s="4"/>
      <c r="BA10" s="4"/>
      <c r="BB10" s="4"/>
      <c r="BC10" s="4"/>
      <c r="BD10" s="4" t="s">
        <v>9270</v>
      </c>
      <c r="BE10" s="4"/>
      <c r="BF10" s="4"/>
      <c r="BG10" s="4"/>
      <c r="BH10" s="4"/>
      <c r="BI10" s="4"/>
      <c r="BJ10" s="4"/>
      <c r="BK10" s="4"/>
      <c r="BL10" s="4"/>
      <c r="BM10" s="4"/>
      <c r="BN10" s="4"/>
      <c r="BO10" s="4"/>
      <c r="BP10" s="4"/>
      <c r="BQ10" s="4" t="s">
        <v>173</v>
      </c>
      <c r="BR10" s="4"/>
      <c r="BT10" s="4" t="s">
        <v>9271</v>
      </c>
      <c r="BU10" s="4"/>
      <c r="BV10" s="4" t="s">
        <v>173</v>
      </c>
      <c r="BW10" s="4"/>
      <c r="BX10" s="4"/>
      <c r="BY10" s="4"/>
      <c r="BZ10" s="4"/>
      <c r="CA10" s="4"/>
      <c r="CB10" s="3"/>
      <c r="CC10" s="4" t="s">
        <v>9271</v>
      </c>
      <c r="CD10" s="4"/>
      <c r="CE10" s="4" t="s">
        <v>9272</v>
      </c>
      <c r="CF10" s="4"/>
      <c r="CG10" s="4"/>
      <c r="CH10" s="4"/>
      <c r="CI10" s="4"/>
      <c r="CJ10" s="4"/>
      <c r="CK10" s="4"/>
      <c r="CL10" s="4"/>
      <c r="CM10" s="4"/>
      <c r="CN10" s="4"/>
      <c r="CO10" s="4"/>
      <c r="CR10" s="3"/>
      <c r="CS10" s="4" t="s">
        <v>9269</v>
      </c>
      <c r="CT10" s="4"/>
      <c r="CU10" s="4"/>
      <c r="CV10" s="4"/>
      <c r="CW10" s="4"/>
      <c r="CX10" s="4"/>
      <c r="CY10" s="4" t="s">
        <v>9270</v>
      </c>
      <c r="CZ10" s="4"/>
      <c r="DA10" s="4"/>
      <c r="DB10" s="4"/>
      <c r="DC10" s="4"/>
      <c r="DD10" s="4"/>
      <c r="DE10" s="4"/>
      <c r="DF10" s="4"/>
      <c r="DG10" s="4"/>
      <c r="DH10" s="4"/>
      <c r="DI10" s="4"/>
      <c r="DJ10" s="4"/>
      <c r="DK10" s="4"/>
      <c r="DL10" s="4" t="s">
        <v>173</v>
      </c>
      <c r="DM10" s="4"/>
      <c r="DO10" s="4" t="s">
        <v>9271</v>
      </c>
      <c r="DP10" s="4"/>
      <c r="DQ10" s="4" t="s">
        <v>173</v>
      </c>
      <c r="DR10" s="4"/>
      <c r="DS10" s="4"/>
      <c r="DT10" s="4"/>
      <c r="DU10" s="4"/>
      <c r="DV10" s="4"/>
      <c r="DW10" s="3"/>
      <c r="DX10" s="4" t="s">
        <v>9271</v>
      </c>
      <c r="DY10" s="4"/>
      <c r="DZ10" s="4" t="s">
        <v>9272</v>
      </c>
      <c r="EA10" s="4"/>
      <c r="EB10" s="4"/>
      <c r="EC10" s="4"/>
      <c r="ED10" s="4"/>
      <c r="EE10" s="4"/>
      <c r="EF10" s="4"/>
      <c r="EG10" s="4"/>
      <c r="EH10" s="4"/>
      <c r="EI10" s="4"/>
      <c r="EJ10" s="4"/>
      <c r="EM10" s="3"/>
      <c r="EN10" s="4" t="s">
        <v>9269</v>
      </c>
      <c r="EO10" s="4"/>
      <c r="EP10" s="4"/>
      <c r="EQ10" s="4"/>
      <c r="ER10" s="4"/>
      <c r="ES10" s="4"/>
      <c r="ET10" s="4" t="s">
        <v>9270</v>
      </c>
      <c r="EU10" s="4"/>
      <c r="EV10" s="4"/>
      <c r="EW10" s="4"/>
      <c r="EX10" s="4"/>
      <c r="EY10" s="4"/>
      <c r="EZ10" s="4"/>
      <c r="FA10" s="4"/>
      <c r="FB10" s="4"/>
      <c r="FC10" s="4"/>
      <c r="FD10" s="4"/>
      <c r="FE10" s="4"/>
      <c r="FF10" s="4"/>
      <c r="FG10" s="4" t="s">
        <v>173</v>
      </c>
      <c r="FH10" s="4"/>
      <c r="FJ10" s="4" t="s">
        <v>9271</v>
      </c>
      <c r="FK10" s="4"/>
      <c r="FL10" s="4" t="s">
        <v>173</v>
      </c>
      <c r="FM10" s="4"/>
      <c r="FN10" s="4"/>
      <c r="FO10" s="4"/>
      <c r="FP10" s="4"/>
      <c r="FQ10" s="4"/>
      <c r="FR10" s="3"/>
      <c r="FS10" s="4" t="s">
        <v>9271</v>
      </c>
      <c r="FT10" s="4"/>
      <c r="FU10" s="4" t="s">
        <v>9272</v>
      </c>
      <c r="FV10" s="4"/>
      <c r="FW10" s="4"/>
      <c r="FX10" s="4"/>
      <c r="FY10" s="4"/>
      <c r="FZ10" s="4"/>
      <c r="GA10" s="4"/>
      <c r="GB10" s="4"/>
      <c r="GC10" s="4"/>
      <c r="GD10" s="4"/>
      <c r="GE10" s="4"/>
      <c r="GH10" s="3"/>
      <c r="GI10" s="4" t="s">
        <v>9269</v>
      </c>
      <c r="GJ10" s="4"/>
      <c r="GK10" s="4"/>
      <c r="GL10" s="4"/>
      <c r="GM10" s="4"/>
      <c r="GN10" s="4"/>
      <c r="GO10" s="4" t="s">
        <v>9270</v>
      </c>
      <c r="GP10" s="4"/>
      <c r="GQ10" s="4"/>
      <c r="GR10" s="4"/>
      <c r="GS10" s="4"/>
      <c r="GT10" s="4"/>
      <c r="GU10" s="4"/>
      <c r="GV10" s="4"/>
      <c r="GW10" s="4"/>
      <c r="GX10" s="4"/>
      <c r="GY10" s="4"/>
      <c r="GZ10" s="4"/>
      <c r="HA10" s="4"/>
      <c r="HB10" s="4" t="s">
        <v>173</v>
      </c>
      <c r="HC10" s="4"/>
      <c r="HE10" s="4" t="s">
        <v>9271</v>
      </c>
      <c r="HF10" s="4"/>
      <c r="HG10" s="4" t="s">
        <v>173</v>
      </c>
      <c r="HH10" s="4"/>
      <c r="HI10" s="4"/>
      <c r="HJ10" s="4"/>
      <c r="HK10" s="4"/>
      <c r="HL10" s="4"/>
      <c r="HM10" s="3"/>
      <c r="HN10" s="4" t="s">
        <v>9271</v>
      </c>
      <c r="HO10" s="4"/>
      <c r="HP10" s="4" t="s">
        <v>9272</v>
      </c>
      <c r="HQ10" s="4"/>
      <c r="HR10" s="4"/>
      <c r="HS10" s="4"/>
      <c r="HT10" s="4"/>
      <c r="HU10" s="4"/>
      <c r="HV10" s="4"/>
      <c r="HW10" s="4"/>
      <c r="HX10" s="4"/>
      <c r="HY10" s="4"/>
      <c r="HZ10" s="4"/>
    </row>
    <row r="11" customHeight="1" spans="1:234">
      <c r="B11" s="5">
        <v>1</v>
      </c>
      <c r="C11" s="12"/>
      <c r="D11" s="13"/>
      <c r="E11" s="13"/>
      <c r="F11" s="13"/>
      <c r="G11" s="13"/>
      <c r="H11" s="14"/>
      <c r="I11" s="15"/>
      <c r="J11" s="15"/>
      <c r="K11" s="15"/>
      <c r="L11" s="15"/>
      <c r="M11" s="15"/>
      <c r="N11" s="15"/>
      <c r="O11" s="15"/>
      <c r="P11" s="15"/>
      <c r="Q11" s="15"/>
      <c r="R11" s="15"/>
      <c r="S11" s="15"/>
      <c r="T11" s="15"/>
      <c r="U11" s="15"/>
      <c r="V11" s="6"/>
      <c r="W11" s="6"/>
      <c r="Y11" s="16" t="s">
        <v>189</v>
      </c>
      <c r="Z11" s="16"/>
      <c r="AA11" s="6"/>
      <c r="AB11" s="6"/>
      <c r="AC11" s="6"/>
      <c r="AD11" s="6"/>
      <c r="AE11" s="6"/>
      <c r="AF11" s="6"/>
      <c r="AG11" s="3"/>
      <c r="AH11" s="16" t="s">
        <v>189</v>
      </c>
      <c r="AI11" s="16"/>
      <c r="AJ11" s="6"/>
      <c r="AK11" s="6"/>
      <c r="AL11" s="6"/>
      <c r="AM11" s="6"/>
      <c r="AN11" s="6"/>
      <c r="AO11" s="6"/>
      <c r="AP11" s="6"/>
      <c r="AQ11" s="6"/>
      <c r="AR11" s="6"/>
      <c r="AS11" s="6"/>
      <c r="AT11" s="6"/>
      <c r="AW11" s="5">
        <v>1</v>
      </c>
      <c r="AX11" s="12"/>
      <c r="AY11" s="13"/>
      <c r="AZ11" s="13"/>
      <c r="BA11" s="13"/>
      <c r="BB11" s="13"/>
      <c r="BC11" s="14"/>
      <c r="BD11" s="15"/>
      <c r="BE11" s="15"/>
      <c r="BF11" s="15"/>
      <c r="BG11" s="15"/>
      <c r="BH11" s="15"/>
      <c r="BI11" s="15"/>
      <c r="BJ11" s="15"/>
      <c r="BK11" s="15"/>
      <c r="BL11" s="15"/>
      <c r="BM11" s="15"/>
      <c r="BN11" s="15"/>
      <c r="BO11" s="15"/>
      <c r="BP11" s="15"/>
      <c r="BQ11" s="6"/>
      <c r="BR11" s="6"/>
      <c r="BT11" s="16" t="s">
        <v>189</v>
      </c>
      <c r="BU11" s="16"/>
      <c r="BV11" s="6"/>
      <c r="BW11" s="6"/>
      <c r="BX11" s="6"/>
      <c r="BY11" s="6"/>
      <c r="BZ11" s="6"/>
      <c r="CA11" s="6"/>
      <c r="CB11" s="3"/>
      <c r="CC11" s="16" t="s">
        <v>189</v>
      </c>
      <c r="CD11" s="16"/>
      <c r="CE11" s="6"/>
      <c r="CF11" s="6"/>
      <c r="CG11" s="6"/>
      <c r="CH11" s="6"/>
      <c r="CI11" s="6"/>
      <c r="CJ11" s="6"/>
      <c r="CK11" s="6"/>
      <c r="CL11" s="6"/>
      <c r="CM11" s="6"/>
      <c r="CN11" s="6"/>
      <c r="CO11" s="6"/>
      <c r="CR11" s="5">
        <v>1</v>
      </c>
      <c r="CS11" s="12"/>
      <c r="CT11" s="13"/>
      <c r="CU11" s="13"/>
      <c r="CV11" s="13"/>
      <c r="CW11" s="13"/>
      <c r="CX11" s="14"/>
      <c r="CY11" s="15"/>
      <c r="CZ11" s="15"/>
      <c r="DA11" s="15"/>
      <c r="DB11" s="15"/>
      <c r="DC11" s="15"/>
      <c r="DD11" s="15"/>
      <c r="DE11" s="15"/>
      <c r="DF11" s="15"/>
      <c r="DG11" s="15"/>
      <c r="DH11" s="15"/>
      <c r="DI11" s="15"/>
      <c r="DJ11" s="15"/>
      <c r="DK11" s="15"/>
      <c r="DL11" s="6"/>
      <c r="DM11" s="6"/>
      <c r="DO11" s="16" t="s">
        <v>189</v>
      </c>
      <c r="DP11" s="16"/>
      <c r="DQ11" s="6"/>
      <c r="DR11" s="6"/>
      <c r="DS11" s="6"/>
      <c r="DT11" s="6"/>
      <c r="DU11" s="6"/>
      <c r="DV11" s="6"/>
      <c r="DW11" s="3"/>
      <c r="DX11" s="16" t="s">
        <v>189</v>
      </c>
      <c r="DY11" s="16"/>
      <c r="DZ11" s="6"/>
      <c r="EA11" s="6"/>
      <c r="EB11" s="6"/>
      <c r="EC11" s="6"/>
      <c r="ED11" s="6"/>
      <c r="EE11" s="6"/>
      <c r="EF11" s="6"/>
      <c r="EG11" s="6"/>
      <c r="EH11" s="6"/>
      <c r="EI11" s="6"/>
      <c r="EJ11" s="6"/>
      <c r="EM11" s="5">
        <v>1</v>
      </c>
      <c r="EN11" s="12"/>
      <c r="EO11" s="13"/>
      <c r="EP11" s="13"/>
      <c r="EQ11" s="13"/>
      <c r="ER11" s="13"/>
      <c r="ES11" s="14"/>
      <c r="ET11" s="15"/>
      <c r="EU11" s="15"/>
      <c r="EV11" s="15"/>
      <c r="EW11" s="15"/>
      <c r="EX11" s="15"/>
      <c r="EY11" s="15"/>
      <c r="EZ11" s="15"/>
      <c r="FA11" s="15"/>
      <c r="FB11" s="15"/>
      <c r="FC11" s="15"/>
      <c r="FD11" s="15"/>
      <c r="FE11" s="15"/>
      <c r="FF11" s="15"/>
      <c r="FG11" s="6"/>
      <c r="FH11" s="6"/>
      <c r="FJ11" s="16" t="s">
        <v>189</v>
      </c>
      <c r="FK11" s="16"/>
      <c r="FL11" s="6"/>
      <c r="FM11" s="6"/>
      <c r="FN11" s="6"/>
      <c r="FO11" s="6"/>
      <c r="FP11" s="6"/>
      <c r="FQ11" s="6"/>
      <c r="FR11" s="3"/>
      <c r="FS11" s="16" t="s">
        <v>189</v>
      </c>
      <c r="FT11" s="16"/>
      <c r="FU11" s="6"/>
      <c r="FV11" s="6"/>
      <c r="FW11" s="6"/>
      <c r="FX11" s="6"/>
      <c r="FY11" s="6"/>
      <c r="FZ11" s="6"/>
      <c r="GA11" s="6"/>
      <c r="GB11" s="6"/>
      <c r="GC11" s="6"/>
      <c r="GD11" s="6"/>
      <c r="GE11" s="6"/>
      <c r="GH11" s="5">
        <v>1</v>
      </c>
      <c r="GI11" s="12"/>
      <c r="GJ11" s="13"/>
      <c r="GK11" s="13"/>
      <c r="GL11" s="13"/>
      <c r="GM11" s="13"/>
      <c r="GN11" s="14"/>
      <c r="GO11" s="15"/>
      <c r="GP11" s="15"/>
      <c r="GQ11" s="15"/>
      <c r="GR11" s="15"/>
      <c r="GS11" s="15"/>
      <c r="GT11" s="15"/>
      <c r="GU11" s="15"/>
      <c r="GV11" s="15"/>
      <c r="GW11" s="15"/>
      <c r="GX11" s="15"/>
      <c r="GY11" s="15"/>
      <c r="GZ11" s="15"/>
      <c r="HA11" s="15"/>
      <c r="HB11" s="6"/>
      <c r="HC11" s="6"/>
      <c r="HE11" s="16" t="s">
        <v>189</v>
      </c>
      <c r="HF11" s="16"/>
      <c r="HG11" s="6"/>
      <c r="HH11" s="6"/>
      <c r="HI11" s="6"/>
      <c r="HJ11" s="6"/>
      <c r="HK11" s="6"/>
      <c r="HL11" s="6"/>
      <c r="HM11" s="3"/>
      <c r="HN11" s="16" t="s">
        <v>189</v>
      </c>
      <c r="HO11" s="16"/>
      <c r="HP11" s="6"/>
      <c r="HQ11" s="6"/>
      <c r="HR11" s="6"/>
      <c r="HS11" s="6"/>
      <c r="HT11" s="6"/>
      <c r="HU11" s="6"/>
      <c r="HV11" s="6"/>
      <c r="HW11" s="6"/>
      <c r="HX11" s="6"/>
      <c r="HY11" s="6"/>
      <c r="HZ11" s="6"/>
    </row>
    <row r="12" customHeight="1" spans="1:234">
      <c r="B12" s="8">
        <v>2</v>
      </c>
      <c r="C12" s="17"/>
      <c r="D12" s="18"/>
      <c r="E12" s="18"/>
      <c r="F12" s="18"/>
      <c r="G12" s="18"/>
      <c r="H12" s="19"/>
      <c r="I12" s="20"/>
      <c r="J12" s="20"/>
      <c r="K12" s="20"/>
      <c r="L12" s="20"/>
      <c r="M12" s="20"/>
      <c r="N12" s="20"/>
      <c r="O12" s="20"/>
      <c r="P12" s="20"/>
      <c r="Q12" s="20"/>
      <c r="R12" s="20"/>
      <c r="S12" s="20"/>
      <c r="T12" s="20"/>
      <c r="U12" s="20"/>
      <c r="V12" s="9"/>
      <c r="W12" s="9"/>
      <c r="Y12" s="21" t="s">
        <v>196</v>
      </c>
      <c r="Z12" s="21"/>
      <c r="AA12" s="6"/>
      <c r="AB12" s="6"/>
      <c r="AC12" s="6"/>
      <c r="AD12" s="6"/>
      <c r="AE12" s="6"/>
      <c r="AF12" s="6"/>
      <c r="AG12" s="3"/>
      <c r="AH12" s="21" t="s">
        <v>196</v>
      </c>
      <c r="AI12" s="21"/>
      <c r="AJ12" s="6"/>
      <c r="AK12" s="6"/>
      <c r="AL12" s="6"/>
      <c r="AM12" s="6"/>
      <c r="AN12" s="6"/>
      <c r="AO12" s="6"/>
      <c r="AP12" s="6"/>
      <c r="AQ12" s="6"/>
      <c r="AR12" s="6"/>
      <c r="AS12" s="6"/>
      <c r="AT12" s="6"/>
      <c r="AW12" s="8">
        <v>2</v>
      </c>
      <c r="AX12" s="17"/>
      <c r="AY12" s="18"/>
      <c r="AZ12" s="18"/>
      <c r="BA12" s="18"/>
      <c r="BB12" s="18"/>
      <c r="BC12" s="19"/>
      <c r="BD12" s="20"/>
      <c r="BE12" s="20"/>
      <c r="BF12" s="20"/>
      <c r="BG12" s="20"/>
      <c r="BH12" s="20"/>
      <c r="BI12" s="20"/>
      <c r="BJ12" s="20"/>
      <c r="BK12" s="20"/>
      <c r="BL12" s="20"/>
      <c r="BM12" s="20"/>
      <c r="BN12" s="20"/>
      <c r="BO12" s="20"/>
      <c r="BP12" s="20"/>
      <c r="BQ12" s="9"/>
      <c r="BR12" s="9"/>
      <c r="BT12" s="21" t="s">
        <v>196</v>
      </c>
      <c r="BU12" s="21"/>
      <c r="BV12" s="6"/>
      <c r="BW12" s="6"/>
      <c r="BX12" s="6"/>
      <c r="BY12" s="6"/>
      <c r="BZ12" s="6"/>
      <c r="CA12" s="6"/>
      <c r="CB12" s="3"/>
      <c r="CC12" s="21" t="s">
        <v>196</v>
      </c>
      <c r="CD12" s="21"/>
      <c r="CE12" s="6"/>
      <c r="CF12" s="6"/>
      <c r="CG12" s="6"/>
      <c r="CH12" s="6"/>
      <c r="CI12" s="6"/>
      <c r="CJ12" s="6"/>
      <c r="CK12" s="6"/>
      <c r="CL12" s="6"/>
      <c r="CM12" s="6"/>
      <c r="CN12" s="6"/>
      <c r="CO12" s="6"/>
      <c r="CR12" s="8">
        <v>2</v>
      </c>
      <c r="CS12" s="17"/>
      <c r="CT12" s="18"/>
      <c r="CU12" s="18"/>
      <c r="CV12" s="18"/>
      <c r="CW12" s="18"/>
      <c r="CX12" s="19"/>
      <c r="CY12" s="20"/>
      <c r="CZ12" s="20"/>
      <c r="DA12" s="20"/>
      <c r="DB12" s="20"/>
      <c r="DC12" s="20"/>
      <c r="DD12" s="20"/>
      <c r="DE12" s="20"/>
      <c r="DF12" s="20"/>
      <c r="DG12" s="20"/>
      <c r="DH12" s="20"/>
      <c r="DI12" s="20"/>
      <c r="DJ12" s="20"/>
      <c r="DK12" s="20"/>
      <c r="DL12" s="9"/>
      <c r="DM12" s="9"/>
      <c r="DO12" s="21" t="s">
        <v>196</v>
      </c>
      <c r="DP12" s="21"/>
      <c r="DQ12" s="6"/>
      <c r="DR12" s="6"/>
      <c r="DS12" s="6"/>
      <c r="DT12" s="6"/>
      <c r="DU12" s="6"/>
      <c r="DV12" s="6"/>
      <c r="DW12" s="3"/>
      <c r="DX12" s="21" t="s">
        <v>196</v>
      </c>
      <c r="DY12" s="21"/>
      <c r="DZ12" s="6"/>
      <c r="EA12" s="6"/>
      <c r="EB12" s="6"/>
      <c r="EC12" s="6"/>
      <c r="ED12" s="6"/>
      <c r="EE12" s="6"/>
      <c r="EF12" s="6"/>
      <c r="EG12" s="6"/>
      <c r="EH12" s="6"/>
      <c r="EI12" s="6"/>
      <c r="EJ12" s="6"/>
      <c r="EM12" s="8">
        <v>2</v>
      </c>
      <c r="EN12" s="17"/>
      <c r="EO12" s="18"/>
      <c r="EP12" s="18"/>
      <c r="EQ12" s="18"/>
      <c r="ER12" s="18"/>
      <c r="ES12" s="19"/>
      <c r="ET12" s="20"/>
      <c r="EU12" s="20"/>
      <c r="EV12" s="20"/>
      <c r="EW12" s="20"/>
      <c r="EX12" s="20"/>
      <c r="EY12" s="20"/>
      <c r="EZ12" s="20"/>
      <c r="FA12" s="20"/>
      <c r="FB12" s="20"/>
      <c r="FC12" s="20"/>
      <c r="FD12" s="20"/>
      <c r="FE12" s="20"/>
      <c r="FF12" s="20"/>
      <c r="FG12" s="9"/>
      <c r="FH12" s="9"/>
      <c r="FJ12" s="21" t="s">
        <v>196</v>
      </c>
      <c r="FK12" s="21"/>
      <c r="FL12" s="6"/>
      <c r="FM12" s="6"/>
      <c r="FN12" s="6"/>
      <c r="FO12" s="6"/>
      <c r="FP12" s="6"/>
      <c r="FQ12" s="6"/>
      <c r="FR12" s="3"/>
      <c r="FS12" s="21" t="s">
        <v>196</v>
      </c>
      <c r="FT12" s="21"/>
      <c r="FU12" s="6"/>
      <c r="FV12" s="6"/>
      <c r="FW12" s="6"/>
      <c r="FX12" s="6"/>
      <c r="FY12" s="6"/>
      <c r="FZ12" s="6"/>
      <c r="GA12" s="6"/>
      <c r="GB12" s="6"/>
      <c r="GC12" s="6"/>
      <c r="GD12" s="6"/>
      <c r="GE12" s="6"/>
      <c r="GH12" s="8">
        <v>2</v>
      </c>
      <c r="GI12" s="17"/>
      <c r="GJ12" s="18"/>
      <c r="GK12" s="18"/>
      <c r="GL12" s="18"/>
      <c r="GM12" s="18"/>
      <c r="GN12" s="19"/>
      <c r="GO12" s="20"/>
      <c r="GP12" s="20"/>
      <c r="GQ12" s="20"/>
      <c r="GR12" s="20"/>
      <c r="GS12" s="20"/>
      <c r="GT12" s="20"/>
      <c r="GU12" s="20"/>
      <c r="GV12" s="20"/>
      <c r="GW12" s="20"/>
      <c r="GX12" s="20"/>
      <c r="GY12" s="20"/>
      <c r="GZ12" s="20"/>
      <c r="HA12" s="20"/>
      <c r="HB12" s="9"/>
      <c r="HC12" s="9"/>
      <c r="HE12" s="21" t="s">
        <v>196</v>
      </c>
      <c r="HF12" s="21"/>
      <c r="HG12" s="6"/>
      <c r="HH12" s="6"/>
      <c r="HI12" s="6"/>
      <c r="HJ12" s="6"/>
      <c r="HK12" s="6"/>
      <c r="HL12" s="6"/>
      <c r="HM12" s="3"/>
      <c r="HN12" s="21" t="s">
        <v>196</v>
      </c>
      <c r="HO12" s="21"/>
      <c r="HP12" s="6"/>
      <c r="HQ12" s="6"/>
      <c r="HR12" s="6"/>
      <c r="HS12" s="6"/>
      <c r="HT12" s="6"/>
      <c r="HU12" s="6"/>
      <c r="HV12" s="6"/>
      <c r="HW12" s="6"/>
      <c r="HX12" s="6"/>
      <c r="HY12" s="6"/>
      <c r="HZ12" s="6"/>
    </row>
    <row r="13" customHeight="1" spans="1:234">
      <c r="B13" s="5">
        <v>3</v>
      </c>
      <c r="C13" s="12"/>
      <c r="D13" s="13"/>
      <c r="E13" s="13"/>
      <c r="F13" s="13"/>
      <c r="G13" s="13"/>
      <c r="H13" s="14"/>
      <c r="I13" s="15"/>
      <c r="J13" s="15"/>
      <c r="K13" s="15"/>
      <c r="L13" s="15"/>
      <c r="M13" s="15"/>
      <c r="N13" s="15"/>
      <c r="O13" s="15"/>
      <c r="P13" s="15"/>
      <c r="Q13" s="15"/>
      <c r="R13" s="15"/>
      <c r="S13" s="15"/>
      <c r="T13" s="15"/>
      <c r="U13" s="15"/>
      <c r="V13" s="6"/>
      <c r="W13" s="6"/>
      <c r="Y13" s="22" t="s">
        <v>201</v>
      </c>
      <c r="Z13" s="22"/>
      <c r="AA13" s="6"/>
      <c r="AB13" s="6"/>
      <c r="AC13" s="6"/>
      <c r="AD13" s="6"/>
      <c r="AE13" s="6"/>
      <c r="AF13" s="6"/>
      <c r="AG13" s="3"/>
      <c r="AH13" s="22" t="s">
        <v>201</v>
      </c>
      <c r="AI13" s="22"/>
      <c r="AJ13" s="6"/>
      <c r="AK13" s="6"/>
      <c r="AL13" s="6"/>
      <c r="AM13" s="6"/>
      <c r="AN13" s="6"/>
      <c r="AO13" s="6"/>
      <c r="AP13" s="6"/>
      <c r="AQ13" s="6"/>
      <c r="AR13" s="6"/>
      <c r="AS13" s="6"/>
      <c r="AT13" s="6"/>
      <c r="AW13" s="5">
        <v>3</v>
      </c>
      <c r="AX13" s="12"/>
      <c r="AY13" s="13"/>
      <c r="AZ13" s="13"/>
      <c r="BA13" s="13"/>
      <c r="BB13" s="13"/>
      <c r="BC13" s="14"/>
      <c r="BD13" s="15"/>
      <c r="BE13" s="15"/>
      <c r="BF13" s="15"/>
      <c r="BG13" s="15"/>
      <c r="BH13" s="15"/>
      <c r="BI13" s="15"/>
      <c r="BJ13" s="15"/>
      <c r="BK13" s="15"/>
      <c r="BL13" s="15"/>
      <c r="BM13" s="15"/>
      <c r="BN13" s="15"/>
      <c r="BO13" s="15"/>
      <c r="BP13" s="15"/>
      <c r="BQ13" s="6"/>
      <c r="BR13" s="6"/>
      <c r="BT13" s="22" t="s">
        <v>201</v>
      </c>
      <c r="BU13" s="22"/>
      <c r="BV13" s="6"/>
      <c r="BW13" s="6"/>
      <c r="BX13" s="6"/>
      <c r="BY13" s="6"/>
      <c r="BZ13" s="6"/>
      <c r="CA13" s="6"/>
      <c r="CB13" s="3"/>
      <c r="CC13" s="22" t="s">
        <v>201</v>
      </c>
      <c r="CD13" s="22"/>
      <c r="CE13" s="6"/>
      <c r="CF13" s="6"/>
      <c r="CG13" s="6"/>
      <c r="CH13" s="6"/>
      <c r="CI13" s="6"/>
      <c r="CJ13" s="6"/>
      <c r="CK13" s="6"/>
      <c r="CL13" s="6"/>
      <c r="CM13" s="6"/>
      <c r="CN13" s="6"/>
      <c r="CO13" s="6"/>
      <c r="CR13" s="5">
        <v>3</v>
      </c>
      <c r="CS13" s="12"/>
      <c r="CT13" s="13"/>
      <c r="CU13" s="13"/>
      <c r="CV13" s="13"/>
      <c r="CW13" s="13"/>
      <c r="CX13" s="14"/>
      <c r="CY13" s="15"/>
      <c r="CZ13" s="15"/>
      <c r="DA13" s="15"/>
      <c r="DB13" s="15"/>
      <c r="DC13" s="15"/>
      <c r="DD13" s="15"/>
      <c r="DE13" s="15"/>
      <c r="DF13" s="15"/>
      <c r="DG13" s="15"/>
      <c r="DH13" s="15"/>
      <c r="DI13" s="15"/>
      <c r="DJ13" s="15"/>
      <c r="DK13" s="15"/>
      <c r="DL13" s="6"/>
      <c r="DM13" s="6"/>
      <c r="DO13" s="22" t="s">
        <v>201</v>
      </c>
      <c r="DP13" s="22"/>
      <c r="DQ13" s="6"/>
      <c r="DR13" s="6"/>
      <c r="DS13" s="6"/>
      <c r="DT13" s="6"/>
      <c r="DU13" s="6"/>
      <c r="DV13" s="6"/>
      <c r="DW13" s="3"/>
      <c r="DX13" s="22" t="s">
        <v>201</v>
      </c>
      <c r="DY13" s="22"/>
      <c r="DZ13" s="6"/>
      <c r="EA13" s="6"/>
      <c r="EB13" s="6"/>
      <c r="EC13" s="6"/>
      <c r="ED13" s="6"/>
      <c r="EE13" s="6"/>
      <c r="EF13" s="6"/>
      <c r="EG13" s="6"/>
      <c r="EH13" s="6"/>
      <c r="EI13" s="6"/>
      <c r="EJ13" s="6"/>
      <c r="EM13" s="5">
        <v>3</v>
      </c>
      <c r="EN13" s="12"/>
      <c r="EO13" s="13"/>
      <c r="EP13" s="13"/>
      <c r="EQ13" s="13"/>
      <c r="ER13" s="13"/>
      <c r="ES13" s="14"/>
      <c r="ET13" s="15"/>
      <c r="EU13" s="15"/>
      <c r="EV13" s="15"/>
      <c r="EW13" s="15"/>
      <c r="EX13" s="15"/>
      <c r="EY13" s="15"/>
      <c r="EZ13" s="15"/>
      <c r="FA13" s="15"/>
      <c r="FB13" s="15"/>
      <c r="FC13" s="15"/>
      <c r="FD13" s="15"/>
      <c r="FE13" s="15"/>
      <c r="FF13" s="15"/>
      <c r="FG13" s="6"/>
      <c r="FH13" s="6"/>
      <c r="FJ13" s="22" t="s">
        <v>201</v>
      </c>
      <c r="FK13" s="22"/>
      <c r="FL13" s="6"/>
      <c r="FM13" s="6"/>
      <c r="FN13" s="6"/>
      <c r="FO13" s="6"/>
      <c r="FP13" s="6"/>
      <c r="FQ13" s="6"/>
      <c r="FR13" s="3"/>
      <c r="FS13" s="22" t="s">
        <v>201</v>
      </c>
      <c r="FT13" s="22"/>
      <c r="FU13" s="6"/>
      <c r="FV13" s="6"/>
      <c r="FW13" s="6"/>
      <c r="FX13" s="6"/>
      <c r="FY13" s="6"/>
      <c r="FZ13" s="6"/>
      <c r="GA13" s="6"/>
      <c r="GB13" s="6"/>
      <c r="GC13" s="6"/>
      <c r="GD13" s="6"/>
      <c r="GE13" s="6"/>
      <c r="GH13" s="5">
        <v>3</v>
      </c>
      <c r="GI13" s="12"/>
      <c r="GJ13" s="13"/>
      <c r="GK13" s="13"/>
      <c r="GL13" s="13"/>
      <c r="GM13" s="13"/>
      <c r="GN13" s="14"/>
      <c r="GO13" s="15"/>
      <c r="GP13" s="15"/>
      <c r="GQ13" s="15"/>
      <c r="GR13" s="15"/>
      <c r="GS13" s="15"/>
      <c r="GT13" s="15"/>
      <c r="GU13" s="15"/>
      <c r="GV13" s="15"/>
      <c r="GW13" s="15"/>
      <c r="GX13" s="15"/>
      <c r="GY13" s="15"/>
      <c r="GZ13" s="15"/>
      <c r="HA13" s="15"/>
      <c r="HB13" s="6"/>
      <c r="HC13" s="6"/>
      <c r="HE13" s="22" t="s">
        <v>201</v>
      </c>
      <c r="HF13" s="22"/>
      <c r="HG13" s="6"/>
      <c r="HH13" s="6"/>
      <c r="HI13" s="6"/>
      <c r="HJ13" s="6"/>
      <c r="HK13" s="6"/>
      <c r="HL13" s="6"/>
      <c r="HM13" s="3"/>
      <c r="HN13" s="22" t="s">
        <v>201</v>
      </c>
      <c r="HO13" s="22"/>
      <c r="HP13" s="6"/>
      <c r="HQ13" s="6"/>
      <c r="HR13" s="6"/>
      <c r="HS13" s="6"/>
      <c r="HT13" s="6"/>
      <c r="HU13" s="6"/>
      <c r="HV13" s="6"/>
      <c r="HW13" s="6"/>
      <c r="HX13" s="6"/>
      <c r="HY13" s="6"/>
      <c r="HZ13" s="6"/>
    </row>
    <row r="14" customHeight="1" spans="1:234">
      <c r="B14" s="8">
        <v>4</v>
      </c>
      <c r="C14" s="17"/>
      <c r="D14" s="18"/>
      <c r="E14" s="18"/>
      <c r="F14" s="18"/>
      <c r="G14" s="18"/>
      <c r="H14" s="19"/>
      <c r="I14" s="20"/>
      <c r="J14" s="20"/>
      <c r="K14" s="20"/>
      <c r="L14" s="20"/>
      <c r="M14" s="20"/>
      <c r="N14" s="20"/>
      <c r="O14" s="20"/>
      <c r="P14" s="20"/>
      <c r="Q14" s="20"/>
      <c r="R14" s="20"/>
      <c r="S14" s="20"/>
      <c r="T14" s="20"/>
      <c r="U14" s="20"/>
      <c r="V14" s="9"/>
      <c r="W14" s="9"/>
      <c r="Y14" s="23" t="s">
        <v>208</v>
      </c>
      <c r="Z14" s="23"/>
      <c r="AA14" s="6"/>
      <c r="AB14" s="6"/>
      <c r="AC14" s="6"/>
      <c r="AD14" s="6"/>
      <c r="AE14" s="6"/>
      <c r="AF14" s="6"/>
      <c r="AG14" s="3"/>
      <c r="AH14" s="23" t="s">
        <v>208</v>
      </c>
      <c r="AI14" s="23"/>
      <c r="AJ14" s="6"/>
      <c r="AK14" s="6"/>
      <c r="AL14" s="6"/>
      <c r="AM14" s="6"/>
      <c r="AN14" s="6"/>
      <c r="AO14" s="6"/>
      <c r="AP14" s="6"/>
      <c r="AQ14" s="6"/>
      <c r="AR14" s="6"/>
      <c r="AS14" s="6"/>
      <c r="AT14" s="6"/>
      <c r="AW14" s="8">
        <v>4</v>
      </c>
      <c r="AX14" s="17"/>
      <c r="AY14" s="18"/>
      <c r="AZ14" s="18"/>
      <c r="BA14" s="18"/>
      <c r="BB14" s="18"/>
      <c r="BC14" s="19"/>
      <c r="BD14" s="20"/>
      <c r="BE14" s="20"/>
      <c r="BF14" s="20"/>
      <c r="BG14" s="20"/>
      <c r="BH14" s="20"/>
      <c r="BI14" s="20"/>
      <c r="BJ14" s="20"/>
      <c r="BK14" s="20"/>
      <c r="BL14" s="20"/>
      <c r="BM14" s="20"/>
      <c r="BN14" s="20"/>
      <c r="BO14" s="20"/>
      <c r="BP14" s="20"/>
      <c r="BQ14" s="9"/>
      <c r="BR14" s="9"/>
      <c r="BT14" s="23" t="s">
        <v>208</v>
      </c>
      <c r="BU14" s="23"/>
      <c r="BV14" s="6"/>
      <c r="BW14" s="6"/>
      <c r="BX14" s="6"/>
      <c r="BY14" s="6"/>
      <c r="BZ14" s="6"/>
      <c r="CA14" s="6"/>
      <c r="CB14" s="3"/>
      <c r="CC14" s="23" t="s">
        <v>208</v>
      </c>
      <c r="CD14" s="23"/>
      <c r="CE14" s="6"/>
      <c r="CF14" s="6"/>
      <c r="CG14" s="6"/>
      <c r="CH14" s="6"/>
      <c r="CI14" s="6"/>
      <c r="CJ14" s="6"/>
      <c r="CK14" s="6"/>
      <c r="CL14" s="6"/>
      <c r="CM14" s="6"/>
      <c r="CN14" s="6"/>
      <c r="CO14" s="6"/>
      <c r="CR14" s="8">
        <v>4</v>
      </c>
      <c r="CS14" s="17"/>
      <c r="CT14" s="18"/>
      <c r="CU14" s="18"/>
      <c r="CV14" s="18"/>
      <c r="CW14" s="18"/>
      <c r="CX14" s="19"/>
      <c r="CY14" s="20"/>
      <c r="CZ14" s="20"/>
      <c r="DA14" s="20"/>
      <c r="DB14" s="20"/>
      <c r="DC14" s="20"/>
      <c r="DD14" s="20"/>
      <c r="DE14" s="20"/>
      <c r="DF14" s="20"/>
      <c r="DG14" s="20"/>
      <c r="DH14" s="20"/>
      <c r="DI14" s="20"/>
      <c r="DJ14" s="20"/>
      <c r="DK14" s="20"/>
      <c r="DL14" s="9"/>
      <c r="DM14" s="9"/>
      <c r="DO14" s="23" t="s">
        <v>208</v>
      </c>
      <c r="DP14" s="23"/>
      <c r="DQ14" s="6"/>
      <c r="DR14" s="6"/>
      <c r="DS14" s="6"/>
      <c r="DT14" s="6"/>
      <c r="DU14" s="6"/>
      <c r="DV14" s="6"/>
      <c r="DW14" s="3"/>
      <c r="DX14" s="23" t="s">
        <v>208</v>
      </c>
      <c r="DY14" s="23"/>
      <c r="DZ14" s="6"/>
      <c r="EA14" s="6"/>
      <c r="EB14" s="6"/>
      <c r="EC14" s="6"/>
      <c r="ED14" s="6"/>
      <c r="EE14" s="6"/>
      <c r="EF14" s="6"/>
      <c r="EG14" s="6"/>
      <c r="EH14" s="6"/>
      <c r="EI14" s="6"/>
      <c r="EJ14" s="6"/>
      <c r="EM14" s="8">
        <v>4</v>
      </c>
      <c r="EN14" s="17"/>
      <c r="EO14" s="18"/>
      <c r="EP14" s="18"/>
      <c r="EQ14" s="18"/>
      <c r="ER14" s="18"/>
      <c r="ES14" s="19"/>
      <c r="ET14" s="20"/>
      <c r="EU14" s="20"/>
      <c r="EV14" s="20"/>
      <c r="EW14" s="20"/>
      <c r="EX14" s="20"/>
      <c r="EY14" s="20"/>
      <c r="EZ14" s="20"/>
      <c r="FA14" s="20"/>
      <c r="FB14" s="20"/>
      <c r="FC14" s="20"/>
      <c r="FD14" s="20"/>
      <c r="FE14" s="20"/>
      <c r="FF14" s="20"/>
      <c r="FG14" s="9"/>
      <c r="FH14" s="9"/>
      <c r="FJ14" s="23" t="s">
        <v>208</v>
      </c>
      <c r="FK14" s="23"/>
      <c r="FL14" s="6"/>
      <c r="FM14" s="6"/>
      <c r="FN14" s="6"/>
      <c r="FO14" s="6"/>
      <c r="FP14" s="6"/>
      <c r="FQ14" s="6"/>
      <c r="FR14" s="3"/>
      <c r="FS14" s="23" t="s">
        <v>208</v>
      </c>
      <c r="FT14" s="23"/>
      <c r="FU14" s="6"/>
      <c r="FV14" s="6"/>
      <c r="FW14" s="6"/>
      <c r="FX14" s="6"/>
      <c r="FY14" s="6"/>
      <c r="FZ14" s="6"/>
      <c r="GA14" s="6"/>
      <c r="GB14" s="6"/>
      <c r="GC14" s="6"/>
      <c r="GD14" s="6"/>
      <c r="GE14" s="6"/>
      <c r="GH14" s="8">
        <v>4</v>
      </c>
      <c r="GI14" s="17"/>
      <c r="GJ14" s="18"/>
      <c r="GK14" s="18"/>
      <c r="GL14" s="18"/>
      <c r="GM14" s="18"/>
      <c r="GN14" s="19"/>
      <c r="GO14" s="20"/>
      <c r="GP14" s="20"/>
      <c r="GQ14" s="20"/>
      <c r="GR14" s="20"/>
      <c r="GS14" s="20"/>
      <c r="GT14" s="20"/>
      <c r="GU14" s="20"/>
      <c r="GV14" s="20"/>
      <c r="GW14" s="20"/>
      <c r="GX14" s="20"/>
      <c r="GY14" s="20"/>
      <c r="GZ14" s="20"/>
      <c r="HA14" s="20"/>
      <c r="HB14" s="9"/>
      <c r="HC14" s="9"/>
      <c r="HE14" s="23" t="s">
        <v>208</v>
      </c>
      <c r="HF14" s="23"/>
      <c r="HG14" s="6"/>
      <c r="HH14" s="6"/>
      <c r="HI14" s="6"/>
      <c r="HJ14" s="6"/>
      <c r="HK14" s="6"/>
      <c r="HL14" s="6"/>
      <c r="HM14" s="3"/>
      <c r="HN14" s="23" t="s">
        <v>208</v>
      </c>
      <c r="HO14" s="23"/>
      <c r="HP14" s="6"/>
      <c r="HQ14" s="6"/>
      <c r="HR14" s="6"/>
      <c r="HS14" s="6"/>
      <c r="HT14" s="6"/>
      <c r="HU14" s="6"/>
      <c r="HV14" s="6"/>
      <c r="HW14" s="6"/>
      <c r="HX14" s="6"/>
      <c r="HY14" s="6"/>
      <c r="HZ14" s="6"/>
    </row>
    <row r="15" customHeight="1" spans="1:234">
      <c r="B15" s="5">
        <v>5</v>
      </c>
      <c r="C15" s="12"/>
      <c r="D15" s="13"/>
      <c r="E15" s="13"/>
      <c r="F15" s="13"/>
      <c r="G15" s="13"/>
      <c r="H15" s="14"/>
      <c r="I15" s="15"/>
      <c r="J15" s="15"/>
      <c r="K15" s="15"/>
      <c r="L15" s="15"/>
      <c r="M15" s="15"/>
      <c r="N15" s="15"/>
      <c r="O15" s="15"/>
      <c r="P15" s="15"/>
      <c r="Q15" s="15"/>
      <c r="R15" s="15"/>
      <c r="S15" s="15"/>
      <c r="T15" s="15"/>
      <c r="U15" s="15"/>
      <c r="V15" s="6"/>
      <c r="W15" s="6"/>
      <c r="Y15" s="24" t="s">
        <v>210</v>
      </c>
      <c r="Z15" s="24"/>
      <c r="AA15" s="6"/>
      <c r="AB15" s="6"/>
      <c r="AC15" s="6"/>
      <c r="AD15" s="6"/>
      <c r="AE15" s="6"/>
      <c r="AF15" s="6"/>
      <c r="AG15" s="3"/>
      <c r="AH15" s="24" t="s">
        <v>210</v>
      </c>
      <c r="AI15" s="24"/>
      <c r="AJ15" s="6"/>
      <c r="AK15" s="6"/>
      <c r="AL15" s="6"/>
      <c r="AM15" s="6"/>
      <c r="AN15" s="6"/>
      <c r="AO15" s="6"/>
      <c r="AP15" s="6"/>
      <c r="AQ15" s="6"/>
      <c r="AR15" s="6"/>
      <c r="AS15" s="6"/>
      <c r="AT15" s="6"/>
      <c r="AW15" s="5">
        <v>5</v>
      </c>
      <c r="AX15" s="12"/>
      <c r="AY15" s="13"/>
      <c r="AZ15" s="13"/>
      <c r="BA15" s="13"/>
      <c r="BB15" s="13"/>
      <c r="BC15" s="14"/>
      <c r="BD15" s="15"/>
      <c r="BE15" s="15"/>
      <c r="BF15" s="15"/>
      <c r="BG15" s="15"/>
      <c r="BH15" s="15"/>
      <c r="BI15" s="15"/>
      <c r="BJ15" s="15"/>
      <c r="BK15" s="15"/>
      <c r="BL15" s="15"/>
      <c r="BM15" s="15"/>
      <c r="BN15" s="15"/>
      <c r="BO15" s="15"/>
      <c r="BP15" s="15"/>
      <c r="BQ15" s="6"/>
      <c r="BR15" s="6"/>
      <c r="BT15" s="24" t="s">
        <v>210</v>
      </c>
      <c r="BU15" s="24"/>
      <c r="BV15" s="6"/>
      <c r="BW15" s="6"/>
      <c r="BX15" s="6"/>
      <c r="BY15" s="6"/>
      <c r="BZ15" s="6"/>
      <c r="CA15" s="6"/>
      <c r="CB15" s="3"/>
      <c r="CC15" s="24" t="s">
        <v>210</v>
      </c>
      <c r="CD15" s="24"/>
      <c r="CE15" s="6"/>
      <c r="CF15" s="6"/>
      <c r="CG15" s="6"/>
      <c r="CH15" s="6"/>
      <c r="CI15" s="6"/>
      <c r="CJ15" s="6"/>
      <c r="CK15" s="6"/>
      <c r="CL15" s="6"/>
      <c r="CM15" s="6"/>
      <c r="CN15" s="6"/>
      <c r="CO15" s="6"/>
      <c r="CR15" s="5">
        <v>5</v>
      </c>
      <c r="CS15" s="12"/>
      <c r="CT15" s="13"/>
      <c r="CU15" s="13"/>
      <c r="CV15" s="13"/>
      <c r="CW15" s="13"/>
      <c r="CX15" s="14"/>
      <c r="CY15" s="15"/>
      <c r="CZ15" s="15"/>
      <c r="DA15" s="15"/>
      <c r="DB15" s="15"/>
      <c r="DC15" s="15"/>
      <c r="DD15" s="15"/>
      <c r="DE15" s="15"/>
      <c r="DF15" s="15"/>
      <c r="DG15" s="15"/>
      <c r="DH15" s="15"/>
      <c r="DI15" s="15"/>
      <c r="DJ15" s="15"/>
      <c r="DK15" s="15"/>
      <c r="DL15" s="6"/>
      <c r="DM15" s="6"/>
      <c r="DO15" s="24" t="s">
        <v>210</v>
      </c>
      <c r="DP15" s="24"/>
      <c r="DQ15" s="6"/>
      <c r="DR15" s="6"/>
      <c r="DS15" s="6"/>
      <c r="DT15" s="6"/>
      <c r="DU15" s="6"/>
      <c r="DV15" s="6"/>
      <c r="DW15" s="3"/>
      <c r="DX15" s="24" t="s">
        <v>210</v>
      </c>
      <c r="DY15" s="24"/>
      <c r="DZ15" s="6"/>
      <c r="EA15" s="6"/>
      <c r="EB15" s="6"/>
      <c r="EC15" s="6"/>
      <c r="ED15" s="6"/>
      <c r="EE15" s="6"/>
      <c r="EF15" s="6"/>
      <c r="EG15" s="6"/>
      <c r="EH15" s="6"/>
      <c r="EI15" s="6"/>
      <c r="EJ15" s="6"/>
      <c r="EM15" s="5">
        <v>5</v>
      </c>
      <c r="EN15" s="12"/>
      <c r="EO15" s="13"/>
      <c r="EP15" s="13"/>
      <c r="EQ15" s="13"/>
      <c r="ER15" s="13"/>
      <c r="ES15" s="14"/>
      <c r="ET15" s="15"/>
      <c r="EU15" s="15"/>
      <c r="EV15" s="15"/>
      <c r="EW15" s="15"/>
      <c r="EX15" s="15"/>
      <c r="EY15" s="15"/>
      <c r="EZ15" s="15"/>
      <c r="FA15" s="15"/>
      <c r="FB15" s="15"/>
      <c r="FC15" s="15"/>
      <c r="FD15" s="15"/>
      <c r="FE15" s="15"/>
      <c r="FF15" s="15"/>
      <c r="FG15" s="6"/>
      <c r="FH15" s="6"/>
      <c r="FJ15" s="24" t="s">
        <v>210</v>
      </c>
      <c r="FK15" s="24"/>
      <c r="FL15" s="6"/>
      <c r="FM15" s="6"/>
      <c r="FN15" s="6"/>
      <c r="FO15" s="6"/>
      <c r="FP15" s="6"/>
      <c r="FQ15" s="6"/>
      <c r="FR15" s="3"/>
      <c r="FS15" s="24" t="s">
        <v>210</v>
      </c>
      <c r="FT15" s="24"/>
      <c r="FU15" s="6"/>
      <c r="FV15" s="6"/>
      <c r="FW15" s="6"/>
      <c r="FX15" s="6"/>
      <c r="FY15" s="6"/>
      <c r="FZ15" s="6"/>
      <c r="GA15" s="6"/>
      <c r="GB15" s="6"/>
      <c r="GC15" s="6"/>
      <c r="GD15" s="6"/>
      <c r="GE15" s="6"/>
      <c r="GH15" s="5">
        <v>5</v>
      </c>
      <c r="GI15" s="12"/>
      <c r="GJ15" s="13"/>
      <c r="GK15" s="13"/>
      <c r="GL15" s="13"/>
      <c r="GM15" s="13"/>
      <c r="GN15" s="14"/>
      <c r="GO15" s="15"/>
      <c r="GP15" s="15"/>
      <c r="GQ15" s="15"/>
      <c r="GR15" s="15"/>
      <c r="GS15" s="15"/>
      <c r="GT15" s="15"/>
      <c r="GU15" s="15"/>
      <c r="GV15" s="15"/>
      <c r="GW15" s="15"/>
      <c r="GX15" s="15"/>
      <c r="GY15" s="15"/>
      <c r="GZ15" s="15"/>
      <c r="HA15" s="15"/>
      <c r="HB15" s="6"/>
      <c r="HC15" s="6"/>
      <c r="HE15" s="24" t="s">
        <v>210</v>
      </c>
      <c r="HF15" s="24"/>
      <c r="HG15" s="6"/>
      <c r="HH15" s="6"/>
      <c r="HI15" s="6"/>
      <c r="HJ15" s="6"/>
      <c r="HK15" s="6"/>
      <c r="HL15" s="6"/>
      <c r="HM15" s="3"/>
      <c r="HN15" s="24" t="s">
        <v>210</v>
      </c>
      <c r="HO15" s="24"/>
      <c r="HP15" s="6"/>
      <c r="HQ15" s="6"/>
      <c r="HR15" s="6"/>
      <c r="HS15" s="6"/>
      <c r="HT15" s="6"/>
      <c r="HU15" s="6"/>
      <c r="HV15" s="6"/>
      <c r="HW15" s="6"/>
      <c r="HX15" s="6"/>
      <c r="HY15" s="6"/>
      <c r="HZ15" s="6"/>
    </row>
    <row r="16" customHeight="1" spans="1:234">
      <c r="B16" s="8">
        <v>6</v>
      </c>
      <c r="C16" s="17"/>
      <c r="D16" s="18"/>
      <c r="E16" s="18"/>
      <c r="F16" s="18"/>
      <c r="G16" s="18"/>
      <c r="H16" s="19"/>
      <c r="I16" s="20"/>
      <c r="J16" s="20"/>
      <c r="K16" s="20"/>
      <c r="L16" s="20"/>
      <c r="M16" s="20"/>
      <c r="N16" s="20"/>
      <c r="O16" s="20"/>
      <c r="P16" s="20"/>
      <c r="Q16" s="20"/>
      <c r="R16" s="20"/>
      <c r="S16" s="20"/>
      <c r="T16" s="20"/>
      <c r="U16" s="20"/>
      <c r="V16" s="9"/>
      <c r="W16" s="9"/>
      <c r="Y16" s="3"/>
      <c r="Z16" s="3"/>
      <c r="AA16" s="3"/>
      <c r="AB16" s="3"/>
      <c r="AC16" s="3"/>
      <c r="AD16" s="3"/>
      <c r="AE16" s="3"/>
      <c r="AF16" s="3"/>
      <c r="AG16" s="3"/>
      <c r="AH16" s="3"/>
      <c r="AI16" s="3"/>
      <c r="AJ16" s="3"/>
      <c r="AK16" s="3"/>
      <c r="AL16" s="3"/>
      <c r="AM16" s="3"/>
      <c r="AN16" s="3"/>
      <c r="AO16" s="3"/>
      <c r="AW16" s="8">
        <v>6</v>
      </c>
      <c r="AX16" s="17"/>
      <c r="AY16" s="18"/>
      <c r="AZ16" s="18"/>
      <c r="BA16" s="18"/>
      <c r="BB16" s="18"/>
      <c r="BC16" s="19"/>
      <c r="BD16" s="20"/>
      <c r="BE16" s="20"/>
      <c r="BF16" s="20"/>
      <c r="BG16" s="20"/>
      <c r="BH16" s="20"/>
      <c r="BI16" s="20"/>
      <c r="BJ16" s="20"/>
      <c r="BK16" s="20"/>
      <c r="BL16" s="20"/>
      <c r="BM16" s="20"/>
      <c r="BN16" s="20"/>
      <c r="BO16" s="20"/>
      <c r="BP16" s="20"/>
      <c r="BQ16" s="9"/>
      <c r="BR16" s="9"/>
      <c r="BT16" s="3"/>
      <c r="BU16" s="3"/>
      <c r="BV16" s="3"/>
      <c r="BW16" s="3"/>
      <c r="BX16" s="3"/>
      <c r="BY16" s="3"/>
      <c r="BZ16" s="3"/>
      <c r="CA16" s="3"/>
      <c r="CB16" s="3"/>
      <c r="CC16" s="3"/>
      <c r="CD16" s="3"/>
      <c r="CE16" s="3"/>
      <c r="CF16" s="3"/>
      <c r="CG16" s="3"/>
      <c r="CH16" s="3"/>
      <c r="CI16" s="3"/>
      <c r="CJ16" s="3"/>
      <c r="CR16" s="8">
        <v>6</v>
      </c>
      <c r="CS16" s="17"/>
      <c r="CT16" s="18"/>
      <c r="CU16" s="18"/>
      <c r="CV16" s="18"/>
      <c r="CW16" s="18"/>
      <c r="CX16" s="19"/>
      <c r="CY16" s="20"/>
      <c r="CZ16" s="20"/>
      <c r="DA16" s="20"/>
      <c r="DB16" s="20"/>
      <c r="DC16" s="20"/>
      <c r="DD16" s="20"/>
      <c r="DE16" s="20"/>
      <c r="DF16" s="20"/>
      <c r="DG16" s="20"/>
      <c r="DH16" s="20"/>
      <c r="DI16" s="20"/>
      <c r="DJ16" s="20"/>
      <c r="DK16" s="20"/>
      <c r="DL16" s="9"/>
      <c r="DM16" s="9"/>
      <c r="DO16" s="3"/>
      <c r="DP16" s="3"/>
      <c r="DQ16" s="3"/>
      <c r="DR16" s="3"/>
      <c r="DS16" s="3"/>
      <c r="DT16" s="3"/>
      <c r="DU16" s="3"/>
      <c r="DV16" s="3"/>
      <c r="DW16" s="3"/>
      <c r="DX16" s="3"/>
      <c r="DY16" s="3"/>
      <c r="DZ16" s="3"/>
      <c r="EA16" s="3"/>
      <c r="EB16" s="3"/>
      <c r="EC16" s="3"/>
      <c r="ED16" s="3"/>
      <c r="EE16" s="3"/>
      <c r="EM16" s="8">
        <v>6</v>
      </c>
      <c r="EN16" s="17"/>
      <c r="EO16" s="18"/>
      <c r="EP16" s="18"/>
      <c r="EQ16" s="18"/>
      <c r="ER16" s="18"/>
      <c r="ES16" s="19"/>
      <c r="ET16" s="20"/>
      <c r="EU16" s="20"/>
      <c r="EV16" s="20"/>
      <c r="EW16" s="20"/>
      <c r="EX16" s="20"/>
      <c r="EY16" s="20"/>
      <c r="EZ16" s="20"/>
      <c r="FA16" s="20"/>
      <c r="FB16" s="20"/>
      <c r="FC16" s="20"/>
      <c r="FD16" s="20"/>
      <c r="FE16" s="20"/>
      <c r="FF16" s="20"/>
      <c r="FG16" s="9"/>
      <c r="FH16" s="9"/>
      <c r="FJ16" s="3"/>
      <c r="FK16" s="3"/>
      <c r="FL16" s="3"/>
      <c r="FM16" s="3"/>
      <c r="FN16" s="3"/>
      <c r="FO16" s="3"/>
      <c r="FP16" s="3"/>
      <c r="FQ16" s="3"/>
      <c r="FR16" s="3"/>
      <c r="FS16" s="3"/>
      <c r="FT16" s="3"/>
      <c r="FU16" s="3"/>
      <c r="FV16" s="3"/>
      <c r="FW16" s="3"/>
      <c r="FX16" s="3"/>
      <c r="FY16" s="3"/>
      <c r="FZ16" s="3"/>
      <c r="GH16" s="8">
        <v>6</v>
      </c>
      <c r="GI16" s="17"/>
      <c r="GJ16" s="18"/>
      <c r="GK16" s="18"/>
      <c r="GL16" s="18"/>
      <c r="GM16" s="18"/>
      <c r="GN16" s="19"/>
      <c r="GO16" s="20"/>
      <c r="GP16" s="20"/>
      <c r="GQ16" s="20"/>
      <c r="GR16" s="20"/>
      <c r="GS16" s="20"/>
      <c r="GT16" s="20"/>
      <c r="GU16" s="20"/>
      <c r="GV16" s="20"/>
      <c r="GW16" s="20"/>
      <c r="GX16" s="20"/>
      <c r="GY16" s="20"/>
      <c r="GZ16" s="20"/>
      <c r="HA16" s="20"/>
      <c r="HB16" s="9"/>
      <c r="HC16" s="9"/>
      <c r="HE16" s="3"/>
      <c r="HF16" s="3"/>
      <c r="HG16" s="3"/>
      <c r="HH16" s="3"/>
      <c r="HI16" s="3"/>
      <c r="HJ16" s="3"/>
      <c r="HK16" s="3"/>
      <c r="HL16" s="3"/>
      <c r="HM16" s="3"/>
      <c r="HN16" s="3"/>
      <c r="HO16" s="3"/>
      <c r="HP16" s="3"/>
      <c r="HQ16" s="3"/>
      <c r="HR16" s="3"/>
      <c r="HS16" s="3"/>
      <c r="HT16" s="3"/>
      <c r="HU16" s="3"/>
    </row>
    <row r="17" customHeight="1" spans="2:234">
      <c r="B17" s="5">
        <v>7</v>
      </c>
      <c r="C17" s="12"/>
      <c r="D17" s="13"/>
      <c r="E17" s="13"/>
      <c r="F17" s="13"/>
      <c r="G17" s="13"/>
      <c r="H17" s="14"/>
      <c r="I17" s="15"/>
      <c r="J17" s="15"/>
      <c r="K17" s="15"/>
      <c r="L17" s="15"/>
      <c r="M17" s="15"/>
      <c r="N17" s="15"/>
      <c r="O17" s="15"/>
      <c r="P17" s="15"/>
      <c r="Q17" s="15"/>
      <c r="R17" s="15"/>
      <c r="S17" s="15"/>
      <c r="T17" s="15"/>
      <c r="U17" s="15"/>
      <c r="V17" s="6"/>
      <c r="W17" s="6"/>
      <c r="Y17" s="11" t="str">
        <f>IF(C3="","",C3&amp;"的武器架")</f>
        <v/>
      </c>
      <c r="Z17" s="11"/>
      <c r="AA17" s="11"/>
      <c r="AB17" s="11"/>
      <c r="AC17" s="11"/>
      <c r="AD17" s="11"/>
      <c r="AE17" s="11"/>
      <c r="AF17" s="11"/>
      <c r="AG17" s="11"/>
      <c r="AH17" s="11"/>
      <c r="AI17" s="11"/>
      <c r="AJ17" s="11"/>
      <c r="AK17" s="11"/>
      <c r="AL17" s="11"/>
      <c r="AM17" s="11"/>
      <c r="AN17" s="11"/>
      <c r="AO17" s="11"/>
      <c r="AP17" s="11"/>
      <c r="AQ17" s="11"/>
      <c r="AR17" s="11"/>
      <c r="AS17" s="11"/>
      <c r="AT17" s="11"/>
      <c r="AW17" s="5">
        <v>7</v>
      </c>
      <c r="AX17" s="12"/>
      <c r="AY17" s="13"/>
      <c r="AZ17" s="13"/>
      <c r="BA17" s="13"/>
      <c r="BB17" s="13"/>
      <c r="BC17" s="14"/>
      <c r="BD17" s="15"/>
      <c r="BE17" s="15"/>
      <c r="BF17" s="15"/>
      <c r="BG17" s="15"/>
      <c r="BH17" s="15"/>
      <c r="BI17" s="15"/>
      <c r="BJ17" s="15"/>
      <c r="BK17" s="15"/>
      <c r="BL17" s="15"/>
      <c r="BM17" s="15"/>
      <c r="BN17" s="15"/>
      <c r="BO17" s="15"/>
      <c r="BP17" s="15"/>
      <c r="BQ17" s="6"/>
      <c r="BR17" s="6"/>
      <c r="BT17" s="11" t="str">
        <f>IF(C4="","",C4&amp;"的武器架")</f>
        <v/>
      </c>
      <c r="BU17" s="11"/>
      <c r="BV17" s="11"/>
      <c r="BW17" s="11"/>
      <c r="BX17" s="11"/>
      <c r="BY17" s="11"/>
      <c r="BZ17" s="11"/>
      <c r="CA17" s="11"/>
      <c r="CB17" s="11"/>
      <c r="CC17" s="11"/>
      <c r="CD17" s="11"/>
      <c r="CE17" s="11"/>
      <c r="CF17" s="11"/>
      <c r="CG17" s="11"/>
      <c r="CH17" s="11"/>
      <c r="CI17" s="11"/>
      <c r="CJ17" s="11"/>
      <c r="CK17" s="11"/>
      <c r="CL17" s="11"/>
      <c r="CM17" s="11"/>
      <c r="CN17" s="11"/>
      <c r="CO17" s="11"/>
      <c r="CR17" s="5">
        <v>7</v>
      </c>
      <c r="CS17" s="12"/>
      <c r="CT17" s="13"/>
      <c r="CU17" s="13"/>
      <c r="CV17" s="13"/>
      <c r="CW17" s="13"/>
      <c r="CX17" s="14"/>
      <c r="CY17" s="15"/>
      <c r="CZ17" s="15"/>
      <c r="DA17" s="15"/>
      <c r="DB17" s="15"/>
      <c r="DC17" s="15"/>
      <c r="DD17" s="15"/>
      <c r="DE17" s="15"/>
      <c r="DF17" s="15"/>
      <c r="DG17" s="15"/>
      <c r="DH17" s="15"/>
      <c r="DI17" s="15"/>
      <c r="DJ17" s="15"/>
      <c r="DK17" s="15"/>
      <c r="DL17" s="6"/>
      <c r="DM17" s="6"/>
      <c r="DO17" s="11" t="str">
        <f>IF(C5="","",C5&amp;"的武器架")</f>
        <v/>
      </c>
      <c r="DP17" s="11"/>
      <c r="DQ17" s="11"/>
      <c r="DR17" s="11"/>
      <c r="DS17" s="11"/>
      <c r="DT17" s="11"/>
      <c r="DU17" s="11"/>
      <c r="DV17" s="11"/>
      <c r="DW17" s="11"/>
      <c r="DX17" s="11"/>
      <c r="DY17" s="11"/>
      <c r="DZ17" s="11"/>
      <c r="EA17" s="11"/>
      <c r="EB17" s="11"/>
      <c r="EC17" s="11"/>
      <c r="ED17" s="11"/>
      <c r="EE17" s="11"/>
      <c r="EF17" s="11"/>
      <c r="EG17" s="11"/>
      <c r="EH17" s="11"/>
      <c r="EI17" s="11"/>
      <c r="EJ17" s="11"/>
      <c r="EM17" s="5">
        <v>7</v>
      </c>
      <c r="EN17" s="12"/>
      <c r="EO17" s="13"/>
      <c r="EP17" s="13"/>
      <c r="EQ17" s="13"/>
      <c r="ER17" s="13"/>
      <c r="ES17" s="14"/>
      <c r="ET17" s="15"/>
      <c r="EU17" s="15"/>
      <c r="EV17" s="15"/>
      <c r="EW17" s="15"/>
      <c r="EX17" s="15"/>
      <c r="EY17" s="15"/>
      <c r="EZ17" s="15"/>
      <c r="FA17" s="15"/>
      <c r="FB17" s="15"/>
      <c r="FC17" s="15"/>
      <c r="FD17" s="15"/>
      <c r="FE17" s="15"/>
      <c r="FF17" s="15"/>
      <c r="FG17" s="6"/>
      <c r="FH17" s="6"/>
      <c r="FJ17" s="11" t="str">
        <f>IF(C6="","",C6&amp;"的武器架")</f>
        <v/>
      </c>
      <c r="FK17" s="11"/>
      <c r="FL17" s="11"/>
      <c r="FM17" s="11"/>
      <c r="FN17" s="11"/>
      <c r="FO17" s="11"/>
      <c r="FP17" s="11"/>
      <c r="FQ17" s="11"/>
      <c r="FR17" s="11"/>
      <c r="FS17" s="11"/>
      <c r="FT17" s="11"/>
      <c r="FU17" s="11"/>
      <c r="FV17" s="11"/>
      <c r="FW17" s="11"/>
      <c r="FX17" s="11"/>
      <c r="FY17" s="11"/>
      <c r="FZ17" s="11"/>
      <c r="GA17" s="11"/>
      <c r="GB17" s="11"/>
      <c r="GC17" s="11"/>
      <c r="GD17" s="11"/>
      <c r="GE17" s="11"/>
      <c r="GH17" s="5">
        <v>7</v>
      </c>
      <c r="GI17" s="12"/>
      <c r="GJ17" s="13"/>
      <c r="GK17" s="13"/>
      <c r="GL17" s="13"/>
      <c r="GM17" s="13"/>
      <c r="GN17" s="14"/>
      <c r="GO17" s="15"/>
      <c r="GP17" s="15"/>
      <c r="GQ17" s="15"/>
      <c r="GR17" s="15"/>
      <c r="GS17" s="15"/>
      <c r="GT17" s="15"/>
      <c r="GU17" s="15"/>
      <c r="GV17" s="15"/>
      <c r="GW17" s="15"/>
      <c r="GX17" s="15"/>
      <c r="GY17" s="15"/>
      <c r="GZ17" s="15"/>
      <c r="HA17" s="15"/>
      <c r="HB17" s="6"/>
      <c r="HC17" s="6"/>
      <c r="HE17" s="11" t="str">
        <f>IF(C7="","",C7&amp;"的武器架")</f>
        <v/>
      </c>
      <c r="HF17" s="11"/>
      <c r="HG17" s="11"/>
      <c r="HH17" s="11"/>
      <c r="HI17" s="11"/>
      <c r="HJ17" s="11"/>
      <c r="HK17" s="11"/>
      <c r="HL17" s="11"/>
      <c r="HM17" s="11"/>
      <c r="HN17" s="11"/>
      <c r="HO17" s="11"/>
      <c r="HP17" s="11"/>
      <c r="HQ17" s="11"/>
      <c r="HR17" s="11"/>
      <c r="HS17" s="11"/>
      <c r="HT17" s="11"/>
      <c r="HU17" s="11"/>
      <c r="HV17" s="11"/>
      <c r="HW17" s="11"/>
      <c r="HX17" s="11"/>
      <c r="HY17" s="11"/>
      <c r="HZ17" s="11"/>
    </row>
    <row r="18" customHeight="1" spans="2:234">
      <c r="B18" s="8">
        <v>8</v>
      </c>
      <c r="C18" s="17"/>
      <c r="D18" s="18"/>
      <c r="E18" s="18"/>
      <c r="F18" s="18"/>
      <c r="G18" s="18"/>
      <c r="H18" s="19"/>
      <c r="I18" s="20"/>
      <c r="J18" s="20"/>
      <c r="K18" s="20"/>
      <c r="L18" s="20"/>
      <c r="M18" s="20"/>
      <c r="N18" s="20"/>
      <c r="O18" s="20"/>
      <c r="P18" s="20"/>
      <c r="Q18" s="20"/>
      <c r="R18" s="20"/>
      <c r="S18" s="20"/>
      <c r="T18" s="20"/>
      <c r="U18" s="20"/>
      <c r="V18" s="9"/>
      <c r="W18" s="9"/>
      <c r="Y18" s="3"/>
      <c r="Z18" s="4" t="s">
        <v>114</v>
      </c>
      <c r="AA18" s="4"/>
      <c r="AB18" s="4"/>
      <c r="AC18" s="4"/>
      <c r="AD18" s="4"/>
      <c r="AE18" s="4"/>
      <c r="AF18" s="4" t="s">
        <v>176</v>
      </c>
      <c r="AG18" s="4"/>
      <c r="AH18" s="4"/>
      <c r="AI18" s="4"/>
      <c r="AJ18" s="4"/>
      <c r="AK18" s="4"/>
      <c r="AL18" s="4"/>
      <c r="AM18" s="4"/>
      <c r="AN18" s="4"/>
      <c r="AO18" s="4"/>
      <c r="AP18" s="4"/>
      <c r="AQ18" s="4"/>
      <c r="AR18" s="4"/>
      <c r="AS18" s="4" t="s">
        <v>173</v>
      </c>
      <c r="AT18" s="4"/>
      <c r="AW18" s="8">
        <v>8</v>
      </c>
      <c r="AX18" s="17"/>
      <c r="AY18" s="18"/>
      <c r="AZ18" s="18"/>
      <c r="BA18" s="18"/>
      <c r="BB18" s="18"/>
      <c r="BC18" s="19"/>
      <c r="BD18" s="20"/>
      <c r="BE18" s="20"/>
      <c r="BF18" s="20"/>
      <c r="BG18" s="20"/>
      <c r="BH18" s="20"/>
      <c r="BI18" s="20"/>
      <c r="BJ18" s="20"/>
      <c r="BK18" s="20"/>
      <c r="BL18" s="20"/>
      <c r="BM18" s="20"/>
      <c r="BN18" s="20"/>
      <c r="BO18" s="20"/>
      <c r="BP18" s="20"/>
      <c r="BQ18" s="9"/>
      <c r="BR18" s="9"/>
      <c r="BT18" s="3"/>
      <c r="BU18" s="4" t="s">
        <v>114</v>
      </c>
      <c r="BV18" s="4"/>
      <c r="BW18" s="4"/>
      <c r="BX18" s="4"/>
      <c r="BY18" s="4"/>
      <c r="BZ18" s="4"/>
      <c r="CA18" s="4" t="s">
        <v>176</v>
      </c>
      <c r="CB18" s="4"/>
      <c r="CC18" s="4"/>
      <c r="CD18" s="4"/>
      <c r="CE18" s="4"/>
      <c r="CF18" s="4"/>
      <c r="CG18" s="4"/>
      <c r="CH18" s="4"/>
      <c r="CI18" s="4"/>
      <c r="CJ18" s="4"/>
      <c r="CK18" s="4"/>
      <c r="CL18" s="4"/>
      <c r="CM18" s="4"/>
      <c r="CN18" s="4" t="s">
        <v>173</v>
      </c>
      <c r="CO18" s="4"/>
      <c r="CR18" s="8">
        <v>8</v>
      </c>
      <c r="CS18" s="17"/>
      <c r="CT18" s="18"/>
      <c r="CU18" s="18"/>
      <c r="CV18" s="18"/>
      <c r="CW18" s="18"/>
      <c r="CX18" s="19"/>
      <c r="CY18" s="20"/>
      <c r="CZ18" s="20"/>
      <c r="DA18" s="20"/>
      <c r="DB18" s="20"/>
      <c r="DC18" s="20"/>
      <c r="DD18" s="20"/>
      <c r="DE18" s="20"/>
      <c r="DF18" s="20"/>
      <c r="DG18" s="20"/>
      <c r="DH18" s="20"/>
      <c r="DI18" s="20"/>
      <c r="DJ18" s="20"/>
      <c r="DK18" s="20"/>
      <c r="DL18" s="9"/>
      <c r="DM18" s="9"/>
      <c r="DO18" s="3"/>
      <c r="DP18" s="4" t="s">
        <v>114</v>
      </c>
      <c r="DQ18" s="4"/>
      <c r="DR18" s="4"/>
      <c r="DS18" s="4"/>
      <c r="DT18" s="4"/>
      <c r="DU18" s="4"/>
      <c r="DV18" s="4" t="s">
        <v>176</v>
      </c>
      <c r="DW18" s="4"/>
      <c r="DX18" s="4"/>
      <c r="DY18" s="4"/>
      <c r="DZ18" s="4"/>
      <c r="EA18" s="4"/>
      <c r="EB18" s="4"/>
      <c r="EC18" s="4"/>
      <c r="ED18" s="4"/>
      <c r="EE18" s="4"/>
      <c r="EF18" s="4"/>
      <c r="EG18" s="4"/>
      <c r="EH18" s="4"/>
      <c r="EI18" s="4" t="s">
        <v>173</v>
      </c>
      <c r="EJ18" s="4"/>
      <c r="EM18" s="8">
        <v>8</v>
      </c>
      <c r="EN18" s="17"/>
      <c r="EO18" s="18"/>
      <c r="EP18" s="18"/>
      <c r="EQ18" s="18"/>
      <c r="ER18" s="18"/>
      <c r="ES18" s="19"/>
      <c r="ET18" s="20"/>
      <c r="EU18" s="20"/>
      <c r="EV18" s="20"/>
      <c r="EW18" s="20"/>
      <c r="EX18" s="20"/>
      <c r="EY18" s="20"/>
      <c r="EZ18" s="20"/>
      <c r="FA18" s="20"/>
      <c r="FB18" s="20"/>
      <c r="FC18" s="20"/>
      <c r="FD18" s="20"/>
      <c r="FE18" s="20"/>
      <c r="FF18" s="20"/>
      <c r="FG18" s="9"/>
      <c r="FH18" s="9"/>
      <c r="FJ18" s="3"/>
      <c r="FK18" s="4" t="s">
        <v>114</v>
      </c>
      <c r="FL18" s="4"/>
      <c r="FM18" s="4"/>
      <c r="FN18" s="4"/>
      <c r="FO18" s="4"/>
      <c r="FP18" s="4"/>
      <c r="FQ18" s="4" t="s">
        <v>176</v>
      </c>
      <c r="FR18" s="4"/>
      <c r="FS18" s="4"/>
      <c r="FT18" s="4"/>
      <c r="FU18" s="4"/>
      <c r="FV18" s="4"/>
      <c r="FW18" s="4"/>
      <c r="FX18" s="4"/>
      <c r="FY18" s="4"/>
      <c r="FZ18" s="4"/>
      <c r="GA18" s="4"/>
      <c r="GB18" s="4"/>
      <c r="GC18" s="4"/>
      <c r="GD18" s="4" t="s">
        <v>173</v>
      </c>
      <c r="GE18" s="4"/>
      <c r="GH18" s="8">
        <v>8</v>
      </c>
      <c r="GI18" s="17"/>
      <c r="GJ18" s="18"/>
      <c r="GK18" s="18"/>
      <c r="GL18" s="18"/>
      <c r="GM18" s="18"/>
      <c r="GN18" s="19"/>
      <c r="GO18" s="20"/>
      <c r="GP18" s="20"/>
      <c r="GQ18" s="20"/>
      <c r="GR18" s="20"/>
      <c r="GS18" s="20"/>
      <c r="GT18" s="20"/>
      <c r="GU18" s="20"/>
      <c r="GV18" s="20"/>
      <c r="GW18" s="20"/>
      <c r="GX18" s="20"/>
      <c r="GY18" s="20"/>
      <c r="GZ18" s="20"/>
      <c r="HA18" s="20"/>
      <c r="HB18" s="9"/>
      <c r="HC18" s="9"/>
      <c r="HE18" s="3"/>
      <c r="HF18" s="4" t="s">
        <v>114</v>
      </c>
      <c r="HG18" s="4"/>
      <c r="HH18" s="4"/>
      <c r="HI18" s="4"/>
      <c r="HJ18" s="4"/>
      <c r="HK18" s="4"/>
      <c r="HL18" s="4" t="s">
        <v>176</v>
      </c>
      <c r="HM18" s="4"/>
      <c r="HN18" s="4"/>
      <c r="HO18" s="4"/>
      <c r="HP18" s="4"/>
      <c r="HQ18" s="4"/>
      <c r="HR18" s="4"/>
      <c r="HS18" s="4"/>
      <c r="HT18" s="4"/>
      <c r="HU18" s="4"/>
      <c r="HV18" s="4"/>
      <c r="HW18" s="4"/>
      <c r="HX18" s="4"/>
      <c r="HY18" s="4" t="s">
        <v>173</v>
      </c>
      <c r="HZ18" s="4"/>
    </row>
    <row r="19" customHeight="1" spans="2:234">
      <c r="B19" s="5">
        <v>9</v>
      </c>
      <c r="C19" s="12"/>
      <c r="D19" s="13"/>
      <c r="E19" s="13"/>
      <c r="F19" s="13"/>
      <c r="G19" s="13"/>
      <c r="H19" s="14"/>
      <c r="I19" s="15"/>
      <c r="J19" s="15"/>
      <c r="K19" s="15"/>
      <c r="L19" s="15"/>
      <c r="M19" s="15"/>
      <c r="N19" s="15"/>
      <c r="O19" s="15"/>
      <c r="P19" s="15"/>
      <c r="Q19" s="15"/>
      <c r="R19" s="15"/>
      <c r="S19" s="15"/>
      <c r="T19" s="15"/>
      <c r="U19" s="15"/>
      <c r="V19" s="6"/>
      <c r="W19" s="6"/>
      <c r="Y19" s="5">
        <v>1</v>
      </c>
      <c r="Z19" s="12"/>
      <c r="AA19" s="13"/>
      <c r="AB19" s="13"/>
      <c r="AC19" s="13"/>
      <c r="AD19" s="13"/>
      <c r="AE19" s="14"/>
      <c r="AF19" s="15"/>
      <c r="AG19" s="15"/>
      <c r="AH19" s="15"/>
      <c r="AI19" s="15"/>
      <c r="AJ19" s="15"/>
      <c r="AK19" s="15"/>
      <c r="AL19" s="15"/>
      <c r="AM19" s="15"/>
      <c r="AN19" s="15"/>
      <c r="AO19" s="15"/>
      <c r="AP19" s="15"/>
      <c r="AQ19" s="15"/>
      <c r="AR19" s="15"/>
      <c r="AS19" s="6"/>
      <c r="AT19" s="6"/>
      <c r="AW19" s="5">
        <v>9</v>
      </c>
      <c r="AX19" s="12"/>
      <c r="AY19" s="13"/>
      <c r="AZ19" s="13"/>
      <c r="BA19" s="13"/>
      <c r="BB19" s="13"/>
      <c r="BC19" s="14"/>
      <c r="BD19" s="15"/>
      <c r="BE19" s="15"/>
      <c r="BF19" s="15"/>
      <c r="BG19" s="15"/>
      <c r="BH19" s="15"/>
      <c r="BI19" s="15"/>
      <c r="BJ19" s="15"/>
      <c r="BK19" s="15"/>
      <c r="BL19" s="15"/>
      <c r="BM19" s="15"/>
      <c r="BN19" s="15"/>
      <c r="BO19" s="15"/>
      <c r="BP19" s="15"/>
      <c r="BQ19" s="6"/>
      <c r="BR19" s="6"/>
      <c r="BT19" s="5">
        <v>1</v>
      </c>
      <c r="BU19" s="12"/>
      <c r="BV19" s="13"/>
      <c r="BW19" s="13"/>
      <c r="BX19" s="13"/>
      <c r="BY19" s="13"/>
      <c r="BZ19" s="14"/>
      <c r="CA19" s="15"/>
      <c r="CB19" s="15"/>
      <c r="CC19" s="15"/>
      <c r="CD19" s="15"/>
      <c r="CE19" s="15"/>
      <c r="CF19" s="15"/>
      <c r="CG19" s="15"/>
      <c r="CH19" s="15"/>
      <c r="CI19" s="15"/>
      <c r="CJ19" s="15"/>
      <c r="CK19" s="15"/>
      <c r="CL19" s="15"/>
      <c r="CM19" s="15"/>
      <c r="CN19" s="6"/>
      <c r="CO19" s="6"/>
      <c r="CR19" s="5">
        <v>9</v>
      </c>
      <c r="CS19" s="12"/>
      <c r="CT19" s="13"/>
      <c r="CU19" s="13"/>
      <c r="CV19" s="13"/>
      <c r="CW19" s="13"/>
      <c r="CX19" s="14"/>
      <c r="CY19" s="15"/>
      <c r="CZ19" s="15"/>
      <c r="DA19" s="15"/>
      <c r="DB19" s="15"/>
      <c r="DC19" s="15"/>
      <c r="DD19" s="15"/>
      <c r="DE19" s="15"/>
      <c r="DF19" s="15"/>
      <c r="DG19" s="15"/>
      <c r="DH19" s="15"/>
      <c r="DI19" s="15"/>
      <c r="DJ19" s="15"/>
      <c r="DK19" s="15"/>
      <c r="DL19" s="6"/>
      <c r="DM19" s="6"/>
      <c r="DO19" s="5">
        <v>1</v>
      </c>
      <c r="DP19" s="12"/>
      <c r="DQ19" s="13"/>
      <c r="DR19" s="13"/>
      <c r="DS19" s="13"/>
      <c r="DT19" s="13"/>
      <c r="DU19" s="14"/>
      <c r="DV19" s="15"/>
      <c r="DW19" s="15"/>
      <c r="DX19" s="15"/>
      <c r="DY19" s="15"/>
      <c r="DZ19" s="15"/>
      <c r="EA19" s="15"/>
      <c r="EB19" s="15"/>
      <c r="EC19" s="15"/>
      <c r="ED19" s="15"/>
      <c r="EE19" s="15"/>
      <c r="EF19" s="15"/>
      <c r="EG19" s="15"/>
      <c r="EH19" s="15"/>
      <c r="EI19" s="6"/>
      <c r="EJ19" s="6"/>
      <c r="EM19" s="5">
        <v>9</v>
      </c>
      <c r="EN19" s="12"/>
      <c r="EO19" s="13"/>
      <c r="EP19" s="13"/>
      <c r="EQ19" s="13"/>
      <c r="ER19" s="13"/>
      <c r="ES19" s="14"/>
      <c r="ET19" s="15"/>
      <c r="EU19" s="15"/>
      <c r="EV19" s="15"/>
      <c r="EW19" s="15"/>
      <c r="EX19" s="15"/>
      <c r="EY19" s="15"/>
      <c r="EZ19" s="15"/>
      <c r="FA19" s="15"/>
      <c r="FB19" s="15"/>
      <c r="FC19" s="15"/>
      <c r="FD19" s="15"/>
      <c r="FE19" s="15"/>
      <c r="FF19" s="15"/>
      <c r="FG19" s="6"/>
      <c r="FH19" s="6"/>
      <c r="FJ19" s="5">
        <v>1</v>
      </c>
      <c r="FK19" s="12"/>
      <c r="FL19" s="13"/>
      <c r="FM19" s="13"/>
      <c r="FN19" s="13"/>
      <c r="FO19" s="13"/>
      <c r="FP19" s="14"/>
      <c r="FQ19" s="15"/>
      <c r="FR19" s="15"/>
      <c r="FS19" s="15"/>
      <c r="FT19" s="15"/>
      <c r="FU19" s="15"/>
      <c r="FV19" s="15"/>
      <c r="FW19" s="15"/>
      <c r="FX19" s="15"/>
      <c r="FY19" s="15"/>
      <c r="FZ19" s="15"/>
      <c r="GA19" s="15"/>
      <c r="GB19" s="15"/>
      <c r="GC19" s="15"/>
      <c r="GD19" s="6"/>
      <c r="GE19" s="6"/>
      <c r="GH19" s="5">
        <v>9</v>
      </c>
      <c r="GI19" s="12"/>
      <c r="GJ19" s="13"/>
      <c r="GK19" s="13"/>
      <c r="GL19" s="13"/>
      <c r="GM19" s="13"/>
      <c r="GN19" s="14"/>
      <c r="GO19" s="15"/>
      <c r="GP19" s="15"/>
      <c r="GQ19" s="15"/>
      <c r="GR19" s="15"/>
      <c r="GS19" s="15"/>
      <c r="GT19" s="15"/>
      <c r="GU19" s="15"/>
      <c r="GV19" s="15"/>
      <c r="GW19" s="15"/>
      <c r="GX19" s="15"/>
      <c r="GY19" s="15"/>
      <c r="GZ19" s="15"/>
      <c r="HA19" s="15"/>
      <c r="HB19" s="6"/>
      <c r="HC19" s="6"/>
      <c r="HE19" s="5">
        <v>1</v>
      </c>
      <c r="HF19" s="12"/>
      <c r="HG19" s="13"/>
      <c r="HH19" s="13"/>
      <c r="HI19" s="13"/>
      <c r="HJ19" s="13"/>
      <c r="HK19" s="14"/>
      <c r="HL19" s="15"/>
      <c r="HM19" s="15"/>
      <c r="HN19" s="15"/>
      <c r="HO19" s="15"/>
      <c r="HP19" s="15"/>
      <c r="HQ19" s="15"/>
      <c r="HR19" s="15"/>
      <c r="HS19" s="15"/>
      <c r="HT19" s="15"/>
      <c r="HU19" s="15"/>
      <c r="HV19" s="15"/>
      <c r="HW19" s="15"/>
      <c r="HX19" s="15"/>
      <c r="HY19" s="6"/>
      <c r="HZ19" s="6"/>
    </row>
    <row r="20" customHeight="1" spans="2:234">
      <c r="B20" s="8">
        <v>10</v>
      </c>
      <c r="C20" s="17"/>
      <c r="D20" s="18"/>
      <c r="E20" s="18"/>
      <c r="F20" s="18"/>
      <c r="G20" s="18"/>
      <c r="H20" s="19"/>
      <c r="I20" s="20"/>
      <c r="J20" s="20"/>
      <c r="K20" s="20"/>
      <c r="L20" s="20"/>
      <c r="M20" s="20"/>
      <c r="N20" s="20"/>
      <c r="O20" s="20"/>
      <c r="P20" s="20"/>
      <c r="Q20" s="20"/>
      <c r="R20" s="20"/>
      <c r="S20" s="20"/>
      <c r="T20" s="20"/>
      <c r="U20" s="20"/>
      <c r="V20" s="9"/>
      <c r="W20" s="9"/>
      <c r="Y20" s="8">
        <v>2</v>
      </c>
      <c r="Z20" s="17"/>
      <c r="AA20" s="18"/>
      <c r="AB20" s="18"/>
      <c r="AC20" s="18"/>
      <c r="AD20" s="18"/>
      <c r="AE20" s="19"/>
      <c r="AF20" s="20"/>
      <c r="AG20" s="20"/>
      <c r="AH20" s="20"/>
      <c r="AI20" s="20"/>
      <c r="AJ20" s="20"/>
      <c r="AK20" s="20"/>
      <c r="AL20" s="20"/>
      <c r="AM20" s="20"/>
      <c r="AN20" s="20"/>
      <c r="AO20" s="20"/>
      <c r="AP20" s="20"/>
      <c r="AQ20" s="20"/>
      <c r="AR20" s="20"/>
      <c r="AS20" s="9"/>
      <c r="AT20" s="9"/>
      <c r="AW20" s="8">
        <v>10</v>
      </c>
      <c r="AX20" s="17"/>
      <c r="AY20" s="18"/>
      <c r="AZ20" s="18"/>
      <c r="BA20" s="18"/>
      <c r="BB20" s="18"/>
      <c r="BC20" s="19"/>
      <c r="BD20" s="20"/>
      <c r="BE20" s="20"/>
      <c r="BF20" s="20"/>
      <c r="BG20" s="20"/>
      <c r="BH20" s="20"/>
      <c r="BI20" s="20"/>
      <c r="BJ20" s="20"/>
      <c r="BK20" s="20"/>
      <c r="BL20" s="20"/>
      <c r="BM20" s="20"/>
      <c r="BN20" s="20"/>
      <c r="BO20" s="20"/>
      <c r="BP20" s="20"/>
      <c r="BQ20" s="9"/>
      <c r="BR20" s="9"/>
      <c r="BT20" s="8">
        <v>2</v>
      </c>
      <c r="BU20" s="17"/>
      <c r="BV20" s="18"/>
      <c r="BW20" s="18"/>
      <c r="BX20" s="18"/>
      <c r="BY20" s="18"/>
      <c r="BZ20" s="19"/>
      <c r="CA20" s="20"/>
      <c r="CB20" s="20"/>
      <c r="CC20" s="20"/>
      <c r="CD20" s="20"/>
      <c r="CE20" s="20"/>
      <c r="CF20" s="20"/>
      <c r="CG20" s="20"/>
      <c r="CH20" s="20"/>
      <c r="CI20" s="20"/>
      <c r="CJ20" s="20"/>
      <c r="CK20" s="20"/>
      <c r="CL20" s="20"/>
      <c r="CM20" s="20"/>
      <c r="CN20" s="9"/>
      <c r="CO20" s="9"/>
      <c r="CR20" s="8">
        <v>10</v>
      </c>
      <c r="CS20" s="17"/>
      <c r="CT20" s="18"/>
      <c r="CU20" s="18"/>
      <c r="CV20" s="18"/>
      <c r="CW20" s="18"/>
      <c r="CX20" s="19"/>
      <c r="CY20" s="20"/>
      <c r="CZ20" s="20"/>
      <c r="DA20" s="20"/>
      <c r="DB20" s="20"/>
      <c r="DC20" s="20"/>
      <c r="DD20" s="20"/>
      <c r="DE20" s="20"/>
      <c r="DF20" s="20"/>
      <c r="DG20" s="20"/>
      <c r="DH20" s="20"/>
      <c r="DI20" s="20"/>
      <c r="DJ20" s="20"/>
      <c r="DK20" s="20"/>
      <c r="DL20" s="9"/>
      <c r="DM20" s="9"/>
      <c r="DO20" s="8">
        <v>2</v>
      </c>
      <c r="DP20" s="17"/>
      <c r="DQ20" s="18"/>
      <c r="DR20" s="18"/>
      <c r="DS20" s="18"/>
      <c r="DT20" s="18"/>
      <c r="DU20" s="19"/>
      <c r="DV20" s="20"/>
      <c r="DW20" s="20"/>
      <c r="DX20" s="20"/>
      <c r="DY20" s="20"/>
      <c r="DZ20" s="20"/>
      <c r="EA20" s="20"/>
      <c r="EB20" s="20"/>
      <c r="EC20" s="20"/>
      <c r="ED20" s="20"/>
      <c r="EE20" s="20"/>
      <c r="EF20" s="20"/>
      <c r="EG20" s="20"/>
      <c r="EH20" s="20"/>
      <c r="EI20" s="9"/>
      <c r="EJ20" s="9"/>
      <c r="EM20" s="8">
        <v>10</v>
      </c>
      <c r="EN20" s="17"/>
      <c r="EO20" s="18"/>
      <c r="EP20" s="18"/>
      <c r="EQ20" s="18"/>
      <c r="ER20" s="18"/>
      <c r="ES20" s="19"/>
      <c r="ET20" s="20"/>
      <c r="EU20" s="20"/>
      <c r="EV20" s="20"/>
      <c r="EW20" s="20"/>
      <c r="EX20" s="20"/>
      <c r="EY20" s="20"/>
      <c r="EZ20" s="20"/>
      <c r="FA20" s="20"/>
      <c r="FB20" s="20"/>
      <c r="FC20" s="20"/>
      <c r="FD20" s="20"/>
      <c r="FE20" s="20"/>
      <c r="FF20" s="20"/>
      <c r="FG20" s="9"/>
      <c r="FH20" s="9"/>
      <c r="FJ20" s="8">
        <v>2</v>
      </c>
      <c r="FK20" s="17"/>
      <c r="FL20" s="18"/>
      <c r="FM20" s="18"/>
      <c r="FN20" s="18"/>
      <c r="FO20" s="18"/>
      <c r="FP20" s="19"/>
      <c r="FQ20" s="20"/>
      <c r="FR20" s="20"/>
      <c r="FS20" s="20"/>
      <c r="FT20" s="20"/>
      <c r="FU20" s="20"/>
      <c r="FV20" s="20"/>
      <c r="FW20" s="20"/>
      <c r="FX20" s="20"/>
      <c r="FY20" s="20"/>
      <c r="FZ20" s="20"/>
      <c r="GA20" s="20"/>
      <c r="GB20" s="20"/>
      <c r="GC20" s="20"/>
      <c r="GD20" s="9"/>
      <c r="GE20" s="9"/>
      <c r="GH20" s="8">
        <v>10</v>
      </c>
      <c r="GI20" s="17"/>
      <c r="GJ20" s="18"/>
      <c r="GK20" s="18"/>
      <c r="GL20" s="18"/>
      <c r="GM20" s="18"/>
      <c r="GN20" s="19"/>
      <c r="GO20" s="20"/>
      <c r="GP20" s="20"/>
      <c r="GQ20" s="20"/>
      <c r="GR20" s="20"/>
      <c r="GS20" s="20"/>
      <c r="GT20" s="20"/>
      <c r="GU20" s="20"/>
      <c r="GV20" s="20"/>
      <c r="GW20" s="20"/>
      <c r="GX20" s="20"/>
      <c r="GY20" s="20"/>
      <c r="GZ20" s="20"/>
      <c r="HA20" s="20"/>
      <c r="HB20" s="9"/>
      <c r="HC20" s="9"/>
      <c r="HE20" s="8">
        <v>2</v>
      </c>
      <c r="HF20" s="17"/>
      <c r="HG20" s="18"/>
      <c r="HH20" s="18"/>
      <c r="HI20" s="18"/>
      <c r="HJ20" s="18"/>
      <c r="HK20" s="19"/>
      <c r="HL20" s="20"/>
      <c r="HM20" s="20"/>
      <c r="HN20" s="20"/>
      <c r="HO20" s="20"/>
      <c r="HP20" s="20"/>
      <c r="HQ20" s="20"/>
      <c r="HR20" s="20"/>
      <c r="HS20" s="20"/>
      <c r="HT20" s="20"/>
      <c r="HU20" s="20"/>
      <c r="HV20" s="20"/>
      <c r="HW20" s="20"/>
      <c r="HX20" s="20"/>
      <c r="HY20" s="9"/>
      <c r="HZ20" s="9"/>
    </row>
    <row r="21" customHeight="1" spans="2:234">
      <c r="B21" s="5">
        <v>11</v>
      </c>
      <c r="C21" s="12"/>
      <c r="D21" s="13"/>
      <c r="E21" s="13"/>
      <c r="F21" s="13"/>
      <c r="G21" s="13"/>
      <c r="H21" s="14"/>
      <c r="I21" s="15"/>
      <c r="J21" s="15"/>
      <c r="K21" s="15"/>
      <c r="L21" s="15"/>
      <c r="M21" s="15"/>
      <c r="N21" s="15"/>
      <c r="O21" s="15"/>
      <c r="P21" s="15"/>
      <c r="Q21" s="15"/>
      <c r="R21" s="15"/>
      <c r="S21" s="15"/>
      <c r="T21" s="15"/>
      <c r="U21" s="15"/>
      <c r="V21" s="6"/>
      <c r="W21" s="6"/>
      <c r="Y21" s="5">
        <v>3</v>
      </c>
      <c r="Z21" s="12"/>
      <c r="AA21" s="13"/>
      <c r="AB21" s="13"/>
      <c r="AC21" s="13"/>
      <c r="AD21" s="13"/>
      <c r="AE21" s="14"/>
      <c r="AF21" s="15"/>
      <c r="AG21" s="15"/>
      <c r="AH21" s="15"/>
      <c r="AI21" s="15"/>
      <c r="AJ21" s="15"/>
      <c r="AK21" s="15"/>
      <c r="AL21" s="15"/>
      <c r="AM21" s="15"/>
      <c r="AN21" s="15"/>
      <c r="AO21" s="15"/>
      <c r="AP21" s="15"/>
      <c r="AQ21" s="15"/>
      <c r="AR21" s="15"/>
      <c r="AS21" s="6"/>
      <c r="AT21" s="6"/>
      <c r="AW21" s="5">
        <v>11</v>
      </c>
      <c r="AX21" s="12"/>
      <c r="AY21" s="13"/>
      <c r="AZ21" s="13"/>
      <c r="BA21" s="13"/>
      <c r="BB21" s="13"/>
      <c r="BC21" s="14"/>
      <c r="BD21" s="15"/>
      <c r="BE21" s="15"/>
      <c r="BF21" s="15"/>
      <c r="BG21" s="15"/>
      <c r="BH21" s="15"/>
      <c r="BI21" s="15"/>
      <c r="BJ21" s="15"/>
      <c r="BK21" s="15"/>
      <c r="BL21" s="15"/>
      <c r="BM21" s="15"/>
      <c r="BN21" s="15"/>
      <c r="BO21" s="15"/>
      <c r="BP21" s="15"/>
      <c r="BQ21" s="6"/>
      <c r="BR21" s="6"/>
      <c r="BT21" s="5">
        <v>3</v>
      </c>
      <c r="BU21" s="12"/>
      <c r="BV21" s="13"/>
      <c r="BW21" s="13"/>
      <c r="BX21" s="13"/>
      <c r="BY21" s="13"/>
      <c r="BZ21" s="14"/>
      <c r="CA21" s="15"/>
      <c r="CB21" s="15"/>
      <c r="CC21" s="15"/>
      <c r="CD21" s="15"/>
      <c r="CE21" s="15"/>
      <c r="CF21" s="15"/>
      <c r="CG21" s="15"/>
      <c r="CH21" s="15"/>
      <c r="CI21" s="15"/>
      <c r="CJ21" s="15"/>
      <c r="CK21" s="15"/>
      <c r="CL21" s="15"/>
      <c r="CM21" s="15"/>
      <c r="CN21" s="6"/>
      <c r="CO21" s="6"/>
      <c r="CR21" s="5">
        <v>11</v>
      </c>
      <c r="CS21" s="12"/>
      <c r="CT21" s="13"/>
      <c r="CU21" s="13"/>
      <c r="CV21" s="13"/>
      <c r="CW21" s="13"/>
      <c r="CX21" s="14"/>
      <c r="CY21" s="15"/>
      <c r="CZ21" s="15"/>
      <c r="DA21" s="15"/>
      <c r="DB21" s="15"/>
      <c r="DC21" s="15"/>
      <c r="DD21" s="15"/>
      <c r="DE21" s="15"/>
      <c r="DF21" s="15"/>
      <c r="DG21" s="15"/>
      <c r="DH21" s="15"/>
      <c r="DI21" s="15"/>
      <c r="DJ21" s="15"/>
      <c r="DK21" s="15"/>
      <c r="DL21" s="6"/>
      <c r="DM21" s="6"/>
      <c r="DO21" s="5">
        <v>3</v>
      </c>
      <c r="DP21" s="12"/>
      <c r="DQ21" s="13"/>
      <c r="DR21" s="13"/>
      <c r="DS21" s="13"/>
      <c r="DT21" s="13"/>
      <c r="DU21" s="14"/>
      <c r="DV21" s="15"/>
      <c r="DW21" s="15"/>
      <c r="DX21" s="15"/>
      <c r="DY21" s="15"/>
      <c r="DZ21" s="15"/>
      <c r="EA21" s="15"/>
      <c r="EB21" s="15"/>
      <c r="EC21" s="15"/>
      <c r="ED21" s="15"/>
      <c r="EE21" s="15"/>
      <c r="EF21" s="15"/>
      <c r="EG21" s="15"/>
      <c r="EH21" s="15"/>
      <c r="EI21" s="6"/>
      <c r="EJ21" s="6"/>
      <c r="EM21" s="5">
        <v>11</v>
      </c>
      <c r="EN21" s="12"/>
      <c r="EO21" s="13"/>
      <c r="EP21" s="13"/>
      <c r="EQ21" s="13"/>
      <c r="ER21" s="13"/>
      <c r="ES21" s="14"/>
      <c r="ET21" s="15"/>
      <c r="EU21" s="15"/>
      <c r="EV21" s="15"/>
      <c r="EW21" s="15"/>
      <c r="EX21" s="15"/>
      <c r="EY21" s="15"/>
      <c r="EZ21" s="15"/>
      <c r="FA21" s="15"/>
      <c r="FB21" s="15"/>
      <c r="FC21" s="15"/>
      <c r="FD21" s="15"/>
      <c r="FE21" s="15"/>
      <c r="FF21" s="15"/>
      <c r="FG21" s="6"/>
      <c r="FH21" s="6"/>
      <c r="FJ21" s="5">
        <v>3</v>
      </c>
      <c r="FK21" s="12"/>
      <c r="FL21" s="13"/>
      <c r="FM21" s="13"/>
      <c r="FN21" s="13"/>
      <c r="FO21" s="13"/>
      <c r="FP21" s="14"/>
      <c r="FQ21" s="15"/>
      <c r="FR21" s="15"/>
      <c r="FS21" s="15"/>
      <c r="FT21" s="15"/>
      <c r="FU21" s="15"/>
      <c r="FV21" s="15"/>
      <c r="FW21" s="15"/>
      <c r="FX21" s="15"/>
      <c r="FY21" s="15"/>
      <c r="FZ21" s="15"/>
      <c r="GA21" s="15"/>
      <c r="GB21" s="15"/>
      <c r="GC21" s="15"/>
      <c r="GD21" s="6"/>
      <c r="GE21" s="6"/>
      <c r="GH21" s="5">
        <v>11</v>
      </c>
      <c r="GI21" s="12"/>
      <c r="GJ21" s="13"/>
      <c r="GK21" s="13"/>
      <c r="GL21" s="13"/>
      <c r="GM21" s="13"/>
      <c r="GN21" s="14"/>
      <c r="GO21" s="15"/>
      <c r="GP21" s="15"/>
      <c r="GQ21" s="15"/>
      <c r="GR21" s="15"/>
      <c r="GS21" s="15"/>
      <c r="GT21" s="15"/>
      <c r="GU21" s="15"/>
      <c r="GV21" s="15"/>
      <c r="GW21" s="15"/>
      <c r="GX21" s="15"/>
      <c r="GY21" s="15"/>
      <c r="GZ21" s="15"/>
      <c r="HA21" s="15"/>
      <c r="HB21" s="6"/>
      <c r="HC21" s="6"/>
      <c r="HE21" s="5">
        <v>3</v>
      </c>
      <c r="HF21" s="12"/>
      <c r="HG21" s="13"/>
      <c r="HH21" s="13"/>
      <c r="HI21" s="13"/>
      <c r="HJ21" s="13"/>
      <c r="HK21" s="14"/>
      <c r="HL21" s="15"/>
      <c r="HM21" s="15"/>
      <c r="HN21" s="15"/>
      <c r="HO21" s="15"/>
      <c r="HP21" s="15"/>
      <c r="HQ21" s="15"/>
      <c r="HR21" s="15"/>
      <c r="HS21" s="15"/>
      <c r="HT21" s="15"/>
      <c r="HU21" s="15"/>
      <c r="HV21" s="15"/>
      <c r="HW21" s="15"/>
      <c r="HX21" s="15"/>
      <c r="HY21" s="6"/>
      <c r="HZ21" s="6"/>
    </row>
    <row r="22" customHeight="1" spans="2:234">
      <c r="B22" s="8">
        <v>12</v>
      </c>
      <c r="C22" s="17"/>
      <c r="D22" s="18"/>
      <c r="E22" s="18"/>
      <c r="F22" s="18"/>
      <c r="G22" s="18"/>
      <c r="H22" s="19"/>
      <c r="I22" s="20"/>
      <c r="J22" s="20"/>
      <c r="K22" s="20"/>
      <c r="L22" s="20"/>
      <c r="M22" s="20"/>
      <c r="N22" s="20"/>
      <c r="O22" s="20"/>
      <c r="P22" s="20"/>
      <c r="Q22" s="20"/>
      <c r="R22" s="20"/>
      <c r="S22" s="20"/>
      <c r="T22" s="20"/>
      <c r="U22" s="20"/>
      <c r="V22" s="9"/>
      <c r="W22" s="9"/>
      <c r="Y22" s="8">
        <v>4</v>
      </c>
      <c r="Z22" s="17"/>
      <c r="AA22" s="18"/>
      <c r="AB22" s="18"/>
      <c r="AC22" s="18"/>
      <c r="AD22" s="18"/>
      <c r="AE22" s="19"/>
      <c r="AF22" s="20"/>
      <c r="AG22" s="20"/>
      <c r="AH22" s="20"/>
      <c r="AI22" s="20"/>
      <c r="AJ22" s="20"/>
      <c r="AK22" s="20"/>
      <c r="AL22" s="20"/>
      <c r="AM22" s="20"/>
      <c r="AN22" s="20"/>
      <c r="AO22" s="20"/>
      <c r="AP22" s="20"/>
      <c r="AQ22" s="20"/>
      <c r="AR22" s="20"/>
      <c r="AS22" s="9"/>
      <c r="AT22" s="9"/>
      <c r="AW22" s="8">
        <v>12</v>
      </c>
      <c r="AX22" s="17"/>
      <c r="AY22" s="18"/>
      <c r="AZ22" s="18"/>
      <c r="BA22" s="18"/>
      <c r="BB22" s="18"/>
      <c r="BC22" s="19"/>
      <c r="BD22" s="20"/>
      <c r="BE22" s="20"/>
      <c r="BF22" s="20"/>
      <c r="BG22" s="20"/>
      <c r="BH22" s="20"/>
      <c r="BI22" s="20"/>
      <c r="BJ22" s="20"/>
      <c r="BK22" s="20"/>
      <c r="BL22" s="20"/>
      <c r="BM22" s="20"/>
      <c r="BN22" s="20"/>
      <c r="BO22" s="20"/>
      <c r="BP22" s="20"/>
      <c r="BQ22" s="9"/>
      <c r="BR22" s="9"/>
      <c r="BT22" s="8">
        <v>4</v>
      </c>
      <c r="BU22" s="17"/>
      <c r="BV22" s="18"/>
      <c r="BW22" s="18"/>
      <c r="BX22" s="18"/>
      <c r="BY22" s="18"/>
      <c r="BZ22" s="19"/>
      <c r="CA22" s="20"/>
      <c r="CB22" s="20"/>
      <c r="CC22" s="20"/>
      <c r="CD22" s="20"/>
      <c r="CE22" s="20"/>
      <c r="CF22" s="20"/>
      <c r="CG22" s="20"/>
      <c r="CH22" s="20"/>
      <c r="CI22" s="20"/>
      <c r="CJ22" s="20"/>
      <c r="CK22" s="20"/>
      <c r="CL22" s="20"/>
      <c r="CM22" s="20"/>
      <c r="CN22" s="9"/>
      <c r="CO22" s="9"/>
      <c r="CR22" s="8">
        <v>12</v>
      </c>
      <c r="CS22" s="17"/>
      <c r="CT22" s="18"/>
      <c r="CU22" s="18"/>
      <c r="CV22" s="18"/>
      <c r="CW22" s="18"/>
      <c r="CX22" s="19"/>
      <c r="CY22" s="20"/>
      <c r="CZ22" s="20"/>
      <c r="DA22" s="20"/>
      <c r="DB22" s="20"/>
      <c r="DC22" s="20"/>
      <c r="DD22" s="20"/>
      <c r="DE22" s="20"/>
      <c r="DF22" s="20"/>
      <c r="DG22" s="20"/>
      <c r="DH22" s="20"/>
      <c r="DI22" s="20"/>
      <c r="DJ22" s="20"/>
      <c r="DK22" s="20"/>
      <c r="DL22" s="9"/>
      <c r="DM22" s="9"/>
      <c r="DO22" s="8">
        <v>4</v>
      </c>
      <c r="DP22" s="17"/>
      <c r="DQ22" s="18"/>
      <c r="DR22" s="18"/>
      <c r="DS22" s="18"/>
      <c r="DT22" s="18"/>
      <c r="DU22" s="19"/>
      <c r="DV22" s="20"/>
      <c r="DW22" s="20"/>
      <c r="DX22" s="20"/>
      <c r="DY22" s="20"/>
      <c r="DZ22" s="20"/>
      <c r="EA22" s="20"/>
      <c r="EB22" s="20"/>
      <c r="EC22" s="20"/>
      <c r="ED22" s="20"/>
      <c r="EE22" s="20"/>
      <c r="EF22" s="20"/>
      <c r="EG22" s="20"/>
      <c r="EH22" s="20"/>
      <c r="EI22" s="9"/>
      <c r="EJ22" s="9"/>
      <c r="EM22" s="8">
        <v>12</v>
      </c>
      <c r="EN22" s="17"/>
      <c r="EO22" s="18"/>
      <c r="EP22" s="18"/>
      <c r="EQ22" s="18"/>
      <c r="ER22" s="18"/>
      <c r="ES22" s="19"/>
      <c r="ET22" s="20"/>
      <c r="EU22" s="20"/>
      <c r="EV22" s="20"/>
      <c r="EW22" s="20"/>
      <c r="EX22" s="20"/>
      <c r="EY22" s="20"/>
      <c r="EZ22" s="20"/>
      <c r="FA22" s="20"/>
      <c r="FB22" s="20"/>
      <c r="FC22" s="20"/>
      <c r="FD22" s="20"/>
      <c r="FE22" s="20"/>
      <c r="FF22" s="20"/>
      <c r="FG22" s="9"/>
      <c r="FH22" s="9"/>
      <c r="FJ22" s="8">
        <v>4</v>
      </c>
      <c r="FK22" s="17"/>
      <c r="FL22" s="18"/>
      <c r="FM22" s="18"/>
      <c r="FN22" s="18"/>
      <c r="FO22" s="18"/>
      <c r="FP22" s="19"/>
      <c r="FQ22" s="20"/>
      <c r="FR22" s="20"/>
      <c r="FS22" s="20"/>
      <c r="FT22" s="20"/>
      <c r="FU22" s="20"/>
      <c r="FV22" s="20"/>
      <c r="FW22" s="20"/>
      <c r="FX22" s="20"/>
      <c r="FY22" s="20"/>
      <c r="FZ22" s="20"/>
      <c r="GA22" s="20"/>
      <c r="GB22" s="20"/>
      <c r="GC22" s="20"/>
      <c r="GD22" s="9"/>
      <c r="GE22" s="9"/>
      <c r="GH22" s="8">
        <v>12</v>
      </c>
      <c r="GI22" s="17"/>
      <c r="GJ22" s="18"/>
      <c r="GK22" s="18"/>
      <c r="GL22" s="18"/>
      <c r="GM22" s="18"/>
      <c r="GN22" s="19"/>
      <c r="GO22" s="20"/>
      <c r="GP22" s="20"/>
      <c r="GQ22" s="20"/>
      <c r="GR22" s="20"/>
      <c r="GS22" s="20"/>
      <c r="GT22" s="20"/>
      <c r="GU22" s="20"/>
      <c r="GV22" s="20"/>
      <c r="GW22" s="20"/>
      <c r="GX22" s="20"/>
      <c r="GY22" s="20"/>
      <c r="GZ22" s="20"/>
      <c r="HA22" s="20"/>
      <c r="HB22" s="9"/>
      <c r="HC22" s="9"/>
      <c r="HE22" s="8">
        <v>4</v>
      </c>
      <c r="HF22" s="17"/>
      <c r="HG22" s="18"/>
      <c r="HH22" s="18"/>
      <c r="HI22" s="18"/>
      <c r="HJ22" s="18"/>
      <c r="HK22" s="19"/>
      <c r="HL22" s="20"/>
      <c r="HM22" s="20"/>
      <c r="HN22" s="20"/>
      <c r="HO22" s="20"/>
      <c r="HP22" s="20"/>
      <c r="HQ22" s="20"/>
      <c r="HR22" s="20"/>
      <c r="HS22" s="20"/>
      <c r="HT22" s="20"/>
      <c r="HU22" s="20"/>
      <c r="HV22" s="20"/>
      <c r="HW22" s="20"/>
      <c r="HX22" s="20"/>
      <c r="HY22" s="9"/>
      <c r="HZ22" s="9"/>
    </row>
    <row r="23" customHeight="1" spans="2:234">
      <c r="B23" s="5">
        <v>13</v>
      </c>
      <c r="C23" s="12"/>
      <c r="D23" s="13"/>
      <c r="E23" s="13"/>
      <c r="F23" s="13"/>
      <c r="G23" s="13"/>
      <c r="H23" s="14"/>
      <c r="I23" s="15"/>
      <c r="J23" s="15"/>
      <c r="K23" s="15"/>
      <c r="L23" s="15"/>
      <c r="M23" s="15"/>
      <c r="N23" s="15"/>
      <c r="O23" s="15"/>
      <c r="P23" s="15"/>
      <c r="Q23" s="15"/>
      <c r="R23" s="15"/>
      <c r="S23" s="15"/>
      <c r="T23" s="15"/>
      <c r="U23" s="15"/>
      <c r="V23" s="6"/>
      <c r="W23" s="6"/>
      <c r="Y23" s="5">
        <v>5</v>
      </c>
      <c r="Z23" s="12"/>
      <c r="AA23" s="13"/>
      <c r="AB23" s="13"/>
      <c r="AC23" s="13"/>
      <c r="AD23" s="13"/>
      <c r="AE23" s="14"/>
      <c r="AF23" s="15"/>
      <c r="AG23" s="15"/>
      <c r="AH23" s="15"/>
      <c r="AI23" s="15"/>
      <c r="AJ23" s="15"/>
      <c r="AK23" s="15"/>
      <c r="AL23" s="15"/>
      <c r="AM23" s="15"/>
      <c r="AN23" s="15"/>
      <c r="AO23" s="15"/>
      <c r="AP23" s="15"/>
      <c r="AQ23" s="15"/>
      <c r="AR23" s="15"/>
      <c r="AS23" s="6"/>
      <c r="AT23" s="6"/>
      <c r="AW23" s="5">
        <v>13</v>
      </c>
      <c r="AX23" s="12"/>
      <c r="AY23" s="13"/>
      <c r="AZ23" s="13"/>
      <c r="BA23" s="13"/>
      <c r="BB23" s="13"/>
      <c r="BC23" s="14"/>
      <c r="BD23" s="15"/>
      <c r="BE23" s="15"/>
      <c r="BF23" s="15"/>
      <c r="BG23" s="15"/>
      <c r="BH23" s="15"/>
      <c r="BI23" s="15"/>
      <c r="BJ23" s="15"/>
      <c r="BK23" s="15"/>
      <c r="BL23" s="15"/>
      <c r="BM23" s="15"/>
      <c r="BN23" s="15"/>
      <c r="BO23" s="15"/>
      <c r="BP23" s="15"/>
      <c r="BQ23" s="6"/>
      <c r="BR23" s="6"/>
      <c r="BT23" s="5">
        <v>5</v>
      </c>
      <c r="BU23" s="12"/>
      <c r="BV23" s="13"/>
      <c r="BW23" s="13"/>
      <c r="BX23" s="13"/>
      <c r="BY23" s="13"/>
      <c r="BZ23" s="14"/>
      <c r="CA23" s="15"/>
      <c r="CB23" s="15"/>
      <c r="CC23" s="15"/>
      <c r="CD23" s="15"/>
      <c r="CE23" s="15"/>
      <c r="CF23" s="15"/>
      <c r="CG23" s="15"/>
      <c r="CH23" s="15"/>
      <c r="CI23" s="15"/>
      <c r="CJ23" s="15"/>
      <c r="CK23" s="15"/>
      <c r="CL23" s="15"/>
      <c r="CM23" s="15"/>
      <c r="CN23" s="6"/>
      <c r="CO23" s="6"/>
      <c r="CR23" s="5">
        <v>13</v>
      </c>
      <c r="CS23" s="12"/>
      <c r="CT23" s="13"/>
      <c r="CU23" s="13"/>
      <c r="CV23" s="13"/>
      <c r="CW23" s="13"/>
      <c r="CX23" s="14"/>
      <c r="CY23" s="15"/>
      <c r="CZ23" s="15"/>
      <c r="DA23" s="15"/>
      <c r="DB23" s="15"/>
      <c r="DC23" s="15"/>
      <c r="DD23" s="15"/>
      <c r="DE23" s="15"/>
      <c r="DF23" s="15"/>
      <c r="DG23" s="15"/>
      <c r="DH23" s="15"/>
      <c r="DI23" s="15"/>
      <c r="DJ23" s="15"/>
      <c r="DK23" s="15"/>
      <c r="DL23" s="6"/>
      <c r="DM23" s="6"/>
      <c r="DO23" s="5">
        <v>5</v>
      </c>
      <c r="DP23" s="12"/>
      <c r="DQ23" s="13"/>
      <c r="DR23" s="13"/>
      <c r="DS23" s="13"/>
      <c r="DT23" s="13"/>
      <c r="DU23" s="14"/>
      <c r="DV23" s="15"/>
      <c r="DW23" s="15"/>
      <c r="DX23" s="15"/>
      <c r="DY23" s="15"/>
      <c r="DZ23" s="15"/>
      <c r="EA23" s="15"/>
      <c r="EB23" s="15"/>
      <c r="EC23" s="15"/>
      <c r="ED23" s="15"/>
      <c r="EE23" s="15"/>
      <c r="EF23" s="15"/>
      <c r="EG23" s="15"/>
      <c r="EH23" s="15"/>
      <c r="EI23" s="6"/>
      <c r="EJ23" s="6"/>
      <c r="EM23" s="5">
        <v>13</v>
      </c>
      <c r="EN23" s="12"/>
      <c r="EO23" s="13"/>
      <c r="EP23" s="13"/>
      <c r="EQ23" s="13"/>
      <c r="ER23" s="13"/>
      <c r="ES23" s="14"/>
      <c r="ET23" s="15"/>
      <c r="EU23" s="15"/>
      <c r="EV23" s="15"/>
      <c r="EW23" s="15"/>
      <c r="EX23" s="15"/>
      <c r="EY23" s="15"/>
      <c r="EZ23" s="15"/>
      <c r="FA23" s="15"/>
      <c r="FB23" s="15"/>
      <c r="FC23" s="15"/>
      <c r="FD23" s="15"/>
      <c r="FE23" s="15"/>
      <c r="FF23" s="15"/>
      <c r="FG23" s="6"/>
      <c r="FH23" s="6"/>
      <c r="FJ23" s="5">
        <v>5</v>
      </c>
      <c r="FK23" s="12"/>
      <c r="FL23" s="13"/>
      <c r="FM23" s="13"/>
      <c r="FN23" s="13"/>
      <c r="FO23" s="13"/>
      <c r="FP23" s="14"/>
      <c r="FQ23" s="15"/>
      <c r="FR23" s="15"/>
      <c r="FS23" s="15"/>
      <c r="FT23" s="15"/>
      <c r="FU23" s="15"/>
      <c r="FV23" s="15"/>
      <c r="FW23" s="15"/>
      <c r="FX23" s="15"/>
      <c r="FY23" s="15"/>
      <c r="FZ23" s="15"/>
      <c r="GA23" s="15"/>
      <c r="GB23" s="15"/>
      <c r="GC23" s="15"/>
      <c r="GD23" s="6"/>
      <c r="GE23" s="6"/>
      <c r="GH23" s="5">
        <v>13</v>
      </c>
      <c r="GI23" s="12"/>
      <c r="GJ23" s="13"/>
      <c r="GK23" s="13"/>
      <c r="GL23" s="13"/>
      <c r="GM23" s="13"/>
      <c r="GN23" s="14"/>
      <c r="GO23" s="15"/>
      <c r="GP23" s="15"/>
      <c r="GQ23" s="15"/>
      <c r="GR23" s="15"/>
      <c r="GS23" s="15"/>
      <c r="GT23" s="15"/>
      <c r="GU23" s="15"/>
      <c r="GV23" s="15"/>
      <c r="GW23" s="15"/>
      <c r="GX23" s="15"/>
      <c r="GY23" s="15"/>
      <c r="GZ23" s="15"/>
      <c r="HA23" s="15"/>
      <c r="HB23" s="6"/>
      <c r="HC23" s="6"/>
      <c r="HE23" s="5">
        <v>5</v>
      </c>
      <c r="HF23" s="12"/>
      <c r="HG23" s="13"/>
      <c r="HH23" s="13"/>
      <c r="HI23" s="13"/>
      <c r="HJ23" s="13"/>
      <c r="HK23" s="14"/>
      <c r="HL23" s="15"/>
      <c r="HM23" s="15"/>
      <c r="HN23" s="15"/>
      <c r="HO23" s="15"/>
      <c r="HP23" s="15"/>
      <c r="HQ23" s="15"/>
      <c r="HR23" s="15"/>
      <c r="HS23" s="15"/>
      <c r="HT23" s="15"/>
      <c r="HU23" s="15"/>
      <c r="HV23" s="15"/>
      <c r="HW23" s="15"/>
      <c r="HX23" s="15"/>
      <c r="HY23" s="6"/>
      <c r="HZ23" s="6"/>
    </row>
    <row r="24" customHeight="1" spans="2:234">
      <c r="B24" s="8">
        <v>14</v>
      </c>
      <c r="C24" s="17"/>
      <c r="D24" s="18"/>
      <c r="E24" s="18"/>
      <c r="F24" s="18"/>
      <c r="G24" s="18"/>
      <c r="H24" s="19"/>
      <c r="I24" s="20"/>
      <c r="J24" s="20"/>
      <c r="K24" s="20"/>
      <c r="L24" s="20"/>
      <c r="M24" s="20"/>
      <c r="N24" s="20"/>
      <c r="O24" s="20"/>
      <c r="P24" s="20"/>
      <c r="Q24" s="20"/>
      <c r="R24" s="20"/>
      <c r="S24" s="20"/>
      <c r="T24" s="20"/>
      <c r="U24" s="20"/>
      <c r="V24" s="9"/>
      <c r="W24" s="9"/>
      <c r="Y24" s="8">
        <v>6</v>
      </c>
      <c r="Z24" s="17"/>
      <c r="AA24" s="18"/>
      <c r="AB24" s="18"/>
      <c r="AC24" s="18"/>
      <c r="AD24" s="18"/>
      <c r="AE24" s="19"/>
      <c r="AF24" s="20"/>
      <c r="AG24" s="20"/>
      <c r="AH24" s="20"/>
      <c r="AI24" s="20"/>
      <c r="AJ24" s="20"/>
      <c r="AK24" s="20"/>
      <c r="AL24" s="20"/>
      <c r="AM24" s="20"/>
      <c r="AN24" s="20"/>
      <c r="AO24" s="20"/>
      <c r="AP24" s="20"/>
      <c r="AQ24" s="20"/>
      <c r="AR24" s="20"/>
      <c r="AS24" s="9"/>
      <c r="AT24" s="9"/>
      <c r="AW24" s="8">
        <v>14</v>
      </c>
      <c r="AX24" s="17"/>
      <c r="AY24" s="18"/>
      <c r="AZ24" s="18"/>
      <c r="BA24" s="18"/>
      <c r="BB24" s="18"/>
      <c r="BC24" s="19"/>
      <c r="BD24" s="20"/>
      <c r="BE24" s="20"/>
      <c r="BF24" s="20"/>
      <c r="BG24" s="20"/>
      <c r="BH24" s="20"/>
      <c r="BI24" s="20"/>
      <c r="BJ24" s="20"/>
      <c r="BK24" s="20"/>
      <c r="BL24" s="20"/>
      <c r="BM24" s="20"/>
      <c r="BN24" s="20"/>
      <c r="BO24" s="20"/>
      <c r="BP24" s="20"/>
      <c r="BQ24" s="9"/>
      <c r="BR24" s="9"/>
      <c r="BT24" s="8">
        <v>6</v>
      </c>
      <c r="BU24" s="17"/>
      <c r="BV24" s="18"/>
      <c r="BW24" s="18"/>
      <c r="BX24" s="18"/>
      <c r="BY24" s="18"/>
      <c r="BZ24" s="19"/>
      <c r="CA24" s="20"/>
      <c r="CB24" s="20"/>
      <c r="CC24" s="20"/>
      <c r="CD24" s="20"/>
      <c r="CE24" s="20"/>
      <c r="CF24" s="20"/>
      <c r="CG24" s="20"/>
      <c r="CH24" s="20"/>
      <c r="CI24" s="20"/>
      <c r="CJ24" s="20"/>
      <c r="CK24" s="20"/>
      <c r="CL24" s="20"/>
      <c r="CM24" s="20"/>
      <c r="CN24" s="9"/>
      <c r="CO24" s="9"/>
      <c r="CR24" s="8">
        <v>14</v>
      </c>
      <c r="CS24" s="17"/>
      <c r="CT24" s="18"/>
      <c r="CU24" s="18"/>
      <c r="CV24" s="18"/>
      <c r="CW24" s="18"/>
      <c r="CX24" s="19"/>
      <c r="CY24" s="20"/>
      <c r="CZ24" s="20"/>
      <c r="DA24" s="20"/>
      <c r="DB24" s="20"/>
      <c r="DC24" s="20"/>
      <c r="DD24" s="20"/>
      <c r="DE24" s="20"/>
      <c r="DF24" s="20"/>
      <c r="DG24" s="20"/>
      <c r="DH24" s="20"/>
      <c r="DI24" s="20"/>
      <c r="DJ24" s="20"/>
      <c r="DK24" s="20"/>
      <c r="DL24" s="9"/>
      <c r="DM24" s="9"/>
      <c r="DO24" s="8">
        <v>6</v>
      </c>
      <c r="DP24" s="17"/>
      <c r="DQ24" s="18"/>
      <c r="DR24" s="18"/>
      <c r="DS24" s="18"/>
      <c r="DT24" s="18"/>
      <c r="DU24" s="19"/>
      <c r="DV24" s="20"/>
      <c r="DW24" s="20"/>
      <c r="DX24" s="20"/>
      <c r="DY24" s="20"/>
      <c r="DZ24" s="20"/>
      <c r="EA24" s="20"/>
      <c r="EB24" s="20"/>
      <c r="EC24" s="20"/>
      <c r="ED24" s="20"/>
      <c r="EE24" s="20"/>
      <c r="EF24" s="20"/>
      <c r="EG24" s="20"/>
      <c r="EH24" s="20"/>
      <c r="EI24" s="9"/>
      <c r="EJ24" s="9"/>
      <c r="EM24" s="8">
        <v>14</v>
      </c>
      <c r="EN24" s="17"/>
      <c r="EO24" s="18"/>
      <c r="EP24" s="18"/>
      <c r="EQ24" s="18"/>
      <c r="ER24" s="18"/>
      <c r="ES24" s="19"/>
      <c r="ET24" s="20"/>
      <c r="EU24" s="20"/>
      <c r="EV24" s="20"/>
      <c r="EW24" s="20"/>
      <c r="EX24" s="20"/>
      <c r="EY24" s="20"/>
      <c r="EZ24" s="20"/>
      <c r="FA24" s="20"/>
      <c r="FB24" s="20"/>
      <c r="FC24" s="20"/>
      <c r="FD24" s="20"/>
      <c r="FE24" s="20"/>
      <c r="FF24" s="20"/>
      <c r="FG24" s="9"/>
      <c r="FH24" s="9"/>
      <c r="FJ24" s="8">
        <v>6</v>
      </c>
      <c r="FK24" s="17"/>
      <c r="FL24" s="18"/>
      <c r="FM24" s="18"/>
      <c r="FN24" s="18"/>
      <c r="FO24" s="18"/>
      <c r="FP24" s="19"/>
      <c r="FQ24" s="20"/>
      <c r="FR24" s="20"/>
      <c r="FS24" s="20"/>
      <c r="FT24" s="20"/>
      <c r="FU24" s="20"/>
      <c r="FV24" s="20"/>
      <c r="FW24" s="20"/>
      <c r="FX24" s="20"/>
      <c r="FY24" s="20"/>
      <c r="FZ24" s="20"/>
      <c r="GA24" s="20"/>
      <c r="GB24" s="20"/>
      <c r="GC24" s="20"/>
      <c r="GD24" s="9"/>
      <c r="GE24" s="9"/>
      <c r="GH24" s="8">
        <v>14</v>
      </c>
      <c r="GI24" s="17"/>
      <c r="GJ24" s="18"/>
      <c r="GK24" s="18"/>
      <c r="GL24" s="18"/>
      <c r="GM24" s="18"/>
      <c r="GN24" s="19"/>
      <c r="GO24" s="20"/>
      <c r="GP24" s="20"/>
      <c r="GQ24" s="20"/>
      <c r="GR24" s="20"/>
      <c r="GS24" s="20"/>
      <c r="GT24" s="20"/>
      <c r="GU24" s="20"/>
      <c r="GV24" s="20"/>
      <c r="GW24" s="20"/>
      <c r="GX24" s="20"/>
      <c r="GY24" s="20"/>
      <c r="GZ24" s="20"/>
      <c r="HA24" s="20"/>
      <c r="HB24" s="9"/>
      <c r="HC24" s="9"/>
      <c r="HE24" s="8">
        <v>6</v>
      </c>
      <c r="HF24" s="17"/>
      <c r="HG24" s="18"/>
      <c r="HH24" s="18"/>
      <c r="HI24" s="18"/>
      <c r="HJ24" s="18"/>
      <c r="HK24" s="19"/>
      <c r="HL24" s="20"/>
      <c r="HM24" s="20"/>
      <c r="HN24" s="20"/>
      <c r="HO24" s="20"/>
      <c r="HP24" s="20"/>
      <c r="HQ24" s="20"/>
      <c r="HR24" s="20"/>
      <c r="HS24" s="20"/>
      <c r="HT24" s="20"/>
      <c r="HU24" s="20"/>
      <c r="HV24" s="20"/>
      <c r="HW24" s="20"/>
      <c r="HX24" s="20"/>
      <c r="HY24" s="9"/>
      <c r="HZ24" s="9"/>
    </row>
    <row r="25" customHeight="1" spans="2:234">
      <c r="B25" s="5">
        <v>15</v>
      </c>
      <c r="C25" s="12"/>
      <c r="D25" s="13"/>
      <c r="E25" s="13"/>
      <c r="F25" s="13"/>
      <c r="G25" s="13"/>
      <c r="H25" s="14"/>
      <c r="I25" s="15"/>
      <c r="J25" s="15"/>
      <c r="K25" s="15"/>
      <c r="L25" s="15"/>
      <c r="M25" s="15"/>
      <c r="N25" s="15"/>
      <c r="O25" s="15"/>
      <c r="P25" s="15"/>
      <c r="Q25" s="15"/>
      <c r="R25" s="15"/>
      <c r="S25" s="15"/>
      <c r="T25" s="15"/>
      <c r="U25" s="15"/>
      <c r="V25" s="6"/>
      <c r="W25" s="6"/>
      <c r="Y25" s="5">
        <v>7</v>
      </c>
      <c r="Z25" s="12"/>
      <c r="AA25" s="13"/>
      <c r="AB25" s="13"/>
      <c r="AC25" s="13"/>
      <c r="AD25" s="13"/>
      <c r="AE25" s="14"/>
      <c r="AF25" s="15"/>
      <c r="AG25" s="15"/>
      <c r="AH25" s="15"/>
      <c r="AI25" s="15"/>
      <c r="AJ25" s="15"/>
      <c r="AK25" s="15"/>
      <c r="AL25" s="15"/>
      <c r="AM25" s="15"/>
      <c r="AN25" s="15"/>
      <c r="AO25" s="15"/>
      <c r="AP25" s="15"/>
      <c r="AQ25" s="15"/>
      <c r="AR25" s="15"/>
      <c r="AS25" s="6"/>
      <c r="AT25" s="6"/>
      <c r="AW25" s="5">
        <v>15</v>
      </c>
      <c r="AX25" s="12"/>
      <c r="AY25" s="13"/>
      <c r="AZ25" s="13"/>
      <c r="BA25" s="13"/>
      <c r="BB25" s="13"/>
      <c r="BC25" s="14"/>
      <c r="BD25" s="15"/>
      <c r="BE25" s="15"/>
      <c r="BF25" s="15"/>
      <c r="BG25" s="15"/>
      <c r="BH25" s="15"/>
      <c r="BI25" s="15"/>
      <c r="BJ25" s="15"/>
      <c r="BK25" s="15"/>
      <c r="BL25" s="15"/>
      <c r="BM25" s="15"/>
      <c r="BN25" s="15"/>
      <c r="BO25" s="15"/>
      <c r="BP25" s="15"/>
      <c r="BQ25" s="6"/>
      <c r="BR25" s="6"/>
      <c r="BT25" s="5">
        <v>7</v>
      </c>
      <c r="BU25" s="12"/>
      <c r="BV25" s="13"/>
      <c r="BW25" s="13"/>
      <c r="BX25" s="13"/>
      <c r="BY25" s="13"/>
      <c r="BZ25" s="14"/>
      <c r="CA25" s="15"/>
      <c r="CB25" s="15"/>
      <c r="CC25" s="15"/>
      <c r="CD25" s="15"/>
      <c r="CE25" s="15"/>
      <c r="CF25" s="15"/>
      <c r="CG25" s="15"/>
      <c r="CH25" s="15"/>
      <c r="CI25" s="15"/>
      <c r="CJ25" s="15"/>
      <c r="CK25" s="15"/>
      <c r="CL25" s="15"/>
      <c r="CM25" s="15"/>
      <c r="CN25" s="6"/>
      <c r="CO25" s="6"/>
      <c r="CR25" s="5">
        <v>15</v>
      </c>
      <c r="CS25" s="12"/>
      <c r="CT25" s="13"/>
      <c r="CU25" s="13"/>
      <c r="CV25" s="13"/>
      <c r="CW25" s="13"/>
      <c r="CX25" s="14"/>
      <c r="CY25" s="15"/>
      <c r="CZ25" s="15"/>
      <c r="DA25" s="15"/>
      <c r="DB25" s="15"/>
      <c r="DC25" s="15"/>
      <c r="DD25" s="15"/>
      <c r="DE25" s="15"/>
      <c r="DF25" s="15"/>
      <c r="DG25" s="15"/>
      <c r="DH25" s="15"/>
      <c r="DI25" s="15"/>
      <c r="DJ25" s="15"/>
      <c r="DK25" s="15"/>
      <c r="DL25" s="6"/>
      <c r="DM25" s="6"/>
      <c r="DO25" s="5">
        <v>7</v>
      </c>
      <c r="DP25" s="12"/>
      <c r="DQ25" s="13"/>
      <c r="DR25" s="13"/>
      <c r="DS25" s="13"/>
      <c r="DT25" s="13"/>
      <c r="DU25" s="14"/>
      <c r="DV25" s="15"/>
      <c r="DW25" s="15"/>
      <c r="DX25" s="15"/>
      <c r="DY25" s="15"/>
      <c r="DZ25" s="15"/>
      <c r="EA25" s="15"/>
      <c r="EB25" s="15"/>
      <c r="EC25" s="15"/>
      <c r="ED25" s="15"/>
      <c r="EE25" s="15"/>
      <c r="EF25" s="15"/>
      <c r="EG25" s="15"/>
      <c r="EH25" s="15"/>
      <c r="EI25" s="6"/>
      <c r="EJ25" s="6"/>
      <c r="EM25" s="5">
        <v>15</v>
      </c>
      <c r="EN25" s="12"/>
      <c r="EO25" s="13"/>
      <c r="EP25" s="13"/>
      <c r="EQ25" s="13"/>
      <c r="ER25" s="13"/>
      <c r="ES25" s="14"/>
      <c r="ET25" s="15"/>
      <c r="EU25" s="15"/>
      <c r="EV25" s="15"/>
      <c r="EW25" s="15"/>
      <c r="EX25" s="15"/>
      <c r="EY25" s="15"/>
      <c r="EZ25" s="15"/>
      <c r="FA25" s="15"/>
      <c r="FB25" s="15"/>
      <c r="FC25" s="15"/>
      <c r="FD25" s="15"/>
      <c r="FE25" s="15"/>
      <c r="FF25" s="15"/>
      <c r="FG25" s="6"/>
      <c r="FH25" s="6"/>
      <c r="FJ25" s="5">
        <v>7</v>
      </c>
      <c r="FK25" s="12"/>
      <c r="FL25" s="13"/>
      <c r="FM25" s="13"/>
      <c r="FN25" s="13"/>
      <c r="FO25" s="13"/>
      <c r="FP25" s="14"/>
      <c r="FQ25" s="15"/>
      <c r="FR25" s="15"/>
      <c r="FS25" s="15"/>
      <c r="FT25" s="15"/>
      <c r="FU25" s="15"/>
      <c r="FV25" s="15"/>
      <c r="FW25" s="15"/>
      <c r="FX25" s="15"/>
      <c r="FY25" s="15"/>
      <c r="FZ25" s="15"/>
      <c r="GA25" s="15"/>
      <c r="GB25" s="15"/>
      <c r="GC25" s="15"/>
      <c r="GD25" s="6"/>
      <c r="GE25" s="6"/>
      <c r="GH25" s="5">
        <v>15</v>
      </c>
      <c r="GI25" s="12"/>
      <c r="GJ25" s="13"/>
      <c r="GK25" s="13"/>
      <c r="GL25" s="13"/>
      <c r="GM25" s="13"/>
      <c r="GN25" s="14"/>
      <c r="GO25" s="15"/>
      <c r="GP25" s="15"/>
      <c r="GQ25" s="15"/>
      <c r="GR25" s="15"/>
      <c r="GS25" s="15"/>
      <c r="GT25" s="15"/>
      <c r="GU25" s="15"/>
      <c r="GV25" s="15"/>
      <c r="GW25" s="15"/>
      <c r="GX25" s="15"/>
      <c r="GY25" s="15"/>
      <c r="GZ25" s="15"/>
      <c r="HA25" s="15"/>
      <c r="HB25" s="6"/>
      <c r="HC25" s="6"/>
      <c r="HE25" s="5">
        <v>7</v>
      </c>
      <c r="HF25" s="12"/>
      <c r="HG25" s="13"/>
      <c r="HH25" s="13"/>
      <c r="HI25" s="13"/>
      <c r="HJ25" s="13"/>
      <c r="HK25" s="14"/>
      <c r="HL25" s="15"/>
      <c r="HM25" s="15"/>
      <c r="HN25" s="15"/>
      <c r="HO25" s="15"/>
      <c r="HP25" s="15"/>
      <c r="HQ25" s="15"/>
      <c r="HR25" s="15"/>
      <c r="HS25" s="15"/>
      <c r="HT25" s="15"/>
      <c r="HU25" s="15"/>
      <c r="HV25" s="15"/>
      <c r="HW25" s="15"/>
      <c r="HX25" s="15"/>
      <c r="HY25" s="6"/>
      <c r="HZ25" s="6"/>
    </row>
    <row r="26" customHeight="1" spans="2:234">
      <c r="B26" s="8">
        <v>16</v>
      </c>
      <c r="C26" s="17"/>
      <c r="D26" s="18"/>
      <c r="E26" s="18"/>
      <c r="F26" s="18"/>
      <c r="G26" s="18"/>
      <c r="H26" s="19"/>
      <c r="I26" s="20"/>
      <c r="J26" s="20"/>
      <c r="K26" s="20"/>
      <c r="L26" s="20"/>
      <c r="M26" s="20"/>
      <c r="N26" s="20"/>
      <c r="O26" s="20"/>
      <c r="P26" s="20"/>
      <c r="Q26" s="20"/>
      <c r="R26" s="20"/>
      <c r="S26" s="20"/>
      <c r="T26" s="20"/>
      <c r="U26" s="20"/>
      <c r="V26" s="9"/>
      <c r="W26" s="9"/>
      <c r="Y26" s="8">
        <v>8</v>
      </c>
      <c r="Z26" s="17"/>
      <c r="AA26" s="18"/>
      <c r="AB26" s="18"/>
      <c r="AC26" s="18"/>
      <c r="AD26" s="18"/>
      <c r="AE26" s="19"/>
      <c r="AF26" s="20"/>
      <c r="AG26" s="20"/>
      <c r="AH26" s="20"/>
      <c r="AI26" s="20"/>
      <c r="AJ26" s="20"/>
      <c r="AK26" s="20"/>
      <c r="AL26" s="20"/>
      <c r="AM26" s="20"/>
      <c r="AN26" s="20"/>
      <c r="AO26" s="20"/>
      <c r="AP26" s="20"/>
      <c r="AQ26" s="20"/>
      <c r="AR26" s="20"/>
      <c r="AS26" s="9"/>
      <c r="AT26" s="9"/>
      <c r="AW26" s="8">
        <v>16</v>
      </c>
      <c r="AX26" s="17"/>
      <c r="AY26" s="18"/>
      <c r="AZ26" s="18"/>
      <c r="BA26" s="18"/>
      <c r="BB26" s="18"/>
      <c r="BC26" s="19"/>
      <c r="BD26" s="20"/>
      <c r="BE26" s="20"/>
      <c r="BF26" s="20"/>
      <c r="BG26" s="20"/>
      <c r="BH26" s="20"/>
      <c r="BI26" s="20"/>
      <c r="BJ26" s="20"/>
      <c r="BK26" s="20"/>
      <c r="BL26" s="20"/>
      <c r="BM26" s="20"/>
      <c r="BN26" s="20"/>
      <c r="BO26" s="20"/>
      <c r="BP26" s="20"/>
      <c r="BQ26" s="9"/>
      <c r="BR26" s="9"/>
      <c r="BT26" s="8">
        <v>8</v>
      </c>
      <c r="BU26" s="17"/>
      <c r="BV26" s="18"/>
      <c r="BW26" s="18"/>
      <c r="BX26" s="18"/>
      <c r="BY26" s="18"/>
      <c r="BZ26" s="19"/>
      <c r="CA26" s="20"/>
      <c r="CB26" s="20"/>
      <c r="CC26" s="20"/>
      <c r="CD26" s="20"/>
      <c r="CE26" s="20"/>
      <c r="CF26" s="20"/>
      <c r="CG26" s="20"/>
      <c r="CH26" s="20"/>
      <c r="CI26" s="20"/>
      <c r="CJ26" s="20"/>
      <c r="CK26" s="20"/>
      <c r="CL26" s="20"/>
      <c r="CM26" s="20"/>
      <c r="CN26" s="9"/>
      <c r="CO26" s="9"/>
      <c r="CR26" s="8">
        <v>16</v>
      </c>
      <c r="CS26" s="17"/>
      <c r="CT26" s="18"/>
      <c r="CU26" s="18"/>
      <c r="CV26" s="18"/>
      <c r="CW26" s="18"/>
      <c r="CX26" s="19"/>
      <c r="CY26" s="20"/>
      <c r="CZ26" s="20"/>
      <c r="DA26" s="20"/>
      <c r="DB26" s="20"/>
      <c r="DC26" s="20"/>
      <c r="DD26" s="20"/>
      <c r="DE26" s="20"/>
      <c r="DF26" s="20"/>
      <c r="DG26" s="20"/>
      <c r="DH26" s="20"/>
      <c r="DI26" s="20"/>
      <c r="DJ26" s="20"/>
      <c r="DK26" s="20"/>
      <c r="DL26" s="9"/>
      <c r="DM26" s="9"/>
      <c r="DO26" s="8">
        <v>8</v>
      </c>
      <c r="DP26" s="17"/>
      <c r="DQ26" s="18"/>
      <c r="DR26" s="18"/>
      <c r="DS26" s="18"/>
      <c r="DT26" s="18"/>
      <c r="DU26" s="19"/>
      <c r="DV26" s="20"/>
      <c r="DW26" s="20"/>
      <c r="DX26" s="20"/>
      <c r="DY26" s="20"/>
      <c r="DZ26" s="20"/>
      <c r="EA26" s="20"/>
      <c r="EB26" s="20"/>
      <c r="EC26" s="20"/>
      <c r="ED26" s="20"/>
      <c r="EE26" s="20"/>
      <c r="EF26" s="20"/>
      <c r="EG26" s="20"/>
      <c r="EH26" s="20"/>
      <c r="EI26" s="9"/>
      <c r="EJ26" s="9"/>
      <c r="EM26" s="8">
        <v>16</v>
      </c>
      <c r="EN26" s="17"/>
      <c r="EO26" s="18"/>
      <c r="EP26" s="18"/>
      <c r="EQ26" s="18"/>
      <c r="ER26" s="18"/>
      <c r="ES26" s="19"/>
      <c r="ET26" s="20"/>
      <c r="EU26" s="20"/>
      <c r="EV26" s="20"/>
      <c r="EW26" s="20"/>
      <c r="EX26" s="20"/>
      <c r="EY26" s="20"/>
      <c r="EZ26" s="20"/>
      <c r="FA26" s="20"/>
      <c r="FB26" s="20"/>
      <c r="FC26" s="20"/>
      <c r="FD26" s="20"/>
      <c r="FE26" s="20"/>
      <c r="FF26" s="20"/>
      <c r="FG26" s="9"/>
      <c r="FH26" s="9"/>
      <c r="FJ26" s="8">
        <v>8</v>
      </c>
      <c r="FK26" s="17"/>
      <c r="FL26" s="18"/>
      <c r="FM26" s="18"/>
      <c r="FN26" s="18"/>
      <c r="FO26" s="18"/>
      <c r="FP26" s="19"/>
      <c r="FQ26" s="20"/>
      <c r="FR26" s="20"/>
      <c r="FS26" s="20"/>
      <c r="FT26" s="20"/>
      <c r="FU26" s="20"/>
      <c r="FV26" s="20"/>
      <c r="FW26" s="20"/>
      <c r="FX26" s="20"/>
      <c r="FY26" s="20"/>
      <c r="FZ26" s="20"/>
      <c r="GA26" s="20"/>
      <c r="GB26" s="20"/>
      <c r="GC26" s="20"/>
      <c r="GD26" s="9"/>
      <c r="GE26" s="9"/>
      <c r="GH26" s="8">
        <v>16</v>
      </c>
      <c r="GI26" s="17"/>
      <c r="GJ26" s="18"/>
      <c r="GK26" s="18"/>
      <c r="GL26" s="18"/>
      <c r="GM26" s="18"/>
      <c r="GN26" s="19"/>
      <c r="GO26" s="20"/>
      <c r="GP26" s="20"/>
      <c r="GQ26" s="20"/>
      <c r="GR26" s="20"/>
      <c r="GS26" s="20"/>
      <c r="GT26" s="20"/>
      <c r="GU26" s="20"/>
      <c r="GV26" s="20"/>
      <c r="GW26" s="20"/>
      <c r="GX26" s="20"/>
      <c r="GY26" s="20"/>
      <c r="GZ26" s="20"/>
      <c r="HA26" s="20"/>
      <c r="HB26" s="9"/>
      <c r="HC26" s="9"/>
      <c r="HE26" s="8">
        <v>8</v>
      </c>
      <c r="HF26" s="17"/>
      <c r="HG26" s="18"/>
      <c r="HH26" s="18"/>
      <c r="HI26" s="18"/>
      <c r="HJ26" s="18"/>
      <c r="HK26" s="19"/>
      <c r="HL26" s="20"/>
      <c r="HM26" s="20"/>
      <c r="HN26" s="20"/>
      <c r="HO26" s="20"/>
      <c r="HP26" s="20"/>
      <c r="HQ26" s="20"/>
      <c r="HR26" s="20"/>
      <c r="HS26" s="20"/>
      <c r="HT26" s="20"/>
      <c r="HU26" s="20"/>
      <c r="HV26" s="20"/>
      <c r="HW26" s="20"/>
      <c r="HX26" s="20"/>
      <c r="HY26" s="9"/>
      <c r="HZ26" s="9"/>
    </row>
    <row r="27" customHeight="1" spans="2:234">
      <c r="B27" s="5">
        <v>17</v>
      </c>
      <c r="C27" s="12"/>
      <c r="D27" s="13"/>
      <c r="E27" s="13"/>
      <c r="F27" s="13"/>
      <c r="G27" s="13"/>
      <c r="H27" s="14"/>
      <c r="I27" s="15"/>
      <c r="J27" s="15"/>
      <c r="K27" s="15"/>
      <c r="L27" s="15"/>
      <c r="M27" s="15"/>
      <c r="N27" s="15"/>
      <c r="O27" s="15"/>
      <c r="P27" s="15"/>
      <c r="Q27" s="15"/>
      <c r="R27" s="15"/>
      <c r="S27" s="15"/>
      <c r="T27" s="15"/>
      <c r="U27" s="15"/>
      <c r="V27" s="6"/>
      <c r="W27" s="6"/>
      <c r="Y27" s="5">
        <v>9</v>
      </c>
      <c r="Z27" s="12"/>
      <c r="AA27" s="13"/>
      <c r="AB27" s="13"/>
      <c r="AC27" s="13"/>
      <c r="AD27" s="13"/>
      <c r="AE27" s="14"/>
      <c r="AF27" s="15"/>
      <c r="AG27" s="15"/>
      <c r="AH27" s="15"/>
      <c r="AI27" s="15"/>
      <c r="AJ27" s="15"/>
      <c r="AK27" s="15"/>
      <c r="AL27" s="15"/>
      <c r="AM27" s="15"/>
      <c r="AN27" s="15"/>
      <c r="AO27" s="15"/>
      <c r="AP27" s="15"/>
      <c r="AQ27" s="15"/>
      <c r="AR27" s="15"/>
      <c r="AS27" s="6"/>
      <c r="AT27" s="6"/>
      <c r="AW27" s="5">
        <v>17</v>
      </c>
      <c r="AX27" s="12"/>
      <c r="AY27" s="13"/>
      <c r="AZ27" s="13"/>
      <c r="BA27" s="13"/>
      <c r="BB27" s="13"/>
      <c r="BC27" s="14"/>
      <c r="BD27" s="15"/>
      <c r="BE27" s="15"/>
      <c r="BF27" s="15"/>
      <c r="BG27" s="15"/>
      <c r="BH27" s="15"/>
      <c r="BI27" s="15"/>
      <c r="BJ27" s="15"/>
      <c r="BK27" s="15"/>
      <c r="BL27" s="15"/>
      <c r="BM27" s="15"/>
      <c r="BN27" s="15"/>
      <c r="BO27" s="15"/>
      <c r="BP27" s="15"/>
      <c r="BQ27" s="6"/>
      <c r="BR27" s="6"/>
      <c r="BT27" s="5">
        <v>9</v>
      </c>
      <c r="BU27" s="12"/>
      <c r="BV27" s="13"/>
      <c r="BW27" s="13"/>
      <c r="BX27" s="13"/>
      <c r="BY27" s="13"/>
      <c r="BZ27" s="14"/>
      <c r="CA27" s="15"/>
      <c r="CB27" s="15"/>
      <c r="CC27" s="15"/>
      <c r="CD27" s="15"/>
      <c r="CE27" s="15"/>
      <c r="CF27" s="15"/>
      <c r="CG27" s="15"/>
      <c r="CH27" s="15"/>
      <c r="CI27" s="15"/>
      <c r="CJ27" s="15"/>
      <c r="CK27" s="15"/>
      <c r="CL27" s="15"/>
      <c r="CM27" s="15"/>
      <c r="CN27" s="6"/>
      <c r="CO27" s="6"/>
      <c r="CR27" s="5">
        <v>17</v>
      </c>
      <c r="CS27" s="12"/>
      <c r="CT27" s="13"/>
      <c r="CU27" s="13"/>
      <c r="CV27" s="13"/>
      <c r="CW27" s="13"/>
      <c r="CX27" s="14"/>
      <c r="CY27" s="15"/>
      <c r="CZ27" s="15"/>
      <c r="DA27" s="15"/>
      <c r="DB27" s="15"/>
      <c r="DC27" s="15"/>
      <c r="DD27" s="15"/>
      <c r="DE27" s="15"/>
      <c r="DF27" s="15"/>
      <c r="DG27" s="15"/>
      <c r="DH27" s="15"/>
      <c r="DI27" s="15"/>
      <c r="DJ27" s="15"/>
      <c r="DK27" s="15"/>
      <c r="DL27" s="6"/>
      <c r="DM27" s="6"/>
      <c r="DO27" s="5">
        <v>9</v>
      </c>
      <c r="DP27" s="12"/>
      <c r="DQ27" s="13"/>
      <c r="DR27" s="13"/>
      <c r="DS27" s="13"/>
      <c r="DT27" s="13"/>
      <c r="DU27" s="14"/>
      <c r="DV27" s="15"/>
      <c r="DW27" s="15"/>
      <c r="DX27" s="15"/>
      <c r="DY27" s="15"/>
      <c r="DZ27" s="15"/>
      <c r="EA27" s="15"/>
      <c r="EB27" s="15"/>
      <c r="EC27" s="15"/>
      <c r="ED27" s="15"/>
      <c r="EE27" s="15"/>
      <c r="EF27" s="15"/>
      <c r="EG27" s="15"/>
      <c r="EH27" s="15"/>
      <c r="EI27" s="6"/>
      <c r="EJ27" s="6"/>
      <c r="EM27" s="5">
        <v>17</v>
      </c>
      <c r="EN27" s="12"/>
      <c r="EO27" s="13"/>
      <c r="EP27" s="13"/>
      <c r="EQ27" s="13"/>
      <c r="ER27" s="13"/>
      <c r="ES27" s="14"/>
      <c r="ET27" s="15"/>
      <c r="EU27" s="15"/>
      <c r="EV27" s="15"/>
      <c r="EW27" s="15"/>
      <c r="EX27" s="15"/>
      <c r="EY27" s="15"/>
      <c r="EZ27" s="15"/>
      <c r="FA27" s="15"/>
      <c r="FB27" s="15"/>
      <c r="FC27" s="15"/>
      <c r="FD27" s="15"/>
      <c r="FE27" s="15"/>
      <c r="FF27" s="15"/>
      <c r="FG27" s="6"/>
      <c r="FH27" s="6"/>
      <c r="FJ27" s="5">
        <v>9</v>
      </c>
      <c r="FK27" s="12"/>
      <c r="FL27" s="13"/>
      <c r="FM27" s="13"/>
      <c r="FN27" s="13"/>
      <c r="FO27" s="13"/>
      <c r="FP27" s="14"/>
      <c r="FQ27" s="15"/>
      <c r="FR27" s="15"/>
      <c r="FS27" s="15"/>
      <c r="FT27" s="15"/>
      <c r="FU27" s="15"/>
      <c r="FV27" s="15"/>
      <c r="FW27" s="15"/>
      <c r="FX27" s="15"/>
      <c r="FY27" s="15"/>
      <c r="FZ27" s="15"/>
      <c r="GA27" s="15"/>
      <c r="GB27" s="15"/>
      <c r="GC27" s="15"/>
      <c r="GD27" s="6"/>
      <c r="GE27" s="6"/>
      <c r="GH27" s="5">
        <v>17</v>
      </c>
      <c r="GI27" s="12"/>
      <c r="GJ27" s="13"/>
      <c r="GK27" s="13"/>
      <c r="GL27" s="13"/>
      <c r="GM27" s="13"/>
      <c r="GN27" s="14"/>
      <c r="GO27" s="15"/>
      <c r="GP27" s="15"/>
      <c r="GQ27" s="15"/>
      <c r="GR27" s="15"/>
      <c r="GS27" s="15"/>
      <c r="GT27" s="15"/>
      <c r="GU27" s="15"/>
      <c r="GV27" s="15"/>
      <c r="GW27" s="15"/>
      <c r="GX27" s="15"/>
      <c r="GY27" s="15"/>
      <c r="GZ27" s="15"/>
      <c r="HA27" s="15"/>
      <c r="HB27" s="6"/>
      <c r="HC27" s="6"/>
      <c r="HE27" s="5">
        <v>9</v>
      </c>
      <c r="HF27" s="12"/>
      <c r="HG27" s="13"/>
      <c r="HH27" s="13"/>
      <c r="HI27" s="13"/>
      <c r="HJ27" s="13"/>
      <c r="HK27" s="14"/>
      <c r="HL27" s="15"/>
      <c r="HM27" s="15"/>
      <c r="HN27" s="15"/>
      <c r="HO27" s="15"/>
      <c r="HP27" s="15"/>
      <c r="HQ27" s="15"/>
      <c r="HR27" s="15"/>
      <c r="HS27" s="15"/>
      <c r="HT27" s="15"/>
      <c r="HU27" s="15"/>
      <c r="HV27" s="15"/>
      <c r="HW27" s="15"/>
      <c r="HX27" s="15"/>
      <c r="HY27" s="6"/>
      <c r="HZ27" s="6"/>
    </row>
    <row r="28" customHeight="1" spans="2:234">
      <c r="B28" s="8">
        <v>18</v>
      </c>
      <c r="C28" s="17"/>
      <c r="D28" s="18"/>
      <c r="E28" s="18"/>
      <c r="F28" s="18"/>
      <c r="G28" s="18"/>
      <c r="H28" s="19"/>
      <c r="I28" s="20"/>
      <c r="J28" s="20"/>
      <c r="K28" s="20"/>
      <c r="L28" s="20"/>
      <c r="M28" s="20"/>
      <c r="N28" s="20"/>
      <c r="O28" s="20"/>
      <c r="P28" s="20"/>
      <c r="Q28" s="20"/>
      <c r="R28" s="20"/>
      <c r="S28" s="20"/>
      <c r="T28" s="20"/>
      <c r="U28" s="20"/>
      <c r="V28" s="9"/>
      <c r="W28" s="9"/>
      <c r="Y28" s="8">
        <v>10</v>
      </c>
      <c r="Z28" s="17"/>
      <c r="AA28" s="18"/>
      <c r="AB28" s="18"/>
      <c r="AC28" s="18"/>
      <c r="AD28" s="18"/>
      <c r="AE28" s="19"/>
      <c r="AF28" s="20"/>
      <c r="AG28" s="20"/>
      <c r="AH28" s="20"/>
      <c r="AI28" s="20"/>
      <c r="AJ28" s="20"/>
      <c r="AK28" s="20"/>
      <c r="AL28" s="20"/>
      <c r="AM28" s="20"/>
      <c r="AN28" s="20"/>
      <c r="AO28" s="20"/>
      <c r="AP28" s="20"/>
      <c r="AQ28" s="20"/>
      <c r="AR28" s="20"/>
      <c r="AS28" s="9"/>
      <c r="AT28" s="9"/>
      <c r="AW28" s="8">
        <v>18</v>
      </c>
      <c r="AX28" s="17"/>
      <c r="AY28" s="18"/>
      <c r="AZ28" s="18"/>
      <c r="BA28" s="18"/>
      <c r="BB28" s="18"/>
      <c r="BC28" s="19"/>
      <c r="BD28" s="20"/>
      <c r="BE28" s="20"/>
      <c r="BF28" s="20"/>
      <c r="BG28" s="20"/>
      <c r="BH28" s="20"/>
      <c r="BI28" s="20"/>
      <c r="BJ28" s="20"/>
      <c r="BK28" s="20"/>
      <c r="BL28" s="20"/>
      <c r="BM28" s="20"/>
      <c r="BN28" s="20"/>
      <c r="BO28" s="20"/>
      <c r="BP28" s="20"/>
      <c r="BQ28" s="9"/>
      <c r="BR28" s="9"/>
      <c r="BT28" s="8">
        <v>10</v>
      </c>
      <c r="BU28" s="17"/>
      <c r="BV28" s="18"/>
      <c r="BW28" s="18"/>
      <c r="BX28" s="18"/>
      <c r="BY28" s="18"/>
      <c r="BZ28" s="19"/>
      <c r="CA28" s="20"/>
      <c r="CB28" s="20"/>
      <c r="CC28" s="20"/>
      <c r="CD28" s="20"/>
      <c r="CE28" s="20"/>
      <c r="CF28" s="20"/>
      <c r="CG28" s="20"/>
      <c r="CH28" s="20"/>
      <c r="CI28" s="20"/>
      <c r="CJ28" s="20"/>
      <c r="CK28" s="20"/>
      <c r="CL28" s="20"/>
      <c r="CM28" s="20"/>
      <c r="CN28" s="9"/>
      <c r="CO28" s="9"/>
      <c r="CR28" s="8">
        <v>18</v>
      </c>
      <c r="CS28" s="17"/>
      <c r="CT28" s="18"/>
      <c r="CU28" s="18"/>
      <c r="CV28" s="18"/>
      <c r="CW28" s="18"/>
      <c r="CX28" s="19"/>
      <c r="CY28" s="20"/>
      <c r="CZ28" s="20"/>
      <c r="DA28" s="20"/>
      <c r="DB28" s="20"/>
      <c r="DC28" s="20"/>
      <c r="DD28" s="20"/>
      <c r="DE28" s="20"/>
      <c r="DF28" s="20"/>
      <c r="DG28" s="20"/>
      <c r="DH28" s="20"/>
      <c r="DI28" s="20"/>
      <c r="DJ28" s="20"/>
      <c r="DK28" s="20"/>
      <c r="DL28" s="9"/>
      <c r="DM28" s="9"/>
      <c r="DO28" s="8">
        <v>10</v>
      </c>
      <c r="DP28" s="17"/>
      <c r="DQ28" s="18"/>
      <c r="DR28" s="18"/>
      <c r="DS28" s="18"/>
      <c r="DT28" s="18"/>
      <c r="DU28" s="19"/>
      <c r="DV28" s="20"/>
      <c r="DW28" s="20"/>
      <c r="DX28" s="20"/>
      <c r="DY28" s="20"/>
      <c r="DZ28" s="20"/>
      <c r="EA28" s="20"/>
      <c r="EB28" s="20"/>
      <c r="EC28" s="20"/>
      <c r="ED28" s="20"/>
      <c r="EE28" s="20"/>
      <c r="EF28" s="20"/>
      <c r="EG28" s="20"/>
      <c r="EH28" s="20"/>
      <c r="EI28" s="9"/>
      <c r="EJ28" s="9"/>
      <c r="EM28" s="8">
        <v>18</v>
      </c>
      <c r="EN28" s="17"/>
      <c r="EO28" s="18"/>
      <c r="EP28" s="18"/>
      <c r="EQ28" s="18"/>
      <c r="ER28" s="18"/>
      <c r="ES28" s="19"/>
      <c r="ET28" s="20"/>
      <c r="EU28" s="20"/>
      <c r="EV28" s="20"/>
      <c r="EW28" s="20"/>
      <c r="EX28" s="20"/>
      <c r="EY28" s="20"/>
      <c r="EZ28" s="20"/>
      <c r="FA28" s="20"/>
      <c r="FB28" s="20"/>
      <c r="FC28" s="20"/>
      <c r="FD28" s="20"/>
      <c r="FE28" s="20"/>
      <c r="FF28" s="20"/>
      <c r="FG28" s="9"/>
      <c r="FH28" s="9"/>
      <c r="FJ28" s="8">
        <v>10</v>
      </c>
      <c r="FK28" s="17"/>
      <c r="FL28" s="18"/>
      <c r="FM28" s="18"/>
      <c r="FN28" s="18"/>
      <c r="FO28" s="18"/>
      <c r="FP28" s="19"/>
      <c r="FQ28" s="20"/>
      <c r="FR28" s="20"/>
      <c r="FS28" s="20"/>
      <c r="FT28" s="20"/>
      <c r="FU28" s="20"/>
      <c r="FV28" s="20"/>
      <c r="FW28" s="20"/>
      <c r="FX28" s="20"/>
      <c r="FY28" s="20"/>
      <c r="FZ28" s="20"/>
      <c r="GA28" s="20"/>
      <c r="GB28" s="20"/>
      <c r="GC28" s="20"/>
      <c r="GD28" s="9"/>
      <c r="GE28" s="9"/>
      <c r="GH28" s="8">
        <v>18</v>
      </c>
      <c r="GI28" s="17"/>
      <c r="GJ28" s="18"/>
      <c r="GK28" s="18"/>
      <c r="GL28" s="18"/>
      <c r="GM28" s="18"/>
      <c r="GN28" s="19"/>
      <c r="GO28" s="20"/>
      <c r="GP28" s="20"/>
      <c r="GQ28" s="20"/>
      <c r="GR28" s="20"/>
      <c r="GS28" s="20"/>
      <c r="GT28" s="20"/>
      <c r="GU28" s="20"/>
      <c r="GV28" s="20"/>
      <c r="GW28" s="20"/>
      <c r="GX28" s="20"/>
      <c r="GY28" s="20"/>
      <c r="GZ28" s="20"/>
      <c r="HA28" s="20"/>
      <c r="HB28" s="9"/>
      <c r="HC28" s="9"/>
      <c r="HE28" s="8">
        <v>10</v>
      </c>
      <c r="HF28" s="17"/>
      <c r="HG28" s="18"/>
      <c r="HH28" s="18"/>
      <c r="HI28" s="18"/>
      <c r="HJ28" s="18"/>
      <c r="HK28" s="19"/>
      <c r="HL28" s="20"/>
      <c r="HM28" s="20"/>
      <c r="HN28" s="20"/>
      <c r="HO28" s="20"/>
      <c r="HP28" s="20"/>
      <c r="HQ28" s="20"/>
      <c r="HR28" s="20"/>
      <c r="HS28" s="20"/>
      <c r="HT28" s="20"/>
      <c r="HU28" s="20"/>
      <c r="HV28" s="20"/>
      <c r="HW28" s="20"/>
      <c r="HX28" s="20"/>
      <c r="HY28" s="9"/>
      <c r="HZ28" s="9"/>
    </row>
    <row r="29" customHeight="1" spans="2:234">
      <c r="B29" s="5">
        <v>19</v>
      </c>
      <c r="C29" s="12"/>
      <c r="D29" s="13"/>
      <c r="E29" s="13"/>
      <c r="F29" s="13"/>
      <c r="G29" s="13"/>
      <c r="H29" s="14"/>
      <c r="I29" s="15"/>
      <c r="J29" s="15"/>
      <c r="K29" s="15"/>
      <c r="L29" s="15"/>
      <c r="M29" s="15"/>
      <c r="N29" s="15"/>
      <c r="O29" s="15"/>
      <c r="P29" s="15"/>
      <c r="Q29" s="15"/>
      <c r="R29" s="15"/>
      <c r="S29" s="15"/>
      <c r="T29" s="15"/>
      <c r="U29" s="15"/>
      <c r="V29" s="6"/>
      <c r="W29" s="6"/>
      <c r="Y29" s="5">
        <v>11</v>
      </c>
      <c r="Z29" s="12"/>
      <c r="AA29" s="13"/>
      <c r="AB29" s="13"/>
      <c r="AC29" s="13"/>
      <c r="AD29" s="13"/>
      <c r="AE29" s="14"/>
      <c r="AF29" s="15"/>
      <c r="AG29" s="15"/>
      <c r="AH29" s="15"/>
      <c r="AI29" s="15"/>
      <c r="AJ29" s="15"/>
      <c r="AK29" s="15"/>
      <c r="AL29" s="15"/>
      <c r="AM29" s="15"/>
      <c r="AN29" s="15"/>
      <c r="AO29" s="15"/>
      <c r="AP29" s="15"/>
      <c r="AQ29" s="15"/>
      <c r="AR29" s="15"/>
      <c r="AS29" s="6"/>
      <c r="AT29" s="6"/>
      <c r="AW29" s="5">
        <v>19</v>
      </c>
      <c r="AX29" s="12"/>
      <c r="AY29" s="13"/>
      <c r="AZ29" s="13"/>
      <c r="BA29" s="13"/>
      <c r="BB29" s="13"/>
      <c r="BC29" s="14"/>
      <c r="BD29" s="15"/>
      <c r="BE29" s="15"/>
      <c r="BF29" s="15"/>
      <c r="BG29" s="15"/>
      <c r="BH29" s="15"/>
      <c r="BI29" s="15"/>
      <c r="BJ29" s="15"/>
      <c r="BK29" s="15"/>
      <c r="BL29" s="15"/>
      <c r="BM29" s="15"/>
      <c r="BN29" s="15"/>
      <c r="BO29" s="15"/>
      <c r="BP29" s="15"/>
      <c r="BQ29" s="6"/>
      <c r="BR29" s="6"/>
      <c r="BT29" s="5">
        <v>11</v>
      </c>
      <c r="BU29" s="12"/>
      <c r="BV29" s="13"/>
      <c r="BW29" s="13"/>
      <c r="BX29" s="13"/>
      <c r="BY29" s="13"/>
      <c r="BZ29" s="14"/>
      <c r="CA29" s="15"/>
      <c r="CB29" s="15"/>
      <c r="CC29" s="15"/>
      <c r="CD29" s="15"/>
      <c r="CE29" s="15"/>
      <c r="CF29" s="15"/>
      <c r="CG29" s="15"/>
      <c r="CH29" s="15"/>
      <c r="CI29" s="15"/>
      <c r="CJ29" s="15"/>
      <c r="CK29" s="15"/>
      <c r="CL29" s="15"/>
      <c r="CM29" s="15"/>
      <c r="CN29" s="6"/>
      <c r="CO29" s="6"/>
      <c r="CR29" s="5">
        <v>19</v>
      </c>
      <c r="CS29" s="12"/>
      <c r="CT29" s="13"/>
      <c r="CU29" s="13"/>
      <c r="CV29" s="13"/>
      <c r="CW29" s="13"/>
      <c r="CX29" s="14"/>
      <c r="CY29" s="15"/>
      <c r="CZ29" s="15"/>
      <c r="DA29" s="15"/>
      <c r="DB29" s="15"/>
      <c r="DC29" s="15"/>
      <c r="DD29" s="15"/>
      <c r="DE29" s="15"/>
      <c r="DF29" s="15"/>
      <c r="DG29" s="15"/>
      <c r="DH29" s="15"/>
      <c r="DI29" s="15"/>
      <c r="DJ29" s="15"/>
      <c r="DK29" s="15"/>
      <c r="DL29" s="6"/>
      <c r="DM29" s="6"/>
      <c r="DO29" s="5">
        <v>11</v>
      </c>
      <c r="DP29" s="12"/>
      <c r="DQ29" s="13"/>
      <c r="DR29" s="13"/>
      <c r="DS29" s="13"/>
      <c r="DT29" s="13"/>
      <c r="DU29" s="14"/>
      <c r="DV29" s="15"/>
      <c r="DW29" s="15"/>
      <c r="DX29" s="15"/>
      <c r="DY29" s="15"/>
      <c r="DZ29" s="15"/>
      <c r="EA29" s="15"/>
      <c r="EB29" s="15"/>
      <c r="EC29" s="15"/>
      <c r="ED29" s="15"/>
      <c r="EE29" s="15"/>
      <c r="EF29" s="15"/>
      <c r="EG29" s="15"/>
      <c r="EH29" s="15"/>
      <c r="EI29" s="6"/>
      <c r="EJ29" s="6"/>
      <c r="EM29" s="5">
        <v>19</v>
      </c>
      <c r="EN29" s="12"/>
      <c r="EO29" s="13"/>
      <c r="EP29" s="13"/>
      <c r="EQ29" s="13"/>
      <c r="ER29" s="13"/>
      <c r="ES29" s="14"/>
      <c r="ET29" s="15"/>
      <c r="EU29" s="15"/>
      <c r="EV29" s="15"/>
      <c r="EW29" s="15"/>
      <c r="EX29" s="15"/>
      <c r="EY29" s="15"/>
      <c r="EZ29" s="15"/>
      <c r="FA29" s="15"/>
      <c r="FB29" s="15"/>
      <c r="FC29" s="15"/>
      <c r="FD29" s="15"/>
      <c r="FE29" s="15"/>
      <c r="FF29" s="15"/>
      <c r="FG29" s="6"/>
      <c r="FH29" s="6"/>
      <c r="FJ29" s="5">
        <v>11</v>
      </c>
      <c r="FK29" s="12"/>
      <c r="FL29" s="13"/>
      <c r="FM29" s="13"/>
      <c r="FN29" s="13"/>
      <c r="FO29" s="13"/>
      <c r="FP29" s="14"/>
      <c r="FQ29" s="15"/>
      <c r="FR29" s="15"/>
      <c r="FS29" s="15"/>
      <c r="FT29" s="15"/>
      <c r="FU29" s="15"/>
      <c r="FV29" s="15"/>
      <c r="FW29" s="15"/>
      <c r="FX29" s="15"/>
      <c r="FY29" s="15"/>
      <c r="FZ29" s="15"/>
      <c r="GA29" s="15"/>
      <c r="GB29" s="15"/>
      <c r="GC29" s="15"/>
      <c r="GD29" s="6"/>
      <c r="GE29" s="6"/>
      <c r="GH29" s="5">
        <v>19</v>
      </c>
      <c r="GI29" s="12"/>
      <c r="GJ29" s="13"/>
      <c r="GK29" s="13"/>
      <c r="GL29" s="13"/>
      <c r="GM29" s="13"/>
      <c r="GN29" s="14"/>
      <c r="GO29" s="15"/>
      <c r="GP29" s="15"/>
      <c r="GQ29" s="15"/>
      <c r="GR29" s="15"/>
      <c r="GS29" s="15"/>
      <c r="GT29" s="15"/>
      <c r="GU29" s="15"/>
      <c r="GV29" s="15"/>
      <c r="GW29" s="15"/>
      <c r="GX29" s="15"/>
      <c r="GY29" s="15"/>
      <c r="GZ29" s="15"/>
      <c r="HA29" s="15"/>
      <c r="HB29" s="6"/>
      <c r="HC29" s="6"/>
      <c r="HE29" s="5">
        <v>11</v>
      </c>
      <c r="HF29" s="12"/>
      <c r="HG29" s="13"/>
      <c r="HH29" s="13"/>
      <c r="HI29" s="13"/>
      <c r="HJ29" s="13"/>
      <c r="HK29" s="14"/>
      <c r="HL29" s="15"/>
      <c r="HM29" s="15"/>
      <c r="HN29" s="15"/>
      <c r="HO29" s="15"/>
      <c r="HP29" s="15"/>
      <c r="HQ29" s="15"/>
      <c r="HR29" s="15"/>
      <c r="HS29" s="15"/>
      <c r="HT29" s="15"/>
      <c r="HU29" s="15"/>
      <c r="HV29" s="15"/>
      <c r="HW29" s="15"/>
      <c r="HX29" s="15"/>
      <c r="HY29" s="6"/>
      <c r="HZ29" s="6"/>
    </row>
    <row r="30" customHeight="1" spans="2:234">
      <c r="B30" s="8">
        <v>20</v>
      </c>
      <c r="C30" s="17"/>
      <c r="D30" s="18"/>
      <c r="E30" s="18"/>
      <c r="F30" s="18"/>
      <c r="G30" s="18"/>
      <c r="H30" s="19"/>
      <c r="I30" s="20"/>
      <c r="J30" s="20"/>
      <c r="K30" s="20"/>
      <c r="L30" s="20"/>
      <c r="M30" s="20"/>
      <c r="N30" s="20"/>
      <c r="O30" s="20"/>
      <c r="P30" s="20"/>
      <c r="Q30" s="20"/>
      <c r="R30" s="20"/>
      <c r="S30" s="20"/>
      <c r="T30" s="20"/>
      <c r="U30" s="20"/>
      <c r="V30" s="9"/>
      <c r="W30" s="9"/>
      <c r="Y30" s="8">
        <v>12</v>
      </c>
      <c r="Z30" s="17"/>
      <c r="AA30" s="18"/>
      <c r="AB30" s="18"/>
      <c r="AC30" s="18"/>
      <c r="AD30" s="18"/>
      <c r="AE30" s="19"/>
      <c r="AF30" s="20"/>
      <c r="AG30" s="20"/>
      <c r="AH30" s="20"/>
      <c r="AI30" s="20"/>
      <c r="AJ30" s="20"/>
      <c r="AK30" s="20"/>
      <c r="AL30" s="20"/>
      <c r="AM30" s="20"/>
      <c r="AN30" s="20"/>
      <c r="AO30" s="20"/>
      <c r="AP30" s="20"/>
      <c r="AQ30" s="20"/>
      <c r="AR30" s="20"/>
      <c r="AS30" s="9"/>
      <c r="AT30" s="9"/>
      <c r="AW30" s="8">
        <v>20</v>
      </c>
      <c r="AX30" s="17"/>
      <c r="AY30" s="18"/>
      <c r="AZ30" s="18"/>
      <c r="BA30" s="18"/>
      <c r="BB30" s="18"/>
      <c r="BC30" s="19"/>
      <c r="BD30" s="20"/>
      <c r="BE30" s="20"/>
      <c r="BF30" s="20"/>
      <c r="BG30" s="20"/>
      <c r="BH30" s="20"/>
      <c r="BI30" s="20"/>
      <c r="BJ30" s="20"/>
      <c r="BK30" s="20"/>
      <c r="BL30" s="20"/>
      <c r="BM30" s="20"/>
      <c r="BN30" s="20"/>
      <c r="BO30" s="20"/>
      <c r="BP30" s="20"/>
      <c r="BQ30" s="9"/>
      <c r="BR30" s="9"/>
      <c r="BT30" s="8">
        <v>12</v>
      </c>
      <c r="BU30" s="17"/>
      <c r="BV30" s="18"/>
      <c r="BW30" s="18"/>
      <c r="BX30" s="18"/>
      <c r="BY30" s="18"/>
      <c r="BZ30" s="19"/>
      <c r="CA30" s="20"/>
      <c r="CB30" s="20"/>
      <c r="CC30" s="20"/>
      <c r="CD30" s="20"/>
      <c r="CE30" s="20"/>
      <c r="CF30" s="20"/>
      <c r="CG30" s="20"/>
      <c r="CH30" s="20"/>
      <c r="CI30" s="20"/>
      <c r="CJ30" s="20"/>
      <c r="CK30" s="20"/>
      <c r="CL30" s="20"/>
      <c r="CM30" s="20"/>
      <c r="CN30" s="9"/>
      <c r="CO30" s="9"/>
      <c r="CR30" s="8">
        <v>20</v>
      </c>
      <c r="CS30" s="17"/>
      <c r="CT30" s="18"/>
      <c r="CU30" s="18"/>
      <c r="CV30" s="18"/>
      <c r="CW30" s="18"/>
      <c r="CX30" s="19"/>
      <c r="CY30" s="20"/>
      <c r="CZ30" s="20"/>
      <c r="DA30" s="20"/>
      <c r="DB30" s="20"/>
      <c r="DC30" s="20"/>
      <c r="DD30" s="20"/>
      <c r="DE30" s="20"/>
      <c r="DF30" s="20"/>
      <c r="DG30" s="20"/>
      <c r="DH30" s="20"/>
      <c r="DI30" s="20"/>
      <c r="DJ30" s="20"/>
      <c r="DK30" s="20"/>
      <c r="DL30" s="9"/>
      <c r="DM30" s="9"/>
      <c r="DO30" s="8">
        <v>12</v>
      </c>
      <c r="DP30" s="17"/>
      <c r="DQ30" s="18"/>
      <c r="DR30" s="18"/>
      <c r="DS30" s="18"/>
      <c r="DT30" s="18"/>
      <c r="DU30" s="19"/>
      <c r="DV30" s="20"/>
      <c r="DW30" s="20"/>
      <c r="DX30" s="20"/>
      <c r="DY30" s="20"/>
      <c r="DZ30" s="20"/>
      <c r="EA30" s="20"/>
      <c r="EB30" s="20"/>
      <c r="EC30" s="20"/>
      <c r="ED30" s="20"/>
      <c r="EE30" s="20"/>
      <c r="EF30" s="20"/>
      <c r="EG30" s="20"/>
      <c r="EH30" s="20"/>
      <c r="EI30" s="9"/>
      <c r="EJ30" s="9"/>
      <c r="EM30" s="8">
        <v>20</v>
      </c>
      <c r="EN30" s="17"/>
      <c r="EO30" s="18"/>
      <c r="EP30" s="18"/>
      <c r="EQ30" s="18"/>
      <c r="ER30" s="18"/>
      <c r="ES30" s="19"/>
      <c r="ET30" s="20"/>
      <c r="EU30" s="20"/>
      <c r="EV30" s="20"/>
      <c r="EW30" s="20"/>
      <c r="EX30" s="20"/>
      <c r="EY30" s="20"/>
      <c r="EZ30" s="20"/>
      <c r="FA30" s="20"/>
      <c r="FB30" s="20"/>
      <c r="FC30" s="20"/>
      <c r="FD30" s="20"/>
      <c r="FE30" s="20"/>
      <c r="FF30" s="20"/>
      <c r="FG30" s="9"/>
      <c r="FH30" s="9"/>
      <c r="FJ30" s="8">
        <v>12</v>
      </c>
      <c r="FK30" s="17"/>
      <c r="FL30" s="18"/>
      <c r="FM30" s="18"/>
      <c r="FN30" s="18"/>
      <c r="FO30" s="18"/>
      <c r="FP30" s="19"/>
      <c r="FQ30" s="20"/>
      <c r="FR30" s="20"/>
      <c r="FS30" s="20"/>
      <c r="FT30" s="20"/>
      <c r="FU30" s="20"/>
      <c r="FV30" s="20"/>
      <c r="FW30" s="20"/>
      <c r="FX30" s="20"/>
      <c r="FY30" s="20"/>
      <c r="FZ30" s="20"/>
      <c r="GA30" s="20"/>
      <c r="GB30" s="20"/>
      <c r="GC30" s="20"/>
      <c r="GD30" s="9"/>
      <c r="GE30" s="9"/>
      <c r="GH30" s="8">
        <v>20</v>
      </c>
      <c r="GI30" s="17"/>
      <c r="GJ30" s="18"/>
      <c r="GK30" s="18"/>
      <c r="GL30" s="18"/>
      <c r="GM30" s="18"/>
      <c r="GN30" s="19"/>
      <c r="GO30" s="20"/>
      <c r="GP30" s="20"/>
      <c r="GQ30" s="20"/>
      <c r="GR30" s="20"/>
      <c r="GS30" s="20"/>
      <c r="GT30" s="20"/>
      <c r="GU30" s="20"/>
      <c r="GV30" s="20"/>
      <c r="GW30" s="20"/>
      <c r="GX30" s="20"/>
      <c r="GY30" s="20"/>
      <c r="GZ30" s="20"/>
      <c r="HA30" s="20"/>
      <c r="HB30" s="9"/>
      <c r="HC30" s="9"/>
      <c r="HE30" s="8">
        <v>12</v>
      </c>
      <c r="HF30" s="17"/>
      <c r="HG30" s="18"/>
      <c r="HH30" s="18"/>
      <c r="HI30" s="18"/>
      <c r="HJ30" s="18"/>
      <c r="HK30" s="19"/>
      <c r="HL30" s="20"/>
      <c r="HM30" s="20"/>
      <c r="HN30" s="20"/>
      <c r="HO30" s="20"/>
      <c r="HP30" s="20"/>
      <c r="HQ30" s="20"/>
      <c r="HR30" s="20"/>
      <c r="HS30" s="20"/>
      <c r="HT30" s="20"/>
      <c r="HU30" s="20"/>
      <c r="HV30" s="20"/>
      <c r="HW30" s="20"/>
      <c r="HX30" s="20"/>
      <c r="HY30" s="9"/>
      <c r="HZ30" s="9"/>
    </row>
    <row r="31" customHeight="1" spans="2:234">
      <c r="B31" s="5">
        <v>21</v>
      </c>
      <c r="C31" s="12"/>
      <c r="D31" s="13"/>
      <c r="E31" s="13"/>
      <c r="F31" s="13"/>
      <c r="G31" s="13"/>
      <c r="H31" s="14"/>
      <c r="I31" s="15"/>
      <c r="J31" s="15"/>
      <c r="K31" s="15"/>
      <c r="L31" s="15"/>
      <c r="M31" s="15"/>
      <c r="N31" s="15"/>
      <c r="O31" s="15"/>
      <c r="P31" s="15"/>
      <c r="Q31" s="15"/>
      <c r="R31" s="15"/>
      <c r="S31" s="15"/>
      <c r="T31" s="15"/>
      <c r="U31" s="15"/>
      <c r="V31" s="6"/>
      <c r="W31" s="6"/>
      <c r="Y31" s="5">
        <v>13</v>
      </c>
      <c r="Z31" s="12"/>
      <c r="AA31" s="13"/>
      <c r="AB31" s="13"/>
      <c r="AC31" s="13"/>
      <c r="AD31" s="13"/>
      <c r="AE31" s="14"/>
      <c r="AF31" s="15"/>
      <c r="AG31" s="15"/>
      <c r="AH31" s="15"/>
      <c r="AI31" s="15"/>
      <c r="AJ31" s="15"/>
      <c r="AK31" s="15"/>
      <c r="AL31" s="15"/>
      <c r="AM31" s="15"/>
      <c r="AN31" s="15"/>
      <c r="AO31" s="15"/>
      <c r="AP31" s="15"/>
      <c r="AQ31" s="15"/>
      <c r="AR31" s="15"/>
      <c r="AS31" s="6"/>
      <c r="AT31" s="6"/>
      <c r="AW31" s="5">
        <v>21</v>
      </c>
      <c r="AX31" s="12"/>
      <c r="AY31" s="13"/>
      <c r="AZ31" s="13"/>
      <c r="BA31" s="13"/>
      <c r="BB31" s="13"/>
      <c r="BC31" s="14"/>
      <c r="BD31" s="15"/>
      <c r="BE31" s="15"/>
      <c r="BF31" s="15"/>
      <c r="BG31" s="15"/>
      <c r="BH31" s="15"/>
      <c r="BI31" s="15"/>
      <c r="BJ31" s="15"/>
      <c r="BK31" s="15"/>
      <c r="BL31" s="15"/>
      <c r="BM31" s="15"/>
      <c r="BN31" s="15"/>
      <c r="BO31" s="15"/>
      <c r="BP31" s="15"/>
      <c r="BQ31" s="6"/>
      <c r="BR31" s="6"/>
      <c r="BT31" s="5">
        <v>13</v>
      </c>
      <c r="BU31" s="12"/>
      <c r="BV31" s="13"/>
      <c r="BW31" s="13"/>
      <c r="BX31" s="13"/>
      <c r="BY31" s="13"/>
      <c r="BZ31" s="14"/>
      <c r="CA31" s="15"/>
      <c r="CB31" s="15"/>
      <c r="CC31" s="15"/>
      <c r="CD31" s="15"/>
      <c r="CE31" s="15"/>
      <c r="CF31" s="15"/>
      <c r="CG31" s="15"/>
      <c r="CH31" s="15"/>
      <c r="CI31" s="15"/>
      <c r="CJ31" s="15"/>
      <c r="CK31" s="15"/>
      <c r="CL31" s="15"/>
      <c r="CM31" s="15"/>
      <c r="CN31" s="6"/>
      <c r="CO31" s="6"/>
      <c r="CR31" s="5">
        <v>21</v>
      </c>
      <c r="CS31" s="12"/>
      <c r="CT31" s="13"/>
      <c r="CU31" s="13"/>
      <c r="CV31" s="13"/>
      <c r="CW31" s="13"/>
      <c r="CX31" s="14"/>
      <c r="CY31" s="15"/>
      <c r="CZ31" s="15"/>
      <c r="DA31" s="15"/>
      <c r="DB31" s="15"/>
      <c r="DC31" s="15"/>
      <c r="DD31" s="15"/>
      <c r="DE31" s="15"/>
      <c r="DF31" s="15"/>
      <c r="DG31" s="15"/>
      <c r="DH31" s="15"/>
      <c r="DI31" s="15"/>
      <c r="DJ31" s="15"/>
      <c r="DK31" s="15"/>
      <c r="DL31" s="6"/>
      <c r="DM31" s="6"/>
      <c r="DO31" s="5">
        <v>13</v>
      </c>
      <c r="DP31" s="12"/>
      <c r="DQ31" s="13"/>
      <c r="DR31" s="13"/>
      <c r="DS31" s="13"/>
      <c r="DT31" s="13"/>
      <c r="DU31" s="14"/>
      <c r="DV31" s="15"/>
      <c r="DW31" s="15"/>
      <c r="DX31" s="15"/>
      <c r="DY31" s="15"/>
      <c r="DZ31" s="15"/>
      <c r="EA31" s="15"/>
      <c r="EB31" s="15"/>
      <c r="EC31" s="15"/>
      <c r="ED31" s="15"/>
      <c r="EE31" s="15"/>
      <c r="EF31" s="15"/>
      <c r="EG31" s="15"/>
      <c r="EH31" s="15"/>
      <c r="EI31" s="6"/>
      <c r="EJ31" s="6"/>
      <c r="EM31" s="5">
        <v>21</v>
      </c>
      <c r="EN31" s="12"/>
      <c r="EO31" s="13"/>
      <c r="EP31" s="13"/>
      <c r="EQ31" s="13"/>
      <c r="ER31" s="13"/>
      <c r="ES31" s="14"/>
      <c r="ET31" s="15"/>
      <c r="EU31" s="15"/>
      <c r="EV31" s="15"/>
      <c r="EW31" s="15"/>
      <c r="EX31" s="15"/>
      <c r="EY31" s="15"/>
      <c r="EZ31" s="15"/>
      <c r="FA31" s="15"/>
      <c r="FB31" s="15"/>
      <c r="FC31" s="15"/>
      <c r="FD31" s="15"/>
      <c r="FE31" s="15"/>
      <c r="FF31" s="15"/>
      <c r="FG31" s="6"/>
      <c r="FH31" s="6"/>
      <c r="FJ31" s="5">
        <v>13</v>
      </c>
      <c r="FK31" s="12"/>
      <c r="FL31" s="13"/>
      <c r="FM31" s="13"/>
      <c r="FN31" s="13"/>
      <c r="FO31" s="13"/>
      <c r="FP31" s="14"/>
      <c r="FQ31" s="15"/>
      <c r="FR31" s="15"/>
      <c r="FS31" s="15"/>
      <c r="FT31" s="15"/>
      <c r="FU31" s="15"/>
      <c r="FV31" s="15"/>
      <c r="FW31" s="15"/>
      <c r="FX31" s="15"/>
      <c r="FY31" s="15"/>
      <c r="FZ31" s="15"/>
      <c r="GA31" s="15"/>
      <c r="GB31" s="15"/>
      <c r="GC31" s="15"/>
      <c r="GD31" s="6"/>
      <c r="GE31" s="6"/>
      <c r="GH31" s="5">
        <v>21</v>
      </c>
      <c r="GI31" s="12"/>
      <c r="GJ31" s="13"/>
      <c r="GK31" s="13"/>
      <c r="GL31" s="13"/>
      <c r="GM31" s="13"/>
      <c r="GN31" s="14"/>
      <c r="GO31" s="15"/>
      <c r="GP31" s="15"/>
      <c r="GQ31" s="15"/>
      <c r="GR31" s="15"/>
      <c r="GS31" s="15"/>
      <c r="GT31" s="15"/>
      <c r="GU31" s="15"/>
      <c r="GV31" s="15"/>
      <c r="GW31" s="15"/>
      <c r="GX31" s="15"/>
      <c r="GY31" s="15"/>
      <c r="GZ31" s="15"/>
      <c r="HA31" s="15"/>
      <c r="HB31" s="6"/>
      <c r="HC31" s="6"/>
      <c r="HE31" s="5">
        <v>13</v>
      </c>
      <c r="HF31" s="12"/>
      <c r="HG31" s="13"/>
      <c r="HH31" s="13"/>
      <c r="HI31" s="13"/>
      <c r="HJ31" s="13"/>
      <c r="HK31" s="14"/>
      <c r="HL31" s="15"/>
      <c r="HM31" s="15"/>
      <c r="HN31" s="15"/>
      <c r="HO31" s="15"/>
      <c r="HP31" s="15"/>
      <c r="HQ31" s="15"/>
      <c r="HR31" s="15"/>
      <c r="HS31" s="15"/>
      <c r="HT31" s="15"/>
      <c r="HU31" s="15"/>
      <c r="HV31" s="15"/>
      <c r="HW31" s="15"/>
      <c r="HX31" s="15"/>
      <c r="HY31" s="6"/>
      <c r="HZ31" s="6"/>
    </row>
    <row r="32" customHeight="1" spans="2:234">
      <c r="B32" s="8">
        <v>22</v>
      </c>
      <c r="C32" s="17"/>
      <c r="D32" s="18"/>
      <c r="E32" s="18"/>
      <c r="F32" s="18"/>
      <c r="G32" s="18"/>
      <c r="H32" s="19"/>
      <c r="I32" s="20"/>
      <c r="J32" s="20"/>
      <c r="K32" s="20"/>
      <c r="L32" s="20"/>
      <c r="M32" s="20"/>
      <c r="N32" s="20"/>
      <c r="O32" s="20"/>
      <c r="P32" s="20"/>
      <c r="Q32" s="20"/>
      <c r="R32" s="20"/>
      <c r="S32" s="20"/>
      <c r="T32" s="20"/>
      <c r="U32" s="20"/>
      <c r="V32" s="9"/>
      <c r="W32" s="9"/>
      <c r="Y32" s="8">
        <v>14</v>
      </c>
      <c r="Z32" s="17"/>
      <c r="AA32" s="18"/>
      <c r="AB32" s="18"/>
      <c r="AC32" s="18"/>
      <c r="AD32" s="18"/>
      <c r="AE32" s="19"/>
      <c r="AF32" s="20"/>
      <c r="AG32" s="20"/>
      <c r="AH32" s="20"/>
      <c r="AI32" s="20"/>
      <c r="AJ32" s="20"/>
      <c r="AK32" s="20"/>
      <c r="AL32" s="20"/>
      <c r="AM32" s="20"/>
      <c r="AN32" s="20"/>
      <c r="AO32" s="20"/>
      <c r="AP32" s="20"/>
      <c r="AQ32" s="20"/>
      <c r="AR32" s="20"/>
      <c r="AS32" s="9"/>
      <c r="AT32" s="9"/>
      <c r="AW32" s="8">
        <v>22</v>
      </c>
      <c r="AX32" s="17"/>
      <c r="AY32" s="18"/>
      <c r="AZ32" s="18"/>
      <c r="BA32" s="18"/>
      <c r="BB32" s="18"/>
      <c r="BC32" s="19"/>
      <c r="BD32" s="20"/>
      <c r="BE32" s="20"/>
      <c r="BF32" s="20"/>
      <c r="BG32" s="20"/>
      <c r="BH32" s="20"/>
      <c r="BI32" s="20"/>
      <c r="BJ32" s="20"/>
      <c r="BK32" s="20"/>
      <c r="BL32" s="20"/>
      <c r="BM32" s="20"/>
      <c r="BN32" s="20"/>
      <c r="BO32" s="20"/>
      <c r="BP32" s="20"/>
      <c r="BQ32" s="9"/>
      <c r="BR32" s="9"/>
      <c r="BT32" s="8">
        <v>14</v>
      </c>
      <c r="BU32" s="17"/>
      <c r="BV32" s="18"/>
      <c r="BW32" s="18"/>
      <c r="BX32" s="18"/>
      <c r="BY32" s="18"/>
      <c r="BZ32" s="19"/>
      <c r="CA32" s="20"/>
      <c r="CB32" s="20"/>
      <c r="CC32" s="20"/>
      <c r="CD32" s="20"/>
      <c r="CE32" s="20"/>
      <c r="CF32" s="20"/>
      <c r="CG32" s="20"/>
      <c r="CH32" s="20"/>
      <c r="CI32" s="20"/>
      <c r="CJ32" s="20"/>
      <c r="CK32" s="20"/>
      <c r="CL32" s="20"/>
      <c r="CM32" s="20"/>
      <c r="CN32" s="9"/>
      <c r="CO32" s="9"/>
      <c r="CR32" s="8">
        <v>22</v>
      </c>
      <c r="CS32" s="17"/>
      <c r="CT32" s="18"/>
      <c r="CU32" s="18"/>
      <c r="CV32" s="18"/>
      <c r="CW32" s="18"/>
      <c r="CX32" s="19"/>
      <c r="CY32" s="20"/>
      <c r="CZ32" s="20"/>
      <c r="DA32" s="20"/>
      <c r="DB32" s="20"/>
      <c r="DC32" s="20"/>
      <c r="DD32" s="20"/>
      <c r="DE32" s="20"/>
      <c r="DF32" s="20"/>
      <c r="DG32" s="20"/>
      <c r="DH32" s="20"/>
      <c r="DI32" s="20"/>
      <c r="DJ32" s="20"/>
      <c r="DK32" s="20"/>
      <c r="DL32" s="9"/>
      <c r="DM32" s="9"/>
      <c r="DO32" s="8">
        <v>14</v>
      </c>
      <c r="DP32" s="17"/>
      <c r="DQ32" s="18"/>
      <c r="DR32" s="18"/>
      <c r="DS32" s="18"/>
      <c r="DT32" s="18"/>
      <c r="DU32" s="19"/>
      <c r="DV32" s="20"/>
      <c r="DW32" s="20"/>
      <c r="DX32" s="20"/>
      <c r="DY32" s="20"/>
      <c r="DZ32" s="20"/>
      <c r="EA32" s="20"/>
      <c r="EB32" s="20"/>
      <c r="EC32" s="20"/>
      <c r="ED32" s="20"/>
      <c r="EE32" s="20"/>
      <c r="EF32" s="20"/>
      <c r="EG32" s="20"/>
      <c r="EH32" s="20"/>
      <c r="EI32" s="9"/>
      <c r="EJ32" s="9"/>
      <c r="EM32" s="8">
        <v>22</v>
      </c>
      <c r="EN32" s="17"/>
      <c r="EO32" s="18"/>
      <c r="EP32" s="18"/>
      <c r="EQ32" s="18"/>
      <c r="ER32" s="18"/>
      <c r="ES32" s="19"/>
      <c r="ET32" s="20"/>
      <c r="EU32" s="20"/>
      <c r="EV32" s="20"/>
      <c r="EW32" s="20"/>
      <c r="EX32" s="20"/>
      <c r="EY32" s="20"/>
      <c r="EZ32" s="20"/>
      <c r="FA32" s="20"/>
      <c r="FB32" s="20"/>
      <c r="FC32" s="20"/>
      <c r="FD32" s="20"/>
      <c r="FE32" s="20"/>
      <c r="FF32" s="20"/>
      <c r="FG32" s="9"/>
      <c r="FH32" s="9"/>
      <c r="FJ32" s="8">
        <v>14</v>
      </c>
      <c r="FK32" s="17"/>
      <c r="FL32" s="18"/>
      <c r="FM32" s="18"/>
      <c r="FN32" s="18"/>
      <c r="FO32" s="18"/>
      <c r="FP32" s="19"/>
      <c r="FQ32" s="20"/>
      <c r="FR32" s="20"/>
      <c r="FS32" s="20"/>
      <c r="FT32" s="20"/>
      <c r="FU32" s="20"/>
      <c r="FV32" s="20"/>
      <c r="FW32" s="20"/>
      <c r="FX32" s="20"/>
      <c r="FY32" s="20"/>
      <c r="FZ32" s="20"/>
      <c r="GA32" s="20"/>
      <c r="GB32" s="20"/>
      <c r="GC32" s="20"/>
      <c r="GD32" s="9"/>
      <c r="GE32" s="9"/>
      <c r="GH32" s="8">
        <v>22</v>
      </c>
      <c r="GI32" s="17"/>
      <c r="GJ32" s="18"/>
      <c r="GK32" s="18"/>
      <c r="GL32" s="18"/>
      <c r="GM32" s="18"/>
      <c r="GN32" s="19"/>
      <c r="GO32" s="20"/>
      <c r="GP32" s="20"/>
      <c r="GQ32" s="20"/>
      <c r="GR32" s="20"/>
      <c r="GS32" s="20"/>
      <c r="GT32" s="20"/>
      <c r="GU32" s="20"/>
      <c r="GV32" s="20"/>
      <c r="GW32" s="20"/>
      <c r="GX32" s="20"/>
      <c r="GY32" s="20"/>
      <c r="GZ32" s="20"/>
      <c r="HA32" s="20"/>
      <c r="HB32" s="9"/>
      <c r="HC32" s="9"/>
      <c r="HE32" s="8">
        <v>14</v>
      </c>
      <c r="HF32" s="17"/>
      <c r="HG32" s="18"/>
      <c r="HH32" s="18"/>
      <c r="HI32" s="18"/>
      <c r="HJ32" s="18"/>
      <c r="HK32" s="19"/>
      <c r="HL32" s="20"/>
      <c r="HM32" s="20"/>
      <c r="HN32" s="20"/>
      <c r="HO32" s="20"/>
      <c r="HP32" s="20"/>
      <c r="HQ32" s="20"/>
      <c r="HR32" s="20"/>
      <c r="HS32" s="20"/>
      <c r="HT32" s="20"/>
      <c r="HU32" s="20"/>
      <c r="HV32" s="20"/>
      <c r="HW32" s="20"/>
      <c r="HX32" s="20"/>
      <c r="HY32" s="9"/>
      <c r="HZ32" s="9"/>
    </row>
    <row r="33" customHeight="1" spans="2:234">
      <c r="B33" s="5">
        <v>23</v>
      </c>
      <c r="C33" s="12"/>
      <c r="D33" s="13"/>
      <c r="E33" s="13"/>
      <c r="F33" s="13"/>
      <c r="G33" s="13"/>
      <c r="H33" s="14"/>
      <c r="I33" s="15"/>
      <c r="J33" s="15"/>
      <c r="K33" s="15"/>
      <c r="L33" s="15"/>
      <c r="M33" s="15"/>
      <c r="N33" s="15"/>
      <c r="O33" s="15"/>
      <c r="P33" s="15"/>
      <c r="Q33" s="15"/>
      <c r="R33" s="15"/>
      <c r="S33" s="15"/>
      <c r="T33" s="15"/>
      <c r="U33" s="15"/>
      <c r="V33" s="6"/>
      <c r="W33" s="6"/>
      <c r="Y33" s="5">
        <v>15</v>
      </c>
      <c r="Z33" s="12"/>
      <c r="AA33" s="13"/>
      <c r="AB33" s="13"/>
      <c r="AC33" s="13"/>
      <c r="AD33" s="13"/>
      <c r="AE33" s="14"/>
      <c r="AF33" s="15"/>
      <c r="AG33" s="15"/>
      <c r="AH33" s="15"/>
      <c r="AI33" s="15"/>
      <c r="AJ33" s="15"/>
      <c r="AK33" s="15"/>
      <c r="AL33" s="15"/>
      <c r="AM33" s="15"/>
      <c r="AN33" s="15"/>
      <c r="AO33" s="15"/>
      <c r="AP33" s="15"/>
      <c r="AQ33" s="15"/>
      <c r="AR33" s="15"/>
      <c r="AS33" s="6"/>
      <c r="AT33" s="6"/>
      <c r="AW33" s="5">
        <v>23</v>
      </c>
      <c r="AX33" s="12"/>
      <c r="AY33" s="13"/>
      <c r="AZ33" s="13"/>
      <c r="BA33" s="13"/>
      <c r="BB33" s="13"/>
      <c r="BC33" s="14"/>
      <c r="BD33" s="15"/>
      <c r="BE33" s="15"/>
      <c r="BF33" s="15"/>
      <c r="BG33" s="15"/>
      <c r="BH33" s="15"/>
      <c r="BI33" s="15"/>
      <c r="BJ33" s="15"/>
      <c r="BK33" s="15"/>
      <c r="BL33" s="15"/>
      <c r="BM33" s="15"/>
      <c r="BN33" s="15"/>
      <c r="BO33" s="15"/>
      <c r="BP33" s="15"/>
      <c r="BQ33" s="6"/>
      <c r="BR33" s="6"/>
      <c r="BT33" s="5">
        <v>15</v>
      </c>
      <c r="BU33" s="12"/>
      <c r="BV33" s="13"/>
      <c r="BW33" s="13"/>
      <c r="BX33" s="13"/>
      <c r="BY33" s="13"/>
      <c r="BZ33" s="14"/>
      <c r="CA33" s="15"/>
      <c r="CB33" s="15"/>
      <c r="CC33" s="15"/>
      <c r="CD33" s="15"/>
      <c r="CE33" s="15"/>
      <c r="CF33" s="15"/>
      <c r="CG33" s="15"/>
      <c r="CH33" s="15"/>
      <c r="CI33" s="15"/>
      <c r="CJ33" s="15"/>
      <c r="CK33" s="15"/>
      <c r="CL33" s="15"/>
      <c r="CM33" s="15"/>
      <c r="CN33" s="6"/>
      <c r="CO33" s="6"/>
      <c r="CR33" s="5">
        <v>23</v>
      </c>
      <c r="CS33" s="12"/>
      <c r="CT33" s="13"/>
      <c r="CU33" s="13"/>
      <c r="CV33" s="13"/>
      <c r="CW33" s="13"/>
      <c r="CX33" s="14"/>
      <c r="CY33" s="15"/>
      <c r="CZ33" s="15"/>
      <c r="DA33" s="15"/>
      <c r="DB33" s="15"/>
      <c r="DC33" s="15"/>
      <c r="DD33" s="15"/>
      <c r="DE33" s="15"/>
      <c r="DF33" s="15"/>
      <c r="DG33" s="15"/>
      <c r="DH33" s="15"/>
      <c r="DI33" s="15"/>
      <c r="DJ33" s="15"/>
      <c r="DK33" s="15"/>
      <c r="DL33" s="6"/>
      <c r="DM33" s="6"/>
      <c r="DO33" s="5">
        <v>15</v>
      </c>
      <c r="DP33" s="12"/>
      <c r="DQ33" s="13"/>
      <c r="DR33" s="13"/>
      <c r="DS33" s="13"/>
      <c r="DT33" s="13"/>
      <c r="DU33" s="14"/>
      <c r="DV33" s="15"/>
      <c r="DW33" s="15"/>
      <c r="DX33" s="15"/>
      <c r="DY33" s="15"/>
      <c r="DZ33" s="15"/>
      <c r="EA33" s="15"/>
      <c r="EB33" s="15"/>
      <c r="EC33" s="15"/>
      <c r="ED33" s="15"/>
      <c r="EE33" s="15"/>
      <c r="EF33" s="15"/>
      <c r="EG33" s="15"/>
      <c r="EH33" s="15"/>
      <c r="EI33" s="6"/>
      <c r="EJ33" s="6"/>
      <c r="EM33" s="5">
        <v>23</v>
      </c>
      <c r="EN33" s="12"/>
      <c r="EO33" s="13"/>
      <c r="EP33" s="13"/>
      <c r="EQ33" s="13"/>
      <c r="ER33" s="13"/>
      <c r="ES33" s="14"/>
      <c r="ET33" s="15"/>
      <c r="EU33" s="15"/>
      <c r="EV33" s="15"/>
      <c r="EW33" s="15"/>
      <c r="EX33" s="15"/>
      <c r="EY33" s="15"/>
      <c r="EZ33" s="15"/>
      <c r="FA33" s="15"/>
      <c r="FB33" s="15"/>
      <c r="FC33" s="15"/>
      <c r="FD33" s="15"/>
      <c r="FE33" s="15"/>
      <c r="FF33" s="15"/>
      <c r="FG33" s="6"/>
      <c r="FH33" s="6"/>
      <c r="FJ33" s="5">
        <v>15</v>
      </c>
      <c r="FK33" s="12"/>
      <c r="FL33" s="13"/>
      <c r="FM33" s="13"/>
      <c r="FN33" s="13"/>
      <c r="FO33" s="13"/>
      <c r="FP33" s="14"/>
      <c r="FQ33" s="15"/>
      <c r="FR33" s="15"/>
      <c r="FS33" s="15"/>
      <c r="FT33" s="15"/>
      <c r="FU33" s="15"/>
      <c r="FV33" s="15"/>
      <c r="FW33" s="15"/>
      <c r="FX33" s="15"/>
      <c r="FY33" s="15"/>
      <c r="FZ33" s="15"/>
      <c r="GA33" s="15"/>
      <c r="GB33" s="15"/>
      <c r="GC33" s="15"/>
      <c r="GD33" s="6"/>
      <c r="GE33" s="6"/>
      <c r="GH33" s="5">
        <v>23</v>
      </c>
      <c r="GI33" s="12"/>
      <c r="GJ33" s="13"/>
      <c r="GK33" s="13"/>
      <c r="GL33" s="13"/>
      <c r="GM33" s="13"/>
      <c r="GN33" s="14"/>
      <c r="GO33" s="15"/>
      <c r="GP33" s="15"/>
      <c r="GQ33" s="15"/>
      <c r="GR33" s="15"/>
      <c r="GS33" s="15"/>
      <c r="GT33" s="15"/>
      <c r="GU33" s="15"/>
      <c r="GV33" s="15"/>
      <c r="GW33" s="15"/>
      <c r="GX33" s="15"/>
      <c r="GY33" s="15"/>
      <c r="GZ33" s="15"/>
      <c r="HA33" s="15"/>
      <c r="HB33" s="6"/>
      <c r="HC33" s="6"/>
      <c r="HE33" s="5">
        <v>15</v>
      </c>
      <c r="HF33" s="12"/>
      <c r="HG33" s="13"/>
      <c r="HH33" s="13"/>
      <c r="HI33" s="13"/>
      <c r="HJ33" s="13"/>
      <c r="HK33" s="14"/>
      <c r="HL33" s="15"/>
      <c r="HM33" s="15"/>
      <c r="HN33" s="15"/>
      <c r="HO33" s="15"/>
      <c r="HP33" s="15"/>
      <c r="HQ33" s="15"/>
      <c r="HR33" s="15"/>
      <c r="HS33" s="15"/>
      <c r="HT33" s="15"/>
      <c r="HU33" s="15"/>
      <c r="HV33" s="15"/>
      <c r="HW33" s="15"/>
      <c r="HX33" s="15"/>
      <c r="HY33" s="6"/>
      <c r="HZ33" s="6"/>
    </row>
    <row r="34" customHeight="1" spans="2:234">
      <c r="B34" s="8">
        <v>24</v>
      </c>
      <c r="C34" s="17"/>
      <c r="D34" s="18"/>
      <c r="E34" s="18"/>
      <c r="F34" s="18"/>
      <c r="G34" s="18"/>
      <c r="H34" s="19"/>
      <c r="I34" s="20"/>
      <c r="J34" s="20"/>
      <c r="K34" s="20"/>
      <c r="L34" s="20"/>
      <c r="M34" s="20"/>
      <c r="N34" s="20"/>
      <c r="O34" s="20"/>
      <c r="P34" s="20"/>
      <c r="Q34" s="20"/>
      <c r="R34" s="20"/>
      <c r="S34" s="20"/>
      <c r="T34" s="20"/>
      <c r="U34" s="20"/>
      <c r="V34" s="9"/>
      <c r="W34" s="9"/>
      <c r="Y34" s="8">
        <v>16</v>
      </c>
      <c r="Z34" s="17"/>
      <c r="AA34" s="18"/>
      <c r="AB34" s="18"/>
      <c r="AC34" s="18"/>
      <c r="AD34" s="18"/>
      <c r="AE34" s="19"/>
      <c r="AF34" s="20"/>
      <c r="AG34" s="20"/>
      <c r="AH34" s="20"/>
      <c r="AI34" s="20"/>
      <c r="AJ34" s="20"/>
      <c r="AK34" s="20"/>
      <c r="AL34" s="20"/>
      <c r="AM34" s="20"/>
      <c r="AN34" s="20"/>
      <c r="AO34" s="20"/>
      <c r="AP34" s="20"/>
      <c r="AQ34" s="20"/>
      <c r="AR34" s="20"/>
      <c r="AS34" s="9"/>
      <c r="AT34" s="9"/>
      <c r="AW34" s="8">
        <v>24</v>
      </c>
      <c r="AX34" s="17"/>
      <c r="AY34" s="18"/>
      <c r="AZ34" s="18"/>
      <c r="BA34" s="18"/>
      <c r="BB34" s="18"/>
      <c r="BC34" s="19"/>
      <c r="BD34" s="20"/>
      <c r="BE34" s="20"/>
      <c r="BF34" s="20"/>
      <c r="BG34" s="20"/>
      <c r="BH34" s="20"/>
      <c r="BI34" s="20"/>
      <c r="BJ34" s="20"/>
      <c r="BK34" s="20"/>
      <c r="BL34" s="20"/>
      <c r="BM34" s="20"/>
      <c r="BN34" s="20"/>
      <c r="BO34" s="20"/>
      <c r="BP34" s="20"/>
      <c r="BQ34" s="9"/>
      <c r="BR34" s="9"/>
      <c r="BT34" s="8">
        <v>16</v>
      </c>
      <c r="BU34" s="17"/>
      <c r="BV34" s="18"/>
      <c r="BW34" s="18"/>
      <c r="BX34" s="18"/>
      <c r="BY34" s="18"/>
      <c r="BZ34" s="19"/>
      <c r="CA34" s="20"/>
      <c r="CB34" s="20"/>
      <c r="CC34" s="20"/>
      <c r="CD34" s="20"/>
      <c r="CE34" s="20"/>
      <c r="CF34" s="20"/>
      <c r="CG34" s="20"/>
      <c r="CH34" s="20"/>
      <c r="CI34" s="20"/>
      <c r="CJ34" s="20"/>
      <c r="CK34" s="20"/>
      <c r="CL34" s="20"/>
      <c r="CM34" s="20"/>
      <c r="CN34" s="9"/>
      <c r="CO34" s="9"/>
      <c r="CR34" s="8">
        <v>24</v>
      </c>
      <c r="CS34" s="17"/>
      <c r="CT34" s="18"/>
      <c r="CU34" s="18"/>
      <c r="CV34" s="18"/>
      <c r="CW34" s="18"/>
      <c r="CX34" s="19"/>
      <c r="CY34" s="20"/>
      <c r="CZ34" s="20"/>
      <c r="DA34" s="20"/>
      <c r="DB34" s="20"/>
      <c r="DC34" s="20"/>
      <c r="DD34" s="20"/>
      <c r="DE34" s="20"/>
      <c r="DF34" s="20"/>
      <c r="DG34" s="20"/>
      <c r="DH34" s="20"/>
      <c r="DI34" s="20"/>
      <c r="DJ34" s="20"/>
      <c r="DK34" s="20"/>
      <c r="DL34" s="9"/>
      <c r="DM34" s="9"/>
      <c r="DO34" s="8">
        <v>16</v>
      </c>
      <c r="DP34" s="17"/>
      <c r="DQ34" s="18"/>
      <c r="DR34" s="18"/>
      <c r="DS34" s="18"/>
      <c r="DT34" s="18"/>
      <c r="DU34" s="19"/>
      <c r="DV34" s="20"/>
      <c r="DW34" s="20"/>
      <c r="DX34" s="20"/>
      <c r="DY34" s="20"/>
      <c r="DZ34" s="20"/>
      <c r="EA34" s="20"/>
      <c r="EB34" s="20"/>
      <c r="EC34" s="20"/>
      <c r="ED34" s="20"/>
      <c r="EE34" s="20"/>
      <c r="EF34" s="20"/>
      <c r="EG34" s="20"/>
      <c r="EH34" s="20"/>
      <c r="EI34" s="9"/>
      <c r="EJ34" s="9"/>
      <c r="EM34" s="8">
        <v>24</v>
      </c>
      <c r="EN34" s="17"/>
      <c r="EO34" s="18"/>
      <c r="EP34" s="18"/>
      <c r="EQ34" s="18"/>
      <c r="ER34" s="18"/>
      <c r="ES34" s="19"/>
      <c r="ET34" s="20"/>
      <c r="EU34" s="20"/>
      <c r="EV34" s="20"/>
      <c r="EW34" s="20"/>
      <c r="EX34" s="20"/>
      <c r="EY34" s="20"/>
      <c r="EZ34" s="20"/>
      <c r="FA34" s="20"/>
      <c r="FB34" s="20"/>
      <c r="FC34" s="20"/>
      <c r="FD34" s="20"/>
      <c r="FE34" s="20"/>
      <c r="FF34" s="20"/>
      <c r="FG34" s="9"/>
      <c r="FH34" s="9"/>
      <c r="FJ34" s="8">
        <v>16</v>
      </c>
      <c r="FK34" s="17"/>
      <c r="FL34" s="18"/>
      <c r="FM34" s="18"/>
      <c r="FN34" s="18"/>
      <c r="FO34" s="18"/>
      <c r="FP34" s="19"/>
      <c r="FQ34" s="20"/>
      <c r="FR34" s="20"/>
      <c r="FS34" s="20"/>
      <c r="FT34" s="20"/>
      <c r="FU34" s="20"/>
      <c r="FV34" s="20"/>
      <c r="FW34" s="20"/>
      <c r="FX34" s="20"/>
      <c r="FY34" s="20"/>
      <c r="FZ34" s="20"/>
      <c r="GA34" s="20"/>
      <c r="GB34" s="20"/>
      <c r="GC34" s="20"/>
      <c r="GD34" s="9"/>
      <c r="GE34" s="9"/>
      <c r="GH34" s="8">
        <v>24</v>
      </c>
      <c r="GI34" s="17"/>
      <c r="GJ34" s="18"/>
      <c r="GK34" s="18"/>
      <c r="GL34" s="18"/>
      <c r="GM34" s="18"/>
      <c r="GN34" s="19"/>
      <c r="GO34" s="20"/>
      <c r="GP34" s="20"/>
      <c r="GQ34" s="20"/>
      <c r="GR34" s="20"/>
      <c r="GS34" s="20"/>
      <c r="GT34" s="20"/>
      <c r="GU34" s="20"/>
      <c r="GV34" s="20"/>
      <c r="GW34" s="20"/>
      <c r="GX34" s="20"/>
      <c r="GY34" s="20"/>
      <c r="GZ34" s="20"/>
      <c r="HA34" s="20"/>
      <c r="HB34" s="9"/>
      <c r="HC34" s="9"/>
      <c r="HE34" s="8">
        <v>16</v>
      </c>
      <c r="HF34" s="17"/>
      <c r="HG34" s="18"/>
      <c r="HH34" s="18"/>
      <c r="HI34" s="18"/>
      <c r="HJ34" s="18"/>
      <c r="HK34" s="19"/>
      <c r="HL34" s="20"/>
      <c r="HM34" s="20"/>
      <c r="HN34" s="20"/>
      <c r="HO34" s="20"/>
      <c r="HP34" s="20"/>
      <c r="HQ34" s="20"/>
      <c r="HR34" s="20"/>
      <c r="HS34" s="20"/>
      <c r="HT34" s="20"/>
      <c r="HU34" s="20"/>
      <c r="HV34" s="20"/>
      <c r="HW34" s="20"/>
      <c r="HX34" s="20"/>
      <c r="HY34" s="9"/>
      <c r="HZ34" s="9"/>
    </row>
    <row r="35" customHeight="1" spans="2:234">
      <c r="B35" s="5">
        <v>25</v>
      </c>
      <c r="C35" s="12"/>
      <c r="D35" s="13"/>
      <c r="E35" s="13"/>
      <c r="F35" s="13"/>
      <c r="G35" s="13"/>
      <c r="H35" s="14"/>
      <c r="I35" s="15"/>
      <c r="J35" s="15"/>
      <c r="K35" s="15"/>
      <c r="L35" s="15"/>
      <c r="M35" s="15"/>
      <c r="N35" s="15"/>
      <c r="O35" s="15"/>
      <c r="P35" s="15"/>
      <c r="Q35" s="15"/>
      <c r="R35" s="15"/>
      <c r="S35" s="15"/>
      <c r="T35" s="15"/>
      <c r="U35" s="15"/>
      <c r="V35" s="6"/>
      <c r="W35" s="6"/>
      <c r="Y35" s="5">
        <v>17</v>
      </c>
      <c r="Z35" s="12"/>
      <c r="AA35" s="13"/>
      <c r="AB35" s="13"/>
      <c r="AC35" s="13"/>
      <c r="AD35" s="13"/>
      <c r="AE35" s="14"/>
      <c r="AF35" s="15"/>
      <c r="AG35" s="15"/>
      <c r="AH35" s="15"/>
      <c r="AI35" s="15"/>
      <c r="AJ35" s="15"/>
      <c r="AK35" s="15"/>
      <c r="AL35" s="15"/>
      <c r="AM35" s="15"/>
      <c r="AN35" s="15"/>
      <c r="AO35" s="15"/>
      <c r="AP35" s="15"/>
      <c r="AQ35" s="15"/>
      <c r="AR35" s="15"/>
      <c r="AS35" s="6"/>
      <c r="AT35" s="6"/>
      <c r="AW35" s="5">
        <v>25</v>
      </c>
      <c r="AX35" s="12"/>
      <c r="AY35" s="13"/>
      <c r="AZ35" s="13"/>
      <c r="BA35" s="13"/>
      <c r="BB35" s="13"/>
      <c r="BC35" s="14"/>
      <c r="BD35" s="15"/>
      <c r="BE35" s="15"/>
      <c r="BF35" s="15"/>
      <c r="BG35" s="15"/>
      <c r="BH35" s="15"/>
      <c r="BI35" s="15"/>
      <c r="BJ35" s="15"/>
      <c r="BK35" s="15"/>
      <c r="BL35" s="15"/>
      <c r="BM35" s="15"/>
      <c r="BN35" s="15"/>
      <c r="BO35" s="15"/>
      <c r="BP35" s="15"/>
      <c r="BQ35" s="6"/>
      <c r="BR35" s="6"/>
      <c r="BT35" s="5">
        <v>17</v>
      </c>
      <c r="BU35" s="12"/>
      <c r="BV35" s="13"/>
      <c r="BW35" s="13"/>
      <c r="BX35" s="13"/>
      <c r="BY35" s="13"/>
      <c r="BZ35" s="14"/>
      <c r="CA35" s="15"/>
      <c r="CB35" s="15"/>
      <c r="CC35" s="15"/>
      <c r="CD35" s="15"/>
      <c r="CE35" s="15"/>
      <c r="CF35" s="15"/>
      <c r="CG35" s="15"/>
      <c r="CH35" s="15"/>
      <c r="CI35" s="15"/>
      <c r="CJ35" s="15"/>
      <c r="CK35" s="15"/>
      <c r="CL35" s="15"/>
      <c r="CM35" s="15"/>
      <c r="CN35" s="6"/>
      <c r="CO35" s="6"/>
      <c r="CR35" s="5">
        <v>25</v>
      </c>
      <c r="CS35" s="12"/>
      <c r="CT35" s="13"/>
      <c r="CU35" s="13"/>
      <c r="CV35" s="13"/>
      <c r="CW35" s="13"/>
      <c r="CX35" s="14"/>
      <c r="CY35" s="15"/>
      <c r="CZ35" s="15"/>
      <c r="DA35" s="15"/>
      <c r="DB35" s="15"/>
      <c r="DC35" s="15"/>
      <c r="DD35" s="15"/>
      <c r="DE35" s="15"/>
      <c r="DF35" s="15"/>
      <c r="DG35" s="15"/>
      <c r="DH35" s="15"/>
      <c r="DI35" s="15"/>
      <c r="DJ35" s="15"/>
      <c r="DK35" s="15"/>
      <c r="DL35" s="6"/>
      <c r="DM35" s="6"/>
      <c r="DO35" s="5">
        <v>17</v>
      </c>
      <c r="DP35" s="12"/>
      <c r="DQ35" s="13"/>
      <c r="DR35" s="13"/>
      <c r="DS35" s="13"/>
      <c r="DT35" s="13"/>
      <c r="DU35" s="14"/>
      <c r="DV35" s="15"/>
      <c r="DW35" s="15"/>
      <c r="DX35" s="15"/>
      <c r="DY35" s="15"/>
      <c r="DZ35" s="15"/>
      <c r="EA35" s="15"/>
      <c r="EB35" s="15"/>
      <c r="EC35" s="15"/>
      <c r="ED35" s="15"/>
      <c r="EE35" s="15"/>
      <c r="EF35" s="15"/>
      <c r="EG35" s="15"/>
      <c r="EH35" s="15"/>
      <c r="EI35" s="6"/>
      <c r="EJ35" s="6"/>
      <c r="EM35" s="5">
        <v>25</v>
      </c>
      <c r="EN35" s="12"/>
      <c r="EO35" s="13"/>
      <c r="EP35" s="13"/>
      <c r="EQ35" s="13"/>
      <c r="ER35" s="13"/>
      <c r="ES35" s="14"/>
      <c r="ET35" s="15"/>
      <c r="EU35" s="15"/>
      <c r="EV35" s="15"/>
      <c r="EW35" s="15"/>
      <c r="EX35" s="15"/>
      <c r="EY35" s="15"/>
      <c r="EZ35" s="15"/>
      <c r="FA35" s="15"/>
      <c r="FB35" s="15"/>
      <c r="FC35" s="15"/>
      <c r="FD35" s="15"/>
      <c r="FE35" s="15"/>
      <c r="FF35" s="15"/>
      <c r="FG35" s="6"/>
      <c r="FH35" s="6"/>
      <c r="FJ35" s="5">
        <v>17</v>
      </c>
      <c r="FK35" s="12"/>
      <c r="FL35" s="13"/>
      <c r="FM35" s="13"/>
      <c r="FN35" s="13"/>
      <c r="FO35" s="13"/>
      <c r="FP35" s="14"/>
      <c r="FQ35" s="15"/>
      <c r="FR35" s="15"/>
      <c r="FS35" s="15"/>
      <c r="FT35" s="15"/>
      <c r="FU35" s="15"/>
      <c r="FV35" s="15"/>
      <c r="FW35" s="15"/>
      <c r="FX35" s="15"/>
      <c r="FY35" s="15"/>
      <c r="FZ35" s="15"/>
      <c r="GA35" s="15"/>
      <c r="GB35" s="15"/>
      <c r="GC35" s="15"/>
      <c r="GD35" s="6"/>
      <c r="GE35" s="6"/>
      <c r="GH35" s="5">
        <v>25</v>
      </c>
      <c r="GI35" s="12"/>
      <c r="GJ35" s="13"/>
      <c r="GK35" s="13"/>
      <c r="GL35" s="13"/>
      <c r="GM35" s="13"/>
      <c r="GN35" s="14"/>
      <c r="GO35" s="15"/>
      <c r="GP35" s="15"/>
      <c r="GQ35" s="15"/>
      <c r="GR35" s="15"/>
      <c r="GS35" s="15"/>
      <c r="GT35" s="15"/>
      <c r="GU35" s="15"/>
      <c r="GV35" s="15"/>
      <c r="GW35" s="15"/>
      <c r="GX35" s="15"/>
      <c r="GY35" s="15"/>
      <c r="GZ35" s="15"/>
      <c r="HA35" s="15"/>
      <c r="HB35" s="6"/>
      <c r="HC35" s="6"/>
      <c r="HE35" s="5">
        <v>17</v>
      </c>
      <c r="HF35" s="12"/>
      <c r="HG35" s="13"/>
      <c r="HH35" s="13"/>
      <c r="HI35" s="13"/>
      <c r="HJ35" s="13"/>
      <c r="HK35" s="14"/>
      <c r="HL35" s="15"/>
      <c r="HM35" s="15"/>
      <c r="HN35" s="15"/>
      <c r="HO35" s="15"/>
      <c r="HP35" s="15"/>
      <c r="HQ35" s="15"/>
      <c r="HR35" s="15"/>
      <c r="HS35" s="15"/>
      <c r="HT35" s="15"/>
      <c r="HU35" s="15"/>
      <c r="HV35" s="15"/>
      <c r="HW35" s="15"/>
      <c r="HX35" s="15"/>
      <c r="HY35" s="6"/>
      <c r="HZ35" s="6"/>
    </row>
    <row r="36" customHeight="1" spans="2:234">
      <c r="B36" s="8">
        <v>26</v>
      </c>
      <c r="C36" s="17"/>
      <c r="D36" s="18"/>
      <c r="E36" s="18"/>
      <c r="F36" s="18"/>
      <c r="G36" s="18"/>
      <c r="H36" s="19"/>
      <c r="I36" s="20"/>
      <c r="J36" s="20"/>
      <c r="K36" s="20"/>
      <c r="L36" s="20"/>
      <c r="M36" s="20"/>
      <c r="N36" s="20"/>
      <c r="O36" s="20"/>
      <c r="P36" s="20"/>
      <c r="Q36" s="20"/>
      <c r="R36" s="20"/>
      <c r="S36" s="20"/>
      <c r="T36" s="20"/>
      <c r="U36" s="20"/>
      <c r="V36" s="9"/>
      <c r="W36" s="9"/>
      <c r="Y36" s="8">
        <v>18</v>
      </c>
      <c r="Z36" s="17"/>
      <c r="AA36" s="18"/>
      <c r="AB36" s="18"/>
      <c r="AC36" s="18"/>
      <c r="AD36" s="18"/>
      <c r="AE36" s="19"/>
      <c r="AF36" s="20"/>
      <c r="AG36" s="20"/>
      <c r="AH36" s="20"/>
      <c r="AI36" s="20"/>
      <c r="AJ36" s="20"/>
      <c r="AK36" s="20"/>
      <c r="AL36" s="20"/>
      <c r="AM36" s="20"/>
      <c r="AN36" s="20"/>
      <c r="AO36" s="20"/>
      <c r="AP36" s="20"/>
      <c r="AQ36" s="20"/>
      <c r="AR36" s="20"/>
      <c r="AS36" s="9"/>
      <c r="AT36" s="9"/>
      <c r="AW36" s="8">
        <v>26</v>
      </c>
      <c r="AX36" s="17"/>
      <c r="AY36" s="18"/>
      <c r="AZ36" s="18"/>
      <c r="BA36" s="18"/>
      <c r="BB36" s="18"/>
      <c r="BC36" s="19"/>
      <c r="BD36" s="20"/>
      <c r="BE36" s="20"/>
      <c r="BF36" s="20"/>
      <c r="BG36" s="20"/>
      <c r="BH36" s="20"/>
      <c r="BI36" s="20"/>
      <c r="BJ36" s="20"/>
      <c r="BK36" s="20"/>
      <c r="BL36" s="20"/>
      <c r="BM36" s="20"/>
      <c r="BN36" s="20"/>
      <c r="BO36" s="20"/>
      <c r="BP36" s="20"/>
      <c r="BQ36" s="9"/>
      <c r="BR36" s="9"/>
      <c r="BT36" s="8">
        <v>18</v>
      </c>
      <c r="BU36" s="17"/>
      <c r="BV36" s="18"/>
      <c r="BW36" s="18"/>
      <c r="BX36" s="18"/>
      <c r="BY36" s="18"/>
      <c r="BZ36" s="19"/>
      <c r="CA36" s="20"/>
      <c r="CB36" s="20"/>
      <c r="CC36" s="20"/>
      <c r="CD36" s="20"/>
      <c r="CE36" s="20"/>
      <c r="CF36" s="20"/>
      <c r="CG36" s="20"/>
      <c r="CH36" s="20"/>
      <c r="CI36" s="20"/>
      <c r="CJ36" s="20"/>
      <c r="CK36" s="20"/>
      <c r="CL36" s="20"/>
      <c r="CM36" s="20"/>
      <c r="CN36" s="9"/>
      <c r="CO36" s="9"/>
      <c r="CR36" s="8">
        <v>26</v>
      </c>
      <c r="CS36" s="17"/>
      <c r="CT36" s="18"/>
      <c r="CU36" s="18"/>
      <c r="CV36" s="18"/>
      <c r="CW36" s="18"/>
      <c r="CX36" s="19"/>
      <c r="CY36" s="20"/>
      <c r="CZ36" s="20"/>
      <c r="DA36" s="20"/>
      <c r="DB36" s="20"/>
      <c r="DC36" s="20"/>
      <c r="DD36" s="20"/>
      <c r="DE36" s="20"/>
      <c r="DF36" s="20"/>
      <c r="DG36" s="20"/>
      <c r="DH36" s="20"/>
      <c r="DI36" s="20"/>
      <c r="DJ36" s="20"/>
      <c r="DK36" s="20"/>
      <c r="DL36" s="9"/>
      <c r="DM36" s="9"/>
      <c r="DO36" s="8">
        <v>18</v>
      </c>
      <c r="DP36" s="17"/>
      <c r="DQ36" s="18"/>
      <c r="DR36" s="18"/>
      <c r="DS36" s="18"/>
      <c r="DT36" s="18"/>
      <c r="DU36" s="19"/>
      <c r="DV36" s="20"/>
      <c r="DW36" s="20"/>
      <c r="DX36" s="20"/>
      <c r="DY36" s="20"/>
      <c r="DZ36" s="20"/>
      <c r="EA36" s="20"/>
      <c r="EB36" s="20"/>
      <c r="EC36" s="20"/>
      <c r="ED36" s="20"/>
      <c r="EE36" s="20"/>
      <c r="EF36" s="20"/>
      <c r="EG36" s="20"/>
      <c r="EH36" s="20"/>
      <c r="EI36" s="9"/>
      <c r="EJ36" s="9"/>
      <c r="EM36" s="8">
        <v>26</v>
      </c>
      <c r="EN36" s="17"/>
      <c r="EO36" s="18"/>
      <c r="EP36" s="18"/>
      <c r="EQ36" s="18"/>
      <c r="ER36" s="18"/>
      <c r="ES36" s="19"/>
      <c r="ET36" s="20"/>
      <c r="EU36" s="20"/>
      <c r="EV36" s="20"/>
      <c r="EW36" s="20"/>
      <c r="EX36" s="20"/>
      <c r="EY36" s="20"/>
      <c r="EZ36" s="20"/>
      <c r="FA36" s="20"/>
      <c r="FB36" s="20"/>
      <c r="FC36" s="20"/>
      <c r="FD36" s="20"/>
      <c r="FE36" s="20"/>
      <c r="FF36" s="20"/>
      <c r="FG36" s="9"/>
      <c r="FH36" s="9"/>
      <c r="FJ36" s="8">
        <v>18</v>
      </c>
      <c r="FK36" s="17"/>
      <c r="FL36" s="18"/>
      <c r="FM36" s="18"/>
      <c r="FN36" s="18"/>
      <c r="FO36" s="18"/>
      <c r="FP36" s="19"/>
      <c r="FQ36" s="20"/>
      <c r="FR36" s="20"/>
      <c r="FS36" s="20"/>
      <c r="FT36" s="20"/>
      <c r="FU36" s="20"/>
      <c r="FV36" s="20"/>
      <c r="FW36" s="20"/>
      <c r="FX36" s="20"/>
      <c r="FY36" s="20"/>
      <c r="FZ36" s="20"/>
      <c r="GA36" s="20"/>
      <c r="GB36" s="20"/>
      <c r="GC36" s="20"/>
      <c r="GD36" s="9"/>
      <c r="GE36" s="9"/>
      <c r="GH36" s="8">
        <v>26</v>
      </c>
      <c r="GI36" s="17"/>
      <c r="GJ36" s="18"/>
      <c r="GK36" s="18"/>
      <c r="GL36" s="18"/>
      <c r="GM36" s="18"/>
      <c r="GN36" s="19"/>
      <c r="GO36" s="20"/>
      <c r="GP36" s="20"/>
      <c r="GQ36" s="20"/>
      <c r="GR36" s="20"/>
      <c r="GS36" s="20"/>
      <c r="GT36" s="20"/>
      <c r="GU36" s="20"/>
      <c r="GV36" s="20"/>
      <c r="GW36" s="20"/>
      <c r="GX36" s="20"/>
      <c r="GY36" s="20"/>
      <c r="GZ36" s="20"/>
      <c r="HA36" s="20"/>
      <c r="HB36" s="9"/>
      <c r="HC36" s="9"/>
      <c r="HE36" s="8">
        <v>18</v>
      </c>
      <c r="HF36" s="17"/>
      <c r="HG36" s="18"/>
      <c r="HH36" s="18"/>
      <c r="HI36" s="18"/>
      <c r="HJ36" s="18"/>
      <c r="HK36" s="19"/>
      <c r="HL36" s="20"/>
      <c r="HM36" s="20"/>
      <c r="HN36" s="20"/>
      <c r="HO36" s="20"/>
      <c r="HP36" s="20"/>
      <c r="HQ36" s="20"/>
      <c r="HR36" s="20"/>
      <c r="HS36" s="20"/>
      <c r="HT36" s="20"/>
      <c r="HU36" s="20"/>
      <c r="HV36" s="20"/>
      <c r="HW36" s="20"/>
      <c r="HX36" s="20"/>
      <c r="HY36" s="9"/>
      <c r="HZ36" s="9"/>
    </row>
    <row r="37" customHeight="1" spans="2:234">
      <c r="B37" s="5">
        <v>27</v>
      </c>
      <c r="C37" s="12"/>
      <c r="D37" s="13"/>
      <c r="E37" s="13"/>
      <c r="F37" s="13"/>
      <c r="G37" s="13"/>
      <c r="H37" s="14"/>
      <c r="I37" s="15"/>
      <c r="J37" s="15"/>
      <c r="K37" s="15"/>
      <c r="L37" s="15"/>
      <c r="M37" s="15"/>
      <c r="N37" s="15"/>
      <c r="O37" s="15"/>
      <c r="P37" s="15"/>
      <c r="Q37" s="15"/>
      <c r="R37" s="15"/>
      <c r="S37" s="15"/>
      <c r="T37" s="15"/>
      <c r="U37" s="15"/>
      <c r="V37" s="6"/>
      <c r="W37" s="6"/>
      <c r="Y37" s="5">
        <v>19</v>
      </c>
      <c r="Z37" s="12"/>
      <c r="AA37" s="13"/>
      <c r="AB37" s="13"/>
      <c r="AC37" s="13"/>
      <c r="AD37" s="13"/>
      <c r="AE37" s="14"/>
      <c r="AF37" s="15"/>
      <c r="AG37" s="15"/>
      <c r="AH37" s="15"/>
      <c r="AI37" s="15"/>
      <c r="AJ37" s="15"/>
      <c r="AK37" s="15"/>
      <c r="AL37" s="15"/>
      <c r="AM37" s="15"/>
      <c r="AN37" s="15"/>
      <c r="AO37" s="15"/>
      <c r="AP37" s="15"/>
      <c r="AQ37" s="15"/>
      <c r="AR37" s="15"/>
      <c r="AS37" s="6"/>
      <c r="AT37" s="6"/>
      <c r="AW37" s="5">
        <v>27</v>
      </c>
      <c r="AX37" s="12"/>
      <c r="AY37" s="13"/>
      <c r="AZ37" s="13"/>
      <c r="BA37" s="13"/>
      <c r="BB37" s="13"/>
      <c r="BC37" s="14"/>
      <c r="BD37" s="15"/>
      <c r="BE37" s="15"/>
      <c r="BF37" s="15"/>
      <c r="BG37" s="15"/>
      <c r="BH37" s="15"/>
      <c r="BI37" s="15"/>
      <c r="BJ37" s="15"/>
      <c r="BK37" s="15"/>
      <c r="BL37" s="15"/>
      <c r="BM37" s="15"/>
      <c r="BN37" s="15"/>
      <c r="BO37" s="15"/>
      <c r="BP37" s="15"/>
      <c r="BQ37" s="6"/>
      <c r="BR37" s="6"/>
      <c r="BT37" s="5">
        <v>19</v>
      </c>
      <c r="BU37" s="12"/>
      <c r="BV37" s="13"/>
      <c r="BW37" s="13"/>
      <c r="BX37" s="13"/>
      <c r="BY37" s="13"/>
      <c r="BZ37" s="14"/>
      <c r="CA37" s="15"/>
      <c r="CB37" s="15"/>
      <c r="CC37" s="15"/>
      <c r="CD37" s="15"/>
      <c r="CE37" s="15"/>
      <c r="CF37" s="15"/>
      <c r="CG37" s="15"/>
      <c r="CH37" s="15"/>
      <c r="CI37" s="15"/>
      <c r="CJ37" s="15"/>
      <c r="CK37" s="15"/>
      <c r="CL37" s="15"/>
      <c r="CM37" s="15"/>
      <c r="CN37" s="6"/>
      <c r="CO37" s="6"/>
      <c r="CR37" s="5">
        <v>27</v>
      </c>
      <c r="CS37" s="12"/>
      <c r="CT37" s="13"/>
      <c r="CU37" s="13"/>
      <c r="CV37" s="13"/>
      <c r="CW37" s="13"/>
      <c r="CX37" s="14"/>
      <c r="CY37" s="15"/>
      <c r="CZ37" s="15"/>
      <c r="DA37" s="15"/>
      <c r="DB37" s="15"/>
      <c r="DC37" s="15"/>
      <c r="DD37" s="15"/>
      <c r="DE37" s="15"/>
      <c r="DF37" s="15"/>
      <c r="DG37" s="15"/>
      <c r="DH37" s="15"/>
      <c r="DI37" s="15"/>
      <c r="DJ37" s="15"/>
      <c r="DK37" s="15"/>
      <c r="DL37" s="6"/>
      <c r="DM37" s="6"/>
      <c r="DO37" s="5">
        <v>19</v>
      </c>
      <c r="DP37" s="12"/>
      <c r="DQ37" s="13"/>
      <c r="DR37" s="13"/>
      <c r="DS37" s="13"/>
      <c r="DT37" s="13"/>
      <c r="DU37" s="14"/>
      <c r="DV37" s="15"/>
      <c r="DW37" s="15"/>
      <c r="DX37" s="15"/>
      <c r="DY37" s="15"/>
      <c r="DZ37" s="15"/>
      <c r="EA37" s="15"/>
      <c r="EB37" s="15"/>
      <c r="EC37" s="15"/>
      <c r="ED37" s="15"/>
      <c r="EE37" s="15"/>
      <c r="EF37" s="15"/>
      <c r="EG37" s="15"/>
      <c r="EH37" s="15"/>
      <c r="EI37" s="6"/>
      <c r="EJ37" s="6"/>
      <c r="EM37" s="5">
        <v>27</v>
      </c>
      <c r="EN37" s="12"/>
      <c r="EO37" s="13"/>
      <c r="EP37" s="13"/>
      <c r="EQ37" s="13"/>
      <c r="ER37" s="13"/>
      <c r="ES37" s="14"/>
      <c r="ET37" s="15"/>
      <c r="EU37" s="15"/>
      <c r="EV37" s="15"/>
      <c r="EW37" s="15"/>
      <c r="EX37" s="15"/>
      <c r="EY37" s="15"/>
      <c r="EZ37" s="15"/>
      <c r="FA37" s="15"/>
      <c r="FB37" s="15"/>
      <c r="FC37" s="15"/>
      <c r="FD37" s="15"/>
      <c r="FE37" s="15"/>
      <c r="FF37" s="15"/>
      <c r="FG37" s="6"/>
      <c r="FH37" s="6"/>
      <c r="FJ37" s="5">
        <v>19</v>
      </c>
      <c r="FK37" s="12"/>
      <c r="FL37" s="13"/>
      <c r="FM37" s="13"/>
      <c r="FN37" s="13"/>
      <c r="FO37" s="13"/>
      <c r="FP37" s="14"/>
      <c r="FQ37" s="15"/>
      <c r="FR37" s="15"/>
      <c r="FS37" s="15"/>
      <c r="FT37" s="15"/>
      <c r="FU37" s="15"/>
      <c r="FV37" s="15"/>
      <c r="FW37" s="15"/>
      <c r="FX37" s="15"/>
      <c r="FY37" s="15"/>
      <c r="FZ37" s="15"/>
      <c r="GA37" s="15"/>
      <c r="GB37" s="15"/>
      <c r="GC37" s="15"/>
      <c r="GD37" s="6"/>
      <c r="GE37" s="6"/>
      <c r="GH37" s="5">
        <v>27</v>
      </c>
      <c r="GI37" s="12"/>
      <c r="GJ37" s="13"/>
      <c r="GK37" s="13"/>
      <c r="GL37" s="13"/>
      <c r="GM37" s="13"/>
      <c r="GN37" s="14"/>
      <c r="GO37" s="15"/>
      <c r="GP37" s="15"/>
      <c r="GQ37" s="15"/>
      <c r="GR37" s="15"/>
      <c r="GS37" s="15"/>
      <c r="GT37" s="15"/>
      <c r="GU37" s="15"/>
      <c r="GV37" s="15"/>
      <c r="GW37" s="15"/>
      <c r="GX37" s="15"/>
      <c r="GY37" s="15"/>
      <c r="GZ37" s="15"/>
      <c r="HA37" s="15"/>
      <c r="HB37" s="6"/>
      <c r="HC37" s="6"/>
      <c r="HE37" s="5">
        <v>19</v>
      </c>
      <c r="HF37" s="12"/>
      <c r="HG37" s="13"/>
      <c r="HH37" s="13"/>
      <c r="HI37" s="13"/>
      <c r="HJ37" s="13"/>
      <c r="HK37" s="14"/>
      <c r="HL37" s="15"/>
      <c r="HM37" s="15"/>
      <c r="HN37" s="15"/>
      <c r="HO37" s="15"/>
      <c r="HP37" s="15"/>
      <c r="HQ37" s="15"/>
      <c r="HR37" s="15"/>
      <c r="HS37" s="15"/>
      <c r="HT37" s="15"/>
      <c r="HU37" s="15"/>
      <c r="HV37" s="15"/>
      <c r="HW37" s="15"/>
      <c r="HX37" s="15"/>
      <c r="HY37" s="6"/>
      <c r="HZ37" s="6"/>
    </row>
    <row r="38" customHeight="1" spans="2:234">
      <c r="B38" s="8">
        <v>28</v>
      </c>
      <c r="C38" s="17"/>
      <c r="D38" s="18"/>
      <c r="E38" s="18"/>
      <c r="F38" s="18"/>
      <c r="G38" s="18"/>
      <c r="H38" s="19"/>
      <c r="I38" s="20"/>
      <c r="J38" s="20"/>
      <c r="K38" s="20"/>
      <c r="L38" s="20"/>
      <c r="M38" s="20"/>
      <c r="N38" s="20"/>
      <c r="O38" s="20"/>
      <c r="P38" s="20"/>
      <c r="Q38" s="20"/>
      <c r="R38" s="20"/>
      <c r="S38" s="20"/>
      <c r="T38" s="20"/>
      <c r="U38" s="20"/>
      <c r="V38" s="9"/>
      <c r="W38" s="9"/>
      <c r="Y38" s="8">
        <v>20</v>
      </c>
      <c r="Z38" s="17"/>
      <c r="AA38" s="18"/>
      <c r="AB38" s="18"/>
      <c r="AC38" s="18"/>
      <c r="AD38" s="18"/>
      <c r="AE38" s="19"/>
      <c r="AF38" s="20"/>
      <c r="AG38" s="20"/>
      <c r="AH38" s="20"/>
      <c r="AI38" s="20"/>
      <c r="AJ38" s="20"/>
      <c r="AK38" s="20"/>
      <c r="AL38" s="20"/>
      <c r="AM38" s="20"/>
      <c r="AN38" s="20"/>
      <c r="AO38" s="20"/>
      <c r="AP38" s="20"/>
      <c r="AQ38" s="20"/>
      <c r="AR38" s="20"/>
      <c r="AS38" s="9"/>
      <c r="AT38" s="9"/>
      <c r="AW38" s="8">
        <v>28</v>
      </c>
      <c r="AX38" s="17"/>
      <c r="AY38" s="18"/>
      <c r="AZ38" s="18"/>
      <c r="BA38" s="18"/>
      <c r="BB38" s="18"/>
      <c r="BC38" s="19"/>
      <c r="BD38" s="20"/>
      <c r="BE38" s="20"/>
      <c r="BF38" s="20"/>
      <c r="BG38" s="20"/>
      <c r="BH38" s="20"/>
      <c r="BI38" s="20"/>
      <c r="BJ38" s="20"/>
      <c r="BK38" s="20"/>
      <c r="BL38" s="20"/>
      <c r="BM38" s="20"/>
      <c r="BN38" s="20"/>
      <c r="BO38" s="20"/>
      <c r="BP38" s="20"/>
      <c r="BQ38" s="9"/>
      <c r="BR38" s="9"/>
      <c r="BT38" s="8">
        <v>20</v>
      </c>
      <c r="BU38" s="17"/>
      <c r="BV38" s="18"/>
      <c r="BW38" s="18"/>
      <c r="BX38" s="18"/>
      <c r="BY38" s="18"/>
      <c r="BZ38" s="19"/>
      <c r="CA38" s="20"/>
      <c r="CB38" s="20"/>
      <c r="CC38" s="20"/>
      <c r="CD38" s="20"/>
      <c r="CE38" s="20"/>
      <c r="CF38" s="20"/>
      <c r="CG38" s="20"/>
      <c r="CH38" s="20"/>
      <c r="CI38" s="20"/>
      <c r="CJ38" s="20"/>
      <c r="CK38" s="20"/>
      <c r="CL38" s="20"/>
      <c r="CM38" s="20"/>
      <c r="CN38" s="9"/>
      <c r="CO38" s="9"/>
      <c r="CR38" s="8">
        <v>28</v>
      </c>
      <c r="CS38" s="17"/>
      <c r="CT38" s="18"/>
      <c r="CU38" s="18"/>
      <c r="CV38" s="18"/>
      <c r="CW38" s="18"/>
      <c r="CX38" s="19"/>
      <c r="CY38" s="20"/>
      <c r="CZ38" s="20"/>
      <c r="DA38" s="20"/>
      <c r="DB38" s="20"/>
      <c r="DC38" s="20"/>
      <c r="DD38" s="20"/>
      <c r="DE38" s="20"/>
      <c r="DF38" s="20"/>
      <c r="DG38" s="20"/>
      <c r="DH38" s="20"/>
      <c r="DI38" s="20"/>
      <c r="DJ38" s="20"/>
      <c r="DK38" s="20"/>
      <c r="DL38" s="9"/>
      <c r="DM38" s="9"/>
      <c r="DO38" s="8">
        <v>20</v>
      </c>
      <c r="DP38" s="17"/>
      <c r="DQ38" s="18"/>
      <c r="DR38" s="18"/>
      <c r="DS38" s="18"/>
      <c r="DT38" s="18"/>
      <c r="DU38" s="19"/>
      <c r="DV38" s="20"/>
      <c r="DW38" s="20"/>
      <c r="DX38" s="20"/>
      <c r="DY38" s="20"/>
      <c r="DZ38" s="20"/>
      <c r="EA38" s="20"/>
      <c r="EB38" s="20"/>
      <c r="EC38" s="20"/>
      <c r="ED38" s="20"/>
      <c r="EE38" s="20"/>
      <c r="EF38" s="20"/>
      <c r="EG38" s="20"/>
      <c r="EH38" s="20"/>
      <c r="EI38" s="9"/>
      <c r="EJ38" s="9"/>
      <c r="EM38" s="8">
        <v>28</v>
      </c>
      <c r="EN38" s="17"/>
      <c r="EO38" s="18"/>
      <c r="EP38" s="18"/>
      <c r="EQ38" s="18"/>
      <c r="ER38" s="18"/>
      <c r="ES38" s="19"/>
      <c r="ET38" s="20"/>
      <c r="EU38" s="20"/>
      <c r="EV38" s="20"/>
      <c r="EW38" s="20"/>
      <c r="EX38" s="20"/>
      <c r="EY38" s="20"/>
      <c r="EZ38" s="20"/>
      <c r="FA38" s="20"/>
      <c r="FB38" s="20"/>
      <c r="FC38" s="20"/>
      <c r="FD38" s="20"/>
      <c r="FE38" s="20"/>
      <c r="FF38" s="20"/>
      <c r="FG38" s="9"/>
      <c r="FH38" s="9"/>
      <c r="FJ38" s="8">
        <v>20</v>
      </c>
      <c r="FK38" s="17"/>
      <c r="FL38" s="18"/>
      <c r="FM38" s="18"/>
      <c r="FN38" s="18"/>
      <c r="FO38" s="18"/>
      <c r="FP38" s="19"/>
      <c r="FQ38" s="20"/>
      <c r="FR38" s="20"/>
      <c r="FS38" s="20"/>
      <c r="FT38" s="20"/>
      <c r="FU38" s="20"/>
      <c r="FV38" s="20"/>
      <c r="FW38" s="20"/>
      <c r="FX38" s="20"/>
      <c r="FY38" s="20"/>
      <c r="FZ38" s="20"/>
      <c r="GA38" s="20"/>
      <c r="GB38" s="20"/>
      <c r="GC38" s="20"/>
      <c r="GD38" s="9"/>
      <c r="GE38" s="9"/>
      <c r="GH38" s="8">
        <v>28</v>
      </c>
      <c r="GI38" s="17"/>
      <c r="GJ38" s="18"/>
      <c r="GK38" s="18"/>
      <c r="GL38" s="18"/>
      <c r="GM38" s="18"/>
      <c r="GN38" s="19"/>
      <c r="GO38" s="20"/>
      <c r="GP38" s="20"/>
      <c r="GQ38" s="20"/>
      <c r="GR38" s="20"/>
      <c r="GS38" s="20"/>
      <c r="GT38" s="20"/>
      <c r="GU38" s="20"/>
      <c r="GV38" s="20"/>
      <c r="GW38" s="20"/>
      <c r="GX38" s="20"/>
      <c r="GY38" s="20"/>
      <c r="GZ38" s="20"/>
      <c r="HA38" s="20"/>
      <c r="HB38" s="9"/>
      <c r="HC38" s="9"/>
      <c r="HE38" s="8">
        <v>20</v>
      </c>
      <c r="HF38" s="17"/>
      <c r="HG38" s="18"/>
      <c r="HH38" s="18"/>
      <c r="HI38" s="18"/>
      <c r="HJ38" s="18"/>
      <c r="HK38" s="19"/>
      <c r="HL38" s="20"/>
      <c r="HM38" s="20"/>
      <c r="HN38" s="20"/>
      <c r="HO38" s="20"/>
      <c r="HP38" s="20"/>
      <c r="HQ38" s="20"/>
      <c r="HR38" s="20"/>
      <c r="HS38" s="20"/>
      <c r="HT38" s="20"/>
      <c r="HU38" s="20"/>
      <c r="HV38" s="20"/>
      <c r="HW38" s="20"/>
      <c r="HX38" s="20"/>
      <c r="HY38" s="9"/>
      <c r="HZ38" s="9"/>
    </row>
    <row r="39" customHeight="1" spans="2:234">
      <c r="B39" s="5">
        <v>29</v>
      </c>
      <c r="C39" s="12"/>
      <c r="D39" s="13"/>
      <c r="E39" s="13"/>
      <c r="F39" s="13"/>
      <c r="G39" s="13"/>
      <c r="H39" s="14"/>
      <c r="I39" s="15"/>
      <c r="J39" s="15"/>
      <c r="K39" s="15"/>
      <c r="L39" s="15"/>
      <c r="M39" s="15"/>
      <c r="N39" s="15"/>
      <c r="O39" s="15"/>
      <c r="P39" s="15"/>
      <c r="Q39" s="15"/>
      <c r="R39" s="15"/>
      <c r="S39" s="15"/>
      <c r="T39" s="15"/>
      <c r="U39" s="15"/>
      <c r="V39" s="6"/>
      <c r="W39" s="6"/>
      <c r="Y39" s="5">
        <v>21</v>
      </c>
      <c r="Z39" s="12"/>
      <c r="AA39" s="13"/>
      <c r="AB39" s="13"/>
      <c r="AC39" s="13"/>
      <c r="AD39" s="13"/>
      <c r="AE39" s="14"/>
      <c r="AF39" s="15"/>
      <c r="AG39" s="15"/>
      <c r="AH39" s="15"/>
      <c r="AI39" s="15"/>
      <c r="AJ39" s="15"/>
      <c r="AK39" s="15"/>
      <c r="AL39" s="15"/>
      <c r="AM39" s="15"/>
      <c r="AN39" s="15"/>
      <c r="AO39" s="15"/>
      <c r="AP39" s="15"/>
      <c r="AQ39" s="15"/>
      <c r="AR39" s="15"/>
      <c r="AS39" s="6"/>
      <c r="AT39" s="6"/>
      <c r="AW39" s="5">
        <v>29</v>
      </c>
      <c r="AX39" s="12"/>
      <c r="AY39" s="13"/>
      <c r="AZ39" s="13"/>
      <c r="BA39" s="13"/>
      <c r="BB39" s="13"/>
      <c r="BC39" s="14"/>
      <c r="BD39" s="15"/>
      <c r="BE39" s="15"/>
      <c r="BF39" s="15"/>
      <c r="BG39" s="15"/>
      <c r="BH39" s="15"/>
      <c r="BI39" s="15"/>
      <c r="BJ39" s="15"/>
      <c r="BK39" s="15"/>
      <c r="BL39" s="15"/>
      <c r="BM39" s="15"/>
      <c r="BN39" s="15"/>
      <c r="BO39" s="15"/>
      <c r="BP39" s="15"/>
      <c r="BQ39" s="6"/>
      <c r="BR39" s="6"/>
      <c r="BT39" s="5">
        <v>21</v>
      </c>
      <c r="BU39" s="12"/>
      <c r="BV39" s="13"/>
      <c r="BW39" s="13"/>
      <c r="BX39" s="13"/>
      <c r="BY39" s="13"/>
      <c r="BZ39" s="14"/>
      <c r="CA39" s="15"/>
      <c r="CB39" s="15"/>
      <c r="CC39" s="15"/>
      <c r="CD39" s="15"/>
      <c r="CE39" s="15"/>
      <c r="CF39" s="15"/>
      <c r="CG39" s="15"/>
      <c r="CH39" s="15"/>
      <c r="CI39" s="15"/>
      <c r="CJ39" s="15"/>
      <c r="CK39" s="15"/>
      <c r="CL39" s="15"/>
      <c r="CM39" s="15"/>
      <c r="CN39" s="6"/>
      <c r="CO39" s="6"/>
      <c r="CR39" s="5">
        <v>29</v>
      </c>
      <c r="CS39" s="12"/>
      <c r="CT39" s="13"/>
      <c r="CU39" s="13"/>
      <c r="CV39" s="13"/>
      <c r="CW39" s="13"/>
      <c r="CX39" s="14"/>
      <c r="CY39" s="15"/>
      <c r="CZ39" s="15"/>
      <c r="DA39" s="15"/>
      <c r="DB39" s="15"/>
      <c r="DC39" s="15"/>
      <c r="DD39" s="15"/>
      <c r="DE39" s="15"/>
      <c r="DF39" s="15"/>
      <c r="DG39" s="15"/>
      <c r="DH39" s="15"/>
      <c r="DI39" s="15"/>
      <c r="DJ39" s="15"/>
      <c r="DK39" s="15"/>
      <c r="DL39" s="6"/>
      <c r="DM39" s="6"/>
      <c r="DO39" s="5">
        <v>21</v>
      </c>
      <c r="DP39" s="12"/>
      <c r="DQ39" s="13"/>
      <c r="DR39" s="13"/>
      <c r="DS39" s="13"/>
      <c r="DT39" s="13"/>
      <c r="DU39" s="14"/>
      <c r="DV39" s="15"/>
      <c r="DW39" s="15"/>
      <c r="DX39" s="15"/>
      <c r="DY39" s="15"/>
      <c r="DZ39" s="15"/>
      <c r="EA39" s="15"/>
      <c r="EB39" s="15"/>
      <c r="EC39" s="15"/>
      <c r="ED39" s="15"/>
      <c r="EE39" s="15"/>
      <c r="EF39" s="15"/>
      <c r="EG39" s="15"/>
      <c r="EH39" s="15"/>
      <c r="EI39" s="6"/>
      <c r="EJ39" s="6"/>
      <c r="EM39" s="5">
        <v>29</v>
      </c>
      <c r="EN39" s="12"/>
      <c r="EO39" s="13"/>
      <c r="EP39" s="13"/>
      <c r="EQ39" s="13"/>
      <c r="ER39" s="13"/>
      <c r="ES39" s="14"/>
      <c r="ET39" s="15"/>
      <c r="EU39" s="15"/>
      <c r="EV39" s="15"/>
      <c r="EW39" s="15"/>
      <c r="EX39" s="15"/>
      <c r="EY39" s="15"/>
      <c r="EZ39" s="15"/>
      <c r="FA39" s="15"/>
      <c r="FB39" s="15"/>
      <c r="FC39" s="15"/>
      <c r="FD39" s="15"/>
      <c r="FE39" s="15"/>
      <c r="FF39" s="15"/>
      <c r="FG39" s="6"/>
      <c r="FH39" s="6"/>
      <c r="FJ39" s="5">
        <v>21</v>
      </c>
      <c r="FK39" s="12"/>
      <c r="FL39" s="13"/>
      <c r="FM39" s="13"/>
      <c r="FN39" s="13"/>
      <c r="FO39" s="13"/>
      <c r="FP39" s="14"/>
      <c r="FQ39" s="15"/>
      <c r="FR39" s="15"/>
      <c r="FS39" s="15"/>
      <c r="FT39" s="15"/>
      <c r="FU39" s="15"/>
      <c r="FV39" s="15"/>
      <c r="FW39" s="15"/>
      <c r="FX39" s="15"/>
      <c r="FY39" s="15"/>
      <c r="FZ39" s="15"/>
      <c r="GA39" s="15"/>
      <c r="GB39" s="15"/>
      <c r="GC39" s="15"/>
      <c r="GD39" s="6"/>
      <c r="GE39" s="6"/>
      <c r="GH39" s="5">
        <v>29</v>
      </c>
      <c r="GI39" s="12"/>
      <c r="GJ39" s="13"/>
      <c r="GK39" s="13"/>
      <c r="GL39" s="13"/>
      <c r="GM39" s="13"/>
      <c r="GN39" s="14"/>
      <c r="GO39" s="15"/>
      <c r="GP39" s="15"/>
      <c r="GQ39" s="15"/>
      <c r="GR39" s="15"/>
      <c r="GS39" s="15"/>
      <c r="GT39" s="15"/>
      <c r="GU39" s="15"/>
      <c r="GV39" s="15"/>
      <c r="GW39" s="15"/>
      <c r="GX39" s="15"/>
      <c r="GY39" s="15"/>
      <c r="GZ39" s="15"/>
      <c r="HA39" s="15"/>
      <c r="HB39" s="6"/>
      <c r="HC39" s="6"/>
      <c r="HE39" s="5">
        <v>21</v>
      </c>
      <c r="HF39" s="12"/>
      <c r="HG39" s="13"/>
      <c r="HH39" s="13"/>
      <c r="HI39" s="13"/>
      <c r="HJ39" s="13"/>
      <c r="HK39" s="14"/>
      <c r="HL39" s="15"/>
      <c r="HM39" s="15"/>
      <c r="HN39" s="15"/>
      <c r="HO39" s="15"/>
      <c r="HP39" s="15"/>
      <c r="HQ39" s="15"/>
      <c r="HR39" s="15"/>
      <c r="HS39" s="15"/>
      <c r="HT39" s="15"/>
      <c r="HU39" s="15"/>
      <c r="HV39" s="15"/>
      <c r="HW39" s="15"/>
      <c r="HX39" s="15"/>
      <c r="HY39" s="6"/>
      <c r="HZ39" s="6"/>
    </row>
    <row r="40" customHeight="1" spans="2:234">
      <c r="B40" s="8">
        <v>30</v>
      </c>
      <c r="C40" s="17"/>
      <c r="D40" s="18"/>
      <c r="E40" s="18"/>
      <c r="F40" s="18"/>
      <c r="G40" s="18"/>
      <c r="H40" s="19"/>
      <c r="I40" s="20"/>
      <c r="J40" s="20"/>
      <c r="K40" s="20"/>
      <c r="L40" s="20"/>
      <c r="M40" s="20"/>
      <c r="N40" s="20"/>
      <c r="O40" s="20"/>
      <c r="P40" s="20"/>
      <c r="Q40" s="20"/>
      <c r="R40" s="20"/>
      <c r="S40" s="20"/>
      <c r="T40" s="20"/>
      <c r="U40" s="20"/>
      <c r="V40" s="9"/>
      <c r="W40" s="9"/>
      <c r="Y40" s="8">
        <v>22</v>
      </c>
      <c r="Z40" s="17"/>
      <c r="AA40" s="18"/>
      <c r="AB40" s="18"/>
      <c r="AC40" s="18"/>
      <c r="AD40" s="18"/>
      <c r="AE40" s="19"/>
      <c r="AF40" s="20"/>
      <c r="AG40" s="20"/>
      <c r="AH40" s="20"/>
      <c r="AI40" s="20"/>
      <c r="AJ40" s="20"/>
      <c r="AK40" s="20"/>
      <c r="AL40" s="20"/>
      <c r="AM40" s="20"/>
      <c r="AN40" s="20"/>
      <c r="AO40" s="20"/>
      <c r="AP40" s="20"/>
      <c r="AQ40" s="20"/>
      <c r="AR40" s="20"/>
      <c r="AS40" s="9"/>
      <c r="AT40" s="9"/>
      <c r="AW40" s="8">
        <v>30</v>
      </c>
      <c r="AX40" s="17"/>
      <c r="AY40" s="18"/>
      <c r="AZ40" s="18"/>
      <c r="BA40" s="18"/>
      <c r="BB40" s="18"/>
      <c r="BC40" s="19"/>
      <c r="BD40" s="20"/>
      <c r="BE40" s="20"/>
      <c r="BF40" s="20"/>
      <c r="BG40" s="20"/>
      <c r="BH40" s="20"/>
      <c r="BI40" s="20"/>
      <c r="BJ40" s="20"/>
      <c r="BK40" s="20"/>
      <c r="BL40" s="20"/>
      <c r="BM40" s="20"/>
      <c r="BN40" s="20"/>
      <c r="BO40" s="20"/>
      <c r="BP40" s="20"/>
      <c r="BQ40" s="9"/>
      <c r="BR40" s="9"/>
      <c r="BT40" s="8">
        <v>22</v>
      </c>
      <c r="BU40" s="17"/>
      <c r="BV40" s="18"/>
      <c r="BW40" s="18"/>
      <c r="BX40" s="18"/>
      <c r="BY40" s="18"/>
      <c r="BZ40" s="19"/>
      <c r="CA40" s="20"/>
      <c r="CB40" s="20"/>
      <c r="CC40" s="20"/>
      <c r="CD40" s="20"/>
      <c r="CE40" s="20"/>
      <c r="CF40" s="20"/>
      <c r="CG40" s="20"/>
      <c r="CH40" s="20"/>
      <c r="CI40" s="20"/>
      <c r="CJ40" s="20"/>
      <c r="CK40" s="20"/>
      <c r="CL40" s="20"/>
      <c r="CM40" s="20"/>
      <c r="CN40" s="9"/>
      <c r="CO40" s="9"/>
      <c r="CR40" s="8">
        <v>30</v>
      </c>
      <c r="CS40" s="17"/>
      <c r="CT40" s="18"/>
      <c r="CU40" s="18"/>
      <c r="CV40" s="18"/>
      <c r="CW40" s="18"/>
      <c r="CX40" s="19"/>
      <c r="CY40" s="20"/>
      <c r="CZ40" s="20"/>
      <c r="DA40" s="20"/>
      <c r="DB40" s="20"/>
      <c r="DC40" s="20"/>
      <c r="DD40" s="20"/>
      <c r="DE40" s="20"/>
      <c r="DF40" s="20"/>
      <c r="DG40" s="20"/>
      <c r="DH40" s="20"/>
      <c r="DI40" s="20"/>
      <c r="DJ40" s="20"/>
      <c r="DK40" s="20"/>
      <c r="DL40" s="9"/>
      <c r="DM40" s="9"/>
      <c r="DO40" s="8">
        <v>22</v>
      </c>
      <c r="DP40" s="17"/>
      <c r="DQ40" s="18"/>
      <c r="DR40" s="18"/>
      <c r="DS40" s="18"/>
      <c r="DT40" s="18"/>
      <c r="DU40" s="19"/>
      <c r="DV40" s="20"/>
      <c r="DW40" s="20"/>
      <c r="DX40" s="20"/>
      <c r="DY40" s="20"/>
      <c r="DZ40" s="20"/>
      <c r="EA40" s="20"/>
      <c r="EB40" s="20"/>
      <c r="EC40" s="20"/>
      <c r="ED40" s="20"/>
      <c r="EE40" s="20"/>
      <c r="EF40" s="20"/>
      <c r="EG40" s="20"/>
      <c r="EH40" s="20"/>
      <c r="EI40" s="9"/>
      <c r="EJ40" s="9"/>
      <c r="EM40" s="8">
        <v>30</v>
      </c>
      <c r="EN40" s="17"/>
      <c r="EO40" s="18"/>
      <c r="EP40" s="18"/>
      <c r="EQ40" s="18"/>
      <c r="ER40" s="18"/>
      <c r="ES40" s="19"/>
      <c r="ET40" s="20"/>
      <c r="EU40" s="20"/>
      <c r="EV40" s="20"/>
      <c r="EW40" s="20"/>
      <c r="EX40" s="20"/>
      <c r="EY40" s="20"/>
      <c r="EZ40" s="20"/>
      <c r="FA40" s="20"/>
      <c r="FB40" s="20"/>
      <c r="FC40" s="20"/>
      <c r="FD40" s="20"/>
      <c r="FE40" s="20"/>
      <c r="FF40" s="20"/>
      <c r="FG40" s="9"/>
      <c r="FH40" s="9"/>
      <c r="FJ40" s="8">
        <v>22</v>
      </c>
      <c r="FK40" s="17"/>
      <c r="FL40" s="18"/>
      <c r="FM40" s="18"/>
      <c r="FN40" s="18"/>
      <c r="FO40" s="18"/>
      <c r="FP40" s="19"/>
      <c r="FQ40" s="20"/>
      <c r="FR40" s="20"/>
      <c r="FS40" s="20"/>
      <c r="FT40" s="20"/>
      <c r="FU40" s="20"/>
      <c r="FV40" s="20"/>
      <c r="FW40" s="20"/>
      <c r="FX40" s="20"/>
      <c r="FY40" s="20"/>
      <c r="FZ40" s="20"/>
      <c r="GA40" s="20"/>
      <c r="GB40" s="20"/>
      <c r="GC40" s="20"/>
      <c r="GD40" s="9"/>
      <c r="GE40" s="9"/>
      <c r="GH40" s="8">
        <v>30</v>
      </c>
      <c r="GI40" s="17"/>
      <c r="GJ40" s="18"/>
      <c r="GK40" s="18"/>
      <c r="GL40" s="18"/>
      <c r="GM40" s="18"/>
      <c r="GN40" s="19"/>
      <c r="GO40" s="20"/>
      <c r="GP40" s="20"/>
      <c r="GQ40" s="20"/>
      <c r="GR40" s="20"/>
      <c r="GS40" s="20"/>
      <c r="GT40" s="20"/>
      <c r="GU40" s="20"/>
      <c r="GV40" s="20"/>
      <c r="GW40" s="20"/>
      <c r="GX40" s="20"/>
      <c r="GY40" s="20"/>
      <c r="GZ40" s="20"/>
      <c r="HA40" s="20"/>
      <c r="HB40" s="9"/>
      <c r="HC40" s="9"/>
      <c r="HE40" s="8">
        <v>22</v>
      </c>
      <c r="HF40" s="17"/>
      <c r="HG40" s="18"/>
      <c r="HH40" s="18"/>
      <c r="HI40" s="18"/>
      <c r="HJ40" s="18"/>
      <c r="HK40" s="19"/>
      <c r="HL40" s="20"/>
      <c r="HM40" s="20"/>
      <c r="HN40" s="20"/>
      <c r="HO40" s="20"/>
      <c r="HP40" s="20"/>
      <c r="HQ40" s="20"/>
      <c r="HR40" s="20"/>
      <c r="HS40" s="20"/>
      <c r="HT40" s="20"/>
      <c r="HU40" s="20"/>
      <c r="HV40" s="20"/>
      <c r="HW40" s="20"/>
      <c r="HX40" s="20"/>
      <c r="HY40" s="9"/>
      <c r="HZ40" s="9"/>
    </row>
    <row r="41" customHeight="1" spans="2:234">
      <c r="B41" s="5">
        <v>31</v>
      </c>
      <c r="C41" s="12"/>
      <c r="D41" s="13"/>
      <c r="E41" s="13"/>
      <c r="F41" s="13"/>
      <c r="G41" s="13"/>
      <c r="H41" s="14"/>
      <c r="I41" s="15"/>
      <c r="J41" s="15"/>
      <c r="K41" s="15"/>
      <c r="L41" s="15"/>
      <c r="M41" s="15"/>
      <c r="N41" s="15"/>
      <c r="O41" s="15"/>
      <c r="P41" s="15"/>
      <c r="Q41" s="15"/>
      <c r="R41" s="15"/>
      <c r="S41" s="15"/>
      <c r="T41" s="15"/>
      <c r="U41" s="15"/>
      <c r="V41" s="6"/>
      <c r="W41" s="6"/>
      <c r="Y41" s="5">
        <v>23</v>
      </c>
      <c r="Z41" s="12"/>
      <c r="AA41" s="13"/>
      <c r="AB41" s="13"/>
      <c r="AC41" s="13"/>
      <c r="AD41" s="13"/>
      <c r="AE41" s="14"/>
      <c r="AF41" s="15"/>
      <c r="AG41" s="15"/>
      <c r="AH41" s="15"/>
      <c r="AI41" s="15"/>
      <c r="AJ41" s="15"/>
      <c r="AK41" s="15"/>
      <c r="AL41" s="15"/>
      <c r="AM41" s="15"/>
      <c r="AN41" s="15"/>
      <c r="AO41" s="15"/>
      <c r="AP41" s="15"/>
      <c r="AQ41" s="15"/>
      <c r="AR41" s="15"/>
      <c r="AS41" s="6"/>
      <c r="AT41" s="6"/>
      <c r="AW41" s="5">
        <v>31</v>
      </c>
      <c r="AX41" s="12"/>
      <c r="AY41" s="13"/>
      <c r="AZ41" s="13"/>
      <c r="BA41" s="13"/>
      <c r="BB41" s="13"/>
      <c r="BC41" s="14"/>
      <c r="BD41" s="15"/>
      <c r="BE41" s="15"/>
      <c r="BF41" s="15"/>
      <c r="BG41" s="15"/>
      <c r="BH41" s="15"/>
      <c r="BI41" s="15"/>
      <c r="BJ41" s="15"/>
      <c r="BK41" s="15"/>
      <c r="BL41" s="15"/>
      <c r="BM41" s="15"/>
      <c r="BN41" s="15"/>
      <c r="BO41" s="15"/>
      <c r="BP41" s="15"/>
      <c r="BQ41" s="6"/>
      <c r="BR41" s="6"/>
      <c r="BT41" s="5">
        <v>23</v>
      </c>
      <c r="BU41" s="12"/>
      <c r="BV41" s="13"/>
      <c r="BW41" s="13"/>
      <c r="BX41" s="13"/>
      <c r="BY41" s="13"/>
      <c r="BZ41" s="14"/>
      <c r="CA41" s="15"/>
      <c r="CB41" s="15"/>
      <c r="CC41" s="15"/>
      <c r="CD41" s="15"/>
      <c r="CE41" s="15"/>
      <c r="CF41" s="15"/>
      <c r="CG41" s="15"/>
      <c r="CH41" s="15"/>
      <c r="CI41" s="15"/>
      <c r="CJ41" s="15"/>
      <c r="CK41" s="15"/>
      <c r="CL41" s="15"/>
      <c r="CM41" s="15"/>
      <c r="CN41" s="6"/>
      <c r="CO41" s="6"/>
      <c r="CR41" s="5">
        <v>31</v>
      </c>
      <c r="CS41" s="12"/>
      <c r="CT41" s="13"/>
      <c r="CU41" s="13"/>
      <c r="CV41" s="13"/>
      <c r="CW41" s="13"/>
      <c r="CX41" s="14"/>
      <c r="CY41" s="15"/>
      <c r="CZ41" s="15"/>
      <c r="DA41" s="15"/>
      <c r="DB41" s="15"/>
      <c r="DC41" s="15"/>
      <c r="DD41" s="15"/>
      <c r="DE41" s="15"/>
      <c r="DF41" s="15"/>
      <c r="DG41" s="15"/>
      <c r="DH41" s="15"/>
      <c r="DI41" s="15"/>
      <c r="DJ41" s="15"/>
      <c r="DK41" s="15"/>
      <c r="DL41" s="6"/>
      <c r="DM41" s="6"/>
      <c r="DO41" s="5">
        <v>23</v>
      </c>
      <c r="DP41" s="12"/>
      <c r="DQ41" s="13"/>
      <c r="DR41" s="13"/>
      <c r="DS41" s="13"/>
      <c r="DT41" s="13"/>
      <c r="DU41" s="14"/>
      <c r="DV41" s="15"/>
      <c r="DW41" s="15"/>
      <c r="DX41" s="15"/>
      <c r="DY41" s="15"/>
      <c r="DZ41" s="15"/>
      <c r="EA41" s="15"/>
      <c r="EB41" s="15"/>
      <c r="EC41" s="15"/>
      <c r="ED41" s="15"/>
      <c r="EE41" s="15"/>
      <c r="EF41" s="15"/>
      <c r="EG41" s="15"/>
      <c r="EH41" s="15"/>
      <c r="EI41" s="6"/>
      <c r="EJ41" s="6"/>
      <c r="EM41" s="5">
        <v>31</v>
      </c>
      <c r="EN41" s="12"/>
      <c r="EO41" s="13"/>
      <c r="EP41" s="13"/>
      <c r="EQ41" s="13"/>
      <c r="ER41" s="13"/>
      <c r="ES41" s="14"/>
      <c r="ET41" s="15"/>
      <c r="EU41" s="15"/>
      <c r="EV41" s="15"/>
      <c r="EW41" s="15"/>
      <c r="EX41" s="15"/>
      <c r="EY41" s="15"/>
      <c r="EZ41" s="15"/>
      <c r="FA41" s="15"/>
      <c r="FB41" s="15"/>
      <c r="FC41" s="15"/>
      <c r="FD41" s="15"/>
      <c r="FE41" s="15"/>
      <c r="FF41" s="15"/>
      <c r="FG41" s="6"/>
      <c r="FH41" s="6"/>
      <c r="FJ41" s="5">
        <v>23</v>
      </c>
      <c r="FK41" s="12"/>
      <c r="FL41" s="13"/>
      <c r="FM41" s="13"/>
      <c r="FN41" s="13"/>
      <c r="FO41" s="13"/>
      <c r="FP41" s="14"/>
      <c r="FQ41" s="15"/>
      <c r="FR41" s="15"/>
      <c r="FS41" s="15"/>
      <c r="FT41" s="15"/>
      <c r="FU41" s="15"/>
      <c r="FV41" s="15"/>
      <c r="FW41" s="15"/>
      <c r="FX41" s="15"/>
      <c r="FY41" s="15"/>
      <c r="FZ41" s="15"/>
      <c r="GA41" s="15"/>
      <c r="GB41" s="15"/>
      <c r="GC41" s="15"/>
      <c r="GD41" s="6"/>
      <c r="GE41" s="6"/>
      <c r="GH41" s="5">
        <v>31</v>
      </c>
      <c r="GI41" s="12"/>
      <c r="GJ41" s="13"/>
      <c r="GK41" s="13"/>
      <c r="GL41" s="13"/>
      <c r="GM41" s="13"/>
      <c r="GN41" s="14"/>
      <c r="GO41" s="15"/>
      <c r="GP41" s="15"/>
      <c r="GQ41" s="15"/>
      <c r="GR41" s="15"/>
      <c r="GS41" s="15"/>
      <c r="GT41" s="15"/>
      <c r="GU41" s="15"/>
      <c r="GV41" s="15"/>
      <c r="GW41" s="15"/>
      <c r="GX41" s="15"/>
      <c r="GY41" s="15"/>
      <c r="GZ41" s="15"/>
      <c r="HA41" s="15"/>
      <c r="HB41" s="6"/>
      <c r="HC41" s="6"/>
      <c r="HE41" s="5">
        <v>23</v>
      </c>
      <c r="HF41" s="12"/>
      <c r="HG41" s="13"/>
      <c r="HH41" s="13"/>
      <c r="HI41" s="13"/>
      <c r="HJ41" s="13"/>
      <c r="HK41" s="14"/>
      <c r="HL41" s="15"/>
      <c r="HM41" s="15"/>
      <c r="HN41" s="15"/>
      <c r="HO41" s="15"/>
      <c r="HP41" s="15"/>
      <c r="HQ41" s="15"/>
      <c r="HR41" s="15"/>
      <c r="HS41" s="15"/>
      <c r="HT41" s="15"/>
      <c r="HU41" s="15"/>
      <c r="HV41" s="15"/>
      <c r="HW41" s="15"/>
      <c r="HX41" s="15"/>
      <c r="HY41" s="6"/>
      <c r="HZ41" s="6"/>
    </row>
    <row r="42" customHeight="1" spans="2:234">
      <c r="B42" s="8">
        <v>32</v>
      </c>
      <c r="C42" s="17"/>
      <c r="D42" s="18"/>
      <c r="E42" s="18"/>
      <c r="F42" s="18"/>
      <c r="G42" s="18"/>
      <c r="H42" s="19"/>
      <c r="I42" s="20"/>
      <c r="J42" s="20"/>
      <c r="K42" s="20"/>
      <c r="L42" s="20"/>
      <c r="M42" s="20"/>
      <c r="N42" s="20"/>
      <c r="O42" s="20"/>
      <c r="P42" s="20"/>
      <c r="Q42" s="20"/>
      <c r="R42" s="20"/>
      <c r="S42" s="20"/>
      <c r="T42" s="20"/>
      <c r="U42" s="20"/>
      <c r="V42" s="9"/>
      <c r="W42" s="9"/>
      <c r="Y42" s="8">
        <v>24</v>
      </c>
      <c r="Z42" s="17"/>
      <c r="AA42" s="18"/>
      <c r="AB42" s="18"/>
      <c r="AC42" s="18"/>
      <c r="AD42" s="18"/>
      <c r="AE42" s="19"/>
      <c r="AF42" s="20"/>
      <c r="AG42" s="20"/>
      <c r="AH42" s="20"/>
      <c r="AI42" s="20"/>
      <c r="AJ42" s="20"/>
      <c r="AK42" s="20"/>
      <c r="AL42" s="20"/>
      <c r="AM42" s="20"/>
      <c r="AN42" s="20"/>
      <c r="AO42" s="20"/>
      <c r="AP42" s="20"/>
      <c r="AQ42" s="20"/>
      <c r="AR42" s="20"/>
      <c r="AS42" s="9"/>
      <c r="AT42" s="9"/>
      <c r="AW42" s="8">
        <v>32</v>
      </c>
      <c r="AX42" s="17"/>
      <c r="AY42" s="18"/>
      <c r="AZ42" s="18"/>
      <c r="BA42" s="18"/>
      <c r="BB42" s="18"/>
      <c r="BC42" s="19"/>
      <c r="BD42" s="20"/>
      <c r="BE42" s="20"/>
      <c r="BF42" s="20"/>
      <c r="BG42" s="20"/>
      <c r="BH42" s="20"/>
      <c r="BI42" s="20"/>
      <c r="BJ42" s="20"/>
      <c r="BK42" s="20"/>
      <c r="BL42" s="20"/>
      <c r="BM42" s="20"/>
      <c r="BN42" s="20"/>
      <c r="BO42" s="20"/>
      <c r="BP42" s="20"/>
      <c r="BQ42" s="9"/>
      <c r="BR42" s="9"/>
      <c r="BT42" s="8">
        <v>24</v>
      </c>
      <c r="BU42" s="17"/>
      <c r="BV42" s="18"/>
      <c r="BW42" s="18"/>
      <c r="BX42" s="18"/>
      <c r="BY42" s="18"/>
      <c r="BZ42" s="19"/>
      <c r="CA42" s="20"/>
      <c r="CB42" s="20"/>
      <c r="CC42" s="20"/>
      <c r="CD42" s="20"/>
      <c r="CE42" s="20"/>
      <c r="CF42" s="20"/>
      <c r="CG42" s="20"/>
      <c r="CH42" s="20"/>
      <c r="CI42" s="20"/>
      <c r="CJ42" s="20"/>
      <c r="CK42" s="20"/>
      <c r="CL42" s="20"/>
      <c r="CM42" s="20"/>
      <c r="CN42" s="9"/>
      <c r="CO42" s="9"/>
      <c r="CR42" s="8">
        <v>32</v>
      </c>
      <c r="CS42" s="17"/>
      <c r="CT42" s="18"/>
      <c r="CU42" s="18"/>
      <c r="CV42" s="18"/>
      <c r="CW42" s="18"/>
      <c r="CX42" s="19"/>
      <c r="CY42" s="20"/>
      <c r="CZ42" s="20"/>
      <c r="DA42" s="20"/>
      <c r="DB42" s="20"/>
      <c r="DC42" s="20"/>
      <c r="DD42" s="20"/>
      <c r="DE42" s="20"/>
      <c r="DF42" s="20"/>
      <c r="DG42" s="20"/>
      <c r="DH42" s="20"/>
      <c r="DI42" s="20"/>
      <c r="DJ42" s="20"/>
      <c r="DK42" s="20"/>
      <c r="DL42" s="9"/>
      <c r="DM42" s="9"/>
      <c r="DO42" s="8">
        <v>24</v>
      </c>
      <c r="DP42" s="17"/>
      <c r="DQ42" s="18"/>
      <c r="DR42" s="18"/>
      <c r="DS42" s="18"/>
      <c r="DT42" s="18"/>
      <c r="DU42" s="19"/>
      <c r="DV42" s="20"/>
      <c r="DW42" s="20"/>
      <c r="DX42" s="20"/>
      <c r="DY42" s="20"/>
      <c r="DZ42" s="20"/>
      <c r="EA42" s="20"/>
      <c r="EB42" s="20"/>
      <c r="EC42" s="20"/>
      <c r="ED42" s="20"/>
      <c r="EE42" s="20"/>
      <c r="EF42" s="20"/>
      <c r="EG42" s="20"/>
      <c r="EH42" s="20"/>
      <c r="EI42" s="9"/>
      <c r="EJ42" s="9"/>
      <c r="EM42" s="8">
        <v>32</v>
      </c>
      <c r="EN42" s="17"/>
      <c r="EO42" s="18"/>
      <c r="EP42" s="18"/>
      <c r="EQ42" s="18"/>
      <c r="ER42" s="18"/>
      <c r="ES42" s="19"/>
      <c r="ET42" s="20"/>
      <c r="EU42" s="20"/>
      <c r="EV42" s="20"/>
      <c r="EW42" s="20"/>
      <c r="EX42" s="20"/>
      <c r="EY42" s="20"/>
      <c r="EZ42" s="20"/>
      <c r="FA42" s="20"/>
      <c r="FB42" s="20"/>
      <c r="FC42" s="20"/>
      <c r="FD42" s="20"/>
      <c r="FE42" s="20"/>
      <c r="FF42" s="20"/>
      <c r="FG42" s="9"/>
      <c r="FH42" s="9"/>
      <c r="FJ42" s="8">
        <v>24</v>
      </c>
      <c r="FK42" s="17"/>
      <c r="FL42" s="18"/>
      <c r="FM42" s="18"/>
      <c r="FN42" s="18"/>
      <c r="FO42" s="18"/>
      <c r="FP42" s="19"/>
      <c r="FQ42" s="20"/>
      <c r="FR42" s="20"/>
      <c r="FS42" s="20"/>
      <c r="FT42" s="20"/>
      <c r="FU42" s="20"/>
      <c r="FV42" s="20"/>
      <c r="FW42" s="20"/>
      <c r="FX42" s="20"/>
      <c r="FY42" s="20"/>
      <c r="FZ42" s="20"/>
      <c r="GA42" s="20"/>
      <c r="GB42" s="20"/>
      <c r="GC42" s="20"/>
      <c r="GD42" s="9"/>
      <c r="GE42" s="9"/>
      <c r="GH42" s="8">
        <v>32</v>
      </c>
      <c r="GI42" s="17"/>
      <c r="GJ42" s="18"/>
      <c r="GK42" s="18"/>
      <c r="GL42" s="18"/>
      <c r="GM42" s="18"/>
      <c r="GN42" s="19"/>
      <c r="GO42" s="20"/>
      <c r="GP42" s="20"/>
      <c r="GQ42" s="20"/>
      <c r="GR42" s="20"/>
      <c r="GS42" s="20"/>
      <c r="GT42" s="20"/>
      <c r="GU42" s="20"/>
      <c r="GV42" s="20"/>
      <c r="GW42" s="20"/>
      <c r="GX42" s="20"/>
      <c r="GY42" s="20"/>
      <c r="GZ42" s="20"/>
      <c r="HA42" s="20"/>
      <c r="HB42" s="9"/>
      <c r="HC42" s="9"/>
      <c r="HE42" s="8">
        <v>24</v>
      </c>
      <c r="HF42" s="17"/>
      <c r="HG42" s="18"/>
      <c r="HH42" s="18"/>
      <c r="HI42" s="18"/>
      <c r="HJ42" s="18"/>
      <c r="HK42" s="19"/>
      <c r="HL42" s="20"/>
      <c r="HM42" s="20"/>
      <c r="HN42" s="20"/>
      <c r="HO42" s="20"/>
      <c r="HP42" s="20"/>
      <c r="HQ42" s="20"/>
      <c r="HR42" s="20"/>
      <c r="HS42" s="20"/>
      <c r="HT42" s="20"/>
      <c r="HU42" s="20"/>
      <c r="HV42" s="20"/>
      <c r="HW42" s="20"/>
      <c r="HX42" s="20"/>
      <c r="HY42" s="9"/>
      <c r="HZ42" s="9"/>
    </row>
    <row r="43" customHeight="1" spans="2:234">
      <c r="B43" s="5">
        <v>33</v>
      </c>
      <c r="C43" s="12"/>
      <c r="D43" s="13"/>
      <c r="E43" s="13"/>
      <c r="F43" s="13"/>
      <c r="G43" s="13"/>
      <c r="H43" s="14"/>
      <c r="I43" s="15"/>
      <c r="J43" s="15"/>
      <c r="K43" s="15"/>
      <c r="L43" s="15"/>
      <c r="M43" s="15"/>
      <c r="N43" s="15"/>
      <c r="O43" s="15"/>
      <c r="P43" s="15"/>
      <c r="Q43" s="15"/>
      <c r="R43" s="15"/>
      <c r="S43" s="15"/>
      <c r="T43" s="15"/>
      <c r="U43" s="15"/>
      <c r="V43" s="6"/>
      <c r="W43" s="6"/>
      <c r="Y43" s="5">
        <v>25</v>
      </c>
      <c r="Z43" s="12"/>
      <c r="AA43" s="13"/>
      <c r="AB43" s="13"/>
      <c r="AC43" s="13"/>
      <c r="AD43" s="13"/>
      <c r="AE43" s="14"/>
      <c r="AF43" s="15"/>
      <c r="AG43" s="15"/>
      <c r="AH43" s="15"/>
      <c r="AI43" s="15"/>
      <c r="AJ43" s="15"/>
      <c r="AK43" s="15"/>
      <c r="AL43" s="15"/>
      <c r="AM43" s="15"/>
      <c r="AN43" s="15"/>
      <c r="AO43" s="15"/>
      <c r="AP43" s="15"/>
      <c r="AQ43" s="15"/>
      <c r="AR43" s="15"/>
      <c r="AS43" s="6"/>
      <c r="AT43" s="6"/>
      <c r="AW43" s="5">
        <v>33</v>
      </c>
      <c r="AX43" s="12"/>
      <c r="AY43" s="13"/>
      <c r="AZ43" s="13"/>
      <c r="BA43" s="13"/>
      <c r="BB43" s="13"/>
      <c r="BC43" s="14"/>
      <c r="BD43" s="15"/>
      <c r="BE43" s="15"/>
      <c r="BF43" s="15"/>
      <c r="BG43" s="15"/>
      <c r="BH43" s="15"/>
      <c r="BI43" s="15"/>
      <c r="BJ43" s="15"/>
      <c r="BK43" s="15"/>
      <c r="BL43" s="15"/>
      <c r="BM43" s="15"/>
      <c r="BN43" s="15"/>
      <c r="BO43" s="15"/>
      <c r="BP43" s="15"/>
      <c r="BQ43" s="6"/>
      <c r="BR43" s="6"/>
      <c r="BT43" s="5">
        <v>25</v>
      </c>
      <c r="BU43" s="12"/>
      <c r="BV43" s="13"/>
      <c r="BW43" s="13"/>
      <c r="BX43" s="13"/>
      <c r="BY43" s="13"/>
      <c r="BZ43" s="14"/>
      <c r="CA43" s="15"/>
      <c r="CB43" s="15"/>
      <c r="CC43" s="15"/>
      <c r="CD43" s="15"/>
      <c r="CE43" s="15"/>
      <c r="CF43" s="15"/>
      <c r="CG43" s="15"/>
      <c r="CH43" s="15"/>
      <c r="CI43" s="15"/>
      <c r="CJ43" s="15"/>
      <c r="CK43" s="15"/>
      <c r="CL43" s="15"/>
      <c r="CM43" s="15"/>
      <c r="CN43" s="6"/>
      <c r="CO43" s="6"/>
      <c r="CR43" s="5">
        <v>33</v>
      </c>
      <c r="CS43" s="12"/>
      <c r="CT43" s="13"/>
      <c r="CU43" s="13"/>
      <c r="CV43" s="13"/>
      <c r="CW43" s="13"/>
      <c r="CX43" s="14"/>
      <c r="CY43" s="15"/>
      <c r="CZ43" s="15"/>
      <c r="DA43" s="15"/>
      <c r="DB43" s="15"/>
      <c r="DC43" s="15"/>
      <c r="DD43" s="15"/>
      <c r="DE43" s="15"/>
      <c r="DF43" s="15"/>
      <c r="DG43" s="15"/>
      <c r="DH43" s="15"/>
      <c r="DI43" s="15"/>
      <c r="DJ43" s="15"/>
      <c r="DK43" s="15"/>
      <c r="DL43" s="6"/>
      <c r="DM43" s="6"/>
      <c r="DO43" s="5">
        <v>25</v>
      </c>
      <c r="DP43" s="12"/>
      <c r="DQ43" s="13"/>
      <c r="DR43" s="13"/>
      <c r="DS43" s="13"/>
      <c r="DT43" s="13"/>
      <c r="DU43" s="14"/>
      <c r="DV43" s="15"/>
      <c r="DW43" s="15"/>
      <c r="DX43" s="15"/>
      <c r="DY43" s="15"/>
      <c r="DZ43" s="15"/>
      <c r="EA43" s="15"/>
      <c r="EB43" s="15"/>
      <c r="EC43" s="15"/>
      <c r="ED43" s="15"/>
      <c r="EE43" s="15"/>
      <c r="EF43" s="15"/>
      <c r="EG43" s="15"/>
      <c r="EH43" s="15"/>
      <c r="EI43" s="6"/>
      <c r="EJ43" s="6"/>
      <c r="EM43" s="5">
        <v>33</v>
      </c>
      <c r="EN43" s="12"/>
      <c r="EO43" s="13"/>
      <c r="EP43" s="13"/>
      <c r="EQ43" s="13"/>
      <c r="ER43" s="13"/>
      <c r="ES43" s="14"/>
      <c r="ET43" s="15"/>
      <c r="EU43" s="15"/>
      <c r="EV43" s="15"/>
      <c r="EW43" s="15"/>
      <c r="EX43" s="15"/>
      <c r="EY43" s="15"/>
      <c r="EZ43" s="15"/>
      <c r="FA43" s="15"/>
      <c r="FB43" s="15"/>
      <c r="FC43" s="15"/>
      <c r="FD43" s="15"/>
      <c r="FE43" s="15"/>
      <c r="FF43" s="15"/>
      <c r="FG43" s="6"/>
      <c r="FH43" s="6"/>
      <c r="FJ43" s="5">
        <v>25</v>
      </c>
      <c r="FK43" s="12"/>
      <c r="FL43" s="13"/>
      <c r="FM43" s="13"/>
      <c r="FN43" s="13"/>
      <c r="FO43" s="13"/>
      <c r="FP43" s="14"/>
      <c r="FQ43" s="15"/>
      <c r="FR43" s="15"/>
      <c r="FS43" s="15"/>
      <c r="FT43" s="15"/>
      <c r="FU43" s="15"/>
      <c r="FV43" s="15"/>
      <c r="FW43" s="15"/>
      <c r="FX43" s="15"/>
      <c r="FY43" s="15"/>
      <c r="FZ43" s="15"/>
      <c r="GA43" s="15"/>
      <c r="GB43" s="15"/>
      <c r="GC43" s="15"/>
      <c r="GD43" s="6"/>
      <c r="GE43" s="6"/>
      <c r="GH43" s="5">
        <v>33</v>
      </c>
      <c r="GI43" s="12"/>
      <c r="GJ43" s="13"/>
      <c r="GK43" s="13"/>
      <c r="GL43" s="13"/>
      <c r="GM43" s="13"/>
      <c r="GN43" s="14"/>
      <c r="GO43" s="15"/>
      <c r="GP43" s="15"/>
      <c r="GQ43" s="15"/>
      <c r="GR43" s="15"/>
      <c r="GS43" s="15"/>
      <c r="GT43" s="15"/>
      <c r="GU43" s="15"/>
      <c r="GV43" s="15"/>
      <c r="GW43" s="15"/>
      <c r="GX43" s="15"/>
      <c r="GY43" s="15"/>
      <c r="GZ43" s="15"/>
      <c r="HA43" s="15"/>
      <c r="HB43" s="6"/>
      <c r="HC43" s="6"/>
      <c r="HE43" s="5">
        <v>25</v>
      </c>
      <c r="HF43" s="12"/>
      <c r="HG43" s="13"/>
      <c r="HH43" s="13"/>
      <c r="HI43" s="13"/>
      <c r="HJ43" s="13"/>
      <c r="HK43" s="14"/>
      <c r="HL43" s="15"/>
      <c r="HM43" s="15"/>
      <c r="HN43" s="15"/>
      <c r="HO43" s="15"/>
      <c r="HP43" s="15"/>
      <c r="HQ43" s="15"/>
      <c r="HR43" s="15"/>
      <c r="HS43" s="15"/>
      <c r="HT43" s="15"/>
      <c r="HU43" s="15"/>
      <c r="HV43" s="15"/>
      <c r="HW43" s="15"/>
      <c r="HX43" s="15"/>
      <c r="HY43" s="6"/>
      <c r="HZ43" s="6"/>
    </row>
    <row r="44" customHeight="1" spans="2:234">
      <c r="B44" s="8">
        <v>34</v>
      </c>
      <c r="C44" s="17"/>
      <c r="D44" s="18"/>
      <c r="E44" s="18"/>
      <c r="F44" s="18"/>
      <c r="G44" s="18"/>
      <c r="H44" s="19"/>
      <c r="I44" s="20"/>
      <c r="J44" s="20"/>
      <c r="K44" s="20"/>
      <c r="L44" s="20"/>
      <c r="M44" s="20"/>
      <c r="N44" s="20"/>
      <c r="O44" s="20"/>
      <c r="P44" s="20"/>
      <c r="Q44" s="20"/>
      <c r="R44" s="20"/>
      <c r="S44" s="20"/>
      <c r="T44" s="20"/>
      <c r="U44" s="20"/>
      <c r="V44" s="9"/>
      <c r="W44" s="9"/>
      <c r="Y44" s="8">
        <v>26</v>
      </c>
      <c r="Z44" s="17"/>
      <c r="AA44" s="18"/>
      <c r="AB44" s="18"/>
      <c r="AC44" s="18"/>
      <c r="AD44" s="18"/>
      <c r="AE44" s="19"/>
      <c r="AF44" s="20"/>
      <c r="AG44" s="20"/>
      <c r="AH44" s="20"/>
      <c r="AI44" s="20"/>
      <c r="AJ44" s="20"/>
      <c r="AK44" s="20"/>
      <c r="AL44" s="20"/>
      <c r="AM44" s="20"/>
      <c r="AN44" s="20"/>
      <c r="AO44" s="20"/>
      <c r="AP44" s="20"/>
      <c r="AQ44" s="20"/>
      <c r="AR44" s="20"/>
      <c r="AS44" s="9"/>
      <c r="AT44" s="9"/>
      <c r="AW44" s="8">
        <v>34</v>
      </c>
      <c r="AX44" s="17"/>
      <c r="AY44" s="18"/>
      <c r="AZ44" s="18"/>
      <c r="BA44" s="18"/>
      <c r="BB44" s="18"/>
      <c r="BC44" s="19"/>
      <c r="BD44" s="20"/>
      <c r="BE44" s="20"/>
      <c r="BF44" s="20"/>
      <c r="BG44" s="20"/>
      <c r="BH44" s="20"/>
      <c r="BI44" s="20"/>
      <c r="BJ44" s="20"/>
      <c r="BK44" s="20"/>
      <c r="BL44" s="20"/>
      <c r="BM44" s="20"/>
      <c r="BN44" s="20"/>
      <c r="BO44" s="20"/>
      <c r="BP44" s="20"/>
      <c r="BQ44" s="9"/>
      <c r="BR44" s="9"/>
      <c r="BT44" s="8">
        <v>26</v>
      </c>
      <c r="BU44" s="17"/>
      <c r="BV44" s="18"/>
      <c r="BW44" s="18"/>
      <c r="BX44" s="18"/>
      <c r="BY44" s="18"/>
      <c r="BZ44" s="19"/>
      <c r="CA44" s="20"/>
      <c r="CB44" s="20"/>
      <c r="CC44" s="20"/>
      <c r="CD44" s="20"/>
      <c r="CE44" s="20"/>
      <c r="CF44" s="20"/>
      <c r="CG44" s="20"/>
      <c r="CH44" s="20"/>
      <c r="CI44" s="20"/>
      <c r="CJ44" s="20"/>
      <c r="CK44" s="20"/>
      <c r="CL44" s="20"/>
      <c r="CM44" s="20"/>
      <c r="CN44" s="9"/>
      <c r="CO44" s="9"/>
      <c r="CR44" s="8">
        <v>34</v>
      </c>
      <c r="CS44" s="17"/>
      <c r="CT44" s="18"/>
      <c r="CU44" s="18"/>
      <c r="CV44" s="18"/>
      <c r="CW44" s="18"/>
      <c r="CX44" s="19"/>
      <c r="CY44" s="20"/>
      <c r="CZ44" s="20"/>
      <c r="DA44" s="20"/>
      <c r="DB44" s="20"/>
      <c r="DC44" s="20"/>
      <c r="DD44" s="20"/>
      <c r="DE44" s="20"/>
      <c r="DF44" s="20"/>
      <c r="DG44" s="20"/>
      <c r="DH44" s="20"/>
      <c r="DI44" s="20"/>
      <c r="DJ44" s="20"/>
      <c r="DK44" s="20"/>
      <c r="DL44" s="9"/>
      <c r="DM44" s="9"/>
      <c r="DO44" s="8">
        <v>26</v>
      </c>
      <c r="DP44" s="17"/>
      <c r="DQ44" s="18"/>
      <c r="DR44" s="18"/>
      <c r="DS44" s="18"/>
      <c r="DT44" s="18"/>
      <c r="DU44" s="19"/>
      <c r="DV44" s="20"/>
      <c r="DW44" s="20"/>
      <c r="DX44" s="20"/>
      <c r="DY44" s="20"/>
      <c r="DZ44" s="20"/>
      <c r="EA44" s="20"/>
      <c r="EB44" s="20"/>
      <c r="EC44" s="20"/>
      <c r="ED44" s="20"/>
      <c r="EE44" s="20"/>
      <c r="EF44" s="20"/>
      <c r="EG44" s="20"/>
      <c r="EH44" s="20"/>
      <c r="EI44" s="9"/>
      <c r="EJ44" s="9"/>
      <c r="EM44" s="8">
        <v>34</v>
      </c>
      <c r="EN44" s="17"/>
      <c r="EO44" s="18"/>
      <c r="EP44" s="18"/>
      <c r="EQ44" s="18"/>
      <c r="ER44" s="18"/>
      <c r="ES44" s="19"/>
      <c r="ET44" s="20"/>
      <c r="EU44" s="20"/>
      <c r="EV44" s="20"/>
      <c r="EW44" s="20"/>
      <c r="EX44" s="20"/>
      <c r="EY44" s="20"/>
      <c r="EZ44" s="20"/>
      <c r="FA44" s="20"/>
      <c r="FB44" s="20"/>
      <c r="FC44" s="20"/>
      <c r="FD44" s="20"/>
      <c r="FE44" s="20"/>
      <c r="FF44" s="20"/>
      <c r="FG44" s="9"/>
      <c r="FH44" s="9"/>
      <c r="FJ44" s="8">
        <v>26</v>
      </c>
      <c r="FK44" s="17"/>
      <c r="FL44" s="18"/>
      <c r="FM44" s="18"/>
      <c r="FN44" s="18"/>
      <c r="FO44" s="18"/>
      <c r="FP44" s="19"/>
      <c r="FQ44" s="20"/>
      <c r="FR44" s="20"/>
      <c r="FS44" s="20"/>
      <c r="FT44" s="20"/>
      <c r="FU44" s="20"/>
      <c r="FV44" s="20"/>
      <c r="FW44" s="20"/>
      <c r="FX44" s="20"/>
      <c r="FY44" s="20"/>
      <c r="FZ44" s="20"/>
      <c r="GA44" s="20"/>
      <c r="GB44" s="20"/>
      <c r="GC44" s="20"/>
      <c r="GD44" s="9"/>
      <c r="GE44" s="9"/>
      <c r="GH44" s="8">
        <v>34</v>
      </c>
      <c r="GI44" s="17"/>
      <c r="GJ44" s="18"/>
      <c r="GK44" s="18"/>
      <c r="GL44" s="18"/>
      <c r="GM44" s="18"/>
      <c r="GN44" s="19"/>
      <c r="GO44" s="20"/>
      <c r="GP44" s="20"/>
      <c r="GQ44" s="20"/>
      <c r="GR44" s="20"/>
      <c r="GS44" s="20"/>
      <c r="GT44" s="20"/>
      <c r="GU44" s="20"/>
      <c r="GV44" s="20"/>
      <c r="GW44" s="20"/>
      <c r="GX44" s="20"/>
      <c r="GY44" s="20"/>
      <c r="GZ44" s="20"/>
      <c r="HA44" s="20"/>
      <c r="HB44" s="9"/>
      <c r="HC44" s="9"/>
      <c r="HE44" s="8">
        <v>26</v>
      </c>
      <c r="HF44" s="17"/>
      <c r="HG44" s="18"/>
      <c r="HH44" s="18"/>
      <c r="HI44" s="18"/>
      <c r="HJ44" s="18"/>
      <c r="HK44" s="19"/>
      <c r="HL44" s="20"/>
      <c r="HM44" s="20"/>
      <c r="HN44" s="20"/>
      <c r="HO44" s="20"/>
      <c r="HP44" s="20"/>
      <c r="HQ44" s="20"/>
      <c r="HR44" s="20"/>
      <c r="HS44" s="20"/>
      <c r="HT44" s="20"/>
      <c r="HU44" s="20"/>
      <c r="HV44" s="20"/>
      <c r="HW44" s="20"/>
      <c r="HX44" s="20"/>
      <c r="HY44" s="9"/>
      <c r="HZ44" s="9"/>
    </row>
    <row r="45" customHeight="1" spans="2:234">
      <c r="B45" s="5">
        <v>35</v>
      </c>
      <c r="C45" s="12"/>
      <c r="D45" s="13"/>
      <c r="E45" s="13"/>
      <c r="F45" s="13"/>
      <c r="G45" s="13"/>
      <c r="H45" s="14"/>
      <c r="I45" s="15"/>
      <c r="J45" s="15"/>
      <c r="K45" s="15"/>
      <c r="L45" s="15"/>
      <c r="M45" s="15"/>
      <c r="N45" s="15"/>
      <c r="O45" s="15"/>
      <c r="P45" s="15"/>
      <c r="Q45" s="15"/>
      <c r="R45" s="15"/>
      <c r="S45" s="15"/>
      <c r="T45" s="15"/>
      <c r="U45" s="15"/>
      <c r="V45" s="6"/>
      <c r="W45" s="6"/>
      <c r="Y45" s="5">
        <v>27</v>
      </c>
      <c r="Z45" s="12"/>
      <c r="AA45" s="13"/>
      <c r="AB45" s="13"/>
      <c r="AC45" s="13"/>
      <c r="AD45" s="13"/>
      <c r="AE45" s="14"/>
      <c r="AF45" s="15"/>
      <c r="AG45" s="15"/>
      <c r="AH45" s="15"/>
      <c r="AI45" s="15"/>
      <c r="AJ45" s="15"/>
      <c r="AK45" s="15"/>
      <c r="AL45" s="15"/>
      <c r="AM45" s="15"/>
      <c r="AN45" s="15"/>
      <c r="AO45" s="15"/>
      <c r="AP45" s="15"/>
      <c r="AQ45" s="15"/>
      <c r="AR45" s="15"/>
      <c r="AS45" s="6"/>
      <c r="AT45" s="6"/>
      <c r="AW45" s="5">
        <v>35</v>
      </c>
      <c r="AX45" s="12"/>
      <c r="AY45" s="13"/>
      <c r="AZ45" s="13"/>
      <c r="BA45" s="13"/>
      <c r="BB45" s="13"/>
      <c r="BC45" s="14"/>
      <c r="BD45" s="15"/>
      <c r="BE45" s="15"/>
      <c r="BF45" s="15"/>
      <c r="BG45" s="15"/>
      <c r="BH45" s="15"/>
      <c r="BI45" s="15"/>
      <c r="BJ45" s="15"/>
      <c r="BK45" s="15"/>
      <c r="BL45" s="15"/>
      <c r="BM45" s="15"/>
      <c r="BN45" s="15"/>
      <c r="BO45" s="15"/>
      <c r="BP45" s="15"/>
      <c r="BQ45" s="6"/>
      <c r="BR45" s="6"/>
      <c r="BT45" s="5">
        <v>27</v>
      </c>
      <c r="BU45" s="12"/>
      <c r="BV45" s="13"/>
      <c r="BW45" s="13"/>
      <c r="BX45" s="13"/>
      <c r="BY45" s="13"/>
      <c r="BZ45" s="14"/>
      <c r="CA45" s="15"/>
      <c r="CB45" s="15"/>
      <c r="CC45" s="15"/>
      <c r="CD45" s="15"/>
      <c r="CE45" s="15"/>
      <c r="CF45" s="15"/>
      <c r="CG45" s="15"/>
      <c r="CH45" s="15"/>
      <c r="CI45" s="15"/>
      <c r="CJ45" s="15"/>
      <c r="CK45" s="15"/>
      <c r="CL45" s="15"/>
      <c r="CM45" s="15"/>
      <c r="CN45" s="6"/>
      <c r="CO45" s="6"/>
      <c r="CR45" s="5">
        <v>35</v>
      </c>
      <c r="CS45" s="12"/>
      <c r="CT45" s="13"/>
      <c r="CU45" s="13"/>
      <c r="CV45" s="13"/>
      <c r="CW45" s="13"/>
      <c r="CX45" s="14"/>
      <c r="CY45" s="15"/>
      <c r="CZ45" s="15"/>
      <c r="DA45" s="15"/>
      <c r="DB45" s="15"/>
      <c r="DC45" s="15"/>
      <c r="DD45" s="15"/>
      <c r="DE45" s="15"/>
      <c r="DF45" s="15"/>
      <c r="DG45" s="15"/>
      <c r="DH45" s="15"/>
      <c r="DI45" s="15"/>
      <c r="DJ45" s="15"/>
      <c r="DK45" s="15"/>
      <c r="DL45" s="6"/>
      <c r="DM45" s="6"/>
      <c r="DO45" s="5">
        <v>27</v>
      </c>
      <c r="DP45" s="12"/>
      <c r="DQ45" s="13"/>
      <c r="DR45" s="13"/>
      <c r="DS45" s="13"/>
      <c r="DT45" s="13"/>
      <c r="DU45" s="14"/>
      <c r="DV45" s="15"/>
      <c r="DW45" s="15"/>
      <c r="DX45" s="15"/>
      <c r="DY45" s="15"/>
      <c r="DZ45" s="15"/>
      <c r="EA45" s="15"/>
      <c r="EB45" s="15"/>
      <c r="EC45" s="15"/>
      <c r="ED45" s="15"/>
      <c r="EE45" s="15"/>
      <c r="EF45" s="15"/>
      <c r="EG45" s="15"/>
      <c r="EH45" s="15"/>
      <c r="EI45" s="6"/>
      <c r="EJ45" s="6"/>
      <c r="EM45" s="5">
        <v>35</v>
      </c>
      <c r="EN45" s="12"/>
      <c r="EO45" s="13"/>
      <c r="EP45" s="13"/>
      <c r="EQ45" s="13"/>
      <c r="ER45" s="13"/>
      <c r="ES45" s="14"/>
      <c r="ET45" s="15"/>
      <c r="EU45" s="15"/>
      <c r="EV45" s="15"/>
      <c r="EW45" s="15"/>
      <c r="EX45" s="15"/>
      <c r="EY45" s="15"/>
      <c r="EZ45" s="15"/>
      <c r="FA45" s="15"/>
      <c r="FB45" s="15"/>
      <c r="FC45" s="15"/>
      <c r="FD45" s="15"/>
      <c r="FE45" s="15"/>
      <c r="FF45" s="15"/>
      <c r="FG45" s="6"/>
      <c r="FH45" s="6"/>
      <c r="FJ45" s="5">
        <v>27</v>
      </c>
      <c r="FK45" s="12"/>
      <c r="FL45" s="13"/>
      <c r="FM45" s="13"/>
      <c r="FN45" s="13"/>
      <c r="FO45" s="13"/>
      <c r="FP45" s="14"/>
      <c r="FQ45" s="15"/>
      <c r="FR45" s="15"/>
      <c r="FS45" s="15"/>
      <c r="FT45" s="15"/>
      <c r="FU45" s="15"/>
      <c r="FV45" s="15"/>
      <c r="FW45" s="15"/>
      <c r="FX45" s="15"/>
      <c r="FY45" s="15"/>
      <c r="FZ45" s="15"/>
      <c r="GA45" s="15"/>
      <c r="GB45" s="15"/>
      <c r="GC45" s="15"/>
      <c r="GD45" s="6"/>
      <c r="GE45" s="6"/>
      <c r="GH45" s="5">
        <v>35</v>
      </c>
      <c r="GI45" s="12"/>
      <c r="GJ45" s="13"/>
      <c r="GK45" s="13"/>
      <c r="GL45" s="13"/>
      <c r="GM45" s="13"/>
      <c r="GN45" s="14"/>
      <c r="GO45" s="15"/>
      <c r="GP45" s="15"/>
      <c r="GQ45" s="15"/>
      <c r="GR45" s="15"/>
      <c r="GS45" s="15"/>
      <c r="GT45" s="15"/>
      <c r="GU45" s="15"/>
      <c r="GV45" s="15"/>
      <c r="GW45" s="15"/>
      <c r="GX45" s="15"/>
      <c r="GY45" s="15"/>
      <c r="GZ45" s="15"/>
      <c r="HA45" s="15"/>
      <c r="HB45" s="6"/>
      <c r="HC45" s="6"/>
      <c r="HE45" s="5">
        <v>27</v>
      </c>
      <c r="HF45" s="12"/>
      <c r="HG45" s="13"/>
      <c r="HH45" s="13"/>
      <c r="HI45" s="13"/>
      <c r="HJ45" s="13"/>
      <c r="HK45" s="14"/>
      <c r="HL45" s="15"/>
      <c r="HM45" s="15"/>
      <c r="HN45" s="15"/>
      <c r="HO45" s="15"/>
      <c r="HP45" s="15"/>
      <c r="HQ45" s="15"/>
      <c r="HR45" s="15"/>
      <c r="HS45" s="15"/>
      <c r="HT45" s="15"/>
      <c r="HU45" s="15"/>
      <c r="HV45" s="15"/>
      <c r="HW45" s="15"/>
      <c r="HX45" s="15"/>
      <c r="HY45" s="6"/>
      <c r="HZ45" s="6"/>
    </row>
    <row r="46" customHeight="1" spans="2:234">
      <c r="B46" s="8">
        <v>36</v>
      </c>
      <c r="C46" s="17"/>
      <c r="D46" s="18"/>
      <c r="E46" s="18"/>
      <c r="F46" s="18"/>
      <c r="G46" s="18"/>
      <c r="H46" s="19"/>
      <c r="I46" s="20"/>
      <c r="J46" s="20"/>
      <c r="K46" s="20"/>
      <c r="L46" s="20"/>
      <c r="M46" s="20"/>
      <c r="N46" s="20"/>
      <c r="O46" s="20"/>
      <c r="P46" s="20"/>
      <c r="Q46" s="20"/>
      <c r="R46" s="20"/>
      <c r="S46" s="20"/>
      <c r="T46" s="20"/>
      <c r="U46" s="20"/>
      <c r="V46" s="9"/>
      <c r="W46" s="9"/>
      <c r="Y46" s="8">
        <v>28</v>
      </c>
      <c r="Z46" s="17"/>
      <c r="AA46" s="18"/>
      <c r="AB46" s="18"/>
      <c r="AC46" s="18"/>
      <c r="AD46" s="18"/>
      <c r="AE46" s="19"/>
      <c r="AF46" s="20"/>
      <c r="AG46" s="20"/>
      <c r="AH46" s="20"/>
      <c r="AI46" s="20"/>
      <c r="AJ46" s="20"/>
      <c r="AK46" s="20"/>
      <c r="AL46" s="20"/>
      <c r="AM46" s="20"/>
      <c r="AN46" s="20"/>
      <c r="AO46" s="20"/>
      <c r="AP46" s="20"/>
      <c r="AQ46" s="20"/>
      <c r="AR46" s="20"/>
      <c r="AS46" s="9"/>
      <c r="AT46" s="9"/>
      <c r="AW46" s="8">
        <v>36</v>
      </c>
      <c r="AX46" s="17"/>
      <c r="AY46" s="18"/>
      <c r="AZ46" s="18"/>
      <c r="BA46" s="18"/>
      <c r="BB46" s="18"/>
      <c r="BC46" s="19"/>
      <c r="BD46" s="20"/>
      <c r="BE46" s="20"/>
      <c r="BF46" s="20"/>
      <c r="BG46" s="20"/>
      <c r="BH46" s="20"/>
      <c r="BI46" s="20"/>
      <c r="BJ46" s="20"/>
      <c r="BK46" s="20"/>
      <c r="BL46" s="20"/>
      <c r="BM46" s="20"/>
      <c r="BN46" s="20"/>
      <c r="BO46" s="20"/>
      <c r="BP46" s="20"/>
      <c r="BQ46" s="9"/>
      <c r="BR46" s="9"/>
      <c r="BT46" s="8">
        <v>28</v>
      </c>
      <c r="BU46" s="17"/>
      <c r="BV46" s="18"/>
      <c r="BW46" s="18"/>
      <c r="BX46" s="18"/>
      <c r="BY46" s="18"/>
      <c r="BZ46" s="19"/>
      <c r="CA46" s="20"/>
      <c r="CB46" s="20"/>
      <c r="CC46" s="20"/>
      <c r="CD46" s="20"/>
      <c r="CE46" s="20"/>
      <c r="CF46" s="20"/>
      <c r="CG46" s="20"/>
      <c r="CH46" s="20"/>
      <c r="CI46" s="20"/>
      <c r="CJ46" s="20"/>
      <c r="CK46" s="20"/>
      <c r="CL46" s="20"/>
      <c r="CM46" s="20"/>
      <c r="CN46" s="9"/>
      <c r="CO46" s="9"/>
      <c r="CR46" s="8">
        <v>36</v>
      </c>
      <c r="CS46" s="17"/>
      <c r="CT46" s="18"/>
      <c r="CU46" s="18"/>
      <c r="CV46" s="18"/>
      <c r="CW46" s="18"/>
      <c r="CX46" s="19"/>
      <c r="CY46" s="20"/>
      <c r="CZ46" s="20"/>
      <c r="DA46" s="20"/>
      <c r="DB46" s="20"/>
      <c r="DC46" s="20"/>
      <c r="DD46" s="20"/>
      <c r="DE46" s="20"/>
      <c r="DF46" s="20"/>
      <c r="DG46" s="20"/>
      <c r="DH46" s="20"/>
      <c r="DI46" s="20"/>
      <c r="DJ46" s="20"/>
      <c r="DK46" s="20"/>
      <c r="DL46" s="9"/>
      <c r="DM46" s="9"/>
      <c r="DO46" s="8">
        <v>28</v>
      </c>
      <c r="DP46" s="17"/>
      <c r="DQ46" s="18"/>
      <c r="DR46" s="18"/>
      <c r="DS46" s="18"/>
      <c r="DT46" s="18"/>
      <c r="DU46" s="19"/>
      <c r="DV46" s="20"/>
      <c r="DW46" s="20"/>
      <c r="DX46" s="20"/>
      <c r="DY46" s="20"/>
      <c r="DZ46" s="20"/>
      <c r="EA46" s="20"/>
      <c r="EB46" s="20"/>
      <c r="EC46" s="20"/>
      <c r="ED46" s="20"/>
      <c r="EE46" s="20"/>
      <c r="EF46" s="20"/>
      <c r="EG46" s="20"/>
      <c r="EH46" s="20"/>
      <c r="EI46" s="9"/>
      <c r="EJ46" s="9"/>
      <c r="EM46" s="8">
        <v>36</v>
      </c>
      <c r="EN46" s="17"/>
      <c r="EO46" s="18"/>
      <c r="EP46" s="18"/>
      <c r="EQ46" s="18"/>
      <c r="ER46" s="18"/>
      <c r="ES46" s="19"/>
      <c r="ET46" s="20"/>
      <c r="EU46" s="20"/>
      <c r="EV46" s="20"/>
      <c r="EW46" s="20"/>
      <c r="EX46" s="20"/>
      <c r="EY46" s="20"/>
      <c r="EZ46" s="20"/>
      <c r="FA46" s="20"/>
      <c r="FB46" s="20"/>
      <c r="FC46" s="20"/>
      <c r="FD46" s="20"/>
      <c r="FE46" s="20"/>
      <c r="FF46" s="20"/>
      <c r="FG46" s="9"/>
      <c r="FH46" s="9"/>
      <c r="FJ46" s="8">
        <v>28</v>
      </c>
      <c r="FK46" s="17"/>
      <c r="FL46" s="18"/>
      <c r="FM46" s="18"/>
      <c r="FN46" s="18"/>
      <c r="FO46" s="18"/>
      <c r="FP46" s="19"/>
      <c r="FQ46" s="20"/>
      <c r="FR46" s="20"/>
      <c r="FS46" s="20"/>
      <c r="FT46" s="20"/>
      <c r="FU46" s="20"/>
      <c r="FV46" s="20"/>
      <c r="FW46" s="20"/>
      <c r="FX46" s="20"/>
      <c r="FY46" s="20"/>
      <c r="FZ46" s="20"/>
      <c r="GA46" s="20"/>
      <c r="GB46" s="20"/>
      <c r="GC46" s="20"/>
      <c r="GD46" s="9"/>
      <c r="GE46" s="9"/>
      <c r="GH46" s="8">
        <v>36</v>
      </c>
      <c r="GI46" s="17"/>
      <c r="GJ46" s="18"/>
      <c r="GK46" s="18"/>
      <c r="GL46" s="18"/>
      <c r="GM46" s="18"/>
      <c r="GN46" s="19"/>
      <c r="GO46" s="20"/>
      <c r="GP46" s="20"/>
      <c r="GQ46" s="20"/>
      <c r="GR46" s="20"/>
      <c r="GS46" s="20"/>
      <c r="GT46" s="20"/>
      <c r="GU46" s="20"/>
      <c r="GV46" s="20"/>
      <c r="GW46" s="20"/>
      <c r="GX46" s="20"/>
      <c r="GY46" s="20"/>
      <c r="GZ46" s="20"/>
      <c r="HA46" s="20"/>
      <c r="HB46" s="9"/>
      <c r="HC46" s="9"/>
      <c r="HE46" s="8">
        <v>28</v>
      </c>
      <c r="HF46" s="17"/>
      <c r="HG46" s="18"/>
      <c r="HH46" s="18"/>
      <c r="HI46" s="18"/>
      <c r="HJ46" s="18"/>
      <c r="HK46" s="19"/>
      <c r="HL46" s="20"/>
      <c r="HM46" s="20"/>
      <c r="HN46" s="20"/>
      <c r="HO46" s="20"/>
      <c r="HP46" s="20"/>
      <c r="HQ46" s="20"/>
      <c r="HR46" s="20"/>
      <c r="HS46" s="20"/>
      <c r="HT46" s="20"/>
      <c r="HU46" s="20"/>
      <c r="HV46" s="20"/>
      <c r="HW46" s="20"/>
      <c r="HX46" s="20"/>
      <c r="HY46" s="9"/>
      <c r="HZ46" s="9"/>
    </row>
    <row r="47" customHeight="1" spans="2:234">
      <c r="B47" s="5">
        <v>37</v>
      </c>
      <c r="C47" s="12"/>
      <c r="D47" s="13"/>
      <c r="E47" s="13"/>
      <c r="F47" s="13"/>
      <c r="G47" s="13"/>
      <c r="H47" s="14"/>
      <c r="I47" s="15"/>
      <c r="J47" s="15"/>
      <c r="K47" s="15"/>
      <c r="L47" s="15"/>
      <c r="M47" s="15"/>
      <c r="N47" s="15"/>
      <c r="O47" s="15"/>
      <c r="P47" s="15"/>
      <c r="Q47" s="15"/>
      <c r="R47" s="15"/>
      <c r="S47" s="15"/>
      <c r="T47" s="15"/>
      <c r="U47" s="15"/>
      <c r="V47" s="6"/>
      <c r="W47" s="6"/>
      <c r="Y47" s="5">
        <v>29</v>
      </c>
      <c r="Z47" s="12"/>
      <c r="AA47" s="13"/>
      <c r="AB47" s="13"/>
      <c r="AC47" s="13"/>
      <c r="AD47" s="13"/>
      <c r="AE47" s="14"/>
      <c r="AF47" s="15"/>
      <c r="AG47" s="15"/>
      <c r="AH47" s="15"/>
      <c r="AI47" s="15"/>
      <c r="AJ47" s="15"/>
      <c r="AK47" s="15"/>
      <c r="AL47" s="15"/>
      <c r="AM47" s="15"/>
      <c r="AN47" s="15"/>
      <c r="AO47" s="15"/>
      <c r="AP47" s="15"/>
      <c r="AQ47" s="15"/>
      <c r="AR47" s="15"/>
      <c r="AS47" s="6"/>
      <c r="AT47" s="6"/>
      <c r="AW47" s="5">
        <v>37</v>
      </c>
      <c r="AX47" s="12"/>
      <c r="AY47" s="13"/>
      <c r="AZ47" s="13"/>
      <c r="BA47" s="13"/>
      <c r="BB47" s="13"/>
      <c r="BC47" s="14"/>
      <c r="BD47" s="15"/>
      <c r="BE47" s="15"/>
      <c r="BF47" s="15"/>
      <c r="BG47" s="15"/>
      <c r="BH47" s="15"/>
      <c r="BI47" s="15"/>
      <c r="BJ47" s="15"/>
      <c r="BK47" s="15"/>
      <c r="BL47" s="15"/>
      <c r="BM47" s="15"/>
      <c r="BN47" s="15"/>
      <c r="BO47" s="15"/>
      <c r="BP47" s="15"/>
      <c r="BQ47" s="6"/>
      <c r="BR47" s="6"/>
      <c r="BT47" s="5">
        <v>29</v>
      </c>
      <c r="BU47" s="12"/>
      <c r="BV47" s="13"/>
      <c r="BW47" s="13"/>
      <c r="BX47" s="13"/>
      <c r="BY47" s="13"/>
      <c r="BZ47" s="14"/>
      <c r="CA47" s="15"/>
      <c r="CB47" s="15"/>
      <c r="CC47" s="15"/>
      <c r="CD47" s="15"/>
      <c r="CE47" s="15"/>
      <c r="CF47" s="15"/>
      <c r="CG47" s="15"/>
      <c r="CH47" s="15"/>
      <c r="CI47" s="15"/>
      <c r="CJ47" s="15"/>
      <c r="CK47" s="15"/>
      <c r="CL47" s="15"/>
      <c r="CM47" s="15"/>
      <c r="CN47" s="6"/>
      <c r="CO47" s="6"/>
      <c r="CR47" s="5">
        <v>37</v>
      </c>
      <c r="CS47" s="12"/>
      <c r="CT47" s="13"/>
      <c r="CU47" s="13"/>
      <c r="CV47" s="13"/>
      <c r="CW47" s="13"/>
      <c r="CX47" s="14"/>
      <c r="CY47" s="15"/>
      <c r="CZ47" s="15"/>
      <c r="DA47" s="15"/>
      <c r="DB47" s="15"/>
      <c r="DC47" s="15"/>
      <c r="DD47" s="15"/>
      <c r="DE47" s="15"/>
      <c r="DF47" s="15"/>
      <c r="DG47" s="15"/>
      <c r="DH47" s="15"/>
      <c r="DI47" s="15"/>
      <c r="DJ47" s="15"/>
      <c r="DK47" s="15"/>
      <c r="DL47" s="6"/>
      <c r="DM47" s="6"/>
      <c r="DO47" s="5">
        <v>29</v>
      </c>
      <c r="DP47" s="12"/>
      <c r="DQ47" s="13"/>
      <c r="DR47" s="13"/>
      <c r="DS47" s="13"/>
      <c r="DT47" s="13"/>
      <c r="DU47" s="14"/>
      <c r="DV47" s="15"/>
      <c r="DW47" s="15"/>
      <c r="DX47" s="15"/>
      <c r="DY47" s="15"/>
      <c r="DZ47" s="15"/>
      <c r="EA47" s="15"/>
      <c r="EB47" s="15"/>
      <c r="EC47" s="15"/>
      <c r="ED47" s="15"/>
      <c r="EE47" s="15"/>
      <c r="EF47" s="15"/>
      <c r="EG47" s="15"/>
      <c r="EH47" s="15"/>
      <c r="EI47" s="6"/>
      <c r="EJ47" s="6"/>
      <c r="EM47" s="5">
        <v>37</v>
      </c>
      <c r="EN47" s="12"/>
      <c r="EO47" s="13"/>
      <c r="EP47" s="13"/>
      <c r="EQ47" s="13"/>
      <c r="ER47" s="13"/>
      <c r="ES47" s="14"/>
      <c r="ET47" s="15"/>
      <c r="EU47" s="15"/>
      <c r="EV47" s="15"/>
      <c r="EW47" s="15"/>
      <c r="EX47" s="15"/>
      <c r="EY47" s="15"/>
      <c r="EZ47" s="15"/>
      <c r="FA47" s="15"/>
      <c r="FB47" s="15"/>
      <c r="FC47" s="15"/>
      <c r="FD47" s="15"/>
      <c r="FE47" s="15"/>
      <c r="FF47" s="15"/>
      <c r="FG47" s="6"/>
      <c r="FH47" s="6"/>
      <c r="FJ47" s="5">
        <v>29</v>
      </c>
      <c r="FK47" s="12"/>
      <c r="FL47" s="13"/>
      <c r="FM47" s="13"/>
      <c r="FN47" s="13"/>
      <c r="FO47" s="13"/>
      <c r="FP47" s="14"/>
      <c r="FQ47" s="15"/>
      <c r="FR47" s="15"/>
      <c r="FS47" s="15"/>
      <c r="FT47" s="15"/>
      <c r="FU47" s="15"/>
      <c r="FV47" s="15"/>
      <c r="FW47" s="15"/>
      <c r="FX47" s="15"/>
      <c r="FY47" s="15"/>
      <c r="FZ47" s="15"/>
      <c r="GA47" s="15"/>
      <c r="GB47" s="15"/>
      <c r="GC47" s="15"/>
      <c r="GD47" s="6"/>
      <c r="GE47" s="6"/>
      <c r="GH47" s="5">
        <v>37</v>
      </c>
      <c r="GI47" s="12"/>
      <c r="GJ47" s="13"/>
      <c r="GK47" s="13"/>
      <c r="GL47" s="13"/>
      <c r="GM47" s="13"/>
      <c r="GN47" s="14"/>
      <c r="GO47" s="15"/>
      <c r="GP47" s="15"/>
      <c r="GQ47" s="15"/>
      <c r="GR47" s="15"/>
      <c r="GS47" s="15"/>
      <c r="GT47" s="15"/>
      <c r="GU47" s="15"/>
      <c r="GV47" s="15"/>
      <c r="GW47" s="15"/>
      <c r="GX47" s="15"/>
      <c r="GY47" s="15"/>
      <c r="GZ47" s="15"/>
      <c r="HA47" s="15"/>
      <c r="HB47" s="6"/>
      <c r="HC47" s="6"/>
      <c r="HE47" s="5">
        <v>29</v>
      </c>
      <c r="HF47" s="12"/>
      <c r="HG47" s="13"/>
      <c r="HH47" s="13"/>
      <c r="HI47" s="13"/>
      <c r="HJ47" s="13"/>
      <c r="HK47" s="14"/>
      <c r="HL47" s="15"/>
      <c r="HM47" s="15"/>
      <c r="HN47" s="15"/>
      <c r="HO47" s="15"/>
      <c r="HP47" s="15"/>
      <c r="HQ47" s="15"/>
      <c r="HR47" s="15"/>
      <c r="HS47" s="15"/>
      <c r="HT47" s="15"/>
      <c r="HU47" s="15"/>
      <c r="HV47" s="15"/>
      <c r="HW47" s="15"/>
      <c r="HX47" s="15"/>
      <c r="HY47" s="6"/>
      <c r="HZ47" s="6"/>
    </row>
    <row r="48" customHeight="1" spans="2:234">
      <c r="B48" s="8">
        <v>38</v>
      </c>
      <c r="C48" s="17"/>
      <c r="D48" s="18"/>
      <c r="E48" s="18"/>
      <c r="F48" s="18"/>
      <c r="G48" s="18"/>
      <c r="H48" s="19"/>
      <c r="I48" s="20"/>
      <c r="J48" s="20"/>
      <c r="K48" s="20"/>
      <c r="L48" s="20"/>
      <c r="M48" s="20"/>
      <c r="N48" s="20"/>
      <c r="O48" s="20"/>
      <c r="P48" s="20"/>
      <c r="Q48" s="20"/>
      <c r="R48" s="20"/>
      <c r="S48" s="20"/>
      <c r="T48" s="20"/>
      <c r="U48" s="20"/>
      <c r="V48" s="9"/>
      <c r="W48" s="9"/>
      <c r="Y48" s="8">
        <v>30</v>
      </c>
      <c r="Z48" s="17"/>
      <c r="AA48" s="18"/>
      <c r="AB48" s="18"/>
      <c r="AC48" s="18"/>
      <c r="AD48" s="18"/>
      <c r="AE48" s="19"/>
      <c r="AF48" s="20"/>
      <c r="AG48" s="20"/>
      <c r="AH48" s="20"/>
      <c r="AI48" s="20"/>
      <c r="AJ48" s="20"/>
      <c r="AK48" s="20"/>
      <c r="AL48" s="20"/>
      <c r="AM48" s="20"/>
      <c r="AN48" s="20"/>
      <c r="AO48" s="20"/>
      <c r="AP48" s="20"/>
      <c r="AQ48" s="20"/>
      <c r="AR48" s="20"/>
      <c r="AS48" s="9"/>
      <c r="AT48" s="9"/>
      <c r="AW48" s="8">
        <v>38</v>
      </c>
      <c r="AX48" s="17"/>
      <c r="AY48" s="18"/>
      <c r="AZ48" s="18"/>
      <c r="BA48" s="18"/>
      <c r="BB48" s="18"/>
      <c r="BC48" s="19"/>
      <c r="BD48" s="20"/>
      <c r="BE48" s="20"/>
      <c r="BF48" s="20"/>
      <c r="BG48" s="20"/>
      <c r="BH48" s="20"/>
      <c r="BI48" s="20"/>
      <c r="BJ48" s="20"/>
      <c r="BK48" s="20"/>
      <c r="BL48" s="20"/>
      <c r="BM48" s="20"/>
      <c r="BN48" s="20"/>
      <c r="BO48" s="20"/>
      <c r="BP48" s="20"/>
      <c r="BQ48" s="9"/>
      <c r="BR48" s="9"/>
      <c r="BT48" s="8">
        <v>30</v>
      </c>
      <c r="BU48" s="17"/>
      <c r="BV48" s="18"/>
      <c r="BW48" s="18"/>
      <c r="BX48" s="18"/>
      <c r="BY48" s="18"/>
      <c r="BZ48" s="19"/>
      <c r="CA48" s="20"/>
      <c r="CB48" s="20"/>
      <c r="CC48" s="20"/>
      <c r="CD48" s="20"/>
      <c r="CE48" s="20"/>
      <c r="CF48" s="20"/>
      <c r="CG48" s="20"/>
      <c r="CH48" s="20"/>
      <c r="CI48" s="20"/>
      <c r="CJ48" s="20"/>
      <c r="CK48" s="20"/>
      <c r="CL48" s="20"/>
      <c r="CM48" s="20"/>
      <c r="CN48" s="9"/>
      <c r="CO48" s="9"/>
      <c r="CR48" s="8">
        <v>38</v>
      </c>
      <c r="CS48" s="17"/>
      <c r="CT48" s="18"/>
      <c r="CU48" s="18"/>
      <c r="CV48" s="18"/>
      <c r="CW48" s="18"/>
      <c r="CX48" s="19"/>
      <c r="CY48" s="20"/>
      <c r="CZ48" s="20"/>
      <c r="DA48" s="20"/>
      <c r="DB48" s="20"/>
      <c r="DC48" s="20"/>
      <c r="DD48" s="20"/>
      <c r="DE48" s="20"/>
      <c r="DF48" s="20"/>
      <c r="DG48" s="20"/>
      <c r="DH48" s="20"/>
      <c r="DI48" s="20"/>
      <c r="DJ48" s="20"/>
      <c r="DK48" s="20"/>
      <c r="DL48" s="9"/>
      <c r="DM48" s="9"/>
      <c r="DO48" s="8">
        <v>30</v>
      </c>
      <c r="DP48" s="17"/>
      <c r="DQ48" s="18"/>
      <c r="DR48" s="18"/>
      <c r="DS48" s="18"/>
      <c r="DT48" s="18"/>
      <c r="DU48" s="19"/>
      <c r="DV48" s="20"/>
      <c r="DW48" s="20"/>
      <c r="DX48" s="20"/>
      <c r="DY48" s="20"/>
      <c r="DZ48" s="20"/>
      <c r="EA48" s="20"/>
      <c r="EB48" s="20"/>
      <c r="EC48" s="20"/>
      <c r="ED48" s="20"/>
      <c r="EE48" s="20"/>
      <c r="EF48" s="20"/>
      <c r="EG48" s="20"/>
      <c r="EH48" s="20"/>
      <c r="EI48" s="9"/>
      <c r="EJ48" s="9"/>
      <c r="EM48" s="8">
        <v>38</v>
      </c>
      <c r="EN48" s="17"/>
      <c r="EO48" s="18"/>
      <c r="EP48" s="18"/>
      <c r="EQ48" s="18"/>
      <c r="ER48" s="18"/>
      <c r="ES48" s="19"/>
      <c r="ET48" s="20"/>
      <c r="EU48" s="20"/>
      <c r="EV48" s="20"/>
      <c r="EW48" s="20"/>
      <c r="EX48" s="20"/>
      <c r="EY48" s="20"/>
      <c r="EZ48" s="20"/>
      <c r="FA48" s="20"/>
      <c r="FB48" s="20"/>
      <c r="FC48" s="20"/>
      <c r="FD48" s="20"/>
      <c r="FE48" s="20"/>
      <c r="FF48" s="20"/>
      <c r="FG48" s="9"/>
      <c r="FH48" s="9"/>
      <c r="FJ48" s="8">
        <v>30</v>
      </c>
      <c r="FK48" s="17"/>
      <c r="FL48" s="18"/>
      <c r="FM48" s="18"/>
      <c r="FN48" s="18"/>
      <c r="FO48" s="18"/>
      <c r="FP48" s="19"/>
      <c r="FQ48" s="20"/>
      <c r="FR48" s="20"/>
      <c r="FS48" s="20"/>
      <c r="FT48" s="20"/>
      <c r="FU48" s="20"/>
      <c r="FV48" s="20"/>
      <c r="FW48" s="20"/>
      <c r="FX48" s="20"/>
      <c r="FY48" s="20"/>
      <c r="FZ48" s="20"/>
      <c r="GA48" s="20"/>
      <c r="GB48" s="20"/>
      <c r="GC48" s="20"/>
      <c r="GD48" s="9"/>
      <c r="GE48" s="9"/>
      <c r="GH48" s="8">
        <v>38</v>
      </c>
      <c r="GI48" s="17"/>
      <c r="GJ48" s="18"/>
      <c r="GK48" s="18"/>
      <c r="GL48" s="18"/>
      <c r="GM48" s="18"/>
      <c r="GN48" s="19"/>
      <c r="GO48" s="20"/>
      <c r="GP48" s="20"/>
      <c r="GQ48" s="20"/>
      <c r="GR48" s="20"/>
      <c r="GS48" s="20"/>
      <c r="GT48" s="20"/>
      <c r="GU48" s="20"/>
      <c r="GV48" s="20"/>
      <c r="GW48" s="20"/>
      <c r="GX48" s="20"/>
      <c r="GY48" s="20"/>
      <c r="GZ48" s="20"/>
      <c r="HA48" s="20"/>
      <c r="HB48" s="9"/>
      <c r="HC48" s="9"/>
      <c r="HE48" s="8">
        <v>30</v>
      </c>
      <c r="HF48" s="17"/>
      <c r="HG48" s="18"/>
      <c r="HH48" s="18"/>
      <c r="HI48" s="18"/>
      <c r="HJ48" s="18"/>
      <c r="HK48" s="19"/>
      <c r="HL48" s="20"/>
      <c r="HM48" s="20"/>
      <c r="HN48" s="20"/>
      <c r="HO48" s="20"/>
      <c r="HP48" s="20"/>
      <c r="HQ48" s="20"/>
      <c r="HR48" s="20"/>
      <c r="HS48" s="20"/>
      <c r="HT48" s="20"/>
      <c r="HU48" s="20"/>
      <c r="HV48" s="20"/>
      <c r="HW48" s="20"/>
      <c r="HX48" s="20"/>
      <c r="HY48" s="9"/>
      <c r="HZ48" s="9"/>
    </row>
    <row r="49" customHeight="1" spans="2:234">
      <c r="B49" s="5">
        <v>39</v>
      </c>
      <c r="C49" s="12"/>
      <c r="D49" s="13"/>
      <c r="E49" s="13"/>
      <c r="F49" s="13"/>
      <c r="G49" s="13"/>
      <c r="H49" s="14"/>
      <c r="I49" s="15"/>
      <c r="J49" s="15"/>
      <c r="K49" s="15"/>
      <c r="L49" s="15"/>
      <c r="M49" s="15"/>
      <c r="N49" s="15"/>
      <c r="O49" s="15"/>
      <c r="P49" s="15"/>
      <c r="Q49" s="15"/>
      <c r="R49" s="15"/>
      <c r="S49" s="15"/>
      <c r="T49" s="15"/>
      <c r="U49" s="15"/>
      <c r="V49" s="6"/>
      <c r="W49" s="6"/>
      <c r="Y49" s="5">
        <v>31</v>
      </c>
      <c r="Z49" s="12"/>
      <c r="AA49" s="13"/>
      <c r="AB49" s="13"/>
      <c r="AC49" s="13"/>
      <c r="AD49" s="13"/>
      <c r="AE49" s="14"/>
      <c r="AF49" s="15"/>
      <c r="AG49" s="15"/>
      <c r="AH49" s="15"/>
      <c r="AI49" s="15"/>
      <c r="AJ49" s="15"/>
      <c r="AK49" s="15"/>
      <c r="AL49" s="15"/>
      <c r="AM49" s="15"/>
      <c r="AN49" s="15"/>
      <c r="AO49" s="15"/>
      <c r="AP49" s="15"/>
      <c r="AQ49" s="15"/>
      <c r="AR49" s="15"/>
      <c r="AS49" s="6"/>
      <c r="AT49" s="6"/>
      <c r="AW49" s="5">
        <v>39</v>
      </c>
      <c r="AX49" s="12"/>
      <c r="AY49" s="13"/>
      <c r="AZ49" s="13"/>
      <c r="BA49" s="13"/>
      <c r="BB49" s="13"/>
      <c r="BC49" s="14"/>
      <c r="BD49" s="15"/>
      <c r="BE49" s="15"/>
      <c r="BF49" s="15"/>
      <c r="BG49" s="15"/>
      <c r="BH49" s="15"/>
      <c r="BI49" s="15"/>
      <c r="BJ49" s="15"/>
      <c r="BK49" s="15"/>
      <c r="BL49" s="15"/>
      <c r="BM49" s="15"/>
      <c r="BN49" s="15"/>
      <c r="BO49" s="15"/>
      <c r="BP49" s="15"/>
      <c r="BQ49" s="6"/>
      <c r="BR49" s="6"/>
      <c r="BT49" s="5">
        <v>31</v>
      </c>
      <c r="BU49" s="12"/>
      <c r="BV49" s="13"/>
      <c r="BW49" s="13"/>
      <c r="BX49" s="13"/>
      <c r="BY49" s="13"/>
      <c r="BZ49" s="14"/>
      <c r="CA49" s="15"/>
      <c r="CB49" s="15"/>
      <c r="CC49" s="15"/>
      <c r="CD49" s="15"/>
      <c r="CE49" s="15"/>
      <c r="CF49" s="15"/>
      <c r="CG49" s="15"/>
      <c r="CH49" s="15"/>
      <c r="CI49" s="15"/>
      <c r="CJ49" s="15"/>
      <c r="CK49" s="15"/>
      <c r="CL49" s="15"/>
      <c r="CM49" s="15"/>
      <c r="CN49" s="6"/>
      <c r="CO49" s="6"/>
      <c r="CR49" s="5">
        <v>39</v>
      </c>
      <c r="CS49" s="12"/>
      <c r="CT49" s="13"/>
      <c r="CU49" s="13"/>
      <c r="CV49" s="13"/>
      <c r="CW49" s="13"/>
      <c r="CX49" s="14"/>
      <c r="CY49" s="15"/>
      <c r="CZ49" s="15"/>
      <c r="DA49" s="15"/>
      <c r="DB49" s="15"/>
      <c r="DC49" s="15"/>
      <c r="DD49" s="15"/>
      <c r="DE49" s="15"/>
      <c r="DF49" s="15"/>
      <c r="DG49" s="15"/>
      <c r="DH49" s="15"/>
      <c r="DI49" s="15"/>
      <c r="DJ49" s="15"/>
      <c r="DK49" s="15"/>
      <c r="DL49" s="6"/>
      <c r="DM49" s="6"/>
      <c r="DO49" s="5">
        <v>31</v>
      </c>
      <c r="DP49" s="12"/>
      <c r="DQ49" s="13"/>
      <c r="DR49" s="13"/>
      <c r="DS49" s="13"/>
      <c r="DT49" s="13"/>
      <c r="DU49" s="14"/>
      <c r="DV49" s="15"/>
      <c r="DW49" s="15"/>
      <c r="DX49" s="15"/>
      <c r="DY49" s="15"/>
      <c r="DZ49" s="15"/>
      <c r="EA49" s="15"/>
      <c r="EB49" s="15"/>
      <c r="EC49" s="15"/>
      <c r="ED49" s="15"/>
      <c r="EE49" s="15"/>
      <c r="EF49" s="15"/>
      <c r="EG49" s="15"/>
      <c r="EH49" s="15"/>
      <c r="EI49" s="6"/>
      <c r="EJ49" s="6"/>
      <c r="EM49" s="5">
        <v>39</v>
      </c>
      <c r="EN49" s="12"/>
      <c r="EO49" s="13"/>
      <c r="EP49" s="13"/>
      <c r="EQ49" s="13"/>
      <c r="ER49" s="13"/>
      <c r="ES49" s="14"/>
      <c r="ET49" s="15"/>
      <c r="EU49" s="15"/>
      <c r="EV49" s="15"/>
      <c r="EW49" s="15"/>
      <c r="EX49" s="15"/>
      <c r="EY49" s="15"/>
      <c r="EZ49" s="15"/>
      <c r="FA49" s="15"/>
      <c r="FB49" s="15"/>
      <c r="FC49" s="15"/>
      <c r="FD49" s="15"/>
      <c r="FE49" s="15"/>
      <c r="FF49" s="15"/>
      <c r="FG49" s="6"/>
      <c r="FH49" s="6"/>
      <c r="FJ49" s="5">
        <v>31</v>
      </c>
      <c r="FK49" s="12"/>
      <c r="FL49" s="13"/>
      <c r="FM49" s="13"/>
      <c r="FN49" s="13"/>
      <c r="FO49" s="13"/>
      <c r="FP49" s="14"/>
      <c r="FQ49" s="15"/>
      <c r="FR49" s="15"/>
      <c r="FS49" s="15"/>
      <c r="FT49" s="15"/>
      <c r="FU49" s="15"/>
      <c r="FV49" s="15"/>
      <c r="FW49" s="15"/>
      <c r="FX49" s="15"/>
      <c r="FY49" s="15"/>
      <c r="FZ49" s="15"/>
      <c r="GA49" s="15"/>
      <c r="GB49" s="15"/>
      <c r="GC49" s="15"/>
      <c r="GD49" s="6"/>
      <c r="GE49" s="6"/>
      <c r="GH49" s="5">
        <v>39</v>
      </c>
      <c r="GI49" s="12"/>
      <c r="GJ49" s="13"/>
      <c r="GK49" s="13"/>
      <c r="GL49" s="13"/>
      <c r="GM49" s="13"/>
      <c r="GN49" s="14"/>
      <c r="GO49" s="15"/>
      <c r="GP49" s="15"/>
      <c r="GQ49" s="15"/>
      <c r="GR49" s="15"/>
      <c r="GS49" s="15"/>
      <c r="GT49" s="15"/>
      <c r="GU49" s="15"/>
      <c r="GV49" s="15"/>
      <c r="GW49" s="15"/>
      <c r="GX49" s="15"/>
      <c r="GY49" s="15"/>
      <c r="GZ49" s="15"/>
      <c r="HA49" s="15"/>
      <c r="HB49" s="6"/>
      <c r="HC49" s="6"/>
      <c r="HE49" s="5">
        <v>31</v>
      </c>
      <c r="HF49" s="12"/>
      <c r="HG49" s="13"/>
      <c r="HH49" s="13"/>
      <c r="HI49" s="13"/>
      <c r="HJ49" s="13"/>
      <c r="HK49" s="14"/>
      <c r="HL49" s="15"/>
      <c r="HM49" s="15"/>
      <c r="HN49" s="15"/>
      <c r="HO49" s="15"/>
      <c r="HP49" s="15"/>
      <c r="HQ49" s="15"/>
      <c r="HR49" s="15"/>
      <c r="HS49" s="15"/>
      <c r="HT49" s="15"/>
      <c r="HU49" s="15"/>
      <c r="HV49" s="15"/>
      <c r="HW49" s="15"/>
      <c r="HX49" s="15"/>
      <c r="HY49" s="6"/>
      <c r="HZ49" s="6"/>
    </row>
    <row r="50" customHeight="1" spans="2:234">
      <c r="B50" s="8">
        <v>40</v>
      </c>
      <c r="C50" s="17"/>
      <c r="D50" s="18"/>
      <c r="E50" s="18"/>
      <c r="F50" s="18"/>
      <c r="G50" s="18"/>
      <c r="H50" s="19"/>
      <c r="I50" s="20"/>
      <c r="J50" s="20"/>
      <c r="K50" s="20"/>
      <c r="L50" s="20"/>
      <c r="M50" s="20"/>
      <c r="N50" s="20"/>
      <c r="O50" s="20"/>
      <c r="P50" s="20"/>
      <c r="Q50" s="20"/>
      <c r="R50" s="20"/>
      <c r="S50" s="20"/>
      <c r="T50" s="20"/>
      <c r="U50" s="20"/>
      <c r="V50" s="9"/>
      <c r="W50" s="9"/>
      <c r="Y50" s="8">
        <v>32</v>
      </c>
      <c r="Z50" s="17"/>
      <c r="AA50" s="18"/>
      <c r="AB50" s="18"/>
      <c r="AC50" s="18"/>
      <c r="AD50" s="18"/>
      <c r="AE50" s="19"/>
      <c r="AF50" s="20"/>
      <c r="AG50" s="20"/>
      <c r="AH50" s="20"/>
      <c r="AI50" s="20"/>
      <c r="AJ50" s="20"/>
      <c r="AK50" s="20"/>
      <c r="AL50" s="20"/>
      <c r="AM50" s="20"/>
      <c r="AN50" s="20"/>
      <c r="AO50" s="20"/>
      <c r="AP50" s="20"/>
      <c r="AQ50" s="20"/>
      <c r="AR50" s="20"/>
      <c r="AS50" s="9"/>
      <c r="AT50" s="9"/>
      <c r="AW50" s="8">
        <v>40</v>
      </c>
      <c r="AX50" s="17"/>
      <c r="AY50" s="18"/>
      <c r="AZ50" s="18"/>
      <c r="BA50" s="18"/>
      <c r="BB50" s="18"/>
      <c r="BC50" s="19"/>
      <c r="BD50" s="20"/>
      <c r="BE50" s="20"/>
      <c r="BF50" s="20"/>
      <c r="BG50" s="20"/>
      <c r="BH50" s="20"/>
      <c r="BI50" s="20"/>
      <c r="BJ50" s="20"/>
      <c r="BK50" s="20"/>
      <c r="BL50" s="20"/>
      <c r="BM50" s="20"/>
      <c r="BN50" s="20"/>
      <c r="BO50" s="20"/>
      <c r="BP50" s="20"/>
      <c r="BQ50" s="9"/>
      <c r="BR50" s="9"/>
      <c r="BT50" s="8">
        <v>32</v>
      </c>
      <c r="BU50" s="17"/>
      <c r="BV50" s="18"/>
      <c r="BW50" s="18"/>
      <c r="BX50" s="18"/>
      <c r="BY50" s="18"/>
      <c r="BZ50" s="19"/>
      <c r="CA50" s="20"/>
      <c r="CB50" s="20"/>
      <c r="CC50" s="20"/>
      <c r="CD50" s="20"/>
      <c r="CE50" s="20"/>
      <c r="CF50" s="20"/>
      <c r="CG50" s="20"/>
      <c r="CH50" s="20"/>
      <c r="CI50" s="20"/>
      <c r="CJ50" s="20"/>
      <c r="CK50" s="20"/>
      <c r="CL50" s="20"/>
      <c r="CM50" s="20"/>
      <c r="CN50" s="9"/>
      <c r="CO50" s="9"/>
      <c r="CR50" s="8">
        <v>40</v>
      </c>
      <c r="CS50" s="17"/>
      <c r="CT50" s="18"/>
      <c r="CU50" s="18"/>
      <c r="CV50" s="18"/>
      <c r="CW50" s="18"/>
      <c r="CX50" s="19"/>
      <c r="CY50" s="20"/>
      <c r="CZ50" s="20"/>
      <c r="DA50" s="20"/>
      <c r="DB50" s="20"/>
      <c r="DC50" s="20"/>
      <c r="DD50" s="20"/>
      <c r="DE50" s="20"/>
      <c r="DF50" s="20"/>
      <c r="DG50" s="20"/>
      <c r="DH50" s="20"/>
      <c r="DI50" s="20"/>
      <c r="DJ50" s="20"/>
      <c r="DK50" s="20"/>
      <c r="DL50" s="9"/>
      <c r="DM50" s="9"/>
      <c r="DO50" s="8">
        <v>32</v>
      </c>
      <c r="DP50" s="17"/>
      <c r="DQ50" s="18"/>
      <c r="DR50" s="18"/>
      <c r="DS50" s="18"/>
      <c r="DT50" s="18"/>
      <c r="DU50" s="19"/>
      <c r="DV50" s="20"/>
      <c r="DW50" s="20"/>
      <c r="DX50" s="20"/>
      <c r="DY50" s="20"/>
      <c r="DZ50" s="20"/>
      <c r="EA50" s="20"/>
      <c r="EB50" s="20"/>
      <c r="EC50" s="20"/>
      <c r="ED50" s="20"/>
      <c r="EE50" s="20"/>
      <c r="EF50" s="20"/>
      <c r="EG50" s="20"/>
      <c r="EH50" s="20"/>
      <c r="EI50" s="9"/>
      <c r="EJ50" s="9"/>
      <c r="EM50" s="8">
        <v>40</v>
      </c>
      <c r="EN50" s="17"/>
      <c r="EO50" s="18"/>
      <c r="EP50" s="18"/>
      <c r="EQ50" s="18"/>
      <c r="ER50" s="18"/>
      <c r="ES50" s="19"/>
      <c r="ET50" s="20"/>
      <c r="EU50" s="20"/>
      <c r="EV50" s="20"/>
      <c r="EW50" s="20"/>
      <c r="EX50" s="20"/>
      <c r="EY50" s="20"/>
      <c r="EZ50" s="20"/>
      <c r="FA50" s="20"/>
      <c r="FB50" s="20"/>
      <c r="FC50" s="20"/>
      <c r="FD50" s="20"/>
      <c r="FE50" s="20"/>
      <c r="FF50" s="20"/>
      <c r="FG50" s="9"/>
      <c r="FH50" s="9"/>
      <c r="FJ50" s="8">
        <v>32</v>
      </c>
      <c r="FK50" s="17"/>
      <c r="FL50" s="18"/>
      <c r="FM50" s="18"/>
      <c r="FN50" s="18"/>
      <c r="FO50" s="18"/>
      <c r="FP50" s="19"/>
      <c r="FQ50" s="20"/>
      <c r="FR50" s="20"/>
      <c r="FS50" s="20"/>
      <c r="FT50" s="20"/>
      <c r="FU50" s="20"/>
      <c r="FV50" s="20"/>
      <c r="FW50" s="20"/>
      <c r="FX50" s="20"/>
      <c r="FY50" s="20"/>
      <c r="FZ50" s="20"/>
      <c r="GA50" s="20"/>
      <c r="GB50" s="20"/>
      <c r="GC50" s="20"/>
      <c r="GD50" s="9"/>
      <c r="GE50" s="9"/>
      <c r="GH50" s="8">
        <v>40</v>
      </c>
      <c r="GI50" s="17"/>
      <c r="GJ50" s="18"/>
      <c r="GK50" s="18"/>
      <c r="GL50" s="18"/>
      <c r="GM50" s="18"/>
      <c r="GN50" s="19"/>
      <c r="GO50" s="20"/>
      <c r="GP50" s="20"/>
      <c r="GQ50" s="20"/>
      <c r="GR50" s="20"/>
      <c r="GS50" s="20"/>
      <c r="GT50" s="20"/>
      <c r="GU50" s="20"/>
      <c r="GV50" s="20"/>
      <c r="GW50" s="20"/>
      <c r="GX50" s="20"/>
      <c r="GY50" s="20"/>
      <c r="GZ50" s="20"/>
      <c r="HA50" s="20"/>
      <c r="HB50" s="9"/>
      <c r="HC50" s="9"/>
      <c r="HE50" s="8">
        <v>32</v>
      </c>
      <c r="HF50" s="17"/>
      <c r="HG50" s="18"/>
      <c r="HH50" s="18"/>
      <c r="HI50" s="18"/>
      <c r="HJ50" s="18"/>
      <c r="HK50" s="19"/>
      <c r="HL50" s="20"/>
      <c r="HM50" s="20"/>
      <c r="HN50" s="20"/>
      <c r="HO50" s="20"/>
      <c r="HP50" s="20"/>
      <c r="HQ50" s="20"/>
      <c r="HR50" s="20"/>
      <c r="HS50" s="20"/>
      <c r="HT50" s="20"/>
      <c r="HU50" s="20"/>
      <c r="HV50" s="20"/>
      <c r="HW50" s="20"/>
      <c r="HX50" s="20"/>
      <c r="HY50" s="9"/>
      <c r="HZ50" s="9"/>
    </row>
    <row r="51" customHeight="1" spans="2:234">
      <c r="B51" s="5">
        <v>41</v>
      </c>
      <c r="C51" s="12"/>
      <c r="D51" s="13"/>
      <c r="E51" s="13"/>
      <c r="F51" s="13"/>
      <c r="G51" s="13"/>
      <c r="H51" s="14"/>
      <c r="I51" s="15"/>
      <c r="J51" s="15"/>
      <c r="K51" s="15"/>
      <c r="L51" s="15"/>
      <c r="M51" s="15"/>
      <c r="N51" s="15"/>
      <c r="O51" s="15"/>
      <c r="P51" s="15"/>
      <c r="Q51" s="15"/>
      <c r="R51" s="15"/>
      <c r="S51" s="15"/>
      <c r="T51" s="15"/>
      <c r="U51" s="15"/>
      <c r="V51" s="6"/>
      <c r="W51" s="6"/>
      <c r="Y51" s="5">
        <v>33</v>
      </c>
      <c r="Z51" s="12"/>
      <c r="AA51" s="13"/>
      <c r="AB51" s="13"/>
      <c r="AC51" s="13"/>
      <c r="AD51" s="13"/>
      <c r="AE51" s="14"/>
      <c r="AF51" s="15"/>
      <c r="AG51" s="15"/>
      <c r="AH51" s="15"/>
      <c r="AI51" s="15"/>
      <c r="AJ51" s="15"/>
      <c r="AK51" s="15"/>
      <c r="AL51" s="15"/>
      <c r="AM51" s="15"/>
      <c r="AN51" s="15"/>
      <c r="AO51" s="15"/>
      <c r="AP51" s="15"/>
      <c r="AQ51" s="15"/>
      <c r="AR51" s="15"/>
      <c r="AS51" s="6"/>
      <c r="AT51" s="6"/>
      <c r="AW51" s="5">
        <v>41</v>
      </c>
      <c r="AX51" s="12"/>
      <c r="AY51" s="13"/>
      <c r="AZ51" s="13"/>
      <c r="BA51" s="13"/>
      <c r="BB51" s="13"/>
      <c r="BC51" s="14"/>
      <c r="BD51" s="15"/>
      <c r="BE51" s="15"/>
      <c r="BF51" s="15"/>
      <c r="BG51" s="15"/>
      <c r="BH51" s="15"/>
      <c r="BI51" s="15"/>
      <c r="BJ51" s="15"/>
      <c r="BK51" s="15"/>
      <c r="BL51" s="15"/>
      <c r="BM51" s="15"/>
      <c r="BN51" s="15"/>
      <c r="BO51" s="15"/>
      <c r="BP51" s="15"/>
      <c r="BQ51" s="6"/>
      <c r="BR51" s="6"/>
      <c r="BT51" s="5">
        <v>33</v>
      </c>
      <c r="BU51" s="12"/>
      <c r="BV51" s="13"/>
      <c r="BW51" s="13"/>
      <c r="BX51" s="13"/>
      <c r="BY51" s="13"/>
      <c r="BZ51" s="14"/>
      <c r="CA51" s="15"/>
      <c r="CB51" s="15"/>
      <c r="CC51" s="15"/>
      <c r="CD51" s="15"/>
      <c r="CE51" s="15"/>
      <c r="CF51" s="15"/>
      <c r="CG51" s="15"/>
      <c r="CH51" s="15"/>
      <c r="CI51" s="15"/>
      <c r="CJ51" s="15"/>
      <c r="CK51" s="15"/>
      <c r="CL51" s="15"/>
      <c r="CM51" s="15"/>
      <c r="CN51" s="6"/>
      <c r="CO51" s="6"/>
      <c r="CR51" s="5">
        <v>41</v>
      </c>
      <c r="CS51" s="12"/>
      <c r="CT51" s="13"/>
      <c r="CU51" s="13"/>
      <c r="CV51" s="13"/>
      <c r="CW51" s="13"/>
      <c r="CX51" s="14"/>
      <c r="CY51" s="15"/>
      <c r="CZ51" s="15"/>
      <c r="DA51" s="15"/>
      <c r="DB51" s="15"/>
      <c r="DC51" s="15"/>
      <c r="DD51" s="15"/>
      <c r="DE51" s="15"/>
      <c r="DF51" s="15"/>
      <c r="DG51" s="15"/>
      <c r="DH51" s="15"/>
      <c r="DI51" s="15"/>
      <c r="DJ51" s="15"/>
      <c r="DK51" s="15"/>
      <c r="DL51" s="6"/>
      <c r="DM51" s="6"/>
      <c r="DO51" s="5">
        <v>33</v>
      </c>
      <c r="DP51" s="12"/>
      <c r="DQ51" s="13"/>
      <c r="DR51" s="13"/>
      <c r="DS51" s="13"/>
      <c r="DT51" s="13"/>
      <c r="DU51" s="14"/>
      <c r="DV51" s="15"/>
      <c r="DW51" s="15"/>
      <c r="DX51" s="15"/>
      <c r="DY51" s="15"/>
      <c r="DZ51" s="15"/>
      <c r="EA51" s="15"/>
      <c r="EB51" s="15"/>
      <c r="EC51" s="15"/>
      <c r="ED51" s="15"/>
      <c r="EE51" s="15"/>
      <c r="EF51" s="15"/>
      <c r="EG51" s="15"/>
      <c r="EH51" s="15"/>
      <c r="EI51" s="6"/>
      <c r="EJ51" s="6"/>
      <c r="EM51" s="5">
        <v>41</v>
      </c>
      <c r="EN51" s="12"/>
      <c r="EO51" s="13"/>
      <c r="EP51" s="13"/>
      <c r="EQ51" s="13"/>
      <c r="ER51" s="13"/>
      <c r="ES51" s="14"/>
      <c r="ET51" s="15"/>
      <c r="EU51" s="15"/>
      <c r="EV51" s="15"/>
      <c r="EW51" s="15"/>
      <c r="EX51" s="15"/>
      <c r="EY51" s="15"/>
      <c r="EZ51" s="15"/>
      <c r="FA51" s="15"/>
      <c r="FB51" s="15"/>
      <c r="FC51" s="15"/>
      <c r="FD51" s="15"/>
      <c r="FE51" s="15"/>
      <c r="FF51" s="15"/>
      <c r="FG51" s="6"/>
      <c r="FH51" s="6"/>
      <c r="FJ51" s="5">
        <v>33</v>
      </c>
      <c r="FK51" s="12"/>
      <c r="FL51" s="13"/>
      <c r="FM51" s="13"/>
      <c r="FN51" s="13"/>
      <c r="FO51" s="13"/>
      <c r="FP51" s="14"/>
      <c r="FQ51" s="15"/>
      <c r="FR51" s="15"/>
      <c r="FS51" s="15"/>
      <c r="FT51" s="15"/>
      <c r="FU51" s="15"/>
      <c r="FV51" s="15"/>
      <c r="FW51" s="15"/>
      <c r="FX51" s="15"/>
      <c r="FY51" s="15"/>
      <c r="FZ51" s="15"/>
      <c r="GA51" s="15"/>
      <c r="GB51" s="15"/>
      <c r="GC51" s="15"/>
      <c r="GD51" s="6"/>
      <c r="GE51" s="6"/>
      <c r="GH51" s="5">
        <v>41</v>
      </c>
      <c r="GI51" s="12"/>
      <c r="GJ51" s="13"/>
      <c r="GK51" s="13"/>
      <c r="GL51" s="13"/>
      <c r="GM51" s="13"/>
      <c r="GN51" s="14"/>
      <c r="GO51" s="15"/>
      <c r="GP51" s="15"/>
      <c r="GQ51" s="15"/>
      <c r="GR51" s="15"/>
      <c r="GS51" s="15"/>
      <c r="GT51" s="15"/>
      <c r="GU51" s="15"/>
      <c r="GV51" s="15"/>
      <c r="GW51" s="15"/>
      <c r="GX51" s="15"/>
      <c r="GY51" s="15"/>
      <c r="GZ51" s="15"/>
      <c r="HA51" s="15"/>
      <c r="HB51" s="6"/>
      <c r="HC51" s="6"/>
      <c r="HE51" s="5">
        <v>33</v>
      </c>
      <c r="HF51" s="12"/>
      <c r="HG51" s="13"/>
      <c r="HH51" s="13"/>
      <c r="HI51" s="13"/>
      <c r="HJ51" s="13"/>
      <c r="HK51" s="14"/>
      <c r="HL51" s="15"/>
      <c r="HM51" s="15"/>
      <c r="HN51" s="15"/>
      <c r="HO51" s="15"/>
      <c r="HP51" s="15"/>
      <c r="HQ51" s="15"/>
      <c r="HR51" s="15"/>
      <c r="HS51" s="15"/>
      <c r="HT51" s="15"/>
      <c r="HU51" s="15"/>
      <c r="HV51" s="15"/>
      <c r="HW51" s="15"/>
      <c r="HX51" s="15"/>
      <c r="HY51" s="6"/>
      <c r="HZ51" s="6"/>
    </row>
    <row r="52" customHeight="1" spans="2:234">
      <c r="B52" s="8">
        <v>42</v>
      </c>
      <c r="C52" s="17"/>
      <c r="D52" s="18"/>
      <c r="E52" s="18"/>
      <c r="F52" s="18"/>
      <c r="G52" s="18"/>
      <c r="H52" s="19"/>
      <c r="I52" s="20"/>
      <c r="J52" s="20"/>
      <c r="K52" s="20"/>
      <c r="L52" s="20"/>
      <c r="M52" s="20"/>
      <c r="N52" s="20"/>
      <c r="O52" s="20"/>
      <c r="P52" s="20"/>
      <c r="Q52" s="20"/>
      <c r="R52" s="20"/>
      <c r="S52" s="20"/>
      <c r="T52" s="20"/>
      <c r="U52" s="20"/>
      <c r="V52" s="9"/>
      <c r="W52" s="9"/>
      <c r="Y52" s="8">
        <v>34</v>
      </c>
      <c r="Z52" s="17"/>
      <c r="AA52" s="18"/>
      <c r="AB52" s="18"/>
      <c r="AC52" s="18"/>
      <c r="AD52" s="18"/>
      <c r="AE52" s="19"/>
      <c r="AF52" s="20"/>
      <c r="AG52" s="20"/>
      <c r="AH52" s="20"/>
      <c r="AI52" s="20"/>
      <c r="AJ52" s="20"/>
      <c r="AK52" s="20"/>
      <c r="AL52" s="20"/>
      <c r="AM52" s="20"/>
      <c r="AN52" s="20"/>
      <c r="AO52" s="20"/>
      <c r="AP52" s="20"/>
      <c r="AQ52" s="20"/>
      <c r="AR52" s="20"/>
      <c r="AS52" s="9"/>
      <c r="AT52" s="9"/>
      <c r="AW52" s="8">
        <v>42</v>
      </c>
      <c r="AX52" s="17"/>
      <c r="AY52" s="18"/>
      <c r="AZ52" s="18"/>
      <c r="BA52" s="18"/>
      <c r="BB52" s="18"/>
      <c r="BC52" s="19"/>
      <c r="BD52" s="20"/>
      <c r="BE52" s="20"/>
      <c r="BF52" s="20"/>
      <c r="BG52" s="20"/>
      <c r="BH52" s="20"/>
      <c r="BI52" s="20"/>
      <c r="BJ52" s="20"/>
      <c r="BK52" s="20"/>
      <c r="BL52" s="20"/>
      <c r="BM52" s="20"/>
      <c r="BN52" s="20"/>
      <c r="BO52" s="20"/>
      <c r="BP52" s="20"/>
      <c r="BQ52" s="9"/>
      <c r="BR52" s="9"/>
      <c r="BT52" s="8">
        <v>34</v>
      </c>
      <c r="BU52" s="17"/>
      <c r="BV52" s="18"/>
      <c r="BW52" s="18"/>
      <c r="BX52" s="18"/>
      <c r="BY52" s="18"/>
      <c r="BZ52" s="19"/>
      <c r="CA52" s="20"/>
      <c r="CB52" s="20"/>
      <c r="CC52" s="20"/>
      <c r="CD52" s="20"/>
      <c r="CE52" s="20"/>
      <c r="CF52" s="20"/>
      <c r="CG52" s="20"/>
      <c r="CH52" s="20"/>
      <c r="CI52" s="20"/>
      <c r="CJ52" s="20"/>
      <c r="CK52" s="20"/>
      <c r="CL52" s="20"/>
      <c r="CM52" s="20"/>
      <c r="CN52" s="9"/>
      <c r="CO52" s="9"/>
      <c r="CR52" s="8">
        <v>42</v>
      </c>
      <c r="CS52" s="17"/>
      <c r="CT52" s="18"/>
      <c r="CU52" s="18"/>
      <c r="CV52" s="18"/>
      <c r="CW52" s="18"/>
      <c r="CX52" s="19"/>
      <c r="CY52" s="20"/>
      <c r="CZ52" s="20"/>
      <c r="DA52" s="20"/>
      <c r="DB52" s="20"/>
      <c r="DC52" s="20"/>
      <c r="DD52" s="20"/>
      <c r="DE52" s="20"/>
      <c r="DF52" s="20"/>
      <c r="DG52" s="20"/>
      <c r="DH52" s="20"/>
      <c r="DI52" s="20"/>
      <c r="DJ52" s="20"/>
      <c r="DK52" s="20"/>
      <c r="DL52" s="9"/>
      <c r="DM52" s="9"/>
      <c r="DO52" s="8">
        <v>34</v>
      </c>
      <c r="DP52" s="17"/>
      <c r="DQ52" s="18"/>
      <c r="DR52" s="18"/>
      <c r="DS52" s="18"/>
      <c r="DT52" s="18"/>
      <c r="DU52" s="19"/>
      <c r="DV52" s="20"/>
      <c r="DW52" s="20"/>
      <c r="DX52" s="20"/>
      <c r="DY52" s="20"/>
      <c r="DZ52" s="20"/>
      <c r="EA52" s="20"/>
      <c r="EB52" s="20"/>
      <c r="EC52" s="20"/>
      <c r="ED52" s="20"/>
      <c r="EE52" s="20"/>
      <c r="EF52" s="20"/>
      <c r="EG52" s="20"/>
      <c r="EH52" s="20"/>
      <c r="EI52" s="9"/>
      <c r="EJ52" s="9"/>
      <c r="EM52" s="8">
        <v>42</v>
      </c>
      <c r="EN52" s="17"/>
      <c r="EO52" s="18"/>
      <c r="EP52" s="18"/>
      <c r="EQ52" s="18"/>
      <c r="ER52" s="18"/>
      <c r="ES52" s="19"/>
      <c r="ET52" s="20"/>
      <c r="EU52" s="20"/>
      <c r="EV52" s="20"/>
      <c r="EW52" s="20"/>
      <c r="EX52" s="20"/>
      <c r="EY52" s="20"/>
      <c r="EZ52" s="20"/>
      <c r="FA52" s="20"/>
      <c r="FB52" s="20"/>
      <c r="FC52" s="20"/>
      <c r="FD52" s="20"/>
      <c r="FE52" s="20"/>
      <c r="FF52" s="20"/>
      <c r="FG52" s="9"/>
      <c r="FH52" s="9"/>
      <c r="FJ52" s="8">
        <v>34</v>
      </c>
      <c r="FK52" s="17"/>
      <c r="FL52" s="18"/>
      <c r="FM52" s="18"/>
      <c r="FN52" s="18"/>
      <c r="FO52" s="18"/>
      <c r="FP52" s="19"/>
      <c r="FQ52" s="20"/>
      <c r="FR52" s="20"/>
      <c r="FS52" s="20"/>
      <c r="FT52" s="20"/>
      <c r="FU52" s="20"/>
      <c r="FV52" s="20"/>
      <c r="FW52" s="20"/>
      <c r="FX52" s="20"/>
      <c r="FY52" s="20"/>
      <c r="FZ52" s="20"/>
      <c r="GA52" s="20"/>
      <c r="GB52" s="20"/>
      <c r="GC52" s="20"/>
      <c r="GD52" s="9"/>
      <c r="GE52" s="9"/>
      <c r="GH52" s="8">
        <v>42</v>
      </c>
      <c r="GI52" s="17"/>
      <c r="GJ52" s="18"/>
      <c r="GK52" s="18"/>
      <c r="GL52" s="18"/>
      <c r="GM52" s="18"/>
      <c r="GN52" s="19"/>
      <c r="GO52" s="20"/>
      <c r="GP52" s="20"/>
      <c r="GQ52" s="20"/>
      <c r="GR52" s="20"/>
      <c r="GS52" s="20"/>
      <c r="GT52" s="20"/>
      <c r="GU52" s="20"/>
      <c r="GV52" s="20"/>
      <c r="GW52" s="20"/>
      <c r="GX52" s="20"/>
      <c r="GY52" s="20"/>
      <c r="GZ52" s="20"/>
      <c r="HA52" s="20"/>
      <c r="HB52" s="9"/>
      <c r="HC52" s="9"/>
      <c r="HE52" s="8">
        <v>34</v>
      </c>
      <c r="HF52" s="17"/>
      <c r="HG52" s="18"/>
      <c r="HH52" s="18"/>
      <c r="HI52" s="18"/>
      <c r="HJ52" s="18"/>
      <c r="HK52" s="19"/>
      <c r="HL52" s="20"/>
      <c r="HM52" s="20"/>
      <c r="HN52" s="20"/>
      <c r="HO52" s="20"/>
      <c r="HP52" s="20"/>
      <c r="HQ52" s="20"/>
      <c r="HR52" s="20"/>
      <c r="HS52" s="20"/>
      <c r="HT52" s="20"/>
      <c r="HU52" s="20"/>
      <c r="HV52" s="20"/>
      <c r="HW52" s="20"/>
      <c r="HX52" s="20"/>
      <c r="HY52" s="9"/>
      <c r="HZ52" s="9"/>
    </row>
    <row r="53" customHeight="1" spans="2:234">
      <c r="B53" s="5">
        <v>43</v>
      </c>
      <c r="C53" s="12"/>
      <c r="D53" s="13"/>
      <c r="E53" s="13"/>
      <c r="F53" s="13"/>
      <c r="G53" s="13"/>
      <c r="H53" s="14"/>
      <c r="I53" s="15"/>
      <c r="J53" s="15"/>
      <c r="K53" s="15"/>
      <c r="L53" s="15"/>
      <c r="M53" s="15"/>
      <c r="N53" s="15"/>
      <c r="O53" s="15"/>
      <c r="P53" s="15"/>
      <c r="Q53" s="15"/>
      <c r="R53" s="15"/>
      <c r="S53" s="15"/>
      <c r="T53" s="15"/>
      <c r="U53" s="15"/>
      <c r="V53" s="6"/>
      <c r="W53" s="6"/>
      <c r="Y53" s="5">
        <v>35</v>
      </c>
      <c r="Z53" s="12"/>
      <c r="AA53" s="13"/>
      <c r="AB53" s="13"/>
      <c r="AC53" s="13"/>
      <c r="AD53" s="13"/>
      <c r="AE53" s="14"/>
      <c r="AF53" s="15"/>
      <c r="AG53" s="15"/>
      <c r="AH53" s="15"/>
      <c r="AI53" s="15"/>
      <c r="AJ53" s="15"/>
      <c r="AK53" s="15"/>
      <c r="AL53" s="15"/>
      <c r="AM53" s="15"/>
      <c r="AN53" s="15"/>
      <c r="AO53" s="15"/>
      <c r="AP53" s="15"/>
      <c r="AQ53" s="15"/>
      <c r="AR53" s="15"/>
      <c r="AS53" s="6"/>
      <c r="AT53" s="6"/>
      <c r="AW53" s="5">
        <v>43</v>
      </c>
      <c r="AX53" s="12"/>
      <c r="AY53" s="13"/>
      <c r="AZ53" s="13"/>
      <c r="BA53" s="13"/>
      <c r="BB53" s="13"/>
      <c r="BC53" s="14"/>
      <c r="BD53" s="15"/>
      <c r="BE53" s="15"/>
      <c r="BF53" s="15"/>
      <c r="BG53" s="15"/>
      <c r="BH53" s="15"/>
      <c r="BI53" s="15"/>
      <c r="BJ53" s="15"/>
      <c r="BK53" s="15"/>
      <c r="BL53" s="15"/>
      <c r="BM53" s="15"/>
      <c r="BN53" s="15"/>
      <c r="BO53" s="15"/>
      <c r="BP53" s="15"/>
      <c r="BQ53" s="6"/>
      <c r="BR53" s="6"/>
      <c r="BT53" s="5">
        <v>35</v>
      </c>
      <c r="BU53" s="12"/>
      <c r="BV53" s="13"/>
      <c r="BW53" s="13"/>
      <c r="BX53" s="13"/>
      <c r="BY53" s="13"/>
      <c r="BZ53" s="14"/>
      <c r="CA53" s="15"/>
      <c r="CB53" s="15"/>
      <c r="CC53" s="15"/>
      <c r="CD53" s="15"/>
      <c r="CE53" s="15"/>
      <c r="CF53" s="15"/>
      <c r="CG53" s="15"/>
      <c r="CH53" s="15"/>
      <c r="CI53" s="15"/>
      <c r="CJ53" s="15"/>
      <c r="CK53" s="15"/>
      <c r="CL53" s="15"/>
      <c r="CM53" s="15"/>
      <c r="CN53" s="6"/>
      <c r="CO53" s="6"/>
      <c r="CR53" s="5">
        <v>43</v>
      </c>
      <c r="CS53" s="12"/>
      <c r="CT53" s="13"/>
      <c r="CU53" s="13"/>
      <c r="CV53" s="13"/>
      <c r="CW53" s="13"/>
      <c r="CX53" s="14"/>
      <c r="CY53" s="15"/>
      <c r="CZ53" s="15"/>
      <c r="DA53" s="15"/>
      <c r="DB53" s="15"/>
      <c r="DC53" s="15"/>
      <c r="DD53" s="15"/>
      <c r="DE53" s="15"/>
      <c r="DF53" s="15"/>
      <c r="DG53" s="15"/>
      <c r="DH53" s="15"/>
      <c r="DI53" s="15"/>
      <c r="DJ53" s="15"/>
      <c r="DK53" s="15"/>
      <c r="DL53" s="6"/>
      <c r="DM53" s="6"/>
      <c r="DO53" s="5">
        <v>35</v>
      </c>
      <c r="DP53" s="12"/>
      <c r="DQ53" s="13"/>
      <c r="DR53" s="13"/>
      <c r="DS53" s="13"/>
      <c r="DT53" s="13"/>
      <c r="DU53" s="14"/>
      <c r="DV53" s="15"/>
      <c r="DW53" s="15"/>
      <c r="DX53" s="15"/>
      <c r="DY53" s="15"/>
      <c r="DZ53" s="15"/>
      <c r="EA53" s="15"/>
      <c r="EB53" s="15"/>
      <c r="EC53" s="15"/>
      <c r="ED53" s="15"/>
      <c r="EE53" s="15"/>
      <c r="EF53" s="15"/>
      <c r="EG53" s="15"/>
      <c r="EH53" s="15"/>
      <c r="EI53" s="6"/>
      <c r="EJ53" s="6"/>
      <c r="EM53" s="5">
        <v>43</v>
      </c>
      <c r="EN53" s="12"/>
      <c r="EO53" s="13"/>
      <c r="EP53" s="13"/>
      <c r="EQ53" s="13"/>
      <c r="ER53" s="13"/>
      <c r="ES53" s="14"/>
      <c r="ET53" s="15"/>
      <c r="EU53" s="15"/>
      <c r="EV53" s="15"/>
      <c r="EW53" s="15"/>
      <c r="EX53" s="15"/>
      <c r="EY53" s="15"/>
      <c r="EZ53" s="15"/>
      <c r="FA53" s="15"/>
      <c r="FB53" s="15"/>
      <c r="FC53" s="15"/>
      <c r="FD53" s="15"/>
      <c r="FE53" s="15"/>
      <c r="FF53" s="15"/>
      <c r="FG53" s="6"/>
      <c r="FH53" s="6"/>
      <c r="FJ53" s="5">
        <v>35</v>
      </c>
      <c r="FK53" s="12"/>
      <c r="FL53" s="13"/>
      <c r="FM53" s="13"/>
      <c r="FN53" s="13"/>
      <c r="FO53" s="13"/>
      <c r="FP53" s="14"/>
      <c r="FQ53" s="15"/>
      <c r="FR53" s="15"/>
      <c r="FS53" s="15"/>
      <c r="FT53" s="15"/>
      <c r="FU53" s="15"/>
      <c r="FV53" s="15"/>
      <c r="FW53" s="15"/>
      <c r="FX53" s="15"/>
      <c r="FY53" s="15"/>
      <c r="FZ53" s="15"/>
      <c r="GA53" s="15"/>
      <c r="GB53" s="15"/>
      <c r="GC53" s="15"/>
      <c r="GD53" s="6"/>
      <c r="GE53" s="6"/>
      <c r="GH53" s="5">
        <v>43</v>
      </c>
      <c r="GI53" s="12"/>
      <c r="GJ53" s="13"/>
      <c r="GK53" s="13"/>
      <c r="GL53" s="13"/>
      <c r="GM53" s="13"/>
      <c r="GN53" s="14"/>
      <c r="GO53" s="15"/>
      <c r="GP53" s="15"/>
      <c r="GQ53" s="15"/>
      <c r="GR53" s="15"/>
      <c r="GS53" s="15"/>
      <c r="GT53" s="15"/>
      <c r="GU53" s="15"/>
      <c r="GV53" s="15"/>
      <c r="GW53" s="15"/>
      <c r="GX53" s="15"/>
      <c r="GY53" s="15"/>
      <c r="GZ53" s="15"/>
      <c r="HA53" s="15"/>
      <c r="HB53" s="6"/>
      <c r="HC53" s="6"/>
      <c r="HE53" s="5">
        <v>35</v>
      </c>
      <c r="HF53" s="12"/>
      <c r="HG53" s="13"/>
      <c r="HH53" s="13"/>
      <c r="HI53" s="13"/>
      <c r="HJ53" s="13"/>
      <c r="HK53" s="14"/>
      <c r="HL53" s="15"/>
      <c r="HM53" s="15"/>
      <c r="HN53" s="15"/>
      <c r="HO53" s="15"/>
      <c r="HP53" s="15"/>
      <c r="HQ53" s="15"/>
      <c r="HR53" s="15"/>
      <c r="HS53" s="15"/>
      <c r="HT53" s="15"/>
      <c r="HU53" s="15"/>
      <c r="HV53" s="15"/>
      <c r="HW53" s="15"/>
      <c r="HX53" s="15"/>
      <c r="HY53" s="6"/>
      <c r="HZ53" s="6"/>
    </row>
    <row r="54" customHeight="1" spans="2:234">
      <c r="B54" s="8">
        <v>44</v>
      </c>
      <c r="C54" s="17"/>
      <c r="D54" s="18"/>
      <c r="E54" s="18"/>
      <c r="F54" s="18"/>
      <c r="G54" s="18"/>
      <c r="H54" s="19"/>
      <c r="I54" s="20"/>
      <c r="J54" s="20"/>
      <c r="K54" s="20"/>
      <c r="L54" s="20"/>
      <c r="M54" s="20"/>
      <c r="N54" s="20"/>
      <c r="O54" s="20"/>
      <c r="P54" s="20"/>
      <c r="Q54" s="20"/>
      <c r="R54" s="20"/>
      <c r="S54" s="20"/>
      <c r="T54" s="20"/>
      <c r="U54" s="20"/>
      <c r="V54" s="9"/>
      <c r="W54" s="9"/>
      <c r="Y54" s="8">
        <v>36</v>
      </c>
      <c r="Z54" s="17"/>
      <c r="AA54" s="18"/>
      <c r="AB54" s="18"/>
      <c r="AC54" s="18"/>
      <c r="AD54" s="18"/>
      <c r="AE54" s="19"/>
      <c r="AF54" s="20"/>
      <c r="AG54" s="20"/>
      <c r="AH54" s="20"/>
      <c r="AI54" s="20"/>
      <c r="AJ54" s="20"/>
      <c r="AK54" s="20"/>
      <c r="AL54" s="20"/>
      <c r="AM54" s="20"/>
      <c r="AN54" s="20"/>
      <c r="AO54" s="20"/>
      <c r="AP54" s="20"/>
      <c r="AQ54" s="20"/>
      <c r="AR54" s="20"/>
      <c r="AS54" s="9"/>
      <c r="AT54" s="9"/>
      <c r="AW54" s="8">
        <v>44</v>
      </c>
      <c r="AX54" s="17"/>
      <c r="AY54" s="18"/>
      <c r="AZ54" s="18"/>
      <c r="BA54" s="18"/>
      <c r="BB54" s="18"/>
      <c r="BC54" s="19"/>
      <c r="BD54" s="20"/>
      <c r="BE54" s="20"/>
      <c r="BF54" s="20"/>
      <c r="BG54" s="20"/>
      <c r="BH54" s="20"/>
      <c r="BI54" s="20"/>
      <c r="BJ54" s="20"/>
      <c r="BK54" s="20"/>
      <c r="BL54" s="20"/>
      <c r="BM54" s="20"/>
      <c r="BN54" s="20"/>
      <c r="BO54" s="20"/>
      <c r="BP54" s="20"/>
      <c r="BQ54" s="9"/>
      <c r="BR54" s="9"/>
      <c r="BT54" s="8">
        <v>36</v>
      </c>
      <c r="BU54" s="17"/>
      <c r="BV54" s="18"/>
      <c r="BW54" s="18"/>
      <c r="BX54" s="18"/>
      <c r="BY54" s="18"/>
      <c r="BZ54" s="19"/>
      <c r="CA54" s="20"/>
      <c r="CB54" s="20"/>
      <c r="CC54" s="20"/>
      <c r="CD54" s="20"/>
      <c r="CE54" s="20"/>
      <c r="CF54" s="20"/>
      <c r="CG54" s="20"/>
      <c r="CH54" s="20"/>
      <c r="CI54" s="20"/>
      <c r="CJ54" s="20"/>
      <c r="CK54" s="20"/>
      <c r="CL54" s="20"/>
      <c r="CM54" s="20"/>
      <c r="CN54" s="9"/>
      <c r="CO54" s="9"/>
      <c r="CR54" s="8">
        <v>44</v>
      </c>
      <c r="CS54" s="17"/>
      <c r="CT54" s="18"/>
      <c r="CU54" s="18"/>
      <c r="CV54" s="18"/>
      <c r="CW54" s="18"/>
      <c r="CX54" s="19"/>
      <c r="CY54" s="20"/>
      <c r="CZ54" s="20"/>
      <c r="DA54" s="20"/>
      <c r="DB54" s="20"/>
      <c r="DC54" s="20"/>
      <c r="DD54" s="20"/>
      <c r="DE54" s="20"/>
      <c r="DF54" s="20"/>
      <c r="DG54" s="20"/>
      <c r="DH54" s="20"/>
      <c r="DI54" s="20"/>
      <c r="DJ54" s="20"/>
      <c r="DK54" s="20"/>
      <c r="DL54" s="9"/>
      <c r="DM54" s="9"/>
      <c r="DO54" s="8">
        <v>36</v>
      </c>
      <c r="DP54" s="17"/>
      <c r="DQ54" s="18"/>
      <c r="DR54" s="18"/>
      <c r="DS54" s="18"/>
      <c r="DT54" s="18"/>
      <c r="DU54" s="19"/>
      <c r="DV54" s="20"/>
      <c r="DW54" s="20"/>
      <c r="DX54" s="20"/>
      <c r="DY54" s="20"/>
      <c r="DZ54" s="20"/>
      <c r="EA54" s="20"/>
      <c r="EB54" s="20"/>
      <c r="EC54" s="20"/>
      <c r="ED54" s="20"/>
      <c r="EE54" s="20"/>
      <c r="EF54" s="20"/>
      <c r="EG54" s="20"/>
      <c r="EH54" s="20"/>
      <c r="EI54" s="9"/>
      <c r="EJ54" s="9"/>
      <c r="EM54" s="8">
        <v>44</v>
      </c>
      <c r="EN54" s="17"/>
      <c r="EO54" s="18"/>
      <c r="EP54" s="18"/>
      <c r="EQ54" s="18"/>
      <c r="ER54" s="18"/>
      <c r="ES54" s="19"/>
      <c r="ET54" s="20"/>
      <c r="EU54" s="20"/>
      <c r="EV54" s="20"/>
      <c r="EW54" s="20"/>
      <c r="EX54" s="20"/>
      <c r="EY54" s="20"/>
      <c r="EZ54" s="20"/>
      <c r="FA54" s="20"/>
      <c r="FB54" s="20"/>
      <c r="FC54" s="20"/>
      <c r="FD54" s="20"/>
      <c r="FE54" s="20"/>
      <c r="FF54" s="20"/>
      <c r="FG54" s="9"/>
      <c r="FH54" s="9"/>
      <c r="FJ54" s="8">
        <v>36</v>
      </c>
      <c r="FK54" s="17"/>
      <c r="FL54" s="18"/>
      <c r="FM54" s="18"/>
      <c r="FN54" s="18"/>
      <c r="FO54" s="18"/>
      <c r="FP54" s="19"/>
      <c r="FQ54" s="20"/>
      <c r="FR54" s="20"/>
      <c r="FS54" s="20"/>
      <c r="FT54" s="20"/>
      <c r="FU54" s="20"/>
      <c r="FV54" s="20"/>
      <c r="FW54" s="20"/>
      <c r="FX54" s="20"/>
      <c r="FY54" s="20"/>
      <c r="FZ54" s="20"/>
      <c r="GA54" s="20"/>
      <c r="GB54" s="20"/>
      <c r="GC54" s="20"/>
      <c r="GD54" s="9"/>
      <c r="GE54" s="9"/>
      <c r="GH54" s="8">
        <v>44</v>
      </c>
      <c r="GI54" s="17"/>
      <c r="GJ54" s="18"/>
      <c r="GK54" s="18"/>
      <c r="GL54" s="18"/>
      <c r="GM54" s="18"/>
      <c r="GN54" s="19"/>
      <c r="GO54" s="20"/>
      <c r="GP54" s="20"/>
      <c r="GQ54" s="20"/>
      <c r="GR54" s="20"/>
      <c r="GS54" s="20"/>
      <c r="GT54" s="20"/>
      <c r="GU54" s="20"/>
      <c r="GV54" s="20"/>
      <c r="GW54" s="20"/>
      <c r="GX54" s="20"/>
      <c r="GY54" s="20"/>
      <c r="GZ54" s="20"/>
      <c r="HA54" s="20"/>
      <c r="HB54" s="9"/>
      <c r="HC54" s="9"/>
      <c r="HE54" s="8">
        <v>36</v>
      </c>
      <c r="HF54" s="17"/>
      <c r="HG54" s="18"/>
      <c r="HH54" s="18"/>
      <c r="HI54" s="18"/>
      <c r="HJ54" s="18"/>
      <c r="HK54" s="19"/>
      <c r="HL54" s="20"/>
      <c r="HM54" s="20"/>
      <c r="HN54" s="20"/>
      <c r="HO54" s="20"/>
      <c r="HP54" s="20"/>
      <c r="HQ54" s="20"/>
      <c r="HR54" s="20"/>
      <c r="HS54" s="20"/>
      <c r="HT54" s="20"/>
      <c r="HU54" s="20"/>
      <c r="HV54" s="20"/>
      <c r="HW54" s="20"/>
      <c r="HX54" s="20"/>
      <c r="HY54" s="9"/>
      <c r="HZ54" s="9"/>
    </row>
    <row r="55" customHeight="1" spans="2:234">
      <c r="B55" s="5">
        <v>45</v>
      </c>
      <c r="C55" s="12"/>
      <c r="D55" s="13"/>
      <c r="E55" s="13"/>
      <c r="F55" s="13"/>
      <c r="G55" s="13"/>
      <c r="H55" s="14"/>
      <c r="I55" s="15"/>
      <c r="J55" s="15"/>
      <c r="K55" s="15"/>
      <c r="L55" s="15"/>
      <c r="M55" s="15"/>
      <c r="N55" s="15"/>
      <c r="O55" s="15"/>
      <c r="P55" s="15"/>
      <c r="Q55" s="15"/>
      <c r="R55" s="15"/>
      <c r="S55" s="15"/>
      <c r="T55" s="15"/>
      <c r="U55" s="15"/>
      <c r="V55" s="6"/>
      <c r="W55" s="6"/>
      <c r="Y55" s="5">
        <v>37</v>
      </c>
      <c r="Z55" s="12"/>
      <c r="AA55" s="13"/>
      <c r="AB55" s="13"/>
      <c r="AC55" s="13"/>
      <c r="AD55" s="13"/>
      <c r="AE55" s="14"/>
      <c r="AF55" s="15"/>
      <c r="AG55" s="15"/>
      <c r="AH55" s="15"/>
      <c r="AI55" s="15"/>
      <c r="AJ55" s="15"/>
      <c r="AK55" s="15"/>
      <c r="AL55" s="15"/>
      <c r="AM55" s="15"/>
      <c r="AN55" s="15"/>
      <c r="AO55" s="15"/>
      <c r="AP55" s="15"/>
      <c r="AQ55" s="15"/>
      <c r="AR55" s="15"/>
      <c r="AS55" s="6"/>
      <c r="AT55" s="6"/>
      <c r="AW55" s="5">
        <v>45</v>
      </c>
      <c r="AX55" s="12"/>
      <c r="AY55" s="13"/>
      <c r="AZ55" s="13"/>
      <c r="BA55" s="13"/>
      <c r="BB55" s="13"/>
      <c r="BC55" s="14"/>
      <c r="BD55" s="15"/>
      <c r="BE55" s="15"/>
      <c r="BF55" s="15"/>
      <c r="BG55" s="15"/>
      <c r="BH55" s="15"/>
      <c r="BI55" s="15"/>
      <c r="BJ55" s="15"/>
      <c r="BK55" s="15"/>
      <c r="BL55" s="15"/>
      <c r="BM55" s="15"/>
      <c r="BN55" s="15"/>
      <c r="BO55" s="15"/>
      <c r="BP55" s="15"/>
      <c r="BQ55" s="6"/>
      <c r="BR55" s="6"/>
      <c r="BT55" s="5">
        <v>37</v>
      </c>
      <c r="BU55" s="12"/>
      <c r="BV55" s="13"/>
      <c r="BW55" s="13"/>
      <c r="BX55" s="13"/>
      <c r="BY55" s="13"/>
      <c r="BZ55" s="14"/>
      <c r="CA55" s="15"/>
      <c r="CB55" s="15"/>
      <c r="CC55" s="15"/>
      <c r="CD55" s="15"/>
      <c r="CE55" s="15"/>
      <c r="CF55" s="15"/>
      <c r="CG55" s="15"/>
      <c r="CH55" s="15"/>
      <c r="CI55" s="15"/>
      <c r="CJ55" s="15"/>
      <c r="CK55" s="15"/>
      <c r="CL55" s="15"/>
      <c r="CM55" s="15"/>
      <c r="CN55" s="6"/>
      <c r="CO55" s="6"/>
      <c r="CR55" s="5">
        <v>45</v>
      </c>
      <c r="CS55" s="12"/>
      <c r="CT55" s="13"/>
      <c r="CU55" s="13"/>
      <c r="CV55" s="13"/>
      <c r="CW55" s="13"/>
      <c r="CX55" s="14"/>
      <c r="CY55" s="15"/>
      <c r="CZ55" s="15"/>
      <c r="DA55" s="15"/>
      <c r="DB55" s="15"/>
      <c r="DC55" s="15"/>
      <c r="DD55" s="15"/>
      <c r="DE55" s="15"/>
      <c r="DF55" s="15"/>
      <c r="DG55" s="15"/>
      <c r="DH55" s="15"/>
      <c r="DI55" s="15"/>
      <c r="DJ55" s="15"/>
      <c r="DK55" s="15"/>
      <c r="DL55" s="6"/>
      <c r="DM55" s="6"/>
      <c r="DO55" s="5">
        <v>37</v>
      </c>
      <c r="DP55" s="12"/>
      <c r="DQ55" s="13"/>
      <c r="DR55" s="13"/>
      <c r="DS55" s="13"/>
      <c r="DT55" s="13"/>
      <c r="DU55" s="14"/>
      <c r="DV55" s="15"/>
      <c r="DW55" s="15"/>
      <c r="DX55" s="15"/>
      <c r="DY55" s="15"/>
      <c r="DZ55" s="15"/>
      <c r="EA55" s="15"/>
      <c r="EB55" s="15"/>
      <c r="EC55" s="15"/>
      <c r="ED55" s="15"/>
      <c r="EE55" s="15"/>
      <c r="EF55" s="15"/>
      <c r="EG55" s="15"/>
      <c r="EH55" s="15"/>
      <c r="EI55" s="6"/>
      <c r="EJ55" s="6"/>
      <c r="EM55" s="5">
        <v>45</v>
      </c>
      <c r="EN55" s="12"/>
      <c r="EO55" s="13"/>
      <c r="EP55" s="13"/>
      <c r="EQ55" s="13"/>
      <c r="ER55" s="13"/>
      <c r="ES55" s="14"/>
      <c r="ET55" s="15"/>
      <c r="EU55" s="15"/>
      <c r="EV55" s="15"/>
      <c r="EW55" s="15"/>
      <c r="EX55" s="15"/>
      <c r="EY55" s="15"/>
      <c r="EZ55" s="15"/>
      <c r="FA55" s="15"/>
      <c r="FB55" s="15"/>
      <c r="FC55" s="15"/>
      <c r="FD55" s="15"/>
      <c r="FE55" s="15"/>
      <c r="FF55" s="15"/>
      <c r="FG55" s="6"/>
      <c r="FH55" s="6"/>
      <c r="FJ55" s="5">
        <v>37</v>
      </c>
      <c r="FK55" s="12"/>
      <c r="FL55" s="13"/>
      <c r="FM55" s="13"/>
      <c r="FN55" s="13"/>
      <c r="FO55" s="13"/>
      <c r="FP55" s="14"/>
      <c r="FQ55" s="15"/>
      <c r="FR55" s="15"/>
      <c r="FS55" s="15"/>
      <c r="FT55" s="15"/>
      <c r="FU55" s="15"/>
      <c r="FV55" s="15"/>
      <c r="FW55" s="15"/>
      <c r="FX55" s="15"/>
      <c r="FY55" s="15"/>
      <c r="FZ55" s="15"/>
      <c r="GA55" s="15"/>
      <c r="GB55" s="15"/>
      <c r="GC55" s="15"/>
      <c r="GD55" s="6"/>
      <c r="GE55" s="6"/>
      <c r="GH55" s="5">
        <v>45</v>
      </c>
      <c r="GI55" s="12"/>
      <c r="GJ55" s="13"/>
      <c r="GK55" s="13"/>
      <c r="GL55" s="13"/>
      <c r="GM55" s="13"/>
      <c r="GN55" s="14"/>
      <c r="GO55" s="15"/>
      <c r="GP55" s="15"/>
      <c r="GQ55" s="15"/>
      <c r="GR55" s="15"/>
      <c r="GS55" s="15"/>
      <c r="GT55" s="15"/>
      <c r="GU55" s="15"/>
      <c r="GV55" s="15"/>
      <c r="GW55" s="15"/>
      <c r="GX55" s="15"/>
      <c r="GY55" s="15"/>
      <c r="GZ55" s="15"/>
      <c r="HA55" s="15"/>
      <c r="HB55" s="6"/>
      <c r="HC55" s="6"/>
      <c r="HE55" s="5">
        <v>37</v>
      </c>
      <c r="HF55" s="12"/>
      <c r="HG55" s="13"/>
      <c r="HH55" s="13"/>
      <c r="HI55" s="13"/>
      <c r="HJ55" s="13"/>
      <c r="HK55" s="14"/>
      <c r="HL55" s="15"/>
      <c r="HM55" s="15"/>
      <c r="HN55" s="15"/>
      <c r="HO55" s="15"/>
      <c r="HP55" s="15"/>
      <c r="HQ55" s="15"/>
      <c r="HR55" s="15"/>
      <c r="HS55" s="15"/>
      <c r="HT55" s="15"/>
      <c r="HU55" s="15"/>
      <c r="HV55" s="15"/>
      <c r="HW55" s="15"/>
      <c r="HX55" s="15"/>
      <c r="HY55" s="6"/>
      <c r="HZ55" s="6"/>
    </row>
    <row r="56" customHeight="1" spans="2:234">
      <c r="B56" s="8">
        <v>46</v>
      </c>
      <c r="C56" s="17"/>
      <c r="D56" s="18"/>
      <c r="E56" s="18"/>
      <c r="F56" s="18"/>
      <c r="G56" s="18"/>
      <c r="H56" s="19"/>
      <c r="I56" s="20"/>
      <c r="J56" s="20"/>
      <c r="K56" s="20"/>
      <c r="L56" s="20"/>
      <c r="M56" s="20"/>
      <c r="N56" s="20"/>
      <c r="O56" s="20"/>
      <c r="P56" s="20"/>
      <c r="Q56" s="20"/>
      <c r="R56" s="20"/>
      <c r="S56" s="20"/>
      <c r="T56" s="20"/>
      <c r="U56" s="20"/>
      <c r="V56" s="9"/>
      <c r="W56" s="9"/>
      <c r="Y56" s="8">
        <v>38</v>
      </c>
      <c r="Z56" s="17"/>
      <c r="AA56" s="18"/>
      <c r="AB56" s="18"/>
      <c r="AC56" s="18"/>
      <c r="AD56" s="18"/>
      <c r="AE56" s="19"/>
      <c r="AF56" s="20"/>
      <c r="AG56" s="20"/>
      <c r="AH56" s="20"/>
      <c r="AI56" s="20"/>
      <c r="AJ56" s="20"/>
      <c r="AK56" s="20"/>
      <c r="AL56" s="20"/>
      <c r="AM56" s="20"/>
      <c r="AN56" s="20"/>
      <c r="AO56" s="20"/>
      <c r="AP56" s="20"/>
      <c r="AQ56" s="20"/>
      <c r="AR56" s="20"/>
      <c r="AS56" s="9"/>
      <c r="AT56" s="9"/>
      <c r="AW56" s="8">
        <v>46</v>
      </c>
      <c r="AX56" s="17"/>
      <c r="AY56" s="18"/>
      <c r="AZ56" s="18"/>
      <c r="BA56" s="18"/>
      <c r="BB56" s="18"/>
      <c r="BC56" s="19"/>
      <c r="BD56" s="20"/>
      <c r="BE56" s="20"/>
      <c r="BF56" s="20"/>
      <c r="BG56" s="20"/>
      <c r="BH56" s="20"/>
      <c r="BI56" s="20"/>
      <c r="BJ56" s="20"/>
      <c r="BK56" s="20"/>
      <c r="BL56" s="20"/>
      <c r="BM56" s="20"/>
      <c r="BN56" s="20"/>
      <c r="BO56" s="20"/>
      <c r="BP56" s="20"/>
      <c r="BQ56" s="9"/>
      <c r="BR56" s="9"/>
      <c r="BT56" s="8">
        <v>38</v>
      </c>
      <c r="BU56" s="17"/>
      <c r="BV56" s="18"/>
      <c r="BW56" s="18"/>
      <c r="BX56" s="18"/>
      <c r="BY56" s="18"/>
      <c r="BZ56" s="19"/>
      <c r="CA56" s="20"/>
      <c r="CB56" s="20"/>
      <c r="CC56" s="20"/>
      <c r="CD56" s="20"/>
      <c r="CE56" s="20"/>
      <c r="CF56" s="20"/>
      <c r="CG56" s="20"/>
      <c r="CH56" s="20"/>
      <c r="CI56" s="20"/>
      <c r="CJ56" s="20"/>
      <c r="CK56" s="20"/>
      <c r="CL56" s="20"/>
      <c r="CM56" s="20"/>
      <c r="CN56" s="9"/>
      <c r="CO56" s="9"/>
      <c r="CR56" s="8">
        <v>46</v>
      </c>
      <c r="CS56" s="17"/>
      <c r="CT56" s="18"/>
      <c r="CU56" s="18"/>
      <c r="CV56" s="18"/>
      <c r="CW56" s="18"/>
      <c r="CX56" s="19"/>
      <c r="CY56" s="20"/>
      <c r="CZ56" s="20"/>
      <c r="DA56" s="20"/>
      <c r="DB56" s="20"/>
      <c r="DC56" s="20"/>
      <c r="DD56" s="20"/>
      <c r="DE56" s="20"/>
      <c r="DF56" s="20"/>
      <c r="DG56" s="20"/>
      <c r="DH56" s="20"/>
      <c r="DI56" s="20"/>
      <c r="DJ56" s="20"/>
      <c r="DK56" s="20"/>
      <c r="DL56" s="9"/>
      <c r="DM56" s="9"/>
      <c r="DO56" s="8">
        <v>38</v>
      </c>
      <c r="DP56" s="17"/>
      <c r="DQ56" s="18"/>
      <c r="DR56" s="18"/>
      <c r="DS56" s="18"/>
      <c r="DT56" s="18"/>
      <c r="DU56" s="19"/>
      <c r="DV56" s="20"/>
      <c r="DW56" s="20"/>
      <c r="DX56" s="20"/>
      <c r="DY56" s="20"/>
      <c r="DZ56" s="20"/>
      <c r="EA56" s="20"/>
      <c r="EB56" s="20"/>
      <c r="EC56" s="20"/>
      <c r="ED56" s="20"/>
      <c r="EE56" s="20"/>
      <c r="EF56" s="20"/>
      <c r="EG56" s="20"/>
      <c r="EH56" s="20"/>
      <c r="EI56" s="9"/>
      <c r="EJ56" s="9"/>
      <c r="EM56" s="8">
        <v>46</v>
      </c>
      <c r="EN56" s="17"/>
      <c r="EO56" s="18"/>
      <c r="EP56" s="18"/>
      <c r="EQ56" s="18"/>
      <c r="ER56" s="18"/>
      <c r="ES56" s="19"/>
      <c r="ET56" s="20"/>
      <c r="EU56" s="20"/>
      <c r="EV56" s="20"/>
      <c r="EW56" s="20"/>
      <c r="EX56" s="20"/>
      <c r="EY56" s="20"/>
      <c r="EZ56" s="20"/>
      <c r="FA56" s="20"/>
      <c r="FB56" s="20"/>
      <c r="FC56" s="20"/>
      <c r="FD56" s="20"/>
      <c r="FE56" s="20"/>
      <c r="FF56" s="20"/>
      <c r="FG56" s="9"/>
      <c r="FH56" s="9"/>
      <c r="FJ56" s="8">
        <v>38</v>
      </c>
      <c r="FK56" s="17"/>
      <c r="FL56" s="18"/>
      <c r="FM56" s="18"/>
      <c r="FN56" s="18"/>
      <c r="FO56" s="18"/>
      <c r="FP56" s="19"/>
      <c r="FQ56" s="20"/>
      <c r="FR56" s="20"/>
      <c r="FS56" s="20"/>
      <c r="FT56" s="20"/>
      <c r="FU56" s="20"/>
      <c r="FV56" s="20"/>
      <c r="FW56" s="20"/>
      <c r="FX56" s="20"/>
      <c r="FY56" s="20"/>
      <c r="FZ56" s="20"/>
      <c r="GA56" s="20"/>
      <c r="GB56" s="20"/>
      <c r="GC56" s="20"/>
      <c r="GD56" s="9"/>
      <c r="GE56" s="9"/>
      <c r="GH56" s="8">
        <v>46</v>
      </c>
      <c r="GI56" s="17"/>
      <c r="GJ56" s="18"/>
      <c r="GK56" s="18"/>
      <c r="GL56" s="18"/>
      <c r="GM56" s="18"/>
      <c r="GN56" s="19"/>
      <c r="GO56" s="20"/>
      <c r="GP56" s="20"/>
      <c r="GQ56" s="20"/>
      <c r="GR56" s="20"/>
      <c r="GS56" s="20"/>
      <c r="GT56" s="20"/>
      <c r="GU56" s="20"/>
      <c r="GV56" s="20"/>
      <c r="GW56" s="20"/>
      <c r="GX56" s="20"/>
      <c r="GY56" s="20"/>
      <c r="GZ56" s="20"/>
      <c r="HA56" s="20"/>
      <c r="HB56" s="9"/>
      <c r="HC56" s="9"/>
      <c r="HE56" s="8">
        <v>38</v>
      </c>
      <c r="HF56" s="17"/>
      <c r="HG56" s="18"/>
      <c r="HH56" s="18"/>
      <c r="HI56" s="18"/>
      <c r="HJ56" s="18"/>
      <c r="HK56" s="19"/>
      <c r="HL56" s="20"/>
      <c r="HM56" s="20"/>
      <c r="HN56" s="20"/>
      <c r="HO56" s="20"/>
      <c r="HP56" s="20"/>
      <c r="HQ56" s="20"/>
      <c r="HR56" s="20"/>
      <c r="HS56" s="20"/>
      <c r="HT56" s="20"/>
      <c r="HU56" s="20"/>
      <c r="HV56" s="20"/>
      <c r="HW56" s="20"/>
      <c r="HX56" s="20"/>
      <c r="HY56" s="9"/>
      <c r="HZ56" s="9"/>
    </row>
    <row r="57" customHeight="1" spans="2:234">
      <c r="B57" s="5">
        <v>47</v>
      </c>
      <c r="C57" s="12"/>
      <c r="D57" s="13"/>
      <c r="E57" s="13"/>
      <c r="F57" s="13"/>
      <c r="G57" s="13"/>
      <c r="H57" s="14"/>
      <c r="I57" s="15"/>
      <c r="J57" s="15"/>
      <c r="K57" s="15"/>
      <c r="L57" s="15"/>
      <c r="M57" s="15"/>
      <c r="N57" s="15"/>
      <c r="O57" s="15"/>
      <c r="P57" s="15"/>
      <c r="Q57" s="15"/>
      <c r="R57" s="15"/>
      <c r="S57" s="15"/>
      <c r="T57" s="15"/>
      <c r="U57" s="15"/>
      <c r="V57" s="6"/>
      <c r="W57" s="6"/>
      <c r="Y57" s="5">
        <v>39</v>
      </c>
      <c r="Z57" s="12"/>
      <c r="AA57" s="13"/>
      <c r="AB57" s="13"/>
      <c r="AC57" s="13"/>
      <c r="AD57" s="13"/>
      <c r="AE57" s="14"/>
      <c r="AF57" s="15"/>
      <c r="AG57" s="15"/>
      <c r="AH57" s="15"/>
      <c r="AI57" s="15"/>
      <c r="AJ57" s="15"/>
      <c r="AK57" s="15"/>
      <c r="AL57" s="15"/>
      <c r="AM57" s="15"/>
      <c r="AN57" s="15"/>
      <c r="AO57" s="15"/>
      <c r="AP57" s="15"/>
      <c r="AQ57" s="15"/>
      <c r="AR57" s="15"/>
      <c r="AS57" s="6"/>
      <c r="AT57" s="6"/>
      <c r="AW57" s="5">
        <v>47</v>
      </c>
      <c r="AX57" s="12"/>
      <c r="AY57" s="13"/>
      <c r="AZ57" s="13"/>
      <c r="BA57" s="13"/>
      <c r="BB57" s="13"/>
      <c r="BC57" s="14"/>
      <c r="BD57" s="15"/>
      <c r="BE57" s="15"/>
      <c r="BF57" s="15"/>
      <c r="BG57" s="15"/>
      <c r="BH57" s="15"/>
      <c r="BI57" s="15"/>
      <c r="BJ57" s="15"/>
      <c r="BK57" s="15"/>
      <c r="BL57" s="15"/>
      <c r="BM57" s="15"/>
      <c r="BN57" s="15"/>
      <c r="BO57" s="15"/>
      <c r="BP57" s="15"/>
      <c r="BQ57" s="6"/>
      <c r="BR57" s="6"/>
      <c r="BT57" s="5">
        <v>39</v>
      </c>
      <c r="BU57" s="12"/>
      <c r="BV57" s="13"/>
      <c r="BW57" s="13"/>
      <c r="BX57" s="13"/>
      <c r="BY57" s="13"/>
      <c r="BZ57" s="14"/>
      <c r="CA57" s="15"/>
      <c r="CB57" s="15"/>
      <c r="CC57" s="15"/>
      <c r="CD57" s="15"/>
      <c r="CE57" s="15"/>
      <c r="CF57" s="15"/>
      <c r="CG57" s="15"/>
      <c r="CH57" s="15"/>
      <c r="CI57" s="15"/>
      <c r="CJ57" s="15"/>
      <c r="CK57" s="15"/>
      <c r="CL57" s="15"/>
      <c r="CM57" s="15"/>
      <c r="CN57" s="6"/>
      <c r="CO57" s="6"/>
      <c r="CR57" s="5">
        <v>47</v>
      </c>
      <c r="CS57" s="12"/>
      <c r="CT57" s="13"/>
      <c r="CU57" s="13"/>
      <c r="CV57" s="13"/>
      <c r="CW57" s="13"/>
      <c r="CX57" s="14"/>
      <c r="CY57" s="15"/>
      <c r="CZ57" s="15"/>
      <c r="DA57" s="15"/>
      <c r="DB57" s="15"/>
      <c r="DC57" s="15"/>
      <c r="DD57" s="15"/>
      <c r="DE57" s="15"/>
      <c r="DF57" s="15"/>
      <c r="DG57" s="15"/>
      <c r="DH57" s="15"/>
      <c r="DI57" s="15"/>
      <c r="DJ57" s="15"/>
      <c r="DK57" s="15"/>
      <c r="DL57" s="6"/>
      <c r="DM57" s="6"/>
      <c r="DO57" s="5">
        <v>39</v>
      </c>
      <c r="DP57" s="12"/>
      <c r="DQ57" s="13"/>
      <c r="DR57" s="13"/>
      <c r="DS57" s="13"/>
      <c r="DT57" s="13"/>
      <c r="DU57" s="14"/>
      <c r="DV57" s="15"/>
      <c r="DW57" s="15"/>
      <c r="DX57" s="15"/>
      <c r="DY57" s="15"/>
      <c r="DZ57" s="15"/>
      <c r="EA57" s="15"/>
      <c r="EB57" s="15"/>
      <c r="EC57" s="15"/>
      <c r="ED57" s="15"/>
      <c r="EE57" s="15"/>
      <c r="EF57" s="15"/>
      <c r="EG57" s="15"/>
      <c r="EH57" s="15"/>
      <c r="EI57" s="6"/>
      <c r="EJ57" s="6"/>
      <c r="EM57" s="5">
        <v>47</v>
      </c>
      <c r="EN57" s="12"/>
      <c r="EO57" s="13"/>
      <c r="EP57" s="13"/>
      <c r="EQ57" s="13"/>
      <c r="ER57" s="13"/>
      <c r="ES57" s="14"/>
      <c r="ET57" s="15"/>
      <c r="EU57" s="15"/>
      <c r="EV57" s="15"/>
      <c r="EW57" s="15"/>
      <c r="EX57" s="15"/>
      <c r="EY57" s="15"/>
      <c r="EZ57" s="15"/>
      <c r="FA57" s="15"/>
      <c r="FB57" s="15"/>
      <c r="FC57" s="15"/>
      <c r="FD57" s="15"/>
      <c r="FE57" s="15"/>
      <c r="FF57" s="15"/>
      <c r="FG57" s="6"/>
      <c r="FH57" s="6"/>
      <c r="FJ57" s="5">
        <v>39</v>
      </c>
      <c r="FK57" s="12"/>
      <c r="FL57" s="13"/>
      <c r="FM57" s="13"/>
      <c r="FN57" s="13"/>
      <c r="FO57" s="13"/>
      <c r="FP57" s="14"/>
      <c r="FQ57" s="15"/>
      <c r="FR57" s="15"/>
      <c r="FS57" s="15"/>
      <c r="FT57" s="15"/>
      <c r="FU57" s="15"/>
      <c r="FV57" s="15"/>
      <c r="FW57" s="15"/>
      <c r="FX57" s="15"/>
      <c r="FY57" s="15"/>
      <c r="FZ57" s="15"/>
      <c r="GA57" s="15"/>
      <c r="GB57" s="15"/>
      <c r="GC57" s="15"/>
      <c r="GD57" s="6"/>
      <c r="GE57" s="6"/>
      <c r="GH57" s="5">
        <v>47</v>
      </c>
      <c r="GI57" s="12"/>
      <c r="GJ57" s="13"/>
      <c r="GK57" s="13"/>
      <c r="GL57" s="13"/>
      <c r="GM57" s="13"/>
      <c r="GN57" s="14"/>
      <c r="GO57" s="15"/>
      <c r="GP57" s="15"/>
      <c r="GQ57" s="15"/>
      <c r="GR57" s="15"/>
      <c r="GS57" s="15"/>
      <c r="GT57" s="15"/>
      <c r="GU57" s="15"/>
      <c r="GV57" s="15"/>
      <c r="GW57" s="15"/>
      <c r="GX57" s="15"/>
      <c r="GY57" s="15"/>
      <c r="GZ57" s="15"/>
      <c r="HA57" s="15"/>
      <c r="HB57" s="6"/>
      <c r="HC57" s="6"/>
      <c r="HE57" s="5">
        <v>39</v>
      </c>
      <c r="HF57" s="12"/>
      <c r="HG57" s="13"/>
      <c r="HH57" s="13"/>
      <c r="HI57" s="13"/>
      <c r="HJ57" s="13"/>
      <c r="HK57" s="14"/>
      <c r="HL57" s="15"/>
      <c r="HM57" s="15"/>
      <c r="HN57" s="15"/>
      <c r="HO57" s="15"/>
      <c r="HP57" s="15"/>
      <c r="HQ57" s="15"/>
      <c r="HR57" s="15"/>
      <c r="HS57" s="15"/>
      <c r="HT57" s="15"/>
      <c r="HU57" s="15"/>
      <c r="HV57" s="15"/>
      <c r="HW57" s="15"/>
      <c r="HX57" s="15"/>
      <c r="HY57" s="6"/>
      <c r="HZ57" s="6"/>
    </row>
    <row r="58" customHeight="1" spans="2:234">
      <c r="B58" s="8">
        <v>48</v>
      </c>
      <c r="C58" s="17"/>
      <c r="D58" s="18"/>
      <c r="E58" s="18"/>
      <c r="F58" s="18"/>
      <c r="G58" s="18"/>
      <c r="H58" s="19"/>
      <c r="I58" s="20"/>
      <c r="J58" s="20"/>
      <c r="K58" s="20"/>
      <c r="L58" s="20"/>
      <c r="M58" s="20"/>
      <c r="N58" s="20"/>
      <c r="O58" s="20"/>
      <c r="P58" s="20"/>
      <c r="Q58" s="20"/>
      <c r="R58" s="20"/>
      <c r="S58" s="20"/>
      <c r="T58" s="20"/>
      <c r="U58" s="20"/>
      <c r="V58" s="9"/>
      <c r="W58" s="9"/>
      <c r="Y58" s="8">
        <v>40</v>
      </c>
      <c r="Z58" s="17"/>
      <c r="AA58" s="18"/>
      <c r="AB58" s="18"/>
      <c r="AC58" s="18"/>
      <c r="AD58" s="18"/>
      <c r="AE58" s="19"/>
      <c r="AF58" s="20"/>
      <c r="AG58" s="20"/>
      <c r="AH58" s="20"/>
      <c r="AI58" s="20"/>
      <c r="AJ58" s="20"/>
      <c r="AK58" s="20"/>
      <c r="AL58" s="20"/>
      <c r="AM58" s="20"/>
      <c r="AN58" s="20"/>
      <c r="AO58" s="20"/>
      <c r="AP58" s="20"/>
      <c r="AQ58" s="20"/>
      <c r="AR58" s="20"/>
      <c r="AS58" s="9"/>
      <c r="AT58" s="9"/>
      <c r="AW58" s="8">
        <v>48</v>
      </c>
      <c r="AX58" s="17"/>
      <c r="AY58" s="18"/>
      <c r="AZ58" s="18"/>
      <c r="BA58" s="18"/>
      <c r="BB58" s="18"/>
      <c r="BC58" s="19"/>
      <c r="BD58" s="20"/>
      <c r="BE58" s="20"/>
      <c r="BF58" s="20"/>
      <c r="BG58" s="20"/>
      <c r="BH58" s="20"/>
      <c r="BI58" s="20"/>
      <c r="BJ58" s="20"/>
      <c r="BK58" s="20"/>
      <c r="BL58" s="20"/>
      <c r="BM58" s="20"/>
      <c r="BN58" s="20"/>
      <c r="BO58" s="20"/>
      <c r="BP58" s="20"/>
      <c r="BQ58" s="9"/>
      <c r="BR58" s="9"/>
      <c r="BT58" s="8">
        <v>40</v>
      </c>
      <c r="BU58" s="17"/>
      <c r="BV58" s="18"/>
      <c r="BW58" s="18"/>
      <c r="BX58" s="18"/>
      <c r="BY58" s="18"/>
      <c r="BZ58" s="19"/>
      <c r="CA58" s="20"/>
      <c r="CB58" s="20"/>
      <c r="CC58" s="20"/>
      <c r="CD58" s="20"/>
      <c r="CE58" s="20"/>
      <c r="CF58" s="20"/>
      <c r="CG58" s="20"/>
      <c r="CH58" s="20"/>
      <c r="CI58" s="20"/>
      <c r="CJ58" s="20"/>
      <c r="CK58" s="20"/>
      <c r="CL58" s="20"/>
      <c r="CM58" s="20"/>
      <c r="CN58" s="9"/>
      <c r="CO58" s="9"/>
      <c r="CR58" s="8">
        <v>48</v>
      </c>
      <c r="CS58" s="17"/>
      <c r="CT58" s="18"/>
      <c r="CU58" s="18"/>
      <c r="CV58" s="18"/>
      <c r="CW58" s="18"/>
      <c r="CX58" s="19"/>
      <c r="CY58" s="20"/>
      <c r="CZ58" s="20"/>
      <c r="DA58" s="20"/>
      <c r="DB58" s="20"/>
      <c r="DC58" s="20"/>
      <c r="DD58" s="20"/>
      <c r="DE58" s="20"/>
      <c r="DF58" s="20"/>
      <c r="DG58" s="20"/>
      <c r="DH58" s="20"/>
      <c r="DI58" s="20"/>
      <c r="DJ58" s="20"/>
      <c r="DK58" s="20"/>
      <c r="DL58" s="9"/>
      <c r="DM58" s="9"/>
      <c r="DO58" s="8">
        <v>40</v>
      </c>
      <c r="DP58" s="17"/>
      <c r="DQ58" s="18"/>
      <c r="DR58" s="18"/>
      <c r="DS58" s="18"/>
      <c r="DT58" s="18"/>
      <c r="DU58" s="19"/>
      <c r="DV58" s="20"/>
      <c r="DW58" s="20"/>
      <c r="DX58" s="20"/>
      <c r="DY58" s="20"/>
      <c r="DZ58" s="20"/>
      <c r="EA58" s="20"/>
      <c r="EB58" s="20"/>
      <c r="EC58" s="20"/>
      <c r="ED58" s="20"/>
      <c r="EE58" s="20"/>
      <c r="EF58" s="20"/>
      <c r="EG58" s="20"/>
      <c r="EH58" s="20"/>
      <c r="EI58" s="9"/>
      <c r="EJ58" s="9"/>
      <c r="EM58" s="8">
        <v>48</v>
      </c>
      <c r="EN58" s="17"/>
      <c r="EO58" s="18"/>
      <c r="EP58" s="18"/>
      <c r="EQ58" s="18"/>
      <c r="ER58" s="18"/>
      <c r="ES58" s="19"/>
      <c r="ET58" s="20"/>
      <c r="EU58" s="20"/>
      <c r="EV58" s="20"/>
      <c r="EW58" s="20"/>
      <c r="EX58" s="20"/>
      <c r="EY58" s="20"/>
      <c r="EZ58" s="20"/>
      <c r="FA58" s="20"/>
      <c r="FB58" s="20"/>
      <c r="FC58" s="20"/>
      <c r="FD58" s="20"/>
      <c r="FE58" s="20"/>
      <c r="FF58" s="20"/>
      <c r="FG58" s="9"/>
      <c r="FH58" s="9"/>
      <c r="FJ58" s="8">
        <v>40</v>
      </c>
      <c r="FK58" s="17"/>
      <c r="FL58" s="18"/>
      <c r="FM58" s="18"/>
      <c r="FN58" s="18"/>
      <c r="FO58" s="18"/>
      <c r="FP58" s="19"/>
      <c r="FQ58" s="20"/>
      <c r="FR58" s="20"/>
      <c r="FS58" s="20"/>
      <c r="FT58" s="20"/>
      <c r="FU58" s="20"/>
      <c r="FV58" s="20"/>
      <c r="FW58" s="20"/>
      <c r="FX58" s="20"/>
      <c r="FY58" s="20"/>
      <c r="FZ58" s="20"/>
      <c r="GA58" s="20"/>
      <c r="GB58" s="20"/>
      <c r="GC58" s="20"/>
      <c r="GD58" s="9"/>
      <c r="GE58" s="9"/>
      <c r="GH58" s="8">
        <v>48</v>
      </c>
      <c r="GI58" s="17"/>
      <c r="GJ58" s="18"/>
      <c r="GK58" s="18"/>
      <c r="GL58" s="18"/>
      <c r="GM58" s="18"/>
      <c r="GN58" s="19"/>
      <c r="GO58" s="20"/>
      <c r="GP58" s="20"/>
      <c r="GQ58" s="20"/>
      <c r="GR58" s="20"/>
      <c r="GS58" s="20"/>
      <c r="GT58" s="20"/>
      <c r="GU58" s="20"/>
      <c r="GV58" s="20"/>
      <c r="GW58" s="20"/>
      <c r="GX58" s="20"/>
      <c r="GY58" s="20"/>
      <c r="GZ58" s="20"/>
      <c r="HA58" s="20"/>
      <c r="HB58" s="9"/>
      <c r="HC58" s="9"/>
      <c r="HE58" s="8">
        <v>40</v>
      </c>
      <c r="HF58" s="17"/>
      <c r="HG58" s="18"/>
      <c r="HH58" s="18"/>
      <c r="HI58" s="18"/>
      <c r="HJ58" s="18"/>
      <c r="HK58" s="19"/>
      <c r="HL58" s="20"/>
      <c r="HM58" s="20"/>
      <c r="HN58" s="20"/>
      <c r="HO58" s="20"/>
      <c r="HP58" s="20"/>
      <c r="HQ58" s="20"/>
      <c r="HR58" s="20"/>
      <c r="HS58" s="20"/>
      <c r="HT58" s="20"/>
      <c r="HU58" s="20"/>
      <c r="HV58" s="20"/>
      <c r="HW58" s="20"/>
      <c r="HX58" s="20"/>
      <c r="HY58" s="9"/>
      <c r="HZ58" s="9"/>
    </row>
    <row r="59" customHeight="1" spans="2:234">
      <c r="B59" s="5">
        <v>49</v>
      </c>
      <c r="C59" s="12"/>
      <c r="D59" s="13"/>
      <c r="E59" s="13"/>
      <c r="F59" s="13"/>
      <c r="G59" s="13"/>
      <c r="H59" s="14"/>
      <c r="I59" s="15"/>
      <c r="J59" s="15"/>
      <c r="K59" s="15"/>
      <c r="L59" s="15"/>
      <c r="M59" s="15"/>
      <c r="N59" s="15"/>
      <c r="O59" s="15"/>
      <c r="P59" s="15"/>
      <c r="Q59" s="15"/>
      <c r="R59" s="15"/>
      <c r="S59" s="15"/>
      <c r="T59" s="15"/>
      <c r="U59" s="15"/>
      <c r="V59" s="6"/>
      <c r="W59" s="6"/>
      <c r="Y59" s="5">
        <v>41</v>
      </c>
      <c r="Z59" s="12"/>
      <c r="AA59" s="13"/>
      <c r="AB59" s="13"/>
      <c r="AC59" s="13"/>
      <c r="AD59" s="13"/>
      <c r="AE59" s="14"/>
      <c r="AF59" s="15"/>
      <c r="AG59" s="15"/>
      <c r="AH59" s="15"/>
      <c r="AI59" s="15"/>
      <c r="AJ59" s="15"/>
      <c r="AK59" s="15"/>
      <c r="AL59" s="15"/>
      <c r="AM59" s="15"/>
      <c r="AN59" s="15"/>
      <c r="AO59" s="15"/>
      <c r="AP59" s="15"/>
      <c r="AQ59" s="15"/>
      <c r="AR59" s="15"/>
      <c r="AS59" s="6"/>
      <c r="AT59" s="6"/>
      <c r="AW59" s="5">
        <v>49</v>
      </c>
      <c r="AX59" s="12"/>
      <c r="AY59" s="13"/>
      <c r="AZ59" s="13"/>
      <c r="BA59" s="13"/>
      <c r="BB59" s="13"/>
      <c r="BC59" s="14"/>
      <c r="BD59" s="15"/>
      <c r="BE59" s="15"/>
      <c r="BF59" s="15"/>
      <c r="BG59" s="15"/>
      <c r="BH59" s="15"/>
      <c r="BI59" s="15"/>
      <c r="BJ59" s="15"/>
      <c r="BK59" s="15"/>
      <c r="BL59" s="15"/>
      <c r="BM59" s="15"/>
      <c r="BN59" s="15"/>
      <c r="BO59" s="15"/>
      <c r="BP59" s="15"/>
      <c r="BQ59" s="6"/>
      <c r="BR59" s="6"/>
      <c r="BT59" s="5">
        <v>41</v>
      </c>
      <c r="BU59" s="12"/>
      <c r="BV59" s="13"/>
      <c r="BW59" s="13"/>
      <c r="BX59" s="13"/>
      <c r="BY59" s="13"/>
      <c r="BZ59" s="14"/>
      <c r="CA59" s="15"/>
      <c r="CB59" s="15"/>
      <c r="CC59" s="15"/>
      <c r="CD59" s="15"/>
      <c r="CE59" s="15"/>
      <c r="CF59" s="15"/>
      <c r="CG59" s="15"/>
      <c r="CH59" s="15"/>
      <c r="CI59" s="15"/>
      <c r="CJ59" s="15"/>
      <c r="CK59" s="15"/>
      <c r="CL59" s="15"/>
      <c r="CM59" s="15"/>
      <c r="CN59" s="6"/>
      <c r="CO59" s="6"/>
      <c r="CR59" s="5">
        <v>49</v>
      </c>
      <c r="CS59" s="12"/>
      <c r="CT59" s="13"/>
      <c r="CU59" s="13"/>
      <c r="CV59" s="13"/>
      <c r="CW59" s="13"/>
      <c r="CX59" s="14"/>
      <c r="CY59" s="15"/>
      <c r="CZ59" s="15"/>
      <c r="DA59" s="15"/>
      <c r="DB59" s="15"/>
      <c r="DC59" s="15"/>
      <c r="DD59" s="15"/>
      <c r="DE59" s="15"/>
      <c r="DF59" s="15"/>
      <c r="DG59" s="15"/>
      <c r="DH59" s="15"/>
      <c r="DI59" s="15"/>
      <c r="DJ59" s="15"/>
      <c r="DK59" s="15"/>
      <c r="DL59" s="6"/>
      <c r="DM59" s="6"/>
      <c r="DO59" s="5">
        <v>41</v>
      </c>
      <c r="DP59" s="12"/>
      <c r="DQ59" s="13"/>
      <c r="DR59" s="13"/>
      <c r="DS59" s="13"/>
      <c r="DT59" s="13"/>
      <c r="DU59" s="14"/>
      <c r="DV59" s="15"/>
      <c r="DW59" s="15"/>
      <c r="DX59" s="15"/>
      <c r="DY59" s="15"/>
      <c r="DZ59" s="15"/>
      <c r="EA59" s="15"/>
      <c r="EB59" s="15"/>
      <c r="EC59" s="15"/>
      <c r="ED59" s="15"/>
      <c r="EE59" s="15"/>
      <c r="EF59" s="15"/>
      <c r="EG59" s="15"/>
      <c r="EH59" s="15"/>
      <c r="EI59" s="6"/>
      <c r="EJ59" s="6"/>
      <c r="EM59" s="5">
        <v>49</v>
      </c>
      <c r="EN59" s="12"/>
      <c r="EO59" s="13"/>
      <c r="EP59" s="13"/>
      <c r="EQ59" s="13"/>
      <c r="ER59" s="13"/>
      <c r="ES59" s="14"/>
      <c r="ET59" s="15"/>
      <c r="EU59" s="15"/>
      <c r="EV59" s="15"/>
      <c r="EW59" s="15"/>
      <c r="EX59" s="15"/>
      <c r="EY59" s="15"/>
      <c r="EZ59" s="15"/>
      <c r="FA59" s="15"/>
      <c r="FB59" s="15"/>
      <c r="FC59" s="15"/>
      <c r="FD59" s="15"/>
      <c r="FE59" s="15"/>
      <c r="FF59" s="15"/>
      <c r="FG59" s="6"/>
      <c r="FH59" s="6"/>
      <c r="FJ59" s="5">
        <v>41</v>
      </c>
      <c r="FK59" s="12"/>
      <c r="FL59" s="13"/>
      <c r="FM59" s="13"/>
      <c r="FN59" s="13"/>
      <c r="FO59" s="13"/>
      <c r="FP59" s="14"/>
      <c r="FQ59" s="15"/>
      <c r="FR59" s="15"/>
      <c r="FS59" s="15"/>
      <c r="FT59" s="15"/>
      <c r="FU59" s="15"/>
      <c r="FV59" s="15"/>
      <c r="FW59" s="15"/>
      <c r="FX59" s="15"/>
      <c r="FY59" s="15"/>
      <c r="FZ59" s="15"/>
      <c r="GA59" s="15"/>
      <c r="GB59" s="15"/>
      <c r="GC59" s="15"/>
      <c r="GD59" s="6"/>
      <c r="GE59" s="6"/>
      <c r="GH59" s="5">
        <v>49</v>
      </c>
      <c r="GI59" s="12"/>
      <c r="GJ59" s="13"/>
      <c r="GK59" s="13"/>
      <c r="GL59" s="13"/>
      <c r="GM59" s="13"/>
      <c r="GN59" s="14"/>
      <c r="GO59" s="15"/>
      <c r="GP59" s="15"/>
      <c r="GQ59" s="15"/>
      <c r="GR59" s="15"/>
      <c r="GS59" s="15"/>
      <c r="GT59" s="15"/>
      <c r="GU59" s="15"/>
      <c r="GV59" s="15"/>
      <c r="GW59" s="15"/>
      <c r="GX59" s="15"/>
      <c r="GY59" s="15"/>
      <c r="GZ59" s="15"/>
      <c r="HA59" s="15"/>
      <c r="HB59" s="6"/>
      <c r="HC59" s="6"/>
      <c r="HE59" s="5">
        <v>41</v>
      </c>
      <c r="HF59" s="12"/>
      <c r="HG59" s="13"/>
      <c r="HH59" s="13"/>
      <c r="HI59" s="13"/>
      <c r="HJ59" s="13"/>
      <c r="HK59" s="14"/>
      <c r="HL59" s="15"/>
      <c r="HM59" s="15"/>
      <c r="HN59" s="15"/>
      <c r="HO59" s="15"/>
      <c r="HP59" s="15"/>
      <c r="HQ59" s="15"/>
      <c r="HR59" s="15"/>
      <c r="HS59" s="15"/>
      <c r="HT59" s="15"/>
      <c r="HU59" s="15"/>
      <c r="HV59" s="15"/>
      <c r="HW59" s="15"/>
      <c r="HX59" s="15"/>
      <c r="HY59" s="6"/>
      <c r="HZ59" s="6"/>
    </row>
    <row r="60" customHeight="1" spans="2:234">
      <c r="B60" s="8">
        <v>50</v>
      </c>
      <c r="C60" s="17"/>
      <c r="D60" s="18"/>
      <c r="E60" s="18"/>
      <c r="F60" s="18"/>
      <c r="G60" s="18"/>
      <c r="H60" s="19"/>
      <c r="I60" s="20"/>
      <c r="J60" s="20"/>
      <c r="K60" s="20"/>
      <c r="L60" s="20"/>
      <c r="M60" s="20"/>
      <c r="N60" s="20"/>
      <c r="O60" s="20"/>
      <c r="P60" s="20"/>
      <c r="Q60" s="20"/>
      <c r="R60" s="20"/>
      <c r="S60" s="20"/>
      <c r="T60" s="20"/>
      <c r="U60" s="20"/>
      <c r="V60" s="9"/>
      <c r="W60" s="9"/>
      <c r="Y60" s="8">
        <v>42</v>
      </c>
      <c r="Z60" s="17"/>
      <c r="AA60" s="18"/>
      <c r="AB60" s="18"/>
      <c r="AC60" s="18"/>
      <c r="AD60" s="18"/>
      <c r="AE60" s="19"/>
      <c r="AF60" s="20"/>
      <c r="AG60" s="20"/>
      <c r="AH60" s="20"/>
      <c r="AI60" s="20"/>
      <c r="AJ60" s="20"/>
      <c r="AK60" s="20"/>
      <c r="AL60" s="20"/>
      <c r="AM60" s="20"/>
      <c r="AN60" s="20"/>
      <c r="AO60" s="20"/>
      <c r="AP60" s="20"/>
      <c r="AQ60" s="20"/>
      <c r="AR60" s="20"/>
      <c r="AS60" s="9"/>
      <c r="AT60" s="9"/>
      <c r="AW60" s="8">
        <v>50</v>
      </c>
      <c r="AX60" s="17"/>
      <c r="AY60" s="18"/>
      <c r="AZ60" s="18"/>
      <c r="BA60" s="18"/>
      <c r="BB60" s="18"/>
      <c r="BC60" s="19"/>
      <c r="BD60" s="20"/>
      <c r="BE60" s="20"/>
      <c r="BF60" s="20"/>
      <c r="BG60" s="20"/>
      <c r="BH60" s="20"/>
      <c r="BI60" s="20"/>
      <c r="BJ60" s="20"/>
      <c r="BK60" s="20"/>
      <c r="BL60" s="20"/>
      <c r="BM60" s="20"/>
      <c r="BN60" s="20"/>
      <c r="BO60" s="20"/>
      <c r="BP60" s="20"/>
      <c r="BQ60" s="9"/>
      <c r="BR60" s="9"/>
      <c r="BT60" s="8">
        <v>42</v>
      </c>
      <c r="BU60" s="17"/>
      <c r="BV60" s="18"/>
      <c r="BW60" s="18"/>
      <c r="BX60" s="18"/>
      <c r="BY60" s="18"/>
      <c r="BZ60" s="19"/>
      <c r="CA60" s="20"/>
      <c r="CB60" s="20"/>
      <c r="CC60" s="20"/>
      <c r="CD60" s="20"/>
      <c r="CE60" s="20"/>
      <c r="CF60" s="20"/>
      <c r="CG60" s="20"/>
      <c r="CH60" s="20"/>
      <c r="CI60" s="20"/>
      <c r="CJ60" s="20"/>
      <c r="CK60" s="20"/>
      <c r="CL60" s="20"/>
      <c r="CM60" s="20"/>
      <c r="CN60" s="9"/>
      <c r="CO60" s="9"/>
      <c r="CR60" s="8">
        <v>50</v>
      </c>
      <c r="CS60" s="17"/>
      <c r="CT60" s="18"/>
      <c r="CU60" s="18"/>
      <c r="CV60" s="18"/>
      <c r="CW60" s="18"/>
      <c r="CX60" s="19"/>
      <c r="CY60" s="20"/>
      <c r="CZ60" s="20"/>
      <c r="DA60" s="20"/>
      <c r="DB60" s="20"/>
      <c r="DC60" s="20"/>
      <c r="DD60" s="20"/>
      <c r="DE60" s="20"/>
      <c r="DF60" s="20"/>
      <c r="DG60" s="20"/>
      <c r="DH60" s="20"/>
      <c r="DI60" s="20"/>
      <c r="DJ60" s="20"/>
      <c r="DK60" s="20"/>
      <c r="DL60" s="9"/>
      <c r="DM60" s="9"/>
      <c r="DO60" s="8">
        <v>42</v>
      </c>
      <c r="DP60" s="17"/>
      <c r="DQ60" s="18"/>
      <c r="DR60" s="18"/>
      <c r="DS60" s="18"/>
      <c r="DT60" s="18"/>
      <c r="DU60" s="19"/>
      <c r="DV60" s="20"/>
      <c r="DW60" s="20"/>
      <c r="DX60" s="20"/>
      <c r="DY60" s="20"/>
      <c r="DZ60" s="20"/>
      <c r="EA60" s="20"/>
      <c r="EB60" s="20"/>
      <c r="EC60" s="20"/>
      <c r="ED60" s="20"/>
      <c r="EE60" s="20"/>
      <c r="EF60" s="20"/>
      <c r="EG60" s="20"/>
      <c r="EH60" s="20"/>
      <c r="EI60" s="9"/>
      <c r="EJ60" s="9"/>
      <c r="EM60" s="8">
        <v>50</v>
      </c>
      <c r="EN60" s="17"/>
      <c r="EO60" s="18"/>
      <c r="EP60" s="18"/>
      <c r="EQ60" s="18"/>
      <c r="ER60" s="18"/>
      <c r="ES60" s="19"/>
      <c r="ET60" s="20"/>
      <c r="EU60" s="20"/>
      <c r="EV60" s="20"/>
      <c r="EW60" s="20"/>
      <c r="EX60" s="20"/>
      <c r="EY60" s="20"/>
      <c r="EZ60" s="20"/>
      <c r="FA60" s="20"/>
      <c r="FB60" s="20"/>
      <c r="FC60" s="20"/>
      <c r="FD60" s="20"/>
      <c r="FE60" s="20"/>
      <c r="FF60" s="20"/>
      <c r="FG60" s="9"/>
      <c r="FH60" s="9"/>
      <c r="FJ60" s="8">
        <v>42</v>
      </c>
      <c r="FK60" s="17"/>
      <c r="FL60" s="18"/>
      <c r="FM60" s="18"/>
      <c r="FN60" s="18"/>
      <c r="FO60" s="18"/>
      <c r="FP60" s="19"/>
      <c r="FQ60" s="20"/>
      <c r="FR60" s="20"/>
      <c r="FS60" s="20"/>
      <c r="FT60" s="20"/>
      <c r="FU60" s="20"/>
      <c r="FV60" s="20"/>
      <c r="FW60" s="20"/>
      <c r="FX60" s="20"/>
      <c r="FY60" s="20"/>
      <c r="FZ60" s="20"/>
      <c r="GA60" s="20"/>
      <c r="GB60" s="20"/>
      <c r="GC60" s="20"/>
      <c r="GD60" s="9"/>
      <c r="GE60" s="9"/>
      <c r="GH60" s="8">
        <v>50</v>
      </c>
      <c r="GI60" s="17"/>
      <c r="GJ60" s="18"/>
      <c r="GK60" s="18"/>
      <c r="GL60" s="18"/>
      <c r="GM60" s="18"/>
      <c r="GN60" s="19"/>
      <c r="GO60" s="20"/>
      <c r="GP60" s="20"/>
      <c r="GQ60" s="20"/>
      <c r="GR60" s="20"/>
      <c r="GS60" s="20"/>
      <c r="GT60" s="20"/>
      <c r="GU60" s="20"/>
      <c r="GV60" s="20"/>
      <c r="GW60" s="20"/>
      <c r="GX60" s="20"/>
      <c r="GY60" s="20"/>
      <c r="GZ60" s="20"/>
      <c r="HA60" s="20"/>
      <c r="HB60" s="9"/>
      <c r="HC60" s="9"/>
      <c r="HE60" s="8">
        <v>42</v>
      </c>
      <c r="HF60" s="17"/>
      <c r="HG60" s="18"/>
      <c r="HH60" s="18"/>
      <c r="HI60" s="18"/>
      <c r="HJ60" s="18"/>
      <c r="HK60" s="19"/>
      <c r="HL60" s="20"/>
      <c r="HM60" s="20"/>
      <c r="HN60" s="20"/>
      <c r="HO60" s="20"/>
      <c r="HP60" s="20"/>
      <c r="HQ60" s="20"/>
      <c r="HR60" s="20"/>
      <c r="HS60" s="20"/>
      <c r="HT60" s="20"/>
      <c r="HU60" s="20"/>
      <c r="HV60" s="20"/>
      <c r="HW60" s="20"/>
      <c r="HX60" s="20"/>
      <c r="HY60" s="9"/>
      <c r="HZ60" s="9"/>
    </row>
    <row r="61" customHeight="1" spans="2:234">
      <c r="B61" s="5">
        <v>51</v>
      </c>
      <c r="C61" s="12"/>
      <c r="D61" s="13"/>
      <c r="E61" s="13"/>
      <c r="F61" s="13"/>
      <c r="G61" s="13"/>
      <c r="H61" s="14"/>
      <c r="I61" s="15"/>
      <c r="J61" s="15"/>
      <c r="K61" s="15"/>
      <c r="L61" s="15"/>
      <c r="M61" s="15"/>
      <c r="N61" s="15"/>
      <c r="O61" s="15"/>
      <c r="P61" s="15"/>
      <c r="Q61" s="15"/>
      <c r="R61" s="15"/>
      <c r="S61" s="15"/>
      <c r="T61" s="15"/>
      <c r="U61" s="15"/>
      <c r="V61" s="6"/>
      <c r="W61" s="6"/>
      <c r="Y61" s="5">
        <v>43</v>
      </c>
      <c r="Z61" s="12"/>
      <c r="AA61" s="13"/>
      <c r="AB61" s="13"/>
      <c r="AC61" s="13"/>
      <c r="AD61" s="13"/>
      <c r="AE61" s="14"/>
      <c r="AF61" s="15"/>
      <c r="AG61" s="15"/>
      <c r="AH61" s="15"/>
      <c r="AI61" s="15"/>
      <c r="AJ61" s="15"/>
      <c r="AK61" s="15"/>
      <c r="AL61" s="15"/>
      <c r="AM61" s="15"/>
      <c r="AN61" s="15"/>
      <c r="AO61" s="15"/>
      <c r="AP61" s="15"/>
      <c r="AQ61" s="15"/>
      <c r="AR61" s="15"/>
      <c r="AS61" s="6"/>
      <c r="AT61" s="6"/>
      <c r="AW61" s="5">
        <v>51</v>
      </c>
      <c r="AX61" s="12"/>
      <c r="AY61" s="13"/>
      <c r="AZ61" s="13"/>
      <c r="BA61" s="13"/>
      <c r="BB61" s="13"/>
      <c r="BC61" s="14"/>
      <c r="BD61" s="15"/>
      <c r="BE61" s="15"/>
      <c r="BF61" s="15"/>
      <c r="BG61" s="15"/>
      <c r="BH61" s="15"/>
      <c r="BI61" s="15"/>
      <c r="BJ61" s="15"/>
      <c r="BK61" s="15"/>
      <c r="BL61" s="15"/>
      <c r="BM61" s="15"/>
      <c r="BN61" s="15"/>
      <c r="BO61" s="15"/>
      <c r="BP61" s="15"/>
      <c r="BQ61" s="6"/>
      <c r="BR61" s="6"/>
      <c r="BT61" s="5">
        <v>43</v>
      </c>
      <c r="BU61" s="12"/>
      <c r="BV61" s="13"/>
      <c r="BW61" s="13"/>
      <c r="BX61" s="13"/>
      <c r="BY61" s="13"/>
      <c r="BZ61" s="14"/>
      <c r="CA61" s="15"/>
      <c r="CB61" s="15"/>
      <c r="CC61" s="15"/>
      <c r="CD61" s="15"/>
      <c r="CE61" s="15"/>
      <c r="CF61" s="15"/>
      <c r="CG61" s="15"/>
      <c r="CH61" s="15"/>
      <c r="CI61" s="15"/>
      <c r="CJ61" s="15"/>
      <c r="CK61" s="15"/>
      <c r="CL61" s="15"/>
      <c r="CM61" s="15"/>
      <c r="CN61" s="6"/>
      <c r="CO61" s="6"/>
      <c r="CR61" s="5">
        <v>51</v>
      </c>
      <c r="CS61" s="12"/>
      <c r="CT61" s="13"/>
      <c r="CU61" s="13"/>
      <c r="CV61" s="13"/>
      <c r="CW61" s="13"/>
      <c r="CX61" s="14"/>
      <c r="CY61" s="15"/>
      <c r="CZ61" s="15"/>
      <c r="DA61" s="15"/>
      <c r="DB61" s="15"/>
      <c r="DC61" s="15"/>
      <c r="DD61" s="15"/>
      <c r="DE61" s="15"/>
      <c r="DF61" s="15"/>
      <c r="DG61" s="15"/>
      <c r="DH61" s="15"/>
      <c r="DI61" s="15"/>
      <c r="DJ61" s="15"/>
      <c r="DK61" s="15"/>
      <c r="DL61" s="6"/>
      <c r="DM61" s="6"/>
      <c r="DO61" s="5">
        <v>43</v>
      </c>
      <c r="DP61" s="12"/>
      <c r="DQ61" s="13"/>
      <c r="DR61" s="13"/>
      <c r="DS61" s="13"/>
      <c r="DT61" s="13"/>
      <c r="DU61" s="14"/>
      <c r="DV61" s="15"/>
      <c r="DW61" s="15"/>
      <c r="DX61" s="15"/>
      <c r="DY61" s="15"/>
      <c r="DZ61" s="15"/>
      <c r="EA61" s="15"/>
      <c r="EB61" s="15"/>
      <c r="EC61" s="15"/>
      <c r="ED61" s="15"/>
      <c r="EE61" s="15"/>
      <c r="EF61" s="15"/>
      <c r="EG61" s="15"/>
      <c r="EH61" s="15"/>
      <c r="EI61" s="6"/>
      <c r="EJ61" s="6"/>
      <c r="EM61" s="5">
        <v>51</v>
      </c>
      <c r="EN61" s="12"/>
      <c r="EO61" s="13"/>
      <c r="EP61" s="13"/>
      <c r="EQ61" s="13"/>
      <c r="ER61" s="13"/>
      <c r="ES61" s="14"/>
      <c r="ET61" s="15"/>
      <c r="EU61" s="15"/>
      <c r="EV61" s="15"/>
      <c r="EW61" s="15"/>
      <c r="EX61" s="15"/>
      <c r="EY61" s="15"/>
      <c r="EZ61" s="15"/>
      <c r="FA61" s="15"/>
      <c r="FB61" s="15"/>
      <c r="FC61" s="15"/>
      <c r="FD61" s="15"/>
      <c r="FE61" s="15"/>
      <c r="FF61" s="15"/>
      <c r="FG61" s="6"/>
      <c r="FH61" s="6"/>
      <c r="FJ61" s="5">
        <v>43</v>
      </c>
      <c r="FK61" s="12"/>
      <c r="FL61" s="13"/>
      <c r="FM61" s="13"/>
      <c r="FN61" s="13"/>
      <c r="FO61" s="13"/>
      <c r="FP61" s="14"/>
      <c r="FQ61" s="15"/>
      <c r="FR61" s="15"/>
      <c r="FS61" s="15"/>
      <c r="FT61" s="15"/>
      <c r="FU61" s="15"/>
      <c r="FV61" s="15"/>
      <c r="FW61" s="15"/>
      <c r="FX61" s="15"/>
      <c r="FY61" s="15"/>
      <c r="FZ61" s="15"/>
      <c r="GA61" s="15"/>
      <c r="GB61" s="15"/>
      <c r="GC61" s="15"/>
      <c r="GD61" s="6"/>
      <c r="GE61" s="6"/>
      <c r="GH61" s="5">
        <v>51</v>
      </c>
      <c r="GI61" s="12"/>
      <c r="GJ61" s="13"/>
      <c r="GK61" s="13"/>
      <c r="GL61" s="13"/>
      <c r="GM61" s="13"/>
      <c r="GN61" s="14"/>
      <c r="GO61" s="15"/>
      <c r="GP61" s="15"/>
      <c r="GQ61" s="15"/>
      <c r="GR61" s="15"/>
      <c r="GS61" s="15"/>
      <c r="GT61" s="15"/>
      <c r="GU61" s="15"/>
      <c r="GV61" s="15"/>
      <c r="GW61" s="15"/>
      <c r="GX61" s="15"/>
      <c r="GY61" s="15"/>
      <c r="GZ61" s="15"/>
      <c r="HA61" s="15"/>
      <c r="HB61" s="6"/>
      <c r="HC61" s="6"/>
      <c r="HE61" s="5">
        <v>43</v>
      </c>
      <c r="HF61" s="12"/>
      <c r="HG61" s="13"/>
      <c r="HH61" s="13"/>
      <c r="HI61" s="13"/>
      <c r="HJ61" s="13"/>
      <c r="HK61" s="14"/>
      <c r="HL61" s="15"/>
      <c r="HM61" s="15"/>
      <c r="HN61" s="15"/>
      <c r="HO61" s="15"/>
      <c r="HP61" s="15"/>
      <c r="HQ61" s="15"/>
      <c r="HR61" s="15"/>
      <c r="HS61" s="15"/>
      <c r="HT61" s="15"/>
      <c r="HU61" s="15"/>
      <c r="HV61" s="15"/>
      <c r="HW61" s="15"/>
      <c r="HX61" s="15"/>
      <c r="HY61" s="6"/>
      <c r="HZ61" s="6"/>
    </row>
    <row r="62" customHeight="1" spans="2:234">
      <c r="B62" s="8">
        <v>52</v>
      </c>
      <c r="C62" s="17"/>
      <c r="D62" s="18"/>
      <c r="E62" s="18"/>
      <c r="F62" s="18"/>
      <c r="G62" s="18"/>
      <c r="H62" s="19"/>
      <c r="I62" s="20"/>
      <c r="J62" s="20"/>
      <c r="K62" s="20"/>
      <c r="L62" s="20"/>
      <c r="M62" s="20"/>
      <c r="N62" s="20"/>
      <c r="O62" s="20"/>
      <c r="P62" s="20"/>
      <c r="Q62" s="20"/>
      <c r="R62" s="20"/>
      <c r="S62" s="20"/>
      <c r="T62" s="20"/>
      <c r="U62" s="20"/>
      <c r="V62" s="9"/>
      <c r="W62" s="9"/>
      <c r="Y62" s="8">
        <v>44</v>
      </c>
      <c r="Z62" s="17"/>
      <c r="AA62" s="18"/>
      <c r="AB62" s="18"/>
      <c r="AC62" s="18"/>
      <c r="AD62" s="18"/>
      <c r="AE62" s="19"/>
      <c r="AF62" s="20"/>
      <c r="AG62" s="20"/>
      <c r="AH62" s="20"/>
      <c r="AI62" s="20"/>
      <c r="AJ62" s="20"/>
      <c r="AK62" s="20"/>
      <c r="AL62" s="20"/>
      <c r="AM62" s="20"/>
      <c r="AN62" s="20"/>
      <c r="AO62" s="20"/>
      <c r="AP62" s="20"/>
      <c r="AQ62" s="20"/>
      <c r="AR62" s="20"/>
      <c r="AS62" s="9"/>
      <c r="AT62" s="9"/>
      <c r="AW62" s="8">
        <v>52</v>
      </c>
      <c r="AX62" s="17"/>
      <c r="AY62" s="18"/>
      <c r="AZ62" s="18"/>
      <c r="BA62" s="18"/>
      <c r="BB62" s="18"/>
      <c r="BC62" s="19"/>
      <c r="BD62" s="20"/>
      <c r="BE62" s="20"/>
      <c r="BF62" s="20"/>
      <c r="BG62" s="20"/>
      <c r="BH62" s="20"/>
      <c r="BI62" s="20"/>
      <c r="BJ62" s="20"/>
      <c r="BK62" s="20"/>
      <c r="BL62" s="20"/>
      <c r="BM62" s="20"/>
      <c r="BN62" s="20"/>
      <c r="BO62" s="20"/>
      <c r="BP62" s="20"/>
      <c r="BQ62" s="9"/>
      <c r="BR62" s="9"/>
      <c r="BT62" s="8">
        <v>44</v>
      </c>
      <c r="BU62" s="17"/>
      <c r="BV62" s="18"/>
      <c r="BW62" s="18"/>
      <c r="BX62" s="18"/>
      <c r="BY62" s="18"/>
      <c r="BZ62" s="19"/>
      <c r="CA62" s="20"/>
      <c r="CB62" s="20"/>
      <c r="CC62" s="20"/>
      <c r="CD62" s="20"/>
      <c r="CE62" s="20"/>
      <c r="CF62" s="20"/>
      <c r="CG62" s="20"/>
      <c r="CH62" s="20"/>
      <c r="CI62" s="20"/>
      <c r="CJ62" s="20"/>
      <c r="CK62" s="20"/>
      <c r="CL62" s="20"/>
      <c r="CM62" s="20"/>
      <c r="CN62" s="9"/>
      <c r="CO62" s="9"/>
      <c r="CR62" s="8">
        <v>52</v>
      </c>
      <c r="CS62" s="17"/>
      <c r="CT62" s="18"/>
      <c r="CU62" s="18"/>
      <c r="CV62" s="18"/>
      <c r="CW62" s="18"/>
      <c r="CX62" s="19"/>
      <c r="CY62" s="20"/>
      <c r="CZ62" s="20"/>
      <c r="DA62" s="20"/>
      <c r="DB62" s="20"/>
      <c r="DC62" s="20"/>
      <c r="DD62" s="20"/>
      <c r="DE62" s="20"/>
      <c r="DF62" s="20"/>
      <c r="DG62" s="20"/>
      <c r="DH62" s="20"/>
      <c r="DI62" s="20"/>
      <c r="DJ62" s="20"/>
      <c r="DK62" s="20"/>
      <c r="DL62" s="9"/>
      <c r="DM62" s="9"/>
      <c r="DO62" s="8">
        <v>44</v>
      </c>
      <c r="DP62" s="17"/>
      <c r="DQ62" s="18"/>
      <c r="DR62" s="18"/>
      <c r="DS62" s="18"/>
      <c r="DT62" s="18"/>
      <c r="DU62" s="19"/>
      <c r="DV62" s="20"/>
      <c r="DW62" s="20"/>
      <c r="DX62" s="20"/>
      <c r="DY62" s="20"/>
      <c r="DZ62" s="20"/>
      <c r="EA62" s="20"/>
      <c r="EB62" s="20"/>
      <c r="EC62" s="20"/>
      <c r="ED62" s="20"/>
      <c r="EE62" s="20"/>
      <c r="EF62" s="20"/>
      <c r="EG62" s="20"/>
      <c r="EH62" s="20"/>
      <c r="EI62" s="9"/>
      <c r="EJ62" s="9"/>
      <c r="EM62" s="8">
        <v>52</v>
      </c>
      <c r="EN62" s="17"/>
      <c r="EO62" s="18"/>
      <c r="EP62" s="18"/>
      <c r="EQ62" s="18"/>
      <c r="ER62" s="18"/>
      <c r="ES62" s="19"/>
      <c r="ET62" s="20"/>
      <c r="EU62" s="20"/>
      <c r="EV62" s="20"/>
      <c r="EW62" s="20"/>
      <c r="EX62" s="20"/>
      <c r="EY62" s="20"/>
      <c r="EZ62" s="20"/>
      <c r="FA62" s="20"/>
      <c r="FB62" s="20"/>
      <c r="FC62" s="20"/>
      <c r="FD62" s="20"/>
      <c r="FE62" s="20"/>
      <c r="FF62" s="20"/>
      <c r="FG62" s="9"/>
      <c r="FH62" s="9"/>
      <c r="FJ62" s="8">
        <v>44</v>
      </c>
      <c r="FK62" s="17"/>
      <c r="FL62" s="18"/>
      <c r="FM62" s="18"/>
      <c r="FN62" s="18"/>
      <c r="FO62" s="18"/>
      <c r="FP62" s="19"/>
      <c r="FQ62" s="20"/>
      <c r="FR62" s="20"/>
      <c r="FS62" s="20"/>
      <c r="FT62" s="20"/>
      <c r="FU62" s="20"/>
      <c r="FV62" s="20"/>
      <c r="FW62" s="20"/>
      <c r="FX62" s="20"/>
      <c r="FY62" s="20"/>
      <c r="FZ62" s="20"/>
      <c r="GA62" s="20"/>
      <c r="GB62" s="20"/>
      <c r="GC62" s="20"/>
      <c r="GD62" s="9"/>
      <c r="GE62" s="9"/>
      <c r="GH62" s="8">
        <v>52</v>
      </c>
      <c r="GI62" s="17"/>
      <c r="GJ62" s="18"/>
      <c r="GK62" s="18"/>
      <c r="GL62" s="18"/>
      <c r="GM62" s="18"/>
      <c r="GN62" s="19"/>
      <c r="GO62" s="20"/>
      <c r="GP62" s="20"/>
      <c r="GQ62" s="20"/>
      <c r="GR62" s="20"/>
      <c r="GS62" s="20"/>
      <c r="GT62" s="20"/>
      <c r="GU62" s="20"/>
      <c r="GV62" s="20"/>
      <c r="GW62" s="20"/>
      <c r="GX62" s="20"/>
      <c r="GY62" s="20"/>
      <c r="GZ62" s="20"/>
      <c r="HA62" s="20"/>
      <c r="HB62" s="9"/>
      <c r="HC62" s="9"/>
      <c r="HE62" s="8">
        <v>44</v>
      </c>
      <c r="HF62" s="17"/>
      <c r="HG62" s="18"/>
      <c r="HH62" s="18"/>
      <c r="HI62" s="18"/>
      <c r="HJ62" s="18"/>
      <c r="HK62" s="19"/>
      <c r="HL62" s="20"/>
      <c r="HM62" s="20"/>
      <c r="HN62" s="20"/>
      <c r="HO62" s="20"/>
      <c r="HP62" s="20"/>
      <c r="HQ62" s="20"/>
      <c r="HR62" s="20"/>
      <c r="HS62" s="20"/>
      <c r="HT62" s="20"/>
      <c r="HU62" s="20"/>
      <c r="HV62" s="20"/>
      <c r="HW62" s="20"/>
      <c r="HX62" s="20"/>
      <c r="HY62" s="9"/>
      <c r="HZ62" s="9"/>
    </row>
    <row r="63" customHeight="1" spans="2:234">
      <c r="B63" s="5">
        <v>53</v>
      </c>
      <c r="C63" s="12"/>
      <c r="D63" s="13"/>
      <c r="E63" s="13"/>
      <c r="F63" s="13"/>
      <c r="G63" s="13"/>
      <c r="H63" s="14"/>
      <c r="I63" s="15"/>
      <c r="J63" s="15"/>
      <c r="K63" s="15"/>
      <c r="L63" s="15"/>
      <c r="M63" s="15"/>
      <c r="N63" s="15"/>
      <c r="O63" s="15"/>
      <c r="P63" s="15"/>
      <c r="Q63" s="15"/>
      <c r="R63" s="15"/>
      <c r="S63" s="15"/>
      <c r="T63" s="15"/>
      <c r="U63" s="15"/>
      <c r="V63" s="6"/>
      <c r="W63" s="6"/>
      <c r="Y63" s="5">
        <v>45</v>
      </c>
      <c r="Z63" s="12"/>
      <c r="AA63" s="13"/>
      <c r="AB63" s="13"/>
      <c r="AC63" s="13"/>
      <c r="AD63" s="13"/>
      <c r="AE63" s="14"/>
      <c r="AF63" s="15"/>
      <c r="AG63" s="15"/>
      <c r="AH63" s="15"/>
      <c r="AI63" s="15"/>
      <c r="AJ63" s="15"/>
      <c r="AK63" s="15"/>
      <c r="AL63" s="15"/>
      <c r="AM63" s="15"/>
      <c r="AN63" s="15"/>
      <c r="AO63" s="15"/>
      <c r="AP63" s="15"/>
      <c r="AQ63" s="15"/>
      <c r="AR63" s="15"/>
      <c r="AS63" s="6"/>
      <c r="AT63" s="6"/>
      <c r="AW63" s="5">
        <v>53</v>
      </c>
      <c r="AX63" s="12"/>
      <c r="AY63" s="13"/>
      <c r="AZ63" s="13"/>
      <c r="BA63" s="13"/>
      <c r="BB63" s="13"/>
      <c r="BC63" s="14"/>
      <c r="BD63" s="15"/>
      <c r="BE63" s="15"/>
      <c r="BF63" s="15"/>
      <c r="BG63" s="15"/>
      <c r="BH63" s="15"/>
      <c r="BI63" s="15"/>
      <c r="BJ63" s="15"/>
      <c r="BK63" s="15"/>
      <c r="BL63" s="15"/>
      <c r="BM63" s="15"/>
      <c r="BN63" s="15"/>
      <c r="BO63" s="15"/>
      <c r="BP63" s="15"/>
      <c r="BQ63" s="6"/>
      <c r="BR63" s="6"/>
      <c r="BT63" s="5">
        <v>45</v>
      </c>
      <c r="BU63" s="12"/>
      <c r="BV63" s="13"/>
      <c r="BW63" s="13"/>
      <c r="BX63" s="13"/>
      <c r="BY63" s="13"/>
      <c r="BZ63" s="14"/>
      <c r="CA63" s="15"/>
      <c r="CB63" s="15"/>
      <c r="CC63" s="15"/>
      <c r="CD63" s="15"/>
      <c r="CE63" s="15"/>
      <c r="CF63" s="15"/>
      <c r="CG63" s="15"/>
      <c r="CH63" s="15"/>
      <c r="CI63" s="15"/>
      <c r="CJ63" s="15"/>
      <c r="CK63" s="15"/>
      <c r="CL63" s="15"/>
      <c r="CM63" s="15"/>
      <c r="CN63" s="6"/>
      <c r="CO63" s="6"/>
      <c r="CR63" s="5">
        <v>53</v>
      </c>
      <c r="CS63" s="12"/>
      <c r="CT63" s="13"/>
      <c r="CU63" s="13"/>
      <c r="CV63" s="13"/>
      <c r="CW63" s="13"/>
      <c r="CX63" s="14"/>
      <c r="CY63" s="15"/>
      <c r="CZ63" s="15"/>
      <c r="DA63" s="15"/>
      <c r="DB63" s="15"/>
      <c r="DC63" s="15"/>
      <c r="DD63" s="15"/>
      <c r="DE63" s="15"/>
      <c r="DF63" s="15"/>
      <c r="DG63" s="15"/>
      <c r="DH63" s="15"/>
      <c r="DI63" s="15"/>
      <c r="DJ63" s="15"/>
      <c r="DK63" s="15"/>
      <c r="DL63" s="6"/>
      <c r="DM63" s="6"/>
      <c r="DO63" s="5">
        <v>45</v>
      </c>
      <c r="DP63" s="12"/>
      <c r="DQ63" s="13"/>
      <c r="DR63" s="13"/>
      <c r="DS63" s="13"/>
      <c r="DT63" s="13"/>
      <c r="DU63" s="14"/>
      <c r="DV63" s="15"/>
      <c r="DW63" s="15"/>
      <c r="DX63" s="15"/>
      <c r="DY63" s="15"/>
      <c r="DZ63" s="15"/>
      <c r="EA63" s="15"/>
      <c r="EB63" s="15"/>
      <c r="EC63" s="15"/>
      <c r="ED63" s="15"/>
      <c r="EE63" s="15"/>
      <c r="EF63" s="15"/>
      <c r="EG63" s="15"/>
      <c r="EH63" s="15"/>
      <c r="EI63" s="6"/>
      <c r="EJ63" s="6"/>
      <c r="EM63" s="5">
        <v>53</v>
      </c>
      <c r="EN63" s="12"/>
      <c r="EO63" s="13"/>
      <c r="EP63" s="13"/>
      <c r="EQ63" s="13"/>
      <c r="ER63" s="13"/>
      <c r="ES63" s="14"/>
      <c r="ET63" s="15"/>
      <c r="EU63" s="15"/>
      <c r="EV63" s="15"/>
      <c r="EW63" s="15"/>
      <c r="EX63" s="15"/>
      <c r="EY63" s="15"/>
      <c r="EZ63" s="15"/>
      <c r="FA63" s="15"/>
      <c r="FB63" s="15"/>
      <c r="FC63" s="15"/>
      <c r="FD63" s="15"/>
      <c r="FE63" s="15"/>
      <c r="FF63" s="15"/>
      <c r="FG63" s="6"/>
      <c r="FH63" s="6"/>
      <c r="FJ63" s="5">
        <v>45</v>
      </c>
      <c r="FK63" s="12"/>
      <c r="FL63" s="13"/>
      <c r="FM63" s="13"/>
      <c r="FN63" s="13"/>
      <c r="FO63" s="13"/>
      <c r="FP63" s="14"/>
      <c r="FQ63" s="15"/>
      <c r="FR63" s="15"/>
      <c r="FS63" s="15"/>
      <c r="FT63" s="15"/>
      <c r="FU63" s="15"/>
      <c r="FV63" s="15"/>
      <c r="FW63" s="15"/>
      <c r="FX63" s="15"/>
      <c r="FY63" s="15"/>
      <c r="FZ63" s="15"/>
      <c r="GA63" s="15"/>
      <c r="GB63" s="15"/>
      <c r="GC63" s="15"/>
      <c r="GD63" s="6"/>
      <c r="GE63" s="6"/>
      <c r="GH63" s="5">
        <v>53</v>
      </c>
      <c r="GI63" s="12"/>
      <c r="GJ63" s="13"/>
      <c r="GK63" s="13"/>
      <c r="GL63" s="13"/>
      <c r="GM63" s="13"/>
      <c r="GN63" s="14"/>
      <c r="GO63" s="15"/>
      <c r="GP63" s="15"/>
      <c r="GQ63" s="15"/>
      <c r="GR63" s="15"/>
      <c r="GS63" s="15"/>
      <c r="GT63" s="15"/>
      <c r="GU63" s="15"/>
      <c r="GV63" s="15"/>
      <c r="GW63" s="15"/>
      <c r="GX63" s="15"/>
      <c r="GY63" s="15"/>
      <c r="GZ63" s="15"/>
      <c r="HA63" s="15"/>
      <c r="HB63" s="6"/>
      <c r="HC63" s="6"/>
      <c r="HE63" s="5">
        <v>45</v>
      </c>
      <c r="HF63" s="12"/>
      <c r="HG63" s="13"/>
      <c r="HH63" s="13"/>
      <c r="HI63" s="13"/>
      <c r="HJ63" s="13"/>
      <c r="HK63" s="14"/>
      <c r="HL63" s="15"/>
      <c r="HM63" s="15"/>
      <c r="HN63" s="15"/>
      <c r="HO63" s="15"/>
      <c r="HP63" s="15"/>
      <c r="HQ63" s="15"/>
      <c r="HR63" s="15"/>
      <c r="HS63" s="15"/>
      <c r="HT63" s="15"/>
      <c r="HU63" s="15"/>
      <c r="HV63" s="15"/>
      <c r="HW63" s="15"/>
      <c r="HX63" s="15"/>
      <c r="HY63" s="6"/>
      <c r="HZ63" s="6"/>
    </row>
    <row r="64" customHeight="1" spans="2:234">
      <c r="B64" s="8">
        <v>54</v>
      </c>
      <c r="C64" s="17"/>
      <c r="D64" s="18"/>
      <c r="E64" s="18"/>
      <c r="F64" s="18"/>
      <c r="G64" s="18"/>
      <c r="H64" s="19"/>
      <c r="I64" s="20"/>
      <c r="J64" s="20"/>
      <c r="K64" s="20"/>
      <c r="L64" s="20"/>
      <c r="M64" s="20"/>
      <c r="N64" s="20"/>
      <c r="O64" s="20"/>
      <c r="P64" s="20"/>
      <c r="Q64" s="20"/>
      <c r="R64" s="20"/>
      <c r="S64" s="20"/>
      <c r="T64" s="20"/>
      <c r="U64" s="20"/>
      <c r="V64" s="9"/>
      <c r="W64" s="9"/>
      <c r="Y64" s="8">
        <v>46</v>
      </c>
      <c r="Z64" s="17"/>
      <c r="AA64" s="18"/>
      <c r="AB64" s="18"/>
      <c r="AC64" s="18"/>
      <c r="AD64" s="18"/>
      <c r="AE64" s="19"/>
      <c r="AF64" s="20"/>
      <c r="AG64" s="20"/>
      <c r="AH64" s="20"/>
      <c r="AI64" s="20"/>
      <c r="AJ64" s="20"/>
      <c r="AK64" s="20"/>
      <c r="AL64" s="20"/>
      <c r="AM64" s="20"/>
      <c r="AN64" s="20"/>
      <c r="AO64" s="20"/>
      <c r="AP64" s="20"/>
      <c r="AQ64" s="20"/>
      <c r="AR64" s="20"/>
      <c r="AS64" s="9"/>
      <c r="AT64" s="9"/>
      <c r="AW64" s="8">
        <v>54</v>
      </c>
      <c r="AX64" s="17"/>
      <c r="AY64" s="18"/>
      <c r="AZ64" s="18"/>
      <c r="BA64" s="18"/>
      <c r="BB64" s="18"/>
      <c r="BC64" s="19"/>
      <c r="BD64" s="20"/>
      <c r="BE64" s="20"/>
      <c r="BF64" s="20"/>
      <c r="BG64" s="20"/>
      <c r="BH64" s="20"/>
      <c r="BI64" s="20"/>
      <c r="BJ64" s="20"/>
      <c r="BK64" s="20"/>
      <c r="BL64" s="20"/>
      <c r="BM64" s="20"/>
      <c r="BN64" s="20"/>
      <c r="BO64" s="20"/>
      <c r="BP64" s="20"/>
      <c r="BQ64" s="9"/>
      <c r="BR64" s="9"/>
      <c r="BT64" s="8">
        <v>46</v>
      </c>
      <c r="BU64" s="17"/>
      <c r="BV64" s="18"/>
      <c r="BW64" s="18"/>
      <c r="BX64" s="18"/>
      <c r="BY64" s="18"/>
      <c r="BZ64" s="19"/>
      <c r="CA64" s="20"/>
      <c r="CB64" s="20"/>
      <c r="CC64" s="20"/>
      <c r="CD64" s="20"/>
      <c r="CE64" s="20"/>
      <c r="CF64" s="20"/>
      <c r="CG64" s="20"/>
      <c r="CH64" s="20"/>
      <c r="CI64" s="20"/>
      <c r="CJ64" s="20"/>
      <c r="CK64" s="20"/>
      <c r="CL64" s="20"/>
      <c r="CM64" s="20"/>
      <c r="CN64" s="9"/>
      <c r="CO64" s="9"/>
      <c r="CR64" s="8">
        <v>54</v>
      </c>
      <c r="CS64" s="17"/>
      <c r="CT64" s="18"/>
      <c r="CU64" s="18"/>
      <c r="CV64" s="18"/>
      <c r="CW64" s="18"/>
      <c r="CX64" s="19"/>
      <c r="CY64" s="20"/>
      <c r="CZ64" s="20"/>
      <c r="DA64" s="20"/>
      <c r="DB64" s="20"/>
      <c r="DC64" s="20"/>
      <c r="DD64" s="20"/>
      <c r="DE64" s="20"/>
      <c r="DF64" s="20"/>
      <c r="DG64" s="20"/>
      <c r="DH64" s="20"/>
      <c r="DI64" s="20"/>
      <c r="DJ64" s="20"/>
      <c r="DK64" s="20"/>
      <c r="DL64" s="9"/>
      <c r="DM64" s="9"/>
      <c r="DO64" s="8">
        <v>46</v>
      </c>
      <c r="DP64" s="17"/>
      <c r="DQ64" s="18"/>
      <c r="DR64" s="18"/>
      <c r="DS64" s="18"/>
      <c r="DT64" s="18"/>
      <c r="DU64" s="19"/>
      <c r="DV64" s="20"/>
      <c r="DW64" s="20"/>
      <c r="DX64" s="20"/>
      <c r="DY64" s="20"/>
      <c r="DZ64" s="20"/>
      <c r="EA64" s="20"/>
      <c r="EB64" s="20"/>
      <c r="EC64" s="20"/>
      <c r="ED64" s="20"/>
      <c r="EE64" s="20"/>
      <c r="EF64" s="20"/>
      <c r="EG64" s="20"/>
      <c r="EH64" s="20"/>
      <c r="EI64" s="9"/>
      <c r="EJ64" s="9"/>
      <c r="EM64" s="8">
        <v>54</v>
      </c>
      <c r="EN64" s="17"/>
      <c r="EO64" s="18"/>
      <c r="EP64" s="18"/>
      <c r="EQ64" s="18"/>
      <c r="ER64" s="18"/>
      <c r="ES64" s="19"/>
      <c r="ET64" s="20"/>
      <c r="EU64" s="20"/>
      <c r="EV64" s="20"/>
      <c r="EW64" s="20"/>
      <c r="EX64" s="20"/>
      <c r="EY64" s="20"/>
      <c r="EZ64" s="20"/>
      <c r="FA64" s="20"/>
      <c r="FB64" s="20"/>
      <c r="FC64" s="20"/>
      <c r="FD64" s="20"/>
      <c r="FE64" s="20"/>
      <c r="FF64" s="20"/>
      <c r="FG64" s="9"/>
      <c r="FH64" s="9"/>
      <c r="FJ64" s="8">
        <v>46</v>
      </c>
      <c r="FK64" s="17"/>
      <c r="FL64" s="18"/>
      <c r="FM64" s="18"/>
      <c r="FN64" s="18"/>
      <c r="FO64" s="18"/>
      <c r="FP64" s="19"/>
      <c r="FQ64" s="20"/>
      <c r="FR64" s="20"/>
      <c r="FS64" s="20"/>
      <c r="FT64" s="20"/>
      <c r="FU64" s="20"/>
      <c r="FV64" s="20"/>
      <c r="FW64" s="20"/>
      <c r="FX64" s="20"/>
      <c r="FY64" s="20"/>
      <c r="FZ64" s="20"/>
      <c r="GA64" s="20"/>
      <c r="GB64" s="20"/>
      <c r="GC64" s="20"/>
      <c r="GD64" s="9"/>
      <c r="GE64" s="9"/>
      <c r="GH64" s="8">
        <v>54</v>
      </c>
      <c r="GI64" s="17"/>
      <c r="GJ64" s="18"/>
      <c r="GK64" s="18"/>
      <c r="GL64" s="18"/>
      <c r="GM64" s="18"/>
      <c r="GN64" s="19"/>
      <c r="GO64" s="20"/>
      <c r="GP64" s="20"/>
      <c r="GQ64" s="20"/>
      <c r="GR64" s="20"/>
      <c r="GS64" s="20"/>
      <c r="GT64" s="20"/>
      <c r="GU64" s="20"/>
      <c r="GV64" s="20"/>
      <c r="GW64" s="20"/>
      <c r="GX64" s="20"/>
      <c r="GY64" s="20"/>
      <c r="GZ64" s="20"/>
      <c r="HA64" s="20"/>
      <c r="HB64" s="9"/>
      <c r="HC64" s="9"/>
      <c r="HE64" s="8">
        <v>46</v>
      </c>
      <c r="HF64" s="17"/>
      <c r="HG64" s="18"/>
      <c r="HH64" s="18"/>
      <c r="HI64" s="18"/>
      <c r="HJ64" s="18"/>
      <c r="HK64" s="19"/>
      <c r="HL64" s="20"/>
      <c r="HM64" s="20"/>
      <c r="HN64" s="20"/>
      <c r="HO64" s="20"/>
      <c r="HP64" s="20"/>
      <c r="HQ64" s="20"/>
      <c r="HR64" s="20"/>
      <c r="HS64" s="20"/>
      <c r="HT64" s="20"/>
      <c r="HU64" s="20"/>
      <c r="HV64" s="20"/>
      <c r="HW64" s="20"/>
      <c r="HX64" s="20"/>
      <c r="HY64" s="9"/>
      <c r="HZ64" s="9"/>
    </row>
    <row r="65" customHeight="1" spans="2:234">
      <c r="B65" s="5">
        <v>55</v>
      </c>
      <c r="C65" s="12"/>
      <c r="D65" s="13"/>
      <c r="E65" s="13"/>
      <c r="F65" s="13"/>
      <c r="G65" s="13"/>
      <c r="H65" s="14"/>
      <c r="I65" s="15"/>
      <c r="J65" s="15"/>
      <c r="K65" s="15"/>
      <c r="L65" s="15"/>
      <c r="M65" s="15"/>
      <c r="N65" s="15"/>
      <c r="O65" s="15"/>
      <c r="P65" s="15"/>
      <c r="Q65" s="15"/>
      <c r="R65" s="15"/>
      <c r="S65" s="15"/>
      <c r="T65" s="15"/>
      <c r="U65" s="15"/>
      <c r="V65" s="6"/>
      <c r="W65" s="6"/>
      <c r="Y65" s="5">
        <v>47</v>
      </c>
      <c r="Z65" s="12"/>
      <c r="AA65" s="13"/>
      <c r="AB65" s="13"/>
      <c r="AC65" s="13"/>
      <c r="AD65" s="13"/>
      <c r="AE65" s="14"/>
      <c r="AF65" s="15"/>
      <c r="AG65" s="15"/>
      <c r="AH65" s="15"/>
      <c r="AI65" s="15"/>
      <c r="AJ65" s="15"/>
      <c r="AK65" s="15"/>
      <c r="AL65" s="15"/>
      <c r="AM65" s="15"/>
      <c r="AN65" s="15"/>
      <c r="AO65" s="15"/>
      <c r="AP65" s="15"/>
      <c r="AQ65" s="15"/>
      <c r="AR65" s="15"/>
      <c r="AS65" s="6"/>
      <c r="AT65" s="6"/>
      <c r="AW65" s="5">
        <v>55</v>
      </c>
      <c r="AX65" s="12"/>
      <c r="AY65" s="13"/>
      <c r="AZ65" s="13"/>
      <c r="BA65" s="13"/>
      <c r="BB65" s="13"/>
      <c r="BC65" s="14"/>
      <c r="BD65" s="15"/>
      <c r="BE65" s="15"/>
      <c r="BF65" s="15"/>
      <c r="BG65" s="15"/>
      <c r="BH65" s="15"/>
      <c r="BI65" s="15"/>
      <c r="BJ65" s="15"/>
      <c r="BK65" s="15"/>
      <c r="BL65" s="15"/>
      <c r="BM65" s="15"/>
      <c r="BN65" s="15"/>
      <c r="BO65" s="15"/>
      <c r="BP65" s="15"/>
      <c r="BQ65" s="6"/>
      <c r="BR65" s="6"/>
      <c r="BT65" s="5">
        <v>47</v>
      </c>
      <c r="BU65" s="12"/>
      <c r="BV65" s="13"/>
      <c r="BW65" s="13"/>
      <c r="BX65" s="13"/>
      <c r="BY65" s="13"/>
      <c r="BZ65" s="14"/>
      <c r="CA65" s="15"/>
      <c r="CB65" s="15"/>
      <c r="CC65" s="15"/>
      <c r="CD65" s="15"/>
      <c r="CE65" s="15"/>
      <c r="CF65" s="15"/>
      <c r="CG65" s="15"/>
      <c r="CH65" s="15"/>
      <c r="CI65" s="15"/>
      <c r="CJ65" s="15"/>
      <c r="CK65" s="15"/>
      <c r="CL65" s="15"/>
      <c r="CM65" s="15"/>
      <c r="CN65" s="6"/>
      <c r="CO65" s="6"/>
      <c r="CR65" s="5">
        <v>55</v>
      </c>
      <c r="CS65" s="12"/>
      <c r="CT65" s="13"/>
      <c r="CU65" s="13"/>
      <c r="CV65" s="13"/>
      <c r="CW65" s="13"/>
      <c r="CX65" s="14"/>
      <c r="CY65" s="15"/>
      <c r="CZ65" s="15"/>
      <c r="DA65" s="15"/>
      <c r="DB65" s="15"/>
      <c r="DC65" s="15"/>
      <c r="DD65" s="15"/>
      <c r="DE65" s="15"/>
      <c r="DF65" s="15"/>
      <c r="DG65" s="15"/>
      <c r="DH65" s="15"/>
      <c r="DI65" s="15"/>
      <c r="DJ65" s="15"/>
      <c r="DK65" s="15"/>
      <c r="DL65" s="6"/>
      <c r="DM65" s="6"/>
      <c r="DO65" s="5">
        <v>47</v>
      </c>
      <c r="DP65" s="12"/>
      <c r="DQ65" s="13"/>
      <c r="DR65" s="13"/>
      <c r="DS65" s="13"/>
      <c r="DT65" s="13"/>
      <c r="DU65" s="14"/>
      <c r="DV65" s="15"/>
      <c r="DW65" s="15"/>
      <c r="DX65" s="15"/>
      <c r="DY65" s="15"/>
      <c r="DZ65" s="15"/>
      <c r="EA65" s="15"/>
      <c r="EB65" s="15"/>
      <c r="EC65" s="15"/>
      <c r="ED65" s="15"/>
      <c r="EE65" s="15"/>
      <c r="EF65" s="15"/>
      <c r="EG65" s="15"/>
      <c r="EH65" s="15"/>
      <c r="EI65" s="6"/>
      <c r="EJ65" s="6"/>
      <c r="EM65" s="5">
        <v>55</v>
      </c>
      <c r="EN65" s="12"/>
      <c r="EO65" s="13"/>
      <c r="EP65" s="13"/>
      <c r="EQ65" s="13"/>
      <c r="ER65" s="13"/>
      <c r="ES65" s="14"/>
      <c r="ET65" s="15"/>
      <c r="EU65" s="15"/>
      <c r="EV65" s="15"/>
      <c r="EW65" s="15"/>
      <c r="EX65" s="15"/>
      <c r="EY65" s="15"/>
      <c r="EZ65" s="15"/>
      <c r="FA65" s="15"/>
      <c r="FB65" s="15"/>
      <c r="FC65" s="15"/>
      <c r="FD65" s="15"/>
      <c r="FE65" s="15"/>
      <c r="FF65" s="15"/>
      <c r="FG65" s="6"/>
      <c r="FH65" s="6"/>
      <c r="FJ65" s="5">
        <v>47</v>
      </c>
      <c r="FK65" s="12"/>
      <c r="FL65" s="13"/>
      <c r="FM65" s="13"/>
      <c r="FN65" s="13"/>
      <c r="FO65" s="13"/>
      <c r="FP65" s="14"/>
      <c r="FQ65" s="15"/>
      <c r="FR65" s="15"/>
      <c r="FS65" s="15"/>
      <c r="FT65" s="15"/>
      <c r="FU65" s="15"/>
      <c r="FV65" s="15"/>
      <c r="FW65" s="15"/>
      <c r="FX65" s="15"/>
      <c r="FY65" s="15"/>
      <c r="FZ65" s="15"/>
      <c r="GA65" s="15"/>
      <c r="GB65" s="15"/>
      <c r="GC65" s="15"/>
      <c r="GD65" s="6"/>
      <c r="GE65" s="6"/>
      <c r="GH65" s="5">
        <v>55</v>
      </c>
      <c r="GI65" s="12"/>
      <c r="GJ65" s="13"/>
      <c r="GK65" s="13"/>
      <c r="GL65" s="13"/>
      <c r="GM65" s="13"/>
      <c r="GN65" s="14"/>
      <c r="GO65" s="15"/>
      <c r="GP65" s="15"/>
      <c r="GQ65" s="15"/>
      <c r="GR65" s="15"/>
      <c r="GS65" s="15"/>
      <c r="GT65" s="15"/>
      <c r="GU65" s="15"/>
      <c r="GV65" s="15"/>
      <c r="GW65" s="15"/>
      <c r="GX65" s="15"/>
      <c r="GY65" s="15"/>
      <c r="GZ65" s="15"/>
      <c r="HA65" s="15"/>
      <c r="HB65" s="6"/>
      <c r="HC65" s="6"/>
      <c r="HE65" s="5">
        <v>47</v>
      </c>
      <c r="HF65" s="12"/>
      <c r="HG65" s="13"/>
      <c r="HH65" s="13"/>
      <c r="HI65" s="13"/>
      <c r="HJ65" s="13"/>
      <c r="HK65" s="14"/>
      <c r="HL65" s="15"/>
      <c r="HM65" s="15"/>
      <c r="HN65" s="15"/>
      <c r="HO65" s="15"/>
      <c r="HP65" s="15"/>
      <c r="HQ65" s="15"/>
      <c r="HR65" s="15"/>
      <c r="HS65" s="15"/>
      <c r="HT65" s="15"/>
      <c r="HU65" s="15"/>
      <c r="HV65" s="15"/>
      <c r="HW65" s="15"/>
      <c r="HX65" s="15"/>
      <c r="HY65" s="6"/>
      <c r="HZ65" s="6"/>
    </row>
    <row r="66" customHeight="1" spans="2:234">
      <c r="B66" s="8">
        <v>56</v>
      </c>
      <c r="C66" s="17"/>
      <c r="D66" s="18"/>
      <c r="E66" s="18"/>
      <c r="F66" s="18"/>
      <c r="G66" s="18"/>
      <c r="H66" s="19"/>
      <c r="I66" s="20"/>
      <c r="J66" s="20"/>
      <c r="K66" s="20"/>
      <c r="L66" s="20"/>
      <c r="M66" s="20"/>
      <c r="N66" s="20"/>
      <c r="O66" s="20"/>
      <c r="P66" s="20"/>
      <c r="Q66" s="20"/>
      <c r="R66" s="20"/>
      <c r="S66" s="20"/>
      <c r="T66" s="20"/>
      <c r="U66" s="20"/>
      <c r="V66" s="9"/>
      <c r="W66" s="9"/>
      <c r="Y66" s="8">
        <v>48</v>
      </c>
      <c r="Z66" s="17"/>
      <c r="AA66" s="18"/>
      <c r="AB66" s="18"/>
      <c r="AC66" s="18"/>
      <c r="AD66" s="18"/>
      <c r="AE66" s="19"/>
      <c r="AF66" s="20"/>
      <c r="AG66" s="20"/>
      <c r="AH66" s="20"/>
      <c r="AI66" s="20"/>
      <c r="AJ66" s="20"/>
      <c r="AK66" s="20"/>
      <c r="AL66" s="20"/>
      <c r="AM66" s="20"/>
      <c r="AN66" s="20"/>
      <c r="AO66" s="20"/>
      <c r="AP66" s="20"/>
      <c r="AQ66" s="20"/>
      <c r="AR66" s="20"/>
      <c r="AS66" s="9"/>
      <c r="AT66" s="9"/>
      <c r="AW66" s="8">
        <v>56</v>
      </c>
      <c r="AX66" s="17"/>
      <c r="AY66" s="18"/>
      <c r="AZ66" s="18"/>
      <c r="BA66" s="18"/>
      <c r="BB66" s="18"/>
      <c r="BC66" s="19"/>
      <c r="BD66" s="20"/>
      <c r="BE66" s="20"/>
      <c r="BF66" s="20"/>
      <c r="BG66" s="20"/>
      <c r="BH66" s="20"/>
      <c r="BI66" s="20"/>
      <c r="BJ66" s="20"/>
      <c r="BK66" s="20"/>
      <c r="BL66" s="20"/>
      <c r="BM66" s="20"/>
      <c r="BN66" s="20"/>
      <c r="BO66" s="20"/>
      <c r="BP66" s="20"/>
      <c r="BQ66" s="9"/>
      <c r="BR66" s="9"/>
      <c r="BT66" s="8">
        <v>48</v>
      </c>
      <c r="BU66" s="17"/>
      <c r="BV66" s="18"/>
      <c r="BW66" s="18"/>
      <c r="BX66" s="18"/>
      <c r="BY66" s="18"/>
      <c r="BZ66" s="19"/>
      <c r="CA66" s="20"/>
      <c r="CB66" s="20"/>
      <c r="CC66" s="20"/>
      <c r="CD66" s="20"/>
      <c r="CE66" s="20"/>
      <c r="CF66" s="20"/>
      <c r="CG66" s="20"/>
      <c r="CH66" s="20"/>
      <c r="CI66" s="20"/>
      <c r="CJ66" s="20"/>
      <c r="CK66" s="20"/>
      <c r="CL66" s="20"/>
      <c r="CM66" s="20"/>
      <c r="CN66" s="9"/>
      <c r="CO66" s="9"/>
      <c r="CR66" s="8">
        <v>56</v>
      </c>
      <c r="CS66" s="17"/>
      <c r="CT66" s="18"/>
      <c r="CU66" s="18"/>
      <c r="CV66" s="18"/>
      <c r="CW66" s="18"/>
      <c r="CX66" s="19"/>
      <c r="CY66" s="20"/>
      <c r="CZ66" s="20"/>
      <c r="DA66" s="20"/>
      <c r="DB66" s="20"/>
      <c r="DC66" s="20"/>
      <c r="DD66" s="20"/>
      <c r="DE66" s="20"/>
      <c r="DF66" s="20"/>
      <c r="DG66" s="20"/>
      <c r="DH66" s="20"/>
      <c r="DI66" s="20"/>
      <c r="DJ66" s="20"/>
      <c r="DK66" s="20"/>
      <c r="DL66" s="9"/>
      <c r="DM66" s="9"/>
      <c r="DO66" s="8">
        <v>48</v>
      </c>
      <c r="DP66" s="17"/>
      <c r="DQ66" s="18"/>
      <c r="DR66" s="18"/>
      <c r="DS66" s="18"/>
      <c r="DT66" s="18"/>
      <c r="DU66" s="19"/>
      <c r="DV66" s="20"/>
      <c r="DW66" s="20"/>
      <c r="DX66" s="20"/>
      <c r="DY66" s="20"/>
      <c r="DZ66" s="20"/>
      <c r="EA66" s="20"/>
      <c r="EB66" s="20"/>
      <c r="EC66" s="20"/>
      <c r="ED66" s="20"/>
      <c r="EE66" s="20"/>
      <c r="EF66" s="20"/>
      <c r="EG66" s="20"/>
      <c r="EH66" s="20"/>
      <c r="EI66" s="9"/>
      <c r="EJ66" s="9"/>
      <c r="EM66" s="8">
        <v>56</v>
      </c>
      <c r="EN66" s="17"/>
      <c r="EO66" s="18"/>
      <c r="EP66" s="18"/>
      <c r="EQ66" s="18"/>
      <c r="ER66" s="18"/>
      <c r="ES66" s="19"/>
      <c r="ET66" s="20"/>
      <c r="EU66" s="20"/>
      <c r="EV66" s="20"/>
      <c r="EW66" s="20"/>
      <c r="EX66" s="20"/>
      <c r="EY66" s="20"/>
      <c r="EZ66" s="20"/>
      <c r="FA66" s="20"/>
      <c r="FB66" s="20"/>
      <c r="FC66" s="20"/>
      <c r="FD66" s="20"/>
      <c r="FE66" s="20"/>
      <c r="FF66" s="20"/>
      <c r="FG66" s="9"/>
      <c r="FH66" s="9"/>
      <c r="FJ66" s="8">
        <v>48</v>
      </c>
      <c r="FK66" s="17"/>
      <c r="FL66" s="18"/>
      <c r="FM66" s="18"/>
      <c r="FN66" s="18"/>
      <c r="FO66" s="18"/>
      <c r="FP66" s="19"/>
      <c r="FQ66" s="20"/>
      <c r="FR66" s="20"/>
      <c r="FS66" s="20"/>
      <c r="FT66" s="20"/>
      <c r="FU66" s="20"/>
      <c r="FV66" s="20"/>
      <c r="FW66" s="20"/>
      <c r="FX66" s="20"/>
      <c r="FY66" s="20"/>
      <c r="FZ66" s="20"/>
      <c r="GA66" s="20"/>
      <c r="GB66" s="20"/>
      <c r="GC66" s="20"/>
      <c r="GD66" s="9"/>
      <c r="GE66" s="9"/>
      <c r="GH66" s="8">
        <v>56</v>
      </c>
      <c r="GI66" s="17"/>
      <c r="GJ66" s="18"/>
      <c r="GK66" s="18"/>
      <c r="GL66" s="18"/>
      <c r="GM66" s="18"/>
      <c r="GN66" s="19"/>
      <c r="GO66" s="20"/>
      <c r="GP66" s="20"/>
      <c r="GQ66" s="20"/>
      <c r="GR66" s="20"/>
      <c r="GS66" s="20"/>
      <c r="GT66" s="20"/>
      <c r="GU66" s="20"/>
      <c r="GV66" s="20"/>
      <c r="GW66" s="20"/>
      <c r="GX66" s="20"/>
      <c r="GY66" s="20"/>
      <c r="GZ66" s="20"/>
      <c r="HA66" s="20"/>
      <c r="HB66" s="9"/>
      <c r="HC66" s="9"/>
      <c r="HE66" s="8">
        <v>48</v>
      </c>
      <c r="HF66" s="17"/>
      <c r="HG66" s="18"/>
      <c r="HH66" s="18"/>
      <c r="HI66" s="18"/>
      <c r="HJ66" s="18"/>
      <c r="HK66" s="19"/>
      <c r="HL66" s="20"/>
      <c r="HM66" s="20"/>
      <c r="HN66" s="20"/>
      <c r="HO66" s="20"/>
      <c r="HP66" s="20"/>
      <c r="HQ66" s="20"/>
      <c r="HR66" s="20"/>
      <c r="HS66" s="20"/>
      <c r="HT66" s="20"/>
      <c r="HU66" s="20"/>
      <c r="HV66" s="20"/>
      <c r="HW66" s="20"/>
      <c r="HX66" s="20"/>
      <c r="HY66" s="9"/>
      <c r="HZ66" s="9"/>
    </row>
    <row r="67" customHeight="1" spans="2:234">
      <c r="B67" s="5">
        <v>57</v>
      </c>
      <c r="C67" s="12"/>
      <c r="D67" s="13"/>
      <c r="E67" s="13"/>
      <c r="F67" s="13"/>
      <c r="G67" s="13"/>
      <c r="H67" s="14"/>
      <c r="I67" s="15"/>
      <c r="J67" s="15"/>
      <c r="K67" s="15"/>
      <c r="L67" s="15"/>
      <c r="M67" s="15"/>
      <c r="N67" s="15"/>
      <c r="O67" s="15"/>
      <c r="P67" s="15"/>
      <c r="Q67" s="15"/>
      <c r="R67" s="15"/>
      <c r="S67" s="15"/>
      <c r="T67" s="15"/>
      <c r="U67" s="15"/>
      <c r="V67" s="6"/>
      <c r="W67" s="6"/>
      <c r="Y67" s="5">
        <v>49</v>
      </c>
      <c r="Z67" s="12"/>
      <c r="AA67" s="13"/>
      <c r="AB67" s="13"/>
      <c r="AC67" s="13"/>
      <c r="AD67" s="13"/>
      <c r="AE67" s="14"/>
      <c r="AF67" s="15"/>
      <c r="AG67" s="15"/>
      <c r="AH67" s="15"/>
      <c r="AI67" s="15"/>
      <c r="AJ67" s="15"/>
      <c r="AK67" s="15"/>
      <c r="AL67" s="15"/>
      <c r="AM67" s="15"/>
      <c r="AN67" s="15"/>
      <c r="AO67" s="15"/>
      <c r="AP67" s="15"/>
      <c r="AQ67" s="15"/>
      <c r="AR67" s="15"/>
      <c r="AS67" s="6"/>
      <c r="AT67" s="6"/>
      <c r="AW67" s="5">
        <v>57</v>
      </c>
      <c r="AX67" s="12"/>
      <c r="AY67" s="13"/>
      <c r="AZ67" s="13"/>
      <c r="BA67" s="13"/>
      <c r="BB67" s="13"/>
      <c r="BC67" s="14"/>
      <c r="BD67" s="15"/>
      <c r="BE67" s="15"/>
      <c r="BF67" s="15"/>
      <c r="BG67" s="15"/>
      <c r="BH67" s="15"/>
      <c r="BI67" s="15"/>
      <c r="BJ67" s="15"/>
      <c r="BK67" s="15"/>
      <c r="BL67" s="15"/>
      <c r="BM67" s="15"/>
      <c r="BN67" s="15"/>
      <c r="BO67" s="15"/>
      <c r="BP67" s="15"/>
      <c r="BQ67" s="6"/>
      <c r="BR67" s="6"/>
      <c r="BT67" s="5">
        <v>49</v>
      </c>
      <c r="BU67" s="12"/>
      <c r="BV67" s="13"/>
      <c r="BW67" s="13"/>
      <c r="BX67" s="13"/>
      <c r="BY67" s="13"/>
      <c r="BZ67" s="14"/>
      <c r="CA67" s="15"/>
      <c r="CB67" s="15"/>
      <c r="CC67" s="15"/>
      <c r="CD67" s="15"/>
      <c r="CE67" s="15"/>
      <c r="CF67" s="15"/>
      <c r="CG67" s="15"/>
      <c r="CH67" s="15"/>
      <c r="CI67" s="15"/>
      <c r="CJ67" s="15"/>
      <c r="CK67" s="15"/>
      <c r="CL67" s="15"/>
      <c r="CM67" s="15"/>
      <c r="CN67" s="6"/>
      <c r="CO67" s="6"/>
      <c r="CR67" s="5">
        <v>57</v>
      </c>
      <c r="CS67" s="12"/>
      <c r="CT67" s="13"/>
      <c r="CU67" s="13"/>
      <c r="CV67" s="13"/>
      <c r="CW67" s="13"/>
      <c r="CX67" s="14"/>
      <c r="CY67" s="15"/>
      <c r="CZ67" s="15"/>
      <c r="DA67" s="15"/>
      <c r="DB67" s="15"/>
      <c r="DC67" s="15"/>
      <c r="DD67" s="15"/>
      <c r="DE67" s="15"/>
      <c r="DF67" s="15"/>
      <c r="DG67" s="15"/>
      <c r="DH67" s="15"/>
      <c r="DI67" s="15"/>
      <c r="DJ67" s="15"/>
      <c r="DK67" s="15"/>
      <c r="DL67" s="6"/>
      <c r="DM67" s="6"/>
      <c r="DO67" s="5">
        <v>49</v>
      </c>
      <c r="DP67" s="12"/>
      <c r="DQ67" s="13"/>
      <c r="DR67" s="13"/>
      <c r="DS67" s="13"/>
      <c r="DT67" s="13"/>
      <c r="DU67" s="14"/>
      <c r="DV67" s="15"/>
      <c r="DW67" s="15"/>
      <c r="DX67" s="15"/>
      <c r="DY67" s="15"/>
      <c r="DZ67" s="15"/>
      <c r="EA67" s="15"/>
      <c r="EB67" s="15"/>
      <c r="EC67" s="15"/>
      <c r="ED67" s="15"/>
      <c r="EE67" s="15"/>
      <c r="EF67" s="15"/>
      <c r="EG67" s="15"/>
      <c r="EH67" s="15"/>
      <c r="EI67" s="6"/>
      <c r="EJ67" s="6"/>
      <c r="EM67" s="5">
        <v>57</v>
      </c>
      <c r="EN67" s="12"/>
      <c r="EO67" s="13"/>
      <c r="EP67" s="13"/>
      <c r="EQ67" s="13"/>
      <c r="ER67" s="13"/>
      <c r="ES67" s="14"/>
      <c r="ET67" s="15"/>
      <c r="EU67" s="15"/>
      <c r="EV67" s="15"/>
      <c r="EW67" s="15"/>
      <c r="EX67" s="15"/>
      <c r="EY67" s="15"/>
      <c r="EZ67" s="15"/>
      <c r="FA67" s="15"/>
      <c r="FB67" s="15"/>
      <c r="FC67" s="15"/>
      <c r="FD67" s="15"/>
      <c r="FE67" s="15"/>
      <c r="FF67" s="15"/>
      <c r="FG67" s="6"/>
      <c r="FH67" s="6"/>
      <c r="FJ67" s="5">
        <v>49</v>
      </c>
      <c r="FK67" s="12"/>
      <c r="FL67" s="13"/>
      <c r="FM67" s="13"/>
      <c r="FN67" s="13"/>
      <c r="FO67" s="13"/>
      <c r="FP67" s="14"/>
      <c r="FQ67" s="15"/>
      <c r="FR67" s="15"/>
      <c r="FS67" s="15"/>
      <c r="FT67" s="15"/>
      <c r="FU67" s="15"/>
      <c r="FV67" s="15"/>
      <c r="FW67" s="15"/>
      <c r="FX67" s="15"/>
      <c r="FY67" s="15"/>
      <c r="FZ67" s="15"/>
      <c r="GA67" s="15"/>
      <c r="GB67" s="15"/>
      <c r="GC67" s="15"/>
      <c r="GD67" s="6"/>
      <c r="GE67" s="6"/>
      <c r="GH67" s="5">
        <v>57</v>
      </c>
      <c r="GI67" s="12"/>
      <c r="GJ67" s="13"/>
      <c r="GK67" s="13"/>
      <c r="GL67" s="13"/>
      <c r="GM67" s="13"/>
      <c r="GN67" s="14"/>
      <c r="GO67" s="15"/>
      <c r="GP67" s="15"/>
      <c r="GQ67" s="15"/>
      <c r="GR67" s="15"/>
      <c r="GS67" s="15"/>
      <c r="GT67" s="15"/>
      <c r="GU67" s="15"/>
      <c r="GV67" s="15"/>
      <c r="GW67" s="15"/>
      <c r="GX67" s="15"/>
      <c r="GY67" s="15"/>
      <c r="GZ67" s="15"/>
      <c r="HA67" s="15"/>
      <c r="HB67" s="6"/>
      <c r="HC67" s="6"/>
      <c r="HE67" s="5">
        <v>49</v>
      </c>
      <c r="HF67" s="12"/>
      <c r="HG67" s="13"/>
      <c r="HH67" s="13"/>
      <c r="HI67" s="13"/>
      <c r="HJ67" s="13"/>
      <c r="HK67" s="14"/>
      <c r="HL67" s="15"/>
      <c r="HM67" s="15"/>
      <c r="HN67" s="15"/>
      <c r="HO67" s="15"/>
      <c r="HP67" s="15"/>
      <c r="HQ67" s="15"/>
      <c r="HR67" s="15"/>
      <c r="HS67" s="15"/>
      <c r="HT67" s="15"/>
      <c r="HU67" s="15"/>
      <c r="HV67" s="15"/>
      <c r="HW67" s="15"/>
      <c r="HX67" s="15"/>
      <c r="HY67" s="6"/>
      <c r="HZ67" s="6"/>
    </row>
    <row r="68" customHeight="1" spans="2:234">
      <c r="B68" s="8">
        <v>58</v>
      </c>
      <c r="C68" s="17"/>
      <c r="D68" s="18"/>
      <c r="E68" s="18"/>
      <c r="F68" s="18"/>
      <c r="G68" s="18"/>
      <c r="H68" s="19"/>
      <c r="I68" s="20"/>
      <c r="J68" s="20"/>
      <c r="K68" s="20"/>
      <c r="L68" s="20"/>
      <c r="M68" s="20"/>
      <c r="N68" s="20"/>
      <c r="O68" s="20"/>
      <c r="P68" s="20"/>
      <c r="Q68" s="20"/>
      <c r="R68" s="20"/>
      <c r="S68" s="20"/>
      <c r="T68" s="20"/>
      <c r="U68" s="20"/>
      <c r="V68" s="9"/>
      <c r="W68" s="9"/>
      <c r="Y68" s="8">
        <v>50</v>
      </c>
      <c r="Z68" s="17"/>
      <c r="AA68" s="18"/>
      <c r="AB68" s="18"/>
      <c r="AC68" s="18"/>
      <c r="AD68" s="18"/>
      <c r="AE68" s="19"/>
      <c r="AF68" s="20"/>
      <c r="AG68" s="20"/>
      <c r="AH68" s="20"/>
      <c r="AI68" s="20"/>
      <c r="AJ68" s="20"/>
      <c r="AK68" s="20"/>
      <c r="AL68" s="20"/>
      <c r="AM68" s="20"/>
      <c r="AN68" s="20"/>
      <c r="AO68" s="20"/>
      <c r="AP68" s="20"/>
      <c r="AQ68" s="20"/>
      <c r="AR68" s="20"/>
      <c r="AS68" s="9"/>
      <c r="AT68" s="9"/>
      <c r="AW68" s="8">
        <v>58</v>
      </c>
      <c r="AX68" s="17"/>
      <c r="AY68" s="18"/>
      <c r="AZ68" s="18"/>
      <c r="BA68" s="18"/>
      <c r="BB68" s="18"/>
      <c r="BC68" s="19"/>
      <c r="BD68" s="20"/>
      <c r="BE68" s="20"/>
      <c r="BF68" s="20"/>
      <c r="BG68" s="20"/>
      <c r="BH68" s="20"/>
      <c r="BI68" s="20"/>
      <c r="BJ68" s="20"/>
      <c r="BK68" s="20"/>
      <c r="BL68" s="20"/>
      <c r="BM68" s="20"/>
      <c r="BN68" s="20"/>
      <c r="BO68" s="20"/>
      <c r="BP68" s="20"/>
      <c r="BQ68" s="9"/>
      <c r="BR68" s="9"/>
      <c r="BT68" s="8">
        <v>50</v>
      </c>
      <c r="BU68" s="17"/>
      <c r="BV68" s="18"/>
      <c r="BW68" s="18"/>
      <c r="BX68" s="18"/>
      <c r="BY68" s="18"/>
      <c r="BZ68" s="19"/>
      <c r="CA68" s="20"/>
      <c r="CB68" s="20"/>
      <c r="CC68" s="20"/>
      <c r="CD68" s="20"/>
      <c r="CE68" s="20"/>
      <c r="CF68" s="20"/>
      <c r="CG68" s="20"/>
      <c r="CH68" s="20"/>
      <c r="CI68" s="20"/>
      <c r="CJ68" s="20"/>
      <c r="CK68" s="20"/>
      <c r="CL68" s="20"/>
      <c r="CM68" s="20"/>
      <c r="CN68" s="9"/>
      <c r="CO68" s="9"/>
      <c r="CR68" s="8">
        <v>58</v>
      </c>
      <c r="CS68" s="17"/>
      <c r="CT68" s="18"/>
      <c r="CU68" s="18"/>
      <c r="CV68" s="18"/>
      <c r="CW68" s="18"/>
      <c r="CX68" s="19"/>
      <c r="CY68" s="20"/>
      <c r="CZ68" s="20"/>
      <c r="DA68" s="20"/>
      <c r="DB68" s="20"/>
      <c r="DC68" s="20"/>
      <c r="DD68" s="20"/>
      <c r="DE68" s="20"/>
      <c r="DF68" s="20"/>
      <c r="DG68" s="20"/>
      <c r="DH68" s="20"/>
      <c r="DI68" s="20"/>
      <c r="DJ68" s="20"/>
      <c r="DK68" s="20"/>
      <c r="DL68" s="9"/>
      <c r="DM68" s="9"/>
      <c r="DO68" s="8">
        <v>50</v>
      </c>
      <c r="DP68" s="17"/>
      <c r="DQ68" s="18"/>
      <c r="DR68" s="18"/>
      <c r="DS68" s="18"/>
      <c r="DT68" s="18"/>
      <c r="DU68" s="19"/>
      <c r="DV68" s="20"/>
      <c r="DW68" s="20"/>
      <c r="DX68" s="20"/>
      <c r="DY68" s="20"/>
      <c r="DZ68" s="20"/>
      <c r="EA68" s="20"/>
      <c r="EB68" s="20"/>
      <c r="EC68" s="20"/>
      <c r="ED68" s="20"/>
      <c r="EE68" s="20"/>
      <c r="EF68" s="20"/>
      <c r="EG68" s="20"/>
      <c r="EH68" s="20"/>
      <c r="EI68" s="9"/>
      <c r="EJ68" s="9"/>
      <c r="EM68" s="8">
        <v>58</v>
      </c>
      <c r="EN68" s="17"/>
      <c r="EO68" s="18"/>
      <c r="EP68" s="18"/>
      <c r="EQ68" s="18"/>
      <c r="ER68" s="18"/>
      <c r="ES68" s="19"/>
      <c r="ET68" s="20"/>
      <c r="EU68" s="20"/>
      <c r="EV68" s="20"/>
      <c r="EW68" s="20"/>
      <c r="EX68" s="20"/>
      <c r="EY68" s="20"/>
      <c r="EZ68" s="20"/>
      <c r="FA68" s="20"/>
      <c r="FB68" s="20"/>
      <c r="FC68" s="20"/>
      <c r="FD68" s="20"/>
      <c r="FE68" s="20"/>
      <c r="FF68" s="20"/>
      <c r="FG68" s="9"/>
      <c r="FH68" s="9"/>
      <c r="FJ68" s="8">
        <v>50</v>
      </c>
      <c r="FK68" s="17"/>
      <c r="FL68" s="18"/>
      <c r="FM68" s="18"/>
      <c r="FN68" s="18"/>
      <c r="FO68" s="18"/>
      <c r="FP68" s="19"/>
      <c r="FQ68" s="20"/>
      <c r="FR68" s="20"/>
      <c r="FS68" s="20"/>
      <c r="FT68" s="20"/>
      <c r="FU68" s="20"/>
      <c r="FV68" s="20"/>
      <c r="FW68" s="20"/>
      <c r="FX68" s="20"/>
      <c r="FY68" s="20"/>
      <c r="FZ68" s="20"/>
      <c r="GA68" s="20"/>
      <c r="GB68" s="20"/>
      <c r="GC68" s="20"/>
      <c r="GD68" s="9"/>
      <c r="GE68" s="9"/>
      <c r="GH68" s="8">
        <v>58</v>
      </c>
      <c r="GI68" s="17"/>
      <c r="GJ68" s="18"/>
      <c r="GK68" s="18"/>
      <c r="GL68" s="18"/>
      <c r="GM68" s="18"/>
      <c r="GN68" s="19"/>
      <c r="GO68" s="20"/>
      <c r="GP68" s="20"/>
      <c r="GQ68" s="20"/>
      <c r="GR68" s="20"/>
      <c r="GS68" s="20"/>
      <c r="GT68" s="20"/>
      <c r="GU68" s="20"/>
      <c r="GV68" s="20"/>
      <c r="GW68" s="20"/>
      <c r="GX68" s="20"/>
      <c r="GY68" s="20"/>
      <c r="GZ68" s="20"/>
      <c r="HA68" s="20"/>
      <c r="HB68" s="9"/>
      <c r="HC68" s="9"/>
      <c r="HE68" s="8">
        <v>50</v>
      </c>
      <c r="HF68" s="17"/>
      <c r="HG68" s="18"/>
      <c r="HH68" s="18"/>
      <c r="HI68" s="18"/>
      <c r="HJ68" s="18"/>
      <c r="HK68" s="19"/>
      <c r="HL68" s="20"/>
      <c r="HM68" s="20"/>
      <c r="HN68" s="20"/>
      <c r="HO68" s="20"/>
      <c r="HP68" s="20"/>
      <c r="HQ68" s="20"/>
      <c r="HR68" s="20"/>
      <c r="HS68" s="20"/>
      <c r="HT68" s="20"/>
      <c r="HU68" s="20"/>
      <c r="HV68" s="20"/>
      <c r="HW68" s="20"/>
      <c r="HX68" s="20"/>
      <c r="HY68" s="9"/>
      <c r="HZ68" s="9"/>
    </row>
    <row r="69" customHeight="1" spans="2:234">
      <c r="B69" s="5">
        <v>59</v>
      </c>
      <c r="C69" s="12"/>
      <c r="D69" s="13"/>
      <c r="E69" s="13"/>
      <c r="F69" s="13"/>
      <c r="G69" s="13"/>
      <c r="H69" s="14"/>
      <c r="I69" s="15"/>
      <c r="J69" s="15"/>
      <c r="K69" s="15"/>
      <c r="L69" s="15"/>
      <c r="M69" s="15"/>
      <c r="N69" s="15"/>
      <c r="O69" s="15"/>
      <c r="P69" s="15"/>
      <c r="Q69" s="15"/>
      <c r="R69" s="15"/>
      <c r="S69" s="15"/>
      <c r="T69" s="15"/>
      <c r="U69" s="15"/>
      <c r="V69" s="6"/>
      <c r="W69" s="6"/>
      <c r="AW69" s="5">
        <v>59</v>
      </c>
      <c r="AX69" s="12"/>
      <c r="AY69" s="13"/>
      <c r="AZ69" s="13"/>
      <c r="BA69" s="13"/>
      <c r="BB69" s="13"/>
      <c r="BC69" s="14"/>
      <c r="BD69" s="15"/>
      <c r="BE69" s="15"/>
      <c r="BF69" s="15"/>
      <c r="BG69" s="15"/>
      <c r="BH69" s="15"/>
      <c r="BI69" s="15"/>
      <c r="BJ69" s="15"/>
      <c r="BK69" s="15"/>
      <c r="BL69" s="15"/>
      <c r="BM69" s="15"/>
      <c r="BN69" s="15"/>
      <c r="BO69" s="15"/>
      <c r="BP69" s="15"/>
      <c r="BQ69" s="6"/>
      <c r="BR69" s="6"/>
      <c r="CR69" s="5">
        <v>59</v>
      </c>
      <c r="CS69" s="12"/>
      <c r="CT69" s="13"/>
      <c r="CU69" s="13"/>
      <c r="CV69" s="13"/>
      <c r="CW69" s="13"/>
      <c r="CX69" s="14"/>
      <c r="CY69" s="15"/>
      <c r="CZ69" s="15"/>
      <c r="DA69" s="15"/>
      <c r="DB69" s="15"/>
      <c r="DC69" s="15"/>
      <c r="DD69" s="15"/>
      <c r="DE69" s="15"/>
      <c r="DF69" s="15"/>
      <c r="DG69" s="15"/>
      <c r="DH69" s="15"/>
      <c r="DI69" s="15"/>
      <c r="DJ69" s="15"/>
      <c r="DK69" s="15"/>
      <c r="DL69" s="6"/>
      <c r="DM69" s="6"/>
      <c r="EM69" s="5">
        <v>59</v>
      </c>
      <c r="EN69" s="12"/>
      <c r="EO69" s="13"/>
      <c r="EP69" s="13"/>
      <c r="EQ69" s="13"/>
      <c r="ER69" s="13"/>
      <c r="ES69" s="14"/>
      <c r="ET69" s="15"/>
      <c r="EU69" s="15"/>
      <c r="EV69" s="15"/>
      <c r="EW69" s="15"/>
      <c r="EX69" s="15"/>
      <c r="EY69" s="15"/>
      <c r="EZ69" s="15"/>
      <c r="FA69" s="15"/>
      <c r="FB69" s="15"/>
      <c r="FC69" s="15"/>
      <c r="FD69" s="15"/>
      <c r="FE69" s="15"/>
      <c r="FF69" s="15"/>
      <c r="FG69" s="6"/>
      <c r="FH69" s="6"/>
      <c r="GH69" s="5">
        <v>59</v>
      </c>
      <c r="GI69" s="12"/>
      <c r="GJ69" s="13"/>
      <c r="GK69" s="13"/>
      <c r="GL69" s="13"/>
      <c r="GM69" s="13"/>
      <c r="GN69" s="14"/>
      <c r="GO69" s="15"/>
      <c r="GP69" s="15"/>
      <c r="GQ69" s="15"/>
      <c r="GR69" s="15"/>
      <c r="GS69" s="15"/>
      <c r="GT69" s="15"/>
      <c r="GU69" s="15"/>
      <c r="GV69" s="15"/>
      <c r="GW69" s="15"/>
      <c r="GX69" s="15"/>
      <c r="GY69" s="15"/>
      <c r="GZ69" s="15"/>
      <c r="HA69" s="15"/>
      <c r="HB69" s="6"/>
      <c r="HC69" s="6"/>
    </row>
    <row r="70" customHeight="1" spans="2:234">
      <c r="B70" s="8">
        <v>60</v>
      </c>
      <c r="C70" s="17"/>
      <c r="D70" s="18"/>
      <c r="E70" s="18"/>
      <c r="F70" s="18"/>
      <c r="G70" s="18"/>
      <c r="H70" s="19"/>
      <c r="I70" s="20"/>
      <c r="J70" s="20"/>
      <c r="K70" s="20"/>
      <c r="L70" s="20"/>
      <c r="M70" s="20"/>
      <c r="N70" s="20"/>
      <c r="O70" s="20"/>
      <c r="P70" s="20"/>
      <c r="Q70" s="20"/>
      <c r="R70" s="20"/>
      <c r="S70" s="20"/>
      <c r="T70" s="20"/>
      <c r="U70" s="20"/>
      <c r="V70" s="9"/>
      <c r="W70" s="9"/>
      <c r="Y70" s="11" t="str">
        <f>IF(C3="","",C3&amp;"的杂物间")</f>
        <v/>
      </c>
      <c r="Z70" s="11"/>
      <c r="AA70" s="11"/>
      <c r="AB70" s="11"/>
      <c r="AC70" s="11"/>
      <c r="AD70" s="11"/>
      <c r="AE70" s="11"/>
      <c r="AF70" s="11"/>
      <c r="AG70" s="11"/>
      <c r="AH70" s="11"/>
      <c r="AI70" s="11"/>
      <c r="AJ70" s="11"/>
      <c r="AK70" s="11"/>
      <c r="AL70" s="11"/>
      <c r="AM70" s="11"/>
      <c r="AN70" s="11"/>
      <c r="AO70" s="11"/>
      <c r="AP70" s="11"/>
      <c r="AQ70" s="11"/>
      <c r="AR70" s="11"/>
      <c r="AS70" s="11"/>
      <c r="AT70" s="11"/>
      <c r="AW70" s="8">
        <v>60</v>
      </c>
      <c r="AX70" s="17"/>
      <c r="AY70" s="18"/>
      <c r="AZ70" s="18"/>
      <c r="BA70" s="18"/>
      <c r="BB70" s="18"/>
      <c r="BC70" s="19"/>
      <c r="BD70" s="20"/>
      <c r="BE70" s="20"/>
      <c r="BF70" s="20"/>
      <c r="BG70" s="20"/>
      <c r="BH70" s="20"/>
      <c r="BI70" s="20"/>
      <c r="BJ70" s="20"/>
      <c r="BK70" s="20"/>
      <c r="BL70" s="20"/>
      <c r="BM70" s="20"/>
      <c r="BN70" s="20"/>
      <c r="BO70" s="20"/>
      <c r="BP70" s="20"/>
      <c r="BQ70" s="9"/>
      <c r="BR70" s="9"/>
      <c r="BT70" s="11" t="str">
        <f>IF(C4="","",C4&amp;"的杂物间")</f>
        <v/>
      </c>
      <c r="BU70" s="11"/>
      <c r="BV70" s="11"/>
      <c r="BW70" s="11"/>
      <c r="BX70" s="11"/>
      <c r="BY70" s="11"/>
      <c r="BZ70" s="11"/>
      <c r="CA70" s="11"/>
      <c r="CB70" s="11"/>
      <c r="CC70" s="11"/>
      <c r="CD70" s="11"/>
      <c r="CE70" s="11"/>
      <c r="CF70" s="11"/>
      <c r="CG70" s="11"/>
      <c r="CH70" s="11"/>
      <c r="CI70" s="11"/>
      <c r="CJ70" s="11"/>
      <c r="CK70" s="11"/>
      <c r="CL70" s="11"/>
      <c r="CM70" s="11"/>
      <c r="CN70" s="11"/>
      <c r="CO70" s="11"/>
      <c r="CR70" s="8">
        <v>60</v>
      </c>
      <c r="CS70" s="17"/>
      <c r="CT70" s="18"/>
      <c r="CU70" s="18"/>
      <c r="CV70" s="18"/>
      <c r="CW70" s="18"/>
      <c r="CX70" s="19"/>
      <c r="CY70" s="20"/>
      <c r="CZ70" s="20"/>
      <c r="DA70" s="20"/>
      <c r="DB70" s="20"/>
      <c r="DC70" s="20"/>
      <c r="DD70" s="20"/>
      <c r="DE70" s="20"/>
      <c r="DF70" s="20"/>
      <c r="DG70" s="20"/>
      <c r="DH70" s="20"/>
      <c r="DI70" s="20"/>
      <c r="DJ70" s="20"/>
      <c r="DK70" s="20"/>
      <c r="DL70" s="9"/>
      <c r="DM70" s="9"/>
      <c r="DO70" s="11" t="str">
        <f>IF(C5="","",C5&amp;"的杂物间")</f>
        <v/>
      </c>
      <c r="DP70" s="11"/>
      <c r="DQ70" s="11"/>
      <c r="DR70" s="11"/>
      <c r="DS70" s="11"/>
      <c r="DT70" s="11"/>
      <c r="DU70" s="11"/>
      <c r="DV70" s="11"/>
      <c r="DW70" s="11"/>
      <c r="DX70" s="11"/>
      <c r="DY70" s="11"/>
      <c r="DZ70" s="11"/>
      <c r="EA70" s="11"/>
      <c r="EB70" s="11"/>
      <c r="EC70" s="11"/>
      <c r="ED70" s="11"/>
      <c r="EE70" s="11"/>
      <c r="EF70" s="11"/>
      <c r="EG70" s="11"/>
      <c r="EH70" s="11"/>
      <c r="EI70" s="11"/>
      <c r="EJ70" s="11"/>
      <c r="EM70" s="8">
        <v>60</v>
      </c>
      <c r="EN70" s="17"/>
      <c r="EO70" s="18"/>
      <c r="EP70" s="18"/>
      <c r="EQ70" s="18"/>
      <c r="ER70" s="18"/>
      <c r="ES70" s="19"/>
      <c r="ET70" s="20"/>
      <c r="EU70" s="20"/>
      <c r="EV70" s="20"/>
      <c r="EW70" s="20"/>
      <c r="EX70" s="20"/>
      <c r="EY70" s="20"/>
      <c r="EZ70" s="20"/>
      <c r="FA70" s="20"/>
      <c r="FB70" s="20"/>
      <c r="FC70" s="20"/>
      <c r="FD70" s="20"/>
      <c r="FE70" s="20"/>
      <c r="FF70" s="20"/>
      <c r="FG70" s="9"/>
      <c r="FH70" s="9"/>
      <c r="FJ70" s="11" t="str">
        <f>IF(C6="","",C6&amp;"的杂物间")</f>
        <v/>
      </c>
      <c r="FK70" s="11"/>
      <c r="FL70" s="11"/>
      <c r="FM70" s="11"/>
      <c r="FN70" s="11"/>
      <c r="FO70" s="11"/>
      <c r="FP70" s="11"/>
      <c r="FQ70" s="11"/>
      <c r="FR70" s="11"/>
      <c r="FS70" s="11"/>
      <c r="FT70" s="11"/>
      <c r="FU70" s="11"/>
      <c r="FV70" s="11"/>
      <c r="FW70" s="11"/>
      <c r="FX70" s="11"/>
      <c r="FY70" s="11"/>
      <c r="FZ70" s="11"/>
      <c r="GA70" s="11"/>
      <c r="GB70" s="11"/>
      <c r="GC70" s="11"/>
      <c r="GD70" s="11"/>
      <c r="GE70" s="11"/>
      <c r="GH70" s="8">
        <v>60</v>
      </c>
      <c r="GI70" s="17"/>
      <c r="GJ70" s="18"/>
      <c r="GK70" s="18"/>
      <c r="GL70" s="18"/>
      <c r="GM70" s="18"/>
      <c r="GN70" s="19"/>
      <c r="GO70" s="20"/>
      <c r="GP70" s="20"/>
      <c r="GQ70" s="20"/>
      <c r="GR70" s="20"/>
      <c r="GS70" s="20"/>
      <c r="GT70" s="20"/>
      <c r="GU70" s="20"/>
      <c r="GV70" s="20"/>
      <c r="GW70" s="20"/>
      <c r="GX70" s="20"/>
      <c r="GY70" s="20"/>
      <c r="GZ70" s="20"/>
      <c r="HA70" s="20"/>
      <c r="HB70" s="9"/>
      <c r="HC70" s="9"/>
      <c r="HE70" s="11" t="str">
        <f>IF(C7="","",C7&amp;"的杂物间")</f>
        <v/>
      </c>
      <c r="HF70" s="11"/>
      <c r="HG70" s="11"/>
      <c r="HH70" s="11"/>
      <c r="HI70" s="11"/>
      <c r="HJ70" s="11"/>
      <c r="HK70" s="11"/>
      <c r="HL70" s="11"/>
      <c r="HM70" s="11"/>
      <c r="HN70" s="11"/>
      <c r="HO70" s="11"/>
      <c r="HP70" s="11"/>
      <c r="HQ70" s="11"/>
      <c r="HR70" s="11"/>
      <c r="HS70" s="11"/>
      <c r="HT70" s="11"/>
      <c r="HU70" s="11"/>
      <c r="HV70" s="11"/>
      <c r="HW70" s="11"/>
      <c r="HX70" s="11"/>
      <c r="HY70" s="11"/>
      <c r="HZ70" s="11"/>
    </row>
    <row r="71" customHeight="1" spans="2:234">
      <c r="B71" s="5">
        <v>61</v>
      </c>
      <c r="C71" s="12"/>
      <c r="D71" s="13"/>
      <c r="E71" s="13"/>
      <c r="F71" s="13"/>
      <c r="G71" s="13"/>
      <c r="H71" s="14"/>
      <c r="I71" s="15"/>
      <c r="J71" s="15"/>
      <c r="K71" s="15"/>
      <c r="L71" s="15"/>
      <c r="M71" s="15"/>
      <c r="N71" s="15"/>
      <c r="O71" s="15"/>
      <c r="P71" s="15"/>
      <c r="Q71" s="15"/>
      <c r="R71" s="15"/>
      <c r="S71" s="15"/>
      <c r="T71" s="15"/>
      <c r="U71" s="15"/>
      <c r="V71" s="6"/>
      <c r="W71" s="6"/>
      <c r="Y71" s="3"/>
      <c r="Z71" s="4" t="s">
        <v>114</v>
      </c>
      <c r="AA71" s="4"/>
      <c r="AB71" s="4"/>
      <c r="AC71" s="4"/>
      <c r="AD71" s="4"/>
      <c r="AE71" s="4"/>
      <c r="AF71" s="4" t="s">
        <v>176</v>
      </c>
      <c r="AG71" s="4"/>
      <c r="AH71" s="4"/>
      <c r="AI71" s="4"/>
      <c r="AJ71" s="4"/>
      <c r="AK71" s="4"/>
      <c r="AL71" s="4"/>
      <c r="AM71" s="4"/>
      <c r="AN71" s="4"/>
      <c r="AO71" s="4"/>
      <c r="AP71" s="4"/>
      <c r="AQ71" s="4"/>
      <c r="AR71" s="4"/>
      <c r="AS71" s="4" t="s">
        <v>173</v>
      </c>
      <c r="AT71" s="4"/>
      <c r="AW71" s="5">
        <v>61</v>
      </c>
      <c r="AX71" s="12"/>
      <c r="AY71" s="13"/>
      <c r="AZ71" s="13"/>
      <c r="BA71" s="13"/>
      <c r="BB71" s="13"/>
      <c r="BC71" s="14"/>
      <c r="BD71" s="15"/>
      <c r="BE71" s="15"/>
      <c r="BF71" s="15"/>
      <c r="BG71" s="15"/>
      <c r="BH71" s="15"/>
      <c r="BI71" s="15"/>
      <c r="BJ71" s="15"/>
      <c r="BK71" s="15"/>
      <c r="BL71" s="15"/>
      <c r="BM71" s="15"/>
      <c r="BN71" s="15"/>
      <c r="BO71" s="15"/>
      <c r="BP71" s="15"/>
      <c r="BQ71" s="6"/>
      <c r="BR71" s="6"/>
      <c r="BT71" s="3"/>
      <c r="BU71" s="4" t="s">
        <v>114</v>
      </c>
      <c r="BV71" s="4"/>
      <c r="BW71" s="4"/>
      <c r="BX71" s="4"/>
      <c r="BY71" s="4"/>
      <c r="BZ71" s="4"/>
      <c r="CA71" s="4" t="s">
        <v>176</v>
      </c>
      <c r="CB71" s="4"/>
      <c r="CC71" s="4"/>
      <c r="CD71" s="4"/>
      <c r="CE71" s="4"/>
      <c r="CF71" s="4"/>
      <c r="CG71" s="4"/>
      <c r="CH71" s="4"/>
      <c r="CI71" s="4"/>
      <c r="CJ71" s="4"/>
      <c r="CK71" s="4"/>
      <c r="CL71" s="4"/>
      <c r="CM71" s="4"/>
      <c r="CN71" s="4" t="s">
        <v>173</v>
      </c>
      <c r="CO71" s="4"/>
      <c r="CR71" s="5">
        <v>61</v>
      </c>
      <c r="CS71" s="12"/>
      <c r="CT71" s="13"/>
      <c r="CU71" s="13"/>
      <c r="CV71" s="13"/>
      <c r="CW71" s="13"/>
      <c r="CX71" s="14"/>
      <c r="CY71" s="15"/>
      <c r="CZ71" s="15"/>
      <c r="DA71" s="15"/>
      <c r="DB71" s="15"/>
      <c r="DC71" s="15"/>
      <c r="DD71" s="15"/>
      <c r="DE71" s="15"/>
      <c r="DF71" s="15"/>
      <c r="DG71" s="15"/>
      <c r="DH71" s="15"/>
      <c r="DI71" s="15"/>
      <c r="DJ71" s="15"/>
      <c r="DK71" s="15"/>
      <c r="DL71" s="6"/>
      <c r="DM71" s="6"/>
      <c r="DO71" s="3"/>
      <c r="DP71" s="4" t="s">
        <v>114</v>
      </c>
      <c r="DQ71" s="4"/>
      <c r="DR71" s="4"/>
      <c r="DS71" s="4"/>
      <c r="DT71" s="4"/>
      <c r="DU71" s="4"/>
      <c r="DV71" s="4" t="s">
        <v>176</v>
      </c>
      <c r="DW71" s="4"/>
      <c r="DX71" s="4"/>
      <c r="DY71" s="4"/>
      <c r="DZ71" s="4"/>
      <c r="EA71" s="4"/>
      <c r="EB71" s="4"/>
      <c r="EC71" s="4"/>
      <c r="ED71" s="4"/>
      <c r="EE71" s="4"/>
      <c r="EF71" s="4"/>
      <c r="EG71" s="4"/>
      <c r="EH71" s="4"/>
      <c r="EI71" s="4" t="s">
        <v>173</v>
      </c>
      <c r="EJ71" s="4"/>
      <c r="EM71" s="5">
        <v>61</v>
      </c>
      <c r="EN71" s="12"/>
      <c r="EO71" s="13"/>
      <c r="EP71" s="13"/>
      <c r="EQ71" s="13"/>
      <c r="ER71" s="13"/>
      <c r="ES71" s="14"/>
      <c r="ET71" s="15"/>
      <c r="EU71" s="15"/>
      <c r="EV71" s="15"/>
      <c r="EW71" s="15"/>
      <c r="EX71" s="15"/>
      <c r="EY71" s="15"/>
      <c r="EZ71" s="15"/>
      <c r="FA71" s="15"/>
      <c r="FB71" s="15"/>
      <c r="FC71" s="15"/>
      <c r="FD71" s="15"/>
      <c r="FE71" s="15"/>
      <c r="FF71" s="15"/>
      <c r="FG71" s="6"/>
      <c r="FH71" s="6"/>
      <c r="FJ71" s="3"/>
      <c r="FK71" s="4" t="s">
        <v>114</v>
      </c>
      <c r="FL71" s="4"/>
      <c r="FM71" s="4"/>
      <c r="FN71" s="4"/>
      <c r="FO71" s="4"/>
      <c r="FP71" s="4"/>
      <c r="FQ71" s="4" t="s">
        <v>176</v>
      </c>
      <c r="FR71" s="4"/>
      <c r="FS71" s="4"/>
      <c r="FT71" s="4"/>
      <c r="FU71" s="4"/>
      <c r="FV71" s="4"/>
      <c r="FW71" s="4"/>
      <c r="FX71" s="4"/>
      <c r="FY71" s="4"/>
      <c r="FZ71" s="4"/>
      <c r="GA71" s="4"/>
      <c r="GB71" s="4"/>
      <c r="GC71" s="4"/>
      <c r="GD71" s="4" t="s">
        <v>173</v>
      </c>
      <c r="GE71" s="4"/>
      <c r="GH71" s="5">
        <v>61</v>
      </c>
      <c r="GI71" s="12"/>
      <c r="GJ71" s="13"/>
      <c r="GK71" s="13"/>
      <c r="GL71" s="13"/>
      <c r="GM71" s="13"/>
      <c r="GN71" s="14"/>
      <c r="GO71" s="15"/>
      <c r="GP71" s="15"/>
      <c r="GQ71" s="15"/>
      <c r="GR71" s="15"/>
      <c r="GS71" s="15"/>
      <c r="GT71" s="15"/>
      <c r="GU71" s="15"/>
      <c r="GV71" s="15"/>
      <c r="GW71" s="15"/>
      <c r="GX71" s="15"/>
      <c r="GY71" s="15"/>
      <c r="GZ71" s="15"/>
      <c r="HA71" s="15"/>
      <c r="HB71" s="6"/>
      <c r="HC71" s="6"/>
      <c r="HE71" s="3"/>
      <c r="HF71" s="4" t="s">
        <v>114</v>
      </c>
      <c r="HG71" s="4"/>
      <c r="HH71" s="4"/>
      <c r="HI71" s="4"/>
      <c r="HJ71" s="4"/>
      <c r="HK71" s="4"/>
      <c r="HL71" s="4" t="s">
        <v>176</v>
      </c>
      <c r="HM71" s="4"/>
      <c r="HN71" s="4"/>
      <c r="HO71" s="4"/>
      <c r="HP71" s="4"/>
      <c r="HQ71" s="4"/>
      <c r="HR71" s="4"/>
      <c r="HS71" s="4"/>
      <c r="HT71" s="4"/>
      <c r="HU71" s="4"/>
      <c r="HV71" s="4"/>
      <c r="HW71" s="4"/>
      <c r="HX71" s="4"/>
      <c r="HY71" s="4" t="s">
        <v>173</v>
      </c>
      <c r="HZ71" s="4"/>
    </row>
    <row r="72" customHeight="1" spans="2:234">
      <c r="B72" s="8">
        <v>62</v>
      </c>
      <c r="C72" s="17"/>
      <c r="D72" s="18"/>
      <c r="E72" s="18"/>
      <c r="F72" s="18"/>
      <c r="G72" s="18"/>
      <c r="H72" s="19"/>
      <c r="I72" s="20"/>
      <c r="J72" s="20"/>
      <c r="K72" s="20"/>
      <c r="L72" s="20"/>
      <c r="M72" s="20"/>
      <c r="N72" s="20"/>
      <c r="O72" s="20"/>
      <c r="P72" s="20"/>
      <c r="Q72" s="20"/>
      <c r="R72" s="20"/>
      <c r="S72" s="20"/>
      <c r="T72" s="20"/>
      <c r="U72" s="20"/>
      <c r="V72" s="9"/>
      <c r="W72" s="9"/>
      <c r="Y72" s="5">
        <v>1</v>
      </c>
      <c r="Z72" s="12"/>
      <c r="AA72" s="13"/>
      <c r="AB72" s="13"/>
      <c r="AC72" s="13"/>
      <c r="AD72" s="13"/>
      <c r="AE72" s="14"/>
      <c r="AF72" s="15"/>
      <c r="AG72" s="15"/>
      <c r="AH72" s="15"/>
      <c r="AI72" s="15"/>
      <c r="AJ72" s="15"/>
      <c r="AK72" s="15"/>
      <c r="AL72" s="15"/>
      <c r="AM72" s="15"/>
      <c r="AN72" s="15"/>
      <c r="AO72" s="15"/>
      <c r="AP72" s="15"/>
      <c r="AQ72" s="15"/>
      <c r="AR72" s="15"/>
      <c r="AS72" s="6"/>
      <c r="AT72" s="6"/>
      <c r="AW72" s="8">
        <v>62</v>
      </c>
      <c r="AX72" s="17"/>
      <c r="AY72" s="18"/>
      <c r="AZ72" s="18"/>
      <c r="BA72" s="18"/>
      <c r="BB72" s="18"/>
      <c r="BC72" s="19"/>
      <c r="BD72" s="20"/>
      <c r="BE72" s="20"/>
      <c r="BF72" s="20"/>
      <c r="BG72" s="20"/>
      <c r="BH72" s="20"/>
      <c r="BI72" s="20"/>
      <c r="BJ72" s="20"/>
      <c r="BK72" s="20"/>
      <c r="BL72" s="20"/>
      <c r="BM72" s="20"/>
      <c r="BN72" s="20"/>
      <c r="BO72" s="20"/>
      <c r="BP72" s="20"/>
      <c r="BQ72" s="9"/>
      <c r="BR72" s="9"/>
      <c r="BT72" s="5">
        <v>1</v>
      </c>
      <c r="BU72" s="12"/>
      <c r="BV72" s="13"/>
      <c r="BW72" s="13"/>
      <c r="BX72" s="13"/>
      <c r="BY72" s="13"/>
      <c r="BZ72" s="14"/>
      <c r="CA72" s="15"/>
      <c r="CB72" s="15"/>
      <c r="CC72" s="15"/>
      <c r="CD72" s="15"/>
      <c r="CE72" s="15"/>
      <c r="CF72" s="15"/>
      <c r="CG72" s="15"/>
      <c r="CH72" s="15"/>
      <c r="CI72" s="15"/>
      <c r="CJ72" s="15"/>
      <c r="CK72" s="15"/>
      <c r="CL72" s="15"/>
      <c r="CM72" s="15"/>
      <c r="CN72" s="6"/>
      <c r="CO72" s="6"/>
      <c r="CR72" s="8">
        <v>62</v>
      </c>
      <c r="CS72" s="17"/>
      <c r="CT72" s="18"/>
      <c r="CU72" s="18"/>
      <c r="CV72" s="18"/>
      <c r="CW72" s="18"/>
      <c r="CX72" s="19"/>
      <c r="CY72" s="20"/>
      <c r="CZ72" s="20"/>
      <c r="DA72" s="20"/>
      <c r="DB72" s="20"/>
      <c r="DC72" s="20"/>
      <c r="DD72" s="20"/>
      <c r="DE72" s="20"/>
      <c r="DF72" s="20"/>
      <c r="DG72" s="20"/>
      <c r="DH72" s="20"/>
      <c r="DI72" s="20"/>
      <c r="DJ72" s="20"/>
      <c r="DK72" s="20"/>
      <c r="DL72" s="9"/>
      <c r="DM72" s="9"/>
      <c r="DO72" s="5">
        <v>1</v>
      </c>
      <c r="DP72" s="12"/>
      <c r="DQ72" s="13"/>
      <c r="DR72" s="13"/>
      <c r="DS72" s="13"/>
      <c r="DT72" s="13"/>
      <c r="DU72" s="14"/>
      <c r="DV72" s="15"/>
      <c r="DW72" s="15"/>
      <c r="DX72" s="15"/>
      <c r="DY72" s="15"/>
      <c r="DZ72" s="15"/>
      <c r="EA72" s="15"/>
      <c r="EB72" s="15"/>
      <c r="EC72" s="15"/>
      <c r="ED72" s="15"/>
      <c r="EE72" s="15"/>
      <c r="EF72" s="15"/>
      <c r="EG72" s="15"/>
      <c r="EH72" s="15"/>
      <c r="EI72" s="6"/>
      <c r="EJ72" s="6"/>
      <c r="EM72" s="8">
        <v>62</v>
      </c>
      <c r="EN72" s="17"/>
      <c r="EO72" s="18"/>
      <c r="EP72" s="18"/>
      <c r="EQ72" s="18"/>
      <c r="ER72" s="18"/>
      <c r="ES72" s="19"/>
      <c r="ET72" s="20"/>
      <c r="EU72" s="20"/>
      <c r="EV72" s="20"/>
      <c r="EW72" s="20"/>
      <c r="EX72" s="20"/>
      <c r="EY72" s="20"/>
      <c r="EZ72" s="20"/>
      <c r="FA72" s="20"/>
      <c r="FB72" s="20"/>
      <c r="FC72" s="20"/>
      <c r="FD72" s="20"/>
      <c r="FE72" s="20"/>
      <c r="FF72" s="20"/>
      <c r="FG72" s="9"/>
      <c r="FH72" s="9"/>
      <c r="FJ72" s="5">
        <v>1</v>
      </c>
      <c r="FK72" s="12"/>
      <c r="FL72" s="13"/>
      <c r="FM72" s="13"/>
      <c r="FN72" s="13"/>
      <c r="FO72" s="13"/>
      <c r="FP72" s="14"/>
      <c r="FQ72" s="15"/>
      <c r="FR72" s="15"/>
      <c r="FS72" s="15"/>
      <c r="FT72" s="15"/>
      <c r="FU72" s="15"/>
      <c r="FV72" s="15"/>
      <c r="FW72" s="15"/>
      <c r="FX72" s="15"/>
      <c r="FY72" s="15"/>
      <c r="FZ72" s="15"/>
      <c r="GA72" s="15"/>
      <c r="GB72" s="15"/>
      <c r="GC72" s="15"/>
      <c r="GD72" s="6"/>
      <c r="GE72" s="6"/>
      <c r="GH72" s="8">
        <v>62</v>
      </c>
      <c r="GI72" s="17"/>
      <c r="GJ72" s="18"/>
      <c r="GK72" s="18"/>
      <c r="GL72" s="18"/>
      <c r="GM72" s="18"/>
      <c r="GN72" s="19"/>
      <c r="GO72" s="20"/>
      <c r="GP72" s="20"/>
      <c r="GQ72" s="20"/>
      <c r="GR72" s="20"/>
      <c r="GS72" s="20"/>
      <c r="GT72" s="20"/>
      <c r="GU72" s="20"/>
      <c r="GV72" s="20"/>
      <c r="GW72" s="20"/>
      <c r="GX72" s="20"/>
      <c r="GY72" s="20"/>
      <c r="GZ72" s="20"/>
      <c r="HA72" s="20"/>
      <c r="HB72" s="9"/>
      <c r="HC72" s="9"/>
      <c r="HE72" s="5">
        <v>1</v>
      </c>
      <c r="HF72" s="12"/>
      <c r="HG72" s="13"/>
      <c r="HH72" s="13"/>
      <c r="HI72" s="13"/>
      <c r="HJ72" s="13"/>
      <c r="HK72" s="14"/>
      <c r="HL72" s="15"/>
      <c r="HM72" s="15"/>
      <c r="HN72" s="15"/>
      <c r="HO72" s="15"/>
      <c r="HP72" s="15"/>
      <c r="HQ72" s="15"/>
      <c r="HR72" s="15"/>
      <c r="HS72" s="15"/>
      <c r="HT72" s="15"/>
      <c r="HU72" s="15"/>
      <c r="HV72" s="15"/>
      <c r="HW72" s="15"/>
      <c r="HX72" s="15"/>
      <c r="HY72" s="6"/>
      <c r="HZ72" s="6"/>
    </row>
    <row r="73" customHeight="1" spans="2:234">
      <c r="B73" s="5">
        <v>63</v>
      </c>
      <c r="C73" s="12"/>
      <c r="D73" s="13"/>
      <c r="E73" s="13"/>
      <c r="F73" s="13"/>
      <c r="G73" s="13"/>
      <c r="H73" s="14"/>
      <c r="I73" s="15"/>
      <c r="J73" s="15"/>
      <c r="K73" s="15"/>
      <c r="L73" s="15"/>
      <c r="M73" s="15"/>
      <c r="N73" s="15"/>
      <c r="O73" s="15"/>
      <c r="P73" s="15"/>
      <c r="Q73" s="15"/>
      <c r="R73" s="15"/>
      <c r="S73" s="15"/>
      <c r="T73" s="15"/>
      <c r="U73" s="15"/>
      <c r="V73" s="6"/>
      <c r="W73" s="6"/>
      <c r="Y73" s="8">
        <v>2</v>
      </c>
      <c r="Z73" s="17"/>
      <c r="AA73" s="18"/>
      <c r="AB73" s="18"/>
      <c r="AC73" s="18"/>
      <c r="AD73" s="18"/>
      <c r="AE73" s="19"/>
      <c r="AF73" s="20"/>
      <c r="AG73" s="20"/>
      <c r="AH73" s="20"/>
      <c r="AI73" s="20"/>
      <c r="AJ73" s="20"/>
      <c r="AK73" s="20"/>
      <c r="AL73" s="20"/>
      <c r="AM73" s="20"/>
      <c r="AN73" s="20"/>
      <c r="AO73" s="20"/>
      <c r="AP73" s="20"/>
      <c r="AQ73" s="20"/>
      <c r="AR73" s="20"/>
      <c r="AS73" s="9"/>
      <c r="AT73" s="9"/>
      <c r="AW73" s="5">
        <v>63</v>
      </c>
      <c r="AX73" s="12"/>
      <c r="AY73" s="13"/>
      <c r="AZ73" s="13"/>
      <c r="BA73" s="13"/>
      <c r="BB73" s="13"/>
      <c r="BC73" s="14"/>
      <c r="BD73" s="15"/>
      <c r="BE73" s="15"/>
      <c r="BF73" s="15"/>
      <c r="BG73" s="15"/>
      <c r="BH73" s="15"/>
      <c r="BI73" s="15"/>
      <c r="BJ73" s="15"/>
      <c r="BK73" s="15"/>
      <c r="BL73" s="15"/>
      <c r="BM73" s="15"/>
      <c r="BN73" s="15"/>
      <c r="BO73" s="15"/>
      <c r="BP73" s="15"/>
      <c r="BQ73" s="6"/>
      <c r="BR73" s="6"/>
      <c r="BT73" s="8">
        <v>2</v>
      </c>
      <c r="BU73" s="17"/>
      <c r="BV73" s="18"/>
      <c r="BW73" s="18"/>
      <c r="BX73" s="18"/>
      <c r="BY73" s="18"/>
      <c r="BZ73" s="19"/>
      <c r="CA73" s="20"/>
      <c r="CB73" s="20"/>
      <c r="CC73" s="20"/>
      <c r="CD73" s="20"/>
      <c r="CE73" s="20"/>
      <c r="CF73" s="20"/>
      <c r="CG73" s="20"/>
      <c r="CH73" s="20"/>
      <c r="CI73" s="20"/>
      <c r="CJ73" s="20"/>
      <c r="CK73" s="20"/>
      <c r="CL73" s="20"/>
      <c r="CM73" s="20"/>
      <c r="CN73" s="9"/>
      <c r="CO73" s="9"/>
      <c r="CR73" s="5">
        <v>63</v>
      </c>
      <c r="CS73" s="12"/>
      <c r="CT73" s="13"/>
      <c r="CU73" s="13"/>
      <c r="CV73" s="13"/>
      <c r="CW73" s="13"/>
      <c r="CX73" s="14"/>
      <c r="CY73" s="15"/>
      <c r="CZ73" s="15"/>
      <c r="DA73" s="15"/>
      <c r="DB73" s="15"/>
      <c r="DC73" s="15"/>
      <c r="DD73" s="15"/>
      <c r="DE73" s="15"/>
      <c r="DF73" s="15"/>
      <c r="DG73" s="15"/>
      <c r="DH73" s="15"/>
      <c r="DI73" s="15"/>
      <c r="DJ73" s="15"/>
      <c r="DK73" s="15"/>
      <c r="DL73" s="6"/>
      <c r="DM73" s="6"/>
      <c r="DO73" s="8">
        <v>2</v>
      </c>
      <c r="DP73" s="17"/>
      <c r="DQ73" s="18"/>
      <c r="DR73" s="18"/>
      <c r="DS73" s="18"/>
      <c r="DT73" s="18"/>
      <c r="DU73" s="19"/>
      <c r="DV73" s="20"/>
      <c r="DW73" s="20"/>
      <c r="DX73" s="20"/>
      <c r="DY73" s="20"/>
      <c r="DZ73" s="20"/>
      <c r="EA73" s="20"/>
      <c r="EB73" s="20"/>
      <c r="EC73" s="20"/>
      <c r="ED73" s="20"/>
      <c r="EE73" s="20"/>
      <c r="EF73" s="20"/>
      <c r="EG73" s="20"/>
      <c r="EH73" s="20"/>
      <c r="EI73" s="9"/>
      <c r="EJ73" s="9"/>
      <c r="EM73" s="5">
        <v>63</v>
      </c>
      <c r="EN73" s="12"/>
      <c r="EO73" s="13"/>
      <c r="EP73" s="13"/>
      <c r="EQ73" s="13"/>
      <c r="ER73" s="13"/>
      <c r="ES73" s="14"/>
      <c r="ET73" s="15"/>
      <c r="EU73" s="15"/>
      <c r="EV73" s="15"/>
      <c r="EW73" s="15"/>
      <c r="EX73" s="15"/>
      <c r="EY73" s="15"/>
      <c r="EZ73" s="15"/>
      <c r="FA73" s="15"/>
      <c r="FB73" s="15"/>
      <c r="FC73" s="15"/>
      <c r="FD73" s="15"/>
      <c r="FE73" s="15"/>
      <c r="FF73" s="15"/>
      <c r="FG73" s="6"/>
      <c r="FH73" s="6"/>
      <c r="FJ73" s="8">
        <v>2</v>
      </c>
      <c r="FK73" s="17"/>
      <c r="FL73" s="18"/>
      <c r="FM73" s="18"/>
      <c r="FN73" s="18"/>
      <c r="FO73" s="18"/>
      <c r="FP73" s="19"/>
      <c r="FQ73" s="20"/>
      <c r="FR73" s="20"/>
      <c r="FS73" s="20"/>
      <c r="FT73" s="20"/>
      <c r="FU73" s="20"/>
      <c r="FV73" s="20"/>
      <c r="FW73" s="20"/>
      <c r="FX73" s="20"/>
      <c r="FY73" s="20"/>
      <c r="FZ73" s="20"/>
      <c r="GA73" s="20"/>
      <c r="GB73" s="20"/>
      <c r="GC73" s="20"/>
      <c r="GD73" s="9"/>
      <c r="GE73" s="9"/>
      <c r="GH73" s="5">
        <v>63</v>
      </c>
      <c r="GI73" s="12"/>
      <c r="GJ73" s="13"/>
      <c r="GK73" s="13"/>
      <c r="GL73" s="13"/>
      <c r="GM73" s="13"/>
      <c r="GN73" s="14"/>
      <c r="GO73" s="15"/>
      <c r="GP73" s="15"/>
      <c r="GQ73" s="15"/>
      <c r="GR73" s="15"/>
      <c r="GS73" s="15"/>
      <c r="GT73" s="15"/>
      <c r="GU73" s="15"/>
      <c r="GV73" s="15"/>
      <c r="GW73" s="15"/>
      <c r="GX73" s="15"/>
      <c r="GY73" s="15"/>
      <c r="GZ73" s="15"/>
      <c r="HA73" s="15"/>
      <c r="HB73" s="6"/>
      <c r="HC73" s="6"/>
      <c r="HE73" s="8">
        <v>2</v>
      </c>
      <c r="HF73" s="17"/>
      <c r="HG73" s="18"/>
      <c r="HH73" s="18"/>
      <c r="HI73" s="18"/>
      <c r="HJ73" s="18"/>
      <c r="HK73" s="19"/>
      <c r="HL73" s="20"/>
      <c r="HM73" s="20"/>
      <c r="HN73" s="20"/>
      <c r="HO73" s="20"/>
      <c r="HP73" s="20"/>
      <c r="HQ73" s="20"/>
      <c r="HR73" s="20"/>
      <c r="HS73" s="20"/>
      <c r="HT73" s="20"/>
      <c r="HU73" s="20"/>
      <c r="HV73" s="20"/>
      <c r="HW73" s="20"/>
      <c r="HX73" s="20"/>
      <c r="HY73" s="9"/>
      <c r="HZ73" s="9"/>
    </row>
    <row r="74" customHeight="1" spans="2:234">
      <c r="B74" s="8">
        <v>64</v>
      </c>
      <c r="C74" s="17"/>
      <c r="D74" s="18"/>
      <c r="E74" s="18"/>
      <c r="F74" s="18"/>
      <c r="G74" s="18"/>
      <c r="H74" s="19"/>
      <c r="I74" s="20"/>
      <c r="J74" s="20"/>
      <c r="K74" s="20"/>
      <c r="L74" s="20"/>
      <c r="M74" s="20"/>
      <c r="N74" s="20"/>
      <c r="O74" s="20"/>
      <c r="P74" s="20"/>
      <c r="Q74" s="20"/>
      <c r="R74" s="20"/>
      <c r="S74" s="20"/>
      <c r="T74" s="20"/>
      <c r="U74" s="20"/>
      <c r="V74" s="9"/>
      <c r="W74" s="9"/>
      <c r="Y74" s="5">
        <v>3</v>
      </c>
      <c r="Z74" s="12"/>
      <c r="AA74" s="13"/>
      <c r="AB74" s="13"/>
      <c r="AC74" s="13"/>
      <c r="AD74" s="13"/>
      <c r="AE74" s="14"/>
      <c r="AF74" s="15"/>
      <c r="AG74" s="15"/>
      <c r="AH74" s="15"/>
      <c r="AI74" s="15"/>
      <c r="AJ74" s="15"/>
      <c r="AK74" s="15"/>
      <c r="AL74" s="15"/>
      <c r="AM74" s="15"/>
      <c r="AN74" s="15"/>
      <c r="AO74" s="15"/>
      <c r="AP74" s="15"/>
      <c r="AQ74" s="15"/>
      <c r="AR74" s="15"/>
      <c r="AS74" s="6"/>
      <c r="AT74" s="6"/>
      <c r="AW74" s="8">
        <v>64</v>
      </c>
      <c r="AX74" s="17"/>
      <c r="AY74" s="18"/>
      <c r="AZ74" s="18"/>
      <c r="BA74" s="18"/>
      <c r="BB74" s="18"/>
      <c r="BC74" s="19"/>
      <c r="BD74" s="20"/>
      <c r="BE74" s="20"/>
      <c r="BF74" s="20"/>
      <c r="BG74" s="20"/>
      <c r="BH74" s="20"/>
      <c r="BI74" s="20"/>
      <c r="BJ74" s="20"/>
      <c r="BK74" s="20"/>
      <c r="BL74" s="20"/>
      <c r="BM74" s="20"/>
      <c r="BN74" s="20"/>
      <c r="BO74" s="20"/>
      <c r="BP74" s="20"/>
      <c r="BQ74" s="9"/>
      <c r="BR74" s="9"/>
      <c r="BT74" s="5">
        <v>3</v>
      </c>
      <c r="BU74" s="12"/>
      <c r="BV74" s="13"/>
      <c r="BW74" s="13"/>
      <c r="BX74" s="13"/>
      <c r="BY74" s="13"/>
      <c r="BZ74" s="14"/>
      <c r="CA74" s="15"/>
      <c r="CB74" s="15"/>
      <c r="CC74" s="15"/>
      <c r="CD74" s="15"/>
      <c r="CE74" s="15"/>
      <c r="CF74" s="15"/>
      <c r="CG74" s="15"/>
      <c r="CH74" s="15"/>
      <c r="CI74" s="15"/>
      <c r="CJ74" s="15"/>
      <c r="CK74" s="15"/>
      <c r="CL74" s="15"/>
      <c r="CM74" s="15"/>
      <c r="CN74" s="6"/>
      <c r="CO74" s="6"/>
      <c r="CR74" s="8">
        <v>64</v>
      </c>
      <c r="CS74" s="17"/>
      <c r="CT74" s="18"/>
      <c r="CU74" s="18"/>
      <c r="CV74" s="18"/>
      <c r="CW74" s="18"/>
      <c r="CX74" s="19"/>
      <c r="CY74" s="20"/>
      <c r="CZ74" s="20"/>
      <c r="DA74" s="20"/>
      <c r="DB74" s="20"/>
      <c r="DC74" s="20"/>
      <c r="DD74" s="20"/>
      <c r="DE74" s="20"/>
      <c r="DF74" s="20"/>
      <c r="DG74" s="20"/>
      <c r="DH74" s="20"/>
      <c r="DI74" s="20"/>
      <c r="DJ74" s="20"/>
      <c r="DK74" s="20"/>
      <c r="DL74" s="9"/>
      <c r="DM74" s="9"/>
      <c r="DO74" s="5">
        <v>3</v>
      </c>
      <c r="DP74" s="12"/>
      <c r="DQ74" s="13"/>
      <c r="DR74" s="13"/>
      <c r="DS74" s="13"/>
      <c r="DT74" s="13"/>
      <c r="DU74" s="14"/>
      <c r="DV74" s="15"/>
      <c r="DW74" s="15"/>
      <c r="DX74" s="15"/>
      <c r="DY74" s="15"/>
      <c r="DZ74" s="15"/>
      <c r="EA74" s="15"/>
      <c r="EB74" s="15"/>
      <c r="EC74" s="15"/>
      <c r="ED74" s="15"/>
      <c r="EE74" s="15"/>
      <c r="EF74" s="15"/>
      <c r="EG74" s="15"/>
      <c r="EH74" s="15"/>
      <c r="EI74" s="6"/>
      <c r="EJ74" s="6"/>
      <c r="EM74" s="8">
        <v>64</v>
      </c>
      <c r="EN74" s="17"/>
      <c r="EO74" s="18"/>
      <c r="EP74" s="18"/>
      <c r="EQ74" s="18"/>
      <c r="ER74" s="18"/>
      <c r="ES74" s="19"/>
      <c r="ET74" s="20"/>
      <c r="EU74" s="20"/>
      <c r="EV74" s="20"/>
      <c r="EW74" s="20"/>
      <c r="EX74" s="20"/>
      <c r="EY74" s="20"/>
      <c r="EZ74" s="20"/>
      <c r="FA74" s="20"/>
      <c r="FB74" s="20"/>
      <c r="FC74" s="20"/>
      <c r="FD74" s="20"/>
      <c r="FE74" s="20"/>
      <c r="FF74" s="20"/>
      <c r="FG74" s="9"/>
      <c r="FH74" s="9"/>
      <c r="FJ74" s="5">
        <v>3</v>
      </c>
      <c r="FK74" s="12"/>
      <c r="FL74" s="13"/>
      <c r="FM74" s="13"/>
      <c r="FN74" s="13"/>
      <c r="FO74" s="13"/>
      <c r="FP74" s="14"/>
      <c r="FQ74" s="15"/>
      <c r="FR74" s="15"/>
      <c r="FS74" s="15"/>
      <c r="FT74" s="15"/>
      <c r="FU74" s="15"/>
      <c r="FV74" s="15"/>
      <c r="FW74" s="15"/>
      <c r="FX74" s="15"/>
      <c r="FY74" s="15"/>
      <c r="FZ74" s="15"/>
      <c r="GA74" s="15"/>
      <c r="GB74" s="15"/>
      <c r="GC74" s="15"/>
      <c r="GD74" s="6"/>
      <c r="GE74" s="6"/>
      <c r="GH74" s="8">
        <v>64</v>
      </c>
      <c r="GI74" s="17"/>
      <c r="GJ74" s="18"/>
      <c r="GK74" s="18"/>
      <c r="GL74" s="18"/>
      <c r="GM74" s="18"/>
      <c r="GN74" s="19"/>
      <c r="GO74" s="20"/>
      <c r="GP74" s="20"/>
      <c r="GQ74" s="20"/>
      <c r="GR74" s="20"/>
      <c r="GS74" s="20"/>
      <c r="GT74" s="20"/>
      <c r="GU74" s="20"/>
      <c r="GV74" s="20"/>
      <c r="GW74" s="20"/>
      <c r="GX74" s="20"/>
      <c r="GY74" s="20"/>
      <c r="GZ74" s="20"/>
      <c r="HA74" s="20"/>
      <c r="HB74" s="9"/>
      <c r="HC74" s="9"/>
      <c r="HE74" s="5">
        <v>3</v>
      </c>
      <c r="HF74" s="12"/>
      <c r="HG74" s="13"/>
      <c r="HH74" s="13"/>
      <c r="HI74" s="13"/>
      <c r="HJ74" s="13"/>
      <c r="HK74" s="14"/>
      <c r="HL74" s="15"/>
      <c r="HM74" s="15"/>
      <c r="HN74" s="15"/>
      <c r="HO74" s="15"/>
      <c r="HP74" s="15"/>
      <c r="HQ74" s="15"/>
      <c r="HR74" s="15"/>
      <c r="HS74" s="15"/>
      <c r="HT74" s="15"/>
      <c r="HU74" s="15"/>
      <c r="HV74" s="15"/>
      <c r="HW74" s="15"/>
      <c r="HX74" s="15"/>
      <c r="HY74" s="6"/>
      <c r="HZ74" s="6"/>
    </row>
    <row r="75" customHeight="1" spans="2:234">
      <c r="B75" s="5">
        <v>65</v>
      </c>
      <c r="C75" s="12"/>
      <c r="D75" s="13"/>
      <c r="E75" s="13"/>
      <c r="F75" s="13"/>
      <c r="G75" s="13"/>
      <c r="H75" s="14"/>
      <c r="I75" s="15"/>
      <c r="J75" s="15"/>
      <c r="K75" s="15"/>
      <c r="L75" s="15"/>
      <c r="M75" s="15"/>
      <c r="N75" s="15"/>
      <c r="O75" s="15"/>
      <c r="P75" s="15"/>
      <c r="Q75" s="15"/>
      <c r="R75" s="15"/>
      <c r="S75" s="15"/>
      <c r="T75" s="15"/>
      <c r="U75" s="15"/>
      <c r="V75" s="6"/>
      <c r="W75" s="6"/>
      <c r="Y75" s="8">
        <v>4</v>
      </c>
      <c r="Z75" s="17"/>
      <c r="AA75" s="18"/>
      <c r="AB75" s="18"/>
      <c r="AC75" s="18"/>
      <c r="AD75" s="18"/>
      <c r="AE75" s="19"/>
      <c r="AF75" s="20"/>
      <c r="AG75" s="20"/>
      <c r="AH75" s="20"/>
      <c r="AI75" s="20"/>
      <c r="AJ75" s="20"/>
      <c r="AK75" s="20"/>
      <c r="AL75" s="20"/>
      <c r="AM75" s="20"/>
      <c r="AN75" s="20"/>
      <c r="AO75" s="20"/>
      <c r="AP75" s="20"/>
      <c r="AQ75" s="20"/>
      <c r="AR75" s="20"/>
      <c r="AS75" s="9"/>
      <c r="AT75" s="9"/>
      <c r="AW75" s="5">
        <v>65</v>
      </c>
      <c r="AX75" s="12"/>
      <c r="AY75" s="13"/>
      <c r="AZ75" s="13"/>
      <c r="BA75" s="13"/>
      <c r="BB75" s="13"/>
      <c r="BC75" s="14"/>
      <c r="BD75" s="15"/>
      <c r="BE75" s="15"/>
      <c r="BF75" s="15"/>
      <c r="BG75" s="15"/>
      <c r="BH75" s="15"/>
      <c r="BI75" s="15"/>
      <c r="BJ75" s="15"/>
      <c r="BK75" s="15"/>
      <c r="BL75" s="15"/>
      <c r="BM75" s="15"/>
      <c r="BN75" s="15"/>
      <c r="BO75" s="15"/>
      <c r="BP75" s="15"/>
      <c r="BQ75" s="6"/>
      <c r="BR75" s="6"/>
      <c r="BT75" s="8">
        <v>4</v>
      </c>
      <c r="BU75" s="17"/>
      <c r="BV75" s="18"/>
      <c r="BW75" s="18"/>
      <c r="BX75" s="18"/>
      <c r="BY75" s="18"/>
      <c r="BZ75" s="19"/>
      <c r="CA75" s="20"/>
      <c r="CB75" s="20"/>
      <c r="CC75" s="20"/>
      <c r="CD75" s="20"/>
      <c r="CE75" s="20"/>
      <c r="CF75" s="20"/>
      <c r="CG75" s="20"/>
      <c r="CH75" s="20"/>
      <c r="CI75" s="20"/>
      <c r="CJ75" s="20"/>
      <c r="CK75" s="20"/>
      <c r="CL75" s="20"/>
      <c r="CM75" s="20"/>
      <c r="CN75" s="9"/>
      <c r="CO75" s="9"/>
      <c r="CR75" s="5">
        <v>65</v>
      </c>
      <c r="CS75" s="12"/>
      <c r="CT75" s="13"/>
      <c r="CU75" s="13"/>
      <c r="CV75" s="13"/>
      <c r="CW75" s="13"/>
      <c r="CX75" s="14"/>
      <c r="CY75" s="15"/>
      <c r="CZ75" s="15"/>
      <c r="DA75" s="15"/>
      <c r="DB75" s="15"/>
      <c r="DC75" s="15"/>
      <c r="DD75" s="15"/>
      <c r="DE75" s="15"/>
      <c r="DF75" s="15"/>
      <c r="DG75" s="15"/>
      <c r="DH75" s="15"/>
      <c r="DI75" s="15"/>
      <c r="DJ75" s="15"/>
      <c r="DK75" s="15"/>
      <c r="DL75" s="6"/>
      <c r="DM75" s="6"/>
      <c r="DO75" s="8">
        <v>4</v>
      </c>
      <c r="DP75" s="17"/>
      <c r="DQ75" s="18"/>
      <c r="DR75" s="18"/>
      <c r="DS75" s="18"/>
      <c r="DT75" s="18"/>
      <c r="DU75" s="19"/>
      <c r="DV75" s="20"/>
      <c r="DW75" s="20"/>
      <c r="DX75" s="20"/>
      <c r="DY75" s="20"/>
      <c r="DZ75" s="20"/>
      <c r="EA75" s="20"/>
      <c r="EB75" s="20"/>
      <c r="EC75" s="20"/>
      <c r="ED75" s="20"/>
      <c r="EE75" s="20"/>
      <c r="EF75" s="20"/>
      <c r="EG75" s="20"/>
      <c r="EH75" s="20"/>
      <c r="EI75" s="9"/>
      <c r="EJ75" s="9"/>
      <c r="EM75" s="5">
        <v>65</v>
      </c>
      <c r="EN75" s="12"/>
      <c r="EO75" s="13"/>
      <c r="EP75" s="13"/>
      <c r="EQ75" s="13"/>
      <c r="ER75" s="13"/>
      <c r="ES75" s="14"/>
      <c r="ET75" s="15"/>
      <c r="EU75" s="15"/>
      <c r="EV75" s="15"/>
      <c r="EW75" s="15"/>
      <c r="EX75" s="15"/>
      <c r="EY75" s="15"/>
      <c r="EZ75" s="15"/>
      <c r="FA75" s="15"/>
      <c r="FB75" s="15"/>
      <c r="FC75" s="15"/>
      <c r="FD75" s="15"/>
      <c r="FE75" s="15"/>
      <c r="FF75" s="15"/>
      <c r="FG75" s="6"/>
      <c r="FH75" s="6"/>
      <c r="FJ75" s="8">
        <v>4</v>
      </c>
      <c r="FK75" s="17"/>
      <c r="FL75" s="18"/>
      <c r="FM75" s="18"/>
      <c r="FN75" s="18"/>
      <c r="FO75" s="18"/>
      <c r="FP75" s="19"/>
      <c r="FQ75" s="20"/>
      <c r="FR75" s="20"/>
      <c r="FS75" s="20"/>
      <c r="FT75" s="20"/>
      <c r="FU75" s="20"/>
      <c r="FV75" s="20"/>
      <c r="FW75" s="20"/>
      <c r="FX75" s="20"/>
      <c r="FY75" s="20"/>
      <c r="FZ75" s="20"/>
      <c r="GA75" s="20"/>
      <c r="GB75" s="20"/>
      <c r="GC75" s="20"/>
      <c r="GD75" s="9"/>
      <c r="GE75" s="9"/>
      <c r="GH75" s="5">
        <v>65</v>
      </c>
      <c r="GI75" s="12"/>
      <c r="GJ75" s="13"/>
      <c r="GK75" s="13"/>
      <c r="GL75" s="13"/>
      <c r="GM75" s="13"/>
      <c r="GN75" s="14"/>
      <c r="GO75" s="15"/>
      <c r="GP75" s="15"/>
      <c r="GQ75" s="15"/>
      <c r="GR75" s="15"/>
      <c r="GS75" s="15"/>
      <c r="GT75" s="15"/>
      <c r="GU75" s="15"/>
      <c r="GV75" s="15"/>
      <c r="GW75" s="15"/>
      <c r="GX75" s="15"/>
      <c r="GY75" s="15"/>
      <c r="GZ75" s="15"/>
      <c r="HA75" s="15"/>
      <c r="HB75" s="6"/>
      <c r="HC75" s="6"/>
      <c r="HE75" s="8">
        <v>4</v>
      </c>
      <c r="HF75" s="17"/>
      <c r="HG75" s="18"/>
      <c r="HH75" s="18"/>
      <c r="HI75" s="18"/>
      <c r="HJ75" s="18"/>
      <c r="HK75" s="19"/>
      <c r="HL75" s="20"/>
      <c r="HM75" s="20"/>
      <c r="HN75" s="20"/>
      <c r="HO75" s="20"/>
      <c r="HP75" s="20"/>
      <c r="HQ75" s="20"/>
      <c r="HR75" s="20"/>
      <c r="HS75" s="20"/>
      <c r="HT75" s="20"/>
      <c r="HU75" s="20"/>
      <c r="HV75" s="20"/>
      <c r="HW75" s="20"/>
      <c r="HX75" s="20"/>
      <c r="HY75" s="9"/>
      <c r="HZ75" s="9"/>
    </row>
    <row r="76" customHeight="1" spans="2:234">
      <c r="B76" s="8">
        <v>66</v>
      </c>
      <c r="C76" s="17"/>
      <c r="D76" s="18"/>
      <c r="E76" s="18"/>
      <c r="F76" s="18"/>
      <c r="G76" s="18"/>
      <c r="H76" s="19"/>
      <c r="I76" s="20"/>
      <c r="J76" s="20"/>
      <c r="K76" s="20"/>
      <c r="L76" s="20"/>
      <c r="M76" s="20"/>
      <c r="N76" s="20"/>
      <c r="O76" s="20"/>
      <c r="P76" s="20"/>
      <c r="Q76" s="20"/>
      <c r="R76" s="20"/>
      <c r="S76" s="20"/>
      <c r="T76" s="20"/>
      <c r="U76" s="20"/>
      <c r="V76" s="9"/>
      <c r="W76" s="9"/>
      <c r="Y76" s="5">
        <v>5</v>
      </c>
      <c r="Z76" s="12"/>
      <c r="AA76" s="13"/>
      <c r="AB76" s="13"/>
      <c r="AC76" s="13"/>
      <c r="AD76" s="13"/>
      <c r="AE76" s="14"/>
      <c r="AF76" s="15"/>
      <c r="AG76" s="15"/>
      <c r="AH76" s="15"/>
      <c r="AI76" s="15"/>
      <c r="AJ76" s="15"/>
      <c r="AK76" s="15"/>
      <c r="AL76" s="15"/>
      <c r="AM76" s="15"/>
      <c r="AN76" s="15"/>
      <c r="AO76" s="15"/>
      <c r="AP76" s="15"/>
      <c r="AQ76" s="15"/>
      <c r="AR76" s="15"/>
      <c r="AS76" s="6"/>
      <c r="AT76" s="6"/>
      <c r="AW76" s="8">
        <v>66</v>
      </c>
      <c r="AX76" s="17"/>
      <c r="AY76" s="18"/>
      <c r="AZ76" s="18"/>
      <c r="BA76" s="18"/>
      <c r="BB76" s="18"/>
      <c r="BC76" s="19"/>
      <c r="BD76" s="20"/>
      <c r="BE76" s="20"/>
      <c r="BF76" s="20"/>
      <c r="BG76" s="20"/>
      <c r="BH76" s="20"/>
      <c r="BI76" s="20"/>
      <c r="BJ76" s="20"/>
      <c r="BK76" s="20"/>
      <c r="BL76" s="20"/>
      <c r="BM76" s="20"/>
      <c r="BN76" s="20"/>
      <c r="BO76" s="20"/>
      <c r="BP76" s="20"/>
      <c r="BQ76" s="9"/>
      <c r="BR76" s="9"/>
      <c r="BT76" s="5">
        <v>5</v>
      </c>
      <c r="BU76" s="12"/>
      <c r="BV76" s="13"/>
      <c r="BW76" s="13"/>
      <c r="BX76" s="13"/>
      <c r="BY76" s="13"/>
      <c r="BZ76" s="14"/>
      <c r="CA76" s="15"/>
      <c r="CB76" s="15"/>
      <c r="CC76" s="15"/>
      <c r="CD76" s="15"/>
      <c r="CE76" s="15"/>
      <c r="CF76" s="15"/>
      <c r="CG76" s="15"/>
      <c r="CH76" s="15"/>
      <c r="CI76" s="15"/>
      <c r="CJ76" s="15"/>
      <c r="CK76" s="15"/>
      <c r="CL76" s="15"/>
      <c r="CM76" s="15"/>
      <c r="CN76" s="6"/>
      <c r="CO76" s="6"/>
      <c r="CR76" s="8">
        <v>66</v>
      </c>
      <c r="CS76" s="17"/>
      <c r="CT76" s="18"/>
      <c r="CU76" s="18"/>
      <c r="CV76" s="18"/>
      <c r="CW76" s="18"/>
      <c r="CX76" s="19"/>
      <c r="CY76" s="20"/>
      <c r="CZ76" s="20"/>
      <c r="DA76" s="20"/>
      <c r="DB76" s="20"/>
      <c r="DC76" s="20"/>
      <c r="DD76" s="20"/>
      <c r="DE76" s="20"/>
      <c r="DF76" s="20"/>
      <c r="DG76" s="20"/>
      <c r="DH76" s="20"/>
      <c r="DI76" s="20"/>
      <c r="DJ76" s="20"/>
      <c r="DK76" s="20"/>
      <c r="DL76" s="9"/>
      <c r="DM76" s="9"/>
      <c r="DO76" s="5">
        <v>5</v>
      </c>
      <c r="DP76" s="12"/>
      <c r="DQ76" s="13"/>
      <c r="DR76" s="13"/>
      <c r="DS76" s="13"/>
      <c r="DT76" s="13"/>
      <c r="DU76" s="14"/>
      <c r="DV76" s="15"/>
      <c r="DW76" s="15"/>
      <c r="DX76" s="15"/>
      <c r="DY76" s="15"/>
      <c r="DZ76" s="15"/>
      <c r="EA76" s="15"/>
      <c r="EB76" s="15"/>
      <c r="EC76" s="15"/>
      <c r="ED76" s="15"/>
      <c r="EE76" s="15"/>
      <c r="EF76" s="15"/>
      <c r="EG76" s="15"/>
      <c r="EH76" s="15"/>
      <c r="EI76" s="6"/>
      <c r="EJ76" s="6"/>
      <c r="EM76" s="8">
        <v>66</v>
      </c>
      <c r="EN76" s="17"/>
      <c r="EO76" s="18"/>
      <c r="EP76" s="18"/>
      <c r="EQ76" s="18"/>
      <c r="ER76" s="18"/>
      <c r="ES76" s="19"/>
      <c r="ET76" s="20"/>
      <c r="EU76" s="20"/>
      <c r="EV76" s="20"/>
      <c r="EW76" s="20"/>
      <c r="EX76" s="20"/>
      <c r="EY76" s="20"/>
      <c r="EZ76" s="20"/>
      <c r="FA76" s="20"/>
      <c r="FB76" s="20"/>
      <c r="FC76" s="20"/>
      <c r="FD76" s="20"/>
      <c r="FE76" s="20"/>
      <c r="FF76" s="20"/>
      <c r="FG76" s="9"/>
      <c r="FH76" s="9"/>
      <c r="FJ76" s="5">
        <v>5</v>
      </c>
      <c r="FK76" s="12"/>
      <c r="FL76" s="13"/>
      <c r="FM76" s="13"/>
      <c r="FN76" s="13"/>
      <c r="FO76" s="13"/>
      <c r="FP76" s="14"/>
      <c r="FQ76" s="15"/>
      <c r="FR76" s="15"/>
      <c r="FS76" s="15"/>
      <c r="FT76" s="15"/>
      <c r="FU76" s="15"/>
      <c r="FV76" s="15"/>
      <c r="FW76" s="15"/>
      <c r="FX76" s="15"/>
      <c r="FY76" s="15"/>
      <c r="FZ76" s="15"/>
      <c r="GA76" s="15"/>
      <c r="GB76" s="15"/>
      <c r="GC76" s="15"/>
      <c r="GD76" s="6"/>
      <c r="GE76" s="6"/>
      <c r="GH76" s="8">
        <v>66</v>
      </c>
      <c r="GI76" s="17"/>
      <c r="GJ76" s="18"/>
      <c r="GK76" s="18"/>
      <c r="GL76" s="18"/>
      <c r="GM76" s="18"/>
      <c r="GN76" s="19"/>
      <c r="GO76" s="20"/>
      <c r="GP76" s="20"/>
      <c r="GQ76" s="20"/>
      <c r="GR76" s="20"/>
      <c r="GS76" s="20"/>
      <c r="GT76" s="20"/>
      <c r="GU76" s="20"/>
      <c r="GV76" s="20"/>
      <c r="GW76" s="20"/>
      <c r="GX76" s="20"/>
      <c r="GY76" s="20"/>
      <c r="GZ76" s="20"/>
      <c r="HA76" s="20"/>
      <c r="HB76" s="9"/>
      <c r="HC76" s="9"/>
      <c r="HE76" s="5">
        <v>5</v>
      </c>
      <c r="HF76" s="12"/>
      <c r="HG76" s="13"/>
      <c r="HH76" s="13"/>
      <c r="HI76" s="13"/>
      <c r="HJ76" s="13"/>
      <c r="HK76" s="14"/>
      <c r="HL76" s="15"/>
      <c r="HM76" s="15"/>
      <c r="HN76" s="15"/>
      <c r="HO76" s="15"/>
      <c r="HP76" s="15"/>
      <c r="HQ76" s="15"/>
      <c r="HR76" s="15"/>
      <c r="HS76" s="15"/>
      <c r="HT76" s="15"/>
      <c r="HU76" s="15"/>
      <c r="HV76" s="15"/>
      <c r="HW76" s="15"/>
      <c r="HX76" s="15"/>
      <c r="HY76" s="6"/>
      <c r="HZ76" s="6"/>
    </row>
    <row r="77" customHeight="1" spans="2:234">
      <c r="B77" s="5">
        <v>67</v>
      </c>
      <c r="C77" s="12"/>
      <c r="D77" s="13"/>
      <c r="E77" s="13"/>
      <c r="F77" s="13"/>
      <c r="G77" s="13"/>
      <c r="H77" s="14"/>
      <c r="I77" s="15"/>
      <c r="J77" s="15"/>
      <c r="K77" s="15"/>
      <c r="L77" s="15"/>
      <c r="M77" s="15"/>
      <c r="N77" s="15"/>
      <c r="O77" s="15"/>
      <c r="P77" s="15"/>
      <c r="Q77" s="15"/>
      <c r="R77" s="15"/>
      <c r="S77" s="15"/>
      <c r="T77" s="15"/>
      <c r="U77" s="15"/>
      <c r="V77" s="6"/>
      <c r="W77" s="6"/>
      <c r="Y77" s="8">
        <v>6</v>
      </c>
      <c r="Z77" s="17"/>
      <c r="AA77" s="18"/>
      <c r="AB77" s="18"/>
      <c r="AC77" s="18"/>
      <c r="AD77" s="18"/>
      <c r="AE77" s="19"/>
      <c r="AF77" s="20"/>
      <c r="AG77" s="20"/>
      <c r="AH77" s="20"/>
      <c r="AI77" s="20"/>
      <c r="AJ77" s="20"/>
      <c r="AK77" s="20"/>
      <c r="AL77" s="20"/>
      <c r="AM77" s="20"/>
      <c r="AN77" s="20"/>
      <c r="AO77" s="20"/>
      <c r="AP77" s="20"/>
      <c r="AQ77" s="20"/>
      <c r="AR77" s="20"/>
      <c r="AS77" s="9"/>
      <c r="AT77" s="9"/>
      <c r="AW77" s="5">
        <v>67</v>
      </c>
      <c r="AX77" s="12"/>
      <c r="AY77" s="13"/>
      <c r="AZ77" s="13"/>
      <c r="BA77" s="13"/>
      <c r="BB77" s="13"/>
      <c r="BC77" s="14"/>
      <c r="BD77" s="15"/>
      <c r="BE77" s="15"/>
      <c r="BF77" s="15"/>
      <c r="BG77" s="15"/>
      <c r="BH77" s="15"/>
      <c r="BI77" s="15"/>
      <c r="BJ77" s="15"/>
      <c r="BK77" s="15"/>
      <c r="BL77" s="15"/>
      <c r="BM77" s="15"/>
      <c r="BN77" s="15"/>
      <c r="BO77" s="15"/>
      <c r="BP77" s="15"/>
      <c r="BQ77" s="6"/>
      <c r="BR77" s="6"/>
      <c r="BT77" s="8">
        <v>6</v>
      </c>
      <c r="BU77" s="17"/>
      <c r="BV77" s="18"/>
      <c r="BW77" s="18"/>
      <c r="BX77" s="18"/>
      <c r="BY77" s="18"/>
      <c r="BZ77" s="19"/>
      <c r="CA77" s="20"/>
      <c r="CB77" s="20"/>
      <c r="CC77" s="20"/>
      <c r="CD77" s="20"/>
      <c r="CE77" s="20"/>
      <c r="CF77" s="20"/>
      <c r="CG77" s="20"/>
      <c r="CH77" s="20"/>
      <c r="CI77" s="20"/>
      <c r="CJ77" s="20"/>
      <c r="CK77" s="20"/>
      <c r="CL77" s="20"/>
      <c r="CM77" s="20"/>
      <c r="CN77" s="9"/>
      <c r="CO77" s="9"/>
      <c r="CR77" s="5">
        <v>67</v>
      </c>
      <c r="CS77" s="12"/>
      <c r="CT77" s="13"/>
      <c r="CU77" s="13"/>
      <c r="CV77" s="13"/>
      <c r="CW77" s="13"/>
      <c r="CX77" s="14"/>
      <c r="CY77" s="15"/>
      <c r="CZ77" s="15"/>
      <c r="DA77" s="15"/>
      <c r="DB77" s="15"/>
      <c r="DC77" s="15"/>
      <c r="DD77" s="15"/>
      <c r="DE77" s="15"/>
      <c r="DF77" s="15"/>
      <c r="DG77" s="15"/>
      <c r="DH77" s="15"/>
      <c r="DI77" s="15"/>
      <c r="DJ77" s="15"/>
      <c r="DK77" s="15"/>
      <c r="DL77" s="6"/>
      <c r="DM77" s="6"/>
      <c r="DO77" s="8">
        <v>6</v>
      </c>
      <c r="DP77" s="17"/>
      <c r="DQ77" s="18"/>
      <c r="DR77" s="18"/>
      <c r="DS77" s="18"/>
      <c r="DT77" s="18"/>
      <c r="DU77" s="19"/>
      <c r="DV77" s="20"/>
      <c r="DW77" s="20"/>
      <c r="DX77" s="20"/>
      <c r="DY77" s="20"/>
      <c r="DZ77" s="20"/>
      <c r="EA77" s="20"/>
      <c r="EB77" s="20"/>
      <c r="EC77" s="20"/>
      <c r="ED77" s="20"/>
      <c r="EE77" s="20"/>
      <c r="EF77" s="20"/>
      <c r="EG77" s="20"/>
      <c r="EH77" s="20"/>
      <c r="EI77" s="9"/>
      <c r="EJ77" s="9"/>
      <c r="EM77" s="5">
        <v>67</v>
      </c>
      <c r="EN77" s="12"/>
      <c r="EO77" s="13"/>
      <c r="EP77" s="13"/>
      <c r="EQ77" s="13"/>
      <c r="ER77" s="13"/>
      <c r="ES77" s="14"/>
      <c r="ET77" s="15"/>
      <c r="EU77" s="15"/>
      <c r="EV77" s="15"/>
      <c r="EW77" s="15"/>
      <c r="EX77" s="15"/>
      <c r="EY77" s="15"/>
      <c r="EZ77" s="15"/>
      <c r="FA77" s="15"/>
      <c r="FB77" s="15"/>
      <c r="FC77" s="15"/>
      <c r="FD77" s="15"/>
      <c r="FE77" s="15"/>
      <c r="FF77" s="15"/>
      <c r="FG77" s="6"/>
      <c r="FH77" s="6"/>
      <c r="FJ77" s="8">
        <v>6</v>
      </c>
      <c r="FK77" s="17"/>
      <c r="FL77" s="18"/>
      <c r="FM77" s="18"/>
      <c r="FN77" s="18"/>
      <c r="FO77" s="18"/>
      <c r="FP77" s="19"/>
      <c r="FQ77" s="20"/>
      <c r="FR77" s="20"/>
      <c r="FS77" s="20"/>
      <c r="FT77" s="20"/>
      <c r="FU77" s="20"/>
      <c r="FV77" s="20"/>
      <c r="FW77" s="20"/>
      <c r="FX77" s="20"/>
      <c r="FY77" s="20"/>
      <c r="FZ77" s="20"/>
      <c r="GA77" s="20"/>
      <c r="GB77" s="20"/>
      <c r="GC77" s="20"/>
      <c r="GD77" s="9"/>
      <c r="GE77" s="9"/>
      <c r="GH77" s="5">
        <v>67</v>
      </c>
      <c r="GI77" s="12"/>
      <c r="GJ77" s="13"/>
      <c r="GK77" s="13"/>
      <c r="GL77" s="13"/>
      <c r="GM77" s="13"/>
      <c r="GN77" s="14"/>
      <c r="GO77" s="15"/>
      <c r="GP77" s="15"/>
      <c r="GQ77" s="15"/>
      <c r="GR77" s="15"/>
      <c r="GS77" s="15"/>
      <c r="GT77" s="15"/>
      <c r="GU77" s="15"/>
      <c r="GV77" s="15"/>
      <c r="GW77" s="15"/>
      <c r="GX77" s="15"/>
      <c r="GY77" s="15"/>
      <c r="GZ77" s="15"/>
      <c r="HA77" s="15"/>
      <c r="HB77" s="6"/>
      <c r="HC77" s="6"/>
      <c r="HE77" s="8">
        <v>6</v>
      </c>
      <c r="HF77" s="17"/>
      <c r="HG77" s="18"/>
      <c r="HH77" s="18"/>
      <c r="HI77" s="18"/>
      <c r="HJ77" s="18"/>
      <c r="HK77" s="19"/>
      <c r="HL77" s="20"/>
      <c r="HM77" s="20"/>
      <c r="HN77" s="20"/>
      <c r="HO77" s="20"/>
      <c r="HP77" s="20"/>
      <c r="HQ77" s="20"/>
      <c r="HR77" s="20"/>
      <c r="HS77" s="20"/>
      <c r="HT77" s="20"/>
      <c r="HU77" s="20"/>
      <c r="HV77" s="20"/>
      <c r="HW77" s="20"/>
      <c r="HX77" s="20"/>
      <c r="HY77" s="9"/>
      <c r="HZ77" s="9"/>
    </row>
    <row r="78" customHeight="1" spans="2:234">
      <c r="B78" s="8">
        <v>68</v>
      </c>
      <c r="C78" s="17"/>
      <c r="D78" s="18"/>
      <c r="E78" s="18"/>
      <c r="F78" s="18"/>
      <c r="G78" s="18"/>
      <c r="H78" s="19"/>
      <c r="I78" s="20"/>
      <c r="J78" s="20"/>
      <c r="K78" s="20"/>
      <c r="L78" s="20"/>
      <c r="M78" s="20"/>
      <c r="N78" s="20"/>
      <c r="O78" s="20"/>
      <c r="P78" s="20"/>
      <c r="Q78" s="20"/>
      <c r="R78" s="20"/>
      <c r="S78" s="20"/>
      <c r="T78" s="20"/>
      <c r="U78" s="20"/>
      <c r="V78" s="9"/>
      <c r="W78" s="9"/>
      <c r="Y78" s="5">
        <v>7</v>
      </c>
      <c r="Z78" s="12"/>
      <c r="AA78" s="13"/>
      <c r="AB78" s="13"/>
      <c r="AC78" s="13"/>
      <c r="AD78" s="13"/>
      <c r="AE78" s="14"/>
      <c r="AF78" s="15"/>
      <c r="AG78" s="15"/>
      <c r="AH78" s="15"/>
      <c r="AI78" s="15"/>
      <c r="AJ78" s="15"/>
      <c r="AK78" s="15"/>
      <c r="AL78" s="15"/>
      <c r="AM78" s="15"/>
      <c r="AN78" s="15"/>
      <c r="AO78" s="15"/>
      <c r="AP78" s="15"/>
      <c r="AQ78" s="15"/>
      <c r="AR78" s="15"/>
      <c r="AS78" s="6"/>
      <c r="AT78" s="6"/>
      <c r="AW78" s="8">
        <v>68</v>
      </c>
      <c r="AX78" s="17"/>
      <c r="AY78" s="18"/>
      <c r="AZ78" s="18"/>
      <c r="BA78" s="18"/>
      <c r="BB78" s="18"/>
      <c r="BC78" s="19"/>
      <c r="BD78" s="20"/>
      <c r="BE78" s="20"/>
      <c r="BF78" s="20"/>
      <c r="BG78" s="20"/>
      <c r="BH78" s="20"/>
      <c r="BI78" s="20"/>
      <c r="BJ78" s="20"/>
      <c r="BK78" s="20"/>
      <c r="BL78" s="20"/>
      <c r="BM78" s="20"/>
      <c r="BN78" s="20"/>
      <c r="BO78" s="20"/>
      <c r="BP78" s="20"/>
      <c r="BQ78" s="9"/>
      <c r="BR78" s="9"/>
      <c r="BT78" s="5">
        <v>7</v>
      </c>
      <c r="BU78" s="12"/>
      <c r="BV78" s="13"/>
      <c r="BW78" s="13"/>
      <c r="BX78" s="13"/>
      <c r="BY78" s="13"/>
      <c r="BZ78" s="14"/>
      <c r="CA78" s="15"/>
      <c r="CB78" s="15"/>
      <c r="CC78" s="15"/>
      <c r="CD78" s="15"/>
      <c r="CE78" s="15"/>
      <c r="CF78" s="15"/>
      <c r="CG78" s="15"/>
      <c r="CH78" s="15"/>
      <c r="CI78" s="15"/>
      <c r="CJ78" s="15"/>
      <c r="CK78" s="15"/>
      <c r="CL78" s="15"/>
      <c r="CM78" s="15"/>
      <c r="CN78" s="6"/>
      <c r="CO78" s="6"/>
      <c r="CR78" s="8">
        <v>68</v>
      </c>
      <c r="CS78" s="17"/>
      <c r="CT78" s="18"/>
      <c r="CU78" s="18"/>
      <c r="CV78" s="18"/>
      <c r="CW78" s="18"/>
      <c r="CX78" s="19"/>
      <c r="CY78" s="20"/>
      <c r="CZ78" s="20"/>
      <c r="DA78" s="20"/>
      <c r="DB78" s="20"/>
      <c r="DC78" s="20"/>
      <c r="DD78" s="20"/>
      <c r="DE78" s="20"/>
      <c r="DF78" s="20"/>
      <c r="DG78" s="20"/>
      <c r="DH78" s="20"/>
      <c r="DI78" s="20"/>
      <c r="DJ78" s="20"/>
      <c r="DK78" s="20"/>
      <c r="DL78" s="9"/>
      <c r="DM78" s="9"/>
      <c r="DO78" s="5">
        <v>7</v>
      </c>
      <c r="DP78" s="12"/>
      <c r="DQ78" s="13"/>
      <c r="DR78" s="13"/>
      <c r="DS78" s="13"/>
      <c r="DT78" s="13"/>
      <c r="DU78" s="14"/>
      <c r="DV78" s="15"/>
      <c r="DW78" s="15"/>
      <c r="DX78" s="15"/>
      <c r="DY78" s="15"/>
      <c r="DZ78" s="15"/>
      <c r="EA78" s="15"/>
      <c r="EB78" s="15"/>
      <c r="EC78" s="15"/>
      <c r="ED78" s="15"/>
      <c r="EE78" s="15"/>
      <c r="EF78" s="15"/>
      <c r="EG78" s="15"/>
      <c r="EH78" s="15"/>
      <c r="EI78" s="6"/>
      <c r="EJ78" s="6"/>
      <c r="EM78" s="8">
        <v>68</v>
      </c>
      <c r="EN78" s="17"/>
      <c r="EO78" s="18"/>
      <c r="EP78" s="18"/>
      <c r="EQ78" s="18"/>
      <c r="ER78" s="18"/>
      <c r="ES78" s="19"/>
      <c r="ET78" s="20"/>
      <c r="EU78" s="20"/>
      <c r="EV78" s="20"/>
      <c r="EW78" s="20"/>
      <c r="EX78" s="20"/>
      <c r="EY78" s="20"/>
      <c r="EZ78" s="20"/>
      <c r="FA78" s="20"/>
      <c r="FB78" s="20"/>
      <c r="FC78" s="20"/>
      <c r="FD78" s="20"/>
      <c r="FE78" s="20"/>
      <c r="FF78" s="20"/>
      <c r="FG78" s="9"/>
      <c r="FH78" s="9"/>
      <c r="FJ78" s="5">
        <v>7</v>
      </c>
      <c r="FK78" s="12"/>
      <c r="FL78" s="13"/>
      <c r="FM78" s="13"/>
      <c r="FN78" s="13"/>
      <c r="FO78" s="13"/>
      <c r="FP78" s="14"/>
      <c r="FQ78" s="15"/>
      <c r="FR78" s="15"/>
      <c r="FS78" s="15"/>
      <c r="FT78" s="15"/>
      <c r="FU78" s="15"/>
      <c r="FV78" s="15"/>
      <c r="FW78" s="15"/>
      <c r="FX78" s="15"/>
      <c r="FY78" s="15"/>
      <c r="FZ78" s="15"/>
      <c r="GA78" s="15"/>
      <c r="GB78" s="15"/>
      <c r="GC78" s="15"/>
      <c r="GD78" s="6"/>
      <c r="GE78" s="6"/>
      <c r="GH78" s="8">
        <v>68</v>
      </c>
      <c r="GI78" s="17"/>
      <c r="GJ78" s="18"/>
      <c r="GK78" s="18"/>
      <c r="GL78" s="18"/>
      <c r="GM78" s="18"/>
      <c r="GN78" s="19"/>
      <c r="GO78" s="20"/>
      <c r="GP78" s="20"/>
      <c r="GQ78" s="20"/>
      <c r="GR78" s="20"/>
      <c r="GS78" s="20"/>
      <c r="GT78" s="20"/>
      <c r="GU78" s="20"/>
      <c r="GV78" s="20"/>
      <c r="GW78" s="20"/>
      <c r="GX78" s="20"/>
      <c r="GY78" s="20"/>
      <c r="GZ78" s="20"/>
      <c r="HA78" s="20"/>
      <c r="HB78" s="9"/>
      <c r="HC78" s="9"/>
      <c r="HE78" s="5">
        <v>7</v>
      </c>
      <c r="HF78" s="12"/>
      <c r="HG78" s="13"/>
      <c r="HH78" s="13"/>
      <c r="HI78" s="13"/>
      <c r="HJ78" s="13"/>
      <c r="HK78" s="14"/>
      <c r="HL78" s="15"/>
      <c r="HM78" s="15"/>
      <c r="HN78" s="15"/>
      <c r="HO78" s="15"/>
      <c r="HP78" s="15"/>
      <c r="HQ78" s="15"/>
      <c r="HR78" s="15"/>
      <c r="HS78" s="15"/>
      <c r="HT78" s="15"/>
      <c r="HU78" s="15"/>
      <c r="HV78" s="15"/>
      <c r="HW78" s="15"/>
      <c r="HX78" s="15"/>
      <c r="HY78" s="6"/>
      <c r="HZ78" s="6"/>
    </row>
    <row r="79" customHeight="1" spans="2:234">
      <c r="B79" s="5">
        <v>69</v>
      </c>
      <c r="C79" s="12"/>
      <c r="D79" s="13"/>
      <c r="E79" s="13"/>
      <c r="F79" s="13"/>
      <c r="G79" s="13"/>
      <c r="H79" s="14"/>
      <c r="I79" s="15"/>
      <c r="J79" s="15"/>
      <c r="K79" s="15"/>
      <c r="L79" s="15"/>
      <c r="M79" s="15"/>
      <c r="N79" s="15"/>
      <c r="O79" s="15"/>
      <c r="P79" s="15"/>
      <c r="Q79" s="15"/>
      <c r="R79" s="15"/>
      <c r="S79" s="15"/>
      <c r="T79" s="15"/>
      <c r="U79" s="15"/>
      <c r="V79" s="6"/>
      <c r="W79" s="6"/>
      <c r="Y79" s="8">
        <v>8</v>
      </c>
      <c r="Z79" s="17"/>
      <c r="AA79" s="18"/>
      <c r="AB79" s="18"/>
      <c r="AC79" s="18"/>
      <c r="AD79" s="18"/>
      <c r="AE79" s="19"/>
      <c r="AF79" s="20"/>
      <c r="AG79" s="20"/>
      <c r="AH79" s="20"/>
      <c r="AI79" s="20"/>
      <c r="AJ79" s="20"/>
      <c r="AK79" s="20"/>
      <c r="AL79" s="20"/>
      <c r="AM79" s="20"/>
      <c r="AN79" s="20"/>
      <c r="AO79" s="20"/>
      <c r="AP79" s="20"/>
      <c r="AQ79" s="20"/>
      <c r="AR79" s="20"/>
      <c r="AS79" s="9"/>
      <c r="AT79" s="9"/>
      <c r="AW79" s="5">
        <v>69</v>
      </c>
      <c r="AX79" s="12"/>
      <c r="AY79" s="13"/>
      <c r="AZ79" s="13"/>
      <c r="BA79" s="13"/>
      <c r="BB79" s="13"/>
      <c r="BC79" s="14"/>
      <c r="BD79" s="15"/>
      <c r="BE79" s="15"/>
      <c r="BF79" s="15"/>
      <c r="BG79" s="15"/>
      <c r="BH79" s="15"/>
      <c r="BI79" s="15"/>
      <c r="BJ79" s="15"/>
      <c r="BK79" s="15"/>
      <c r="BL79" s="15"/>
      <c r="BM79" s="15"/>
      <c r="BN79" s="15"/>
      <c r="BO79" s="15"/>
      <c r="BP79" s="15"/>
      <c r="BQ79" s="6"/>
      <c r="BR79" s="6"/>
      <c r="BT79" s="8">
        <v>8</v>
      </c>
      <c r="BU79" s="17"/>
      <c r="BV79" s="18"/>
      <c r="BW79" s="18"/>
      <c r="BX79" s="18"/>
      <c r="BY79" s="18"/>
      <c r="BZ79" s="19"/>
      <c r="CA79" s="20"/>
      <c r="CB79" s="20"/>
      <c r="CC79" s="20"/>
      <c r="CD79" s="20"/>
      <c r="CE79" s="20"/>
      <c r="CF79" s="20"/>
      <c r="CG79" s="20"/>
      <c r="CH79" s="20"/>
      <c r="CI79" s="20"/>
      <c r="CJ79" s="20"/>
      <c r="CK79" s="20"/>
      <c r="CL79" s="20"/>
      <c r="CM79" s="20"/>
      <c r="CN79" s="9"/>
      <c r="CO79" s="9"/>
      <c r="CR79" s="5">
        <v>69</v>
      </c>
      <c r="CS79" s="12"/>
      <c r="CT79" s="13"/>
      <c r="CU79" s="13"/>
      <c r="CV79" s="13"/>
      <c r="CW79" s="13"/>
      <c r="CX79" s="14"/>
      <c r="CY79" s="15"/>
      <c r="CZ79" s="15"/>
      <c r="DA79" s="15"/>
      <c r="DB79" s="15"/>
      <c r="DC79" s="15"/>
      <c r="DD79" s="15"/>
      <c r="DE79" s="15"/>
      <c r="DF79" s="15"/>
      <c r="DG79" s="15"/>
      <c r="DH79" s="15"/>
      <c r="DI79" s="15"/>
      <c r="DJ79" s="15"/>
      <c r="DK79" s="15"/>
      <c r="DL79" s="6"/>
      <c r="DM79" s="6"/>
      <c r="DO79" s="8">
        <v>8</v>
      </c>
      <c r="DP79" s="17"/>
      <c r="DQ79" s="18"/>
      <c r="DR79" s="18"/>
      <c r="DS79" s="18"/>
      <c r="DT79" s="18"/>
      <c r="DU79" s="19"/>
      <c r="DV79" s="20"/>
      <c r="DW79" s="20"/>
      <c r="DX79" s="20"/>
      <c r="DY79" s="20"/>
      <c r="DZ79" s="20"/>
      <c r="EA79" s="20"/>
      <c r="EB79" s="20"/>
      <c r="EC79" s="20"/>
      <c r="ED79" s="20"/>
      <c r="EE79" s="20"/>
      <c r="EF79" s="20"/>
      <c r="EG79" s="20"/>
      <c r="EH79" s="20"/>
      <c r="EI79" s="9"/>
      <c r="EJ79" s="9"/>
      <c r="EM79" s="5">
        <v>69</v>
      </c>
      <c r="EN79" s="12"/>
      <c r="EO79" s="13"/>
      <c r="EP79" s="13"/>
      <c r="EQ79" s="13"/>
      <c r="ER79" s="13"/>
      <c r="ES79" s="14"/>
      <c r="ET79" s="15"/>
      <c r="EU79" s="15"/>
      <c r="EV79" s="15"/>
      <c r="EW79" s="15"/>
      <c r="EX79" s="15"/>
      <c r="EY79" s="15"/>
      <c r="EZ79" s="15"/>
      <c r="FA79" s="15"/>
      <c r="FB79" s="15"/>
      <c r="FC79" s="15"/>
      <c r="FD79" s="15"/>
      <c r="FE79" s="15"/>
      <c r="FF79" s="15"/>
      <c r="FG79" s="6"/>
      <c r="FH79" s="6"/>
      <c r="FJ79" s="8">
        <v>8</v>
      </c>
      <c r="FK79" s="17"/>
      <c r="FL79" s="18"/>
      <c r="FM79" s="18"/>
      <c r="FN79" s="18"/>
      <c r="FO79" s="18"/>
      <c r="FP79" s="19"/>
      <c r="FQ79" s="20"/>
      <c r="FR79" s="20"/>
      <c r="FS79" s="20"/>
      <c r="FT79" s="20"/>
      <c r="FU79" s="20"/>
      <c r="FV79" s="20"/>
      <c r="FW79" s="20"/>
      <c r="FX79" s="20"/>
      <c r="FY79" s="20"/>
      <c r="FZ79" s="20"/>
      <c r="GA79" s="20"/>
      <c r="GB79" s="20"/>
      <c r="GC79" s="20"/>
      <c r="GD79" s="9"/>
      <c r="GE79" s="9"/>
      <c r="GH79" s="5">
        <v>69</v>
      </c>
      <c r="GI79" s="12"/>
      <c r="GJ79" s="13"/>
      <c r="GK79" s="13"/>
      <c r="GL79" s="13"/>
      <c r="GM79" s="13"/>
      <c r="GN79" s="14"/>
      <c r="GO79" s="15"/>
      <c r="GP79" s="15"/>
      <c r="GQ79" s="15"/>
      <c r="GR79" s="15"/>
      <c r="GS79" s="15"/>
      <c r="GT79" s="15"/>
      <c r="GU79" s="15"/>
      <c r="GV79" s="15"/>
      <c r="GW79" s="15"/>
      <c r="GX79" s="15"/>
      <c r="GY79" s="15"/>
      <c r="GZ79" s="15"/>
      <c r="HA79" s="15"/>
      <c r="HB79" s="6"/>
      <c r="HC79" s="6"/>
      <c r="HE79" s="8">
        <v>8</v>
      </c>
      <c r="HF79" s="17"/>
      <c r="HG79" s="18"/>
      <c r="HH79" s="18"/>
      <c r="HI79" s="18"/>
      <c r="HJ79" s="18"/>
      <c r="HK79" s="19"/>
      <c r="HL79" s="20"/>
      <c r="HM79" s="20"/>
      <c r="HN79" s="20"/>
      <c r="HO79" s="20"/>
      <c r="HP79" s="20"/>
      <c r="HQ79" s="20"/>
      <c r="HR79" s="20"/>
      <c r="HS79" s="20"/>
      <c r="HT79" s="20"/>
      <c r="HU79" s="20"/>
      <c r="HV79" s="20"/>
      <c r="HW79" s="20"/>
      <c r="HX79" s="20"/>
      <c r="HY79" s="9"/>
      <c r="HZ79" s="9"/>
    </row>
    <row r="80" customHeight="1" spans="2:234">
      <c r="B80" s="8">
        <v>70</v>
      </c>
      <c r="C80" s="17"/>
      <c r="D80" s="18"/>
      <c r="E80" s="18"/>
      <c r="F80" s="18"/>
      <c r="G80" s="18"/>
      <c r="H80" s="19"/>
      <c r="I80" s="20"/>
      <c r="J80" s="20"/>
      <c r="K80" s="20"/>
      <c r="L80" s="20"/>
      <c r="M80" s="20"/>
      <c r="N80" s="20"/>
      <c r="O80" s="20"/>
      <c r="P80" s="20"/>
      <c r="Q80" s="20"/>
      <c r="R80" s="20"/>
      <c r="S80" s="20"/>
      <c r="T80" s="20"/>
      <c r="U80" s="20"/>
      <c r="V80" s="9"/>
      <c r="W80" s="9"/>
      <c r="Y80" s="5">
        <v>9</v>
      </c>
      <c r="Z80" s="12"/>
      <c r="AA80" s="13"/>
      <c r="AB80" s="13"/>
      <c r="AC80" s="13"/>
      <c r="AD80" s="13"/>
      <c r="AE80" s="14"/>
      <c r="AF80" s="15"/>
      <c r="AG80" s="15"/>
      <c r="AH80" s="15"/>
      <c r="AI80" s="15"/>
      <c r="AJ80" s="15"/>
      <c r="AK80" s="15"/>
      <c r="AL80" s="15"/>
      <c r="AM80" s="15"/>
      <c r="AN80" s="15"/>
      <c r="AO80" s="15"/>
      <c r="AP80" s="15"/>
      <c r="AQ80" s="15"/>
      <c r="AR80" s="15"/>
      <c r="AS80" s="6"/>
      <c r="AT80" s="6"/>
      <c r="AW80" s="8">
        <v>70</v>
      </c>
      <c r="AX80" s="17"/>
      <c r="AY80" s="18"/>
      <c r="AZ80" s="18"/>
      <c r="BA80" s="18"/>
      <c r="BB80" s="18"/>
      <c r="BC80" s="19"/>
      <c r="BD80" s="20"/>
      <c r="BE80" s="20"/>
      <c r="BF80" s="20"/>
      <c r="BG80" s="20"/>
      <c r="BH80" s="20"/>
      <c r="BI80" s="20"/>
      <c r="BJ80" s="20"/>
      <c r="BK80" s="20"/>
      <c r="BL80" s="20"/>
      <c r="BM80" s="20"/>
      <c r="BN80" s="20"/>
      <c r="BO80" s="20"/>
      <c r="BP80" s="20"/>
      <c r="BQ80" s="9"/>
      <c r="BR80" s="9"/>
      <c r="BT80" s="5">
        <v>9</v>
      </c>
      <c r="BU80" s="12"/>
      <c r="BV80" s="13"/>
      <c r="BW80" s="13"/>
      <c r="BX80" s="13"/>
      <c r="BY80" s="13"/>
      <c r="BZ80" s="14"/>
      <c r="CA80" s="15"/>
      <c r="CB80" s="15"/>
      <c r="CC80" s="15"/>
      <c r="CD80" s="15"/>
      <c r="CE80" s="15"/>
      <c r="CF80" s="15"/>
      <c r="CG80" s="15"/>
      <c r="CH80" s="15"/>
      <c r="CI80" s="15"/>
      <c r="CJ80" s="15"/>
      <c r="CK80" s="15"/>
      <c r="CL80" s="15"/>
      <c r="CM80" s="15"/>
      <c r="CN80" s="6"/>
      <c r="CO80" s="6"/>
      <c r="CR80" s="8">
        <v>70</v>
      </c>
      <c r="CS80" s="17"/>
      <c r="CT80" s="18"/>
      <c r="CU80" s="18"/>
      <c r="CV80" s="18"/>
      <c r="CW80" s="18"/>
      <c r="CX80" s="19"/>
      <c r="CY80" s="20"/>
      <c r="CZ80" s="20"/>
      <c r="DA80" s="20"/>
      <c r="DB80" s="20"/>
      <c r="DC80" s="20"/>
      <c r="DD80" s="20"/>
      <c r="DE80" s="20"/>
      <c r="DF80" s="20"/>
      <c r="DG80" s="20"/>
      <c r="DH80" s="20"/>
      <c r="DI80" s="20"/>
      <c r="DJ80" s="20"/>
      <c r="DK80" s="20"/>
      <c r="DL80" s="9"/>
      <c r="DM80" s="9"/>
      <c r="DO80" s="5">
        <v>9</v>
      </c>
      <c r="DP80" s="12"/>
      <c r="DQ80" s="13"/>
      <c r="DR80" s="13"/>
      <c r="DS80" s="13"/>
      <c r="DT80" s="13"/>
      <c r="DU80" s="14"/>
      <c r="DV80" s="15"/>
      <c r="DW80" s="15"/>
      <c r="DX80" s="15"/>
      <c r="DY80" s="15"/>
      <c r="DZ80" s="15"/>
      <c r="EA80" s="15"/>
      <c r="EB80" s="15"/>
      <c r="EC80" s="15"/>
      <c r="ED80" s="15"/>
      <c r="EE80" s="15"/>
      <c r="EF80" s="15"/>
      <c r="EG80" s="15"/>
      <c r="EH80" s="15"/>
      <c r="EI80" s="6"/>
      <c r="EJ80" s="6"/>
      <c r="EM80" s="8">
        <v>70</v>
      </c>
      <c r="EN80" s="17"/>
      <c r="EO80" s="18"/>
      <c r="EP80" s="18"/>
      <c r="EQ80" s="18"/>
      <c r="ER80" s="18"/>
      <c r="ES80" s="19"/>
      <c r="ET80" s="20"/>
      <c r="EU80" s="20"/>
      <c r="EV80" s="20"/>
      <c r="EW80" s="20"/>
      <c r="EX80" s="20"/>
      <c r="EY80" s="20"/>
      <c r="EZ80" s="20"/>
      <c r="FA80" s="20"/>
      <c r="FB80" s="20"/>
      <c r="FC80" s="20"/>
      <c r="FD80" s="20"/>
      <c r="FE80" s="20"/>
      <c r="FF80" s="20"/>
      <c r="FG80" s="9"/>
      <c r="FH80" s="9"/>
      <c r="FJ80" s="5">
        <v>9</v>
      </c>
      <c r="FK80" s="12"/>
      <c r="FL80" s="13"/>
      <c r="FM80" s="13"/>
      <c r="FN80" s="13"/>
      <c r="FO80" s="13"/>
      <c r="FP80" s="14"/>
      <c r="FQ80" s="15"/>
      <c r="FR80" s="15"/>
      <c r="FS80" s="15"/>
      <c r="FT80" s="15"/>
      <c r="FU80" s="15"/>
      <c r="FV80" s="15"/>
      <c r="FW80" s="15"/>
      <c r="FX80" s="15"/>
      <c r="FY80" s="15"/>
      <c r="FZ80" s="15"/>
      <c r="GA80" s="15"/>
      <c r="GB80" s="15"/>
      <c r="GC80" s="15"/>
      <c r="GD80" s="6"/>
      <c r="GE80" s="6"/>
      <c r="GH80" s="8">
        <v>70</v>
      </c>
      <c r="GI80" s="17"/>
      <c r="GJ80" s="18"/>
      <c r="GK80" s="18"/>
      <c r="GL80" s="18"/>
      <c r="GM80" s="18"/>
      <c r="GN80" s="19"/>
      <c r="GO80" s="20"/>
      <c r="GP80" s="20"/>
      <c r="GQ80" s="20"/>
      <c r="GR80" s="20"/>
      <c r="GS80" s="20"/>
      <c r="GT80" s="20"/>
      <c r="GU80" s="20"/>
      <c r="GV80" s="20"/>
      <c r="GW80" s="20"/>
      <c r="GX80" s="20"/>
      <c r="GY80" s="20"/>
      <c r="GZ80" s="20"/>
      <c r="HA80" s="20"/>
      <c r="HB80" s="9"/>
      <c r="HC80" s="9"/>
      <c r="HE80" s="5">
        <v>9</v>
      </c>
      <c r="HF80" s="12"/>
      <c r="HG80" s="13"/>
      <c r="HH80" s="13"/>
      <c r="HI80" s="13"/>
      <c r="HJ80" s="13"/>
      <c r="HK80" s="14"/>
      <c r="HL80" s="15"/>
      <c r="HM80" s="15"/>
      <c r="HN80" s="15"/>
      <c r="HO80" s="15"/>
      <c r="HP80" s="15"/>
      <c r="HQ80" s="15"/>
      <c r="HR80" s="15"/>
      <c r="HS80" s="15"/>
      <c r="HT80" s="15"/>
      <c r="HU80" s="15"/>
      <c r="HV80" s="15"/>
      <c r="HW80" s="15"/>
      <c r="HX80" s="15"/>
      <c r="HY80" s="6"/>
      <c r="HZ80" s="6"/>
    </row>
    <row r="81" customHeight="1" spans="2:234">
      <c r="B81" s="5">
        <v>71</v>
      </c>
      <c r="C81" s="12"/>
      <c r="D81" s="13"/>
      <c r="E81" s="13"/>
      <c r="F81" s="13"/>
      <c r="G81" s="13"/>
      <c r="H81" s="14"/>
      <c r="I81" s="15"/>
      <c r="J81" s="15"/>
      <c r="K81" s="15"/>
      <c r="L81" s="15"/>
      <c r="M81" s="15"/>
      <c r="N81" s="15"/>
      <c r="O81" s="15"/>
      <c r="P81" s="15"/>
      <c r="Q81" s="15"/>
      <c r="R81" s="15"/>
      <c r="S81" s="15"/>
      <c r="T81" s="15"/>
      <c r="U81" s="15"/>
      <c r="V81" s="6"/>
      <c r="W81" s="6"/>
      <c r="Y81" s="8">
        <v>10</v>
      </c>
      <c r="Z81" s="17"/>
      <c r="AA81" s="18"/>
      <c r="AB81" s="18"/>
      <c r="AC81" s="18"/>
      <c r="AD81" s="18"/>
      <c r="AE81" s="19"/>
      <c r="AF81" s="20"/>
      <c r="AG81" s="20"/>
      <c r="AH81" s="20"/>
      <c r="AI81" s="20"/>
      <c r="AJ81" s="20"/>
      <c r="AK81" s="20"/>
      <c r="AL81" s="20"/>
      <c r="AM81" s="20"/>
      <c r="AN81" s="20"/>
      <c r="AO81" s="20"/>
      <c r="AP81" s="20"/>
      <c r="AQ81" s="20"/>
      <c r="AR81" s="20"/>
      <c r="AS81" s="9"/>
      <c r="AT81" s="9"/>
      <c r="AW81" s="5">
        <v>71</v>
      </c>
      <c r="AX81" s="12"/>
      <c r="AY81" s="13"/>
      <c r="AZ81" s="13"/>
      <c r="BA81" s="13"/>
      <c r="BB81" s="13"/>
      <c r="BC81" s="14"/>
      <c r="BD81" s="15"/>
      <c r="BE81" s="15"/>
      <c r="BF81" s="15"/>
      <c r="BG81" s="15"/>
      <c r="BH81" s="15"/>
      <c r="BI81" s="15"/>
      <c r="BJ81" s="15"/>
      <c r="BK81" s="15"/>
      <c r="BL81" s="15"/>
      <c r="BM81" s="15"/>
      <c r="BN81" s="15"/>
      <c r="BO81" s="15"/>
      <c r="BP81" s="15"/>
      <c r="BQ81" s="6"/>
      <c r="BR81" s="6"/>
      <c r="BT81" s="8">
        <v>10</v>
      </c>
      <c r="BU81" s="17"/>
      <c r="BV81" s="18"/>
      <c r="BW81" s="18"/>
      <c r="BX81" s="18"/>
      <c r="BY81" s="18"/>
      <c r="BZ81" s="19"/>
      <c r="CA81" s="20"/>
      <c r="CB81" s="20"/>
      <c r="CC81" s="20"/>
      <c r="CD81" s="20"/>
      <c r="CE81" s="20"/>
      <c r="CF81" s="20"/>
      <c r="CG81" s="20"/>
      <c r="CH81" s="20"/>
      <c r="CI81" s="20"/>
      <c r="CJ81" s="20"/>
      <c r="CK81" s="20"/>
      <c r="CL81" s="20"/>
      <c r="CM81" s="20"/>
      <c r="CN81" s="9"/>
      <c r="CO81" s="9"/>
      <c r="CR81" s="5">
        <v>71</v>
      </c>
      <c r="CS81" s="12"/>
      <c r="CT81" s="13"/>
      <c r="CU81" s="13"/>
      <c r="CV81" s="13"/>
      <c r="CW81" s="13"/>
      <c r="CX81" s="14"/>
      <c r="CY81" s="15"/>
      <c r="CZ81" s="15"/>
      <c r="DA81" s="15"/>
      <c r="DB81" s="15"/>
      <c r="DC81" s="15"/>
      <c r="DD81" s="15"/>
      <c r="DE81" s="15"/>
      <c r="DF81" s="15"/>
      <c r="DG81" s="15"/>
      <c r="DH81" s="15"/>
      <c r="DI81" s="15"/>
      <c r="DJ81" s="15"/>
      <c r="DK81" s="15"/>
      <c r="DL81" s="6"/>
      <c r="DM81" s="6"/>
      <c r="DO81" s="8">
        <v>10</v>
      </c>
      <c r="DP81" s="17"/>
      <c r="DQ81" s="18"/>
      <c r="DR81" s="18"/>
      <c r="DS81" s="18"/>
      <c r="DT81" s="18"/>
      <c r="DU81" s="19"/>
      <c r="DV81" s="20"/>
      <c r="DW81" s="20"/>
      <c r="DX81" s="20"/>
      <c r="DY81" s="20"/>
      <c r="DZ81" s="20"/>
      <c r="EA81" s="20"/>
      <c r="EB81" s="20"/>
      <c r="EC81" s="20"/>
      <c r="ED81" s="20"/>
      <c r="EE81" s="20"/>
      <c r="EF81" s="20"/>
      <c r="EG81" s="20"/>
      <c r="EH81" s="20"/>
      <c r="EI81" s="9"/>
      <c r="EJ81" s="9"/>
      <c r="EM81" s="5">
        <v>71</v>
      </c>
      <c r="EN81" s="12"/>
      <c r="EO81" s="13"/>
      <c r="EP81" s="13"/>
      <c r="EQ81" s="13"/>
      <c r="ER81" s="13"/>
      <c r="ES81" s="14"/>
      <c r="ET81" s="15"/>
      <c r="EU81" s="15"/>
      <c r="EV81" s="15"/>
      <c r="EW81" s="15"/>
      <c r="EX81" s="15"/>
      <c r="EY81" s="15"/>
      <c r="EZ81" s="15"/>
      <c r="FA81" s="15"/>
      <c r="FB81" s="15"/>
      <c r="FC81" s="15"/>
      <c r="FD81" s="15"/>
      <c r="FE81" s="15"/>
      <c r="FF81" s="15"/>
      <c r="FG81" s="6"/>
      <c r="FH81" s="6"/>
      <c r="FJ81" s="8">
        <v>10</v>
      </c>
      <c r="FK81" s="17"/>
      <c r="FL81" s="18"/>
      <c r="FM81" s="18"/>
      <c r="FN81" s="18"/>
      <c r="FO81" s="18"/>
      <c r="FP81" s="19"/>
      <c r="FQ81" s="20"/>
      <c r="FR81" s="20"/>
      <c r="FS81" s="20"/>
      <c r="FT81" s="20"/>
      <c r="FU81" s="20"/>
      <c r="FV81" s="20"/>
      <c r="FW81" s="20"/>
      <c r="FX81" s="20"/>
      <c r="FY81" s="20"/>
      <c r="FZ81" s="20"/>
      <c r="GA81" s="20"/>
      <c r="GB81" s="20"/>
      <c r="GC81" s="20"/>
      <c r="GD81" s="9"/>
      <c r="GE81" s="9"/>
      <c r="GH81" s="5">
        <v>71</v>
      </c>
      <c r="GI81" s="12"/>
      <c r="GJ81" s="13"/>
      <c r="GK81" s="13"/>
      <c r="GL81" s="13"/>
      <c r="GM81" s="13"/>
      <c r="GN81" s="14"/>
      <c r="GO81" s="15"/>
      <c r="GP81" s="15"/>
      <c r="GQ81" s="15"/>
      <c r="GR81" s="15"/>
      <c r="GS81" s="15"/>
      <c r="GT81" s="15"/>
      <c r="GU81" s="15"/>
      <c r="GV81" s="15"/>
      <c r="GW81" s="15"/>
      <c r="GX81" s="15"/>
      <c r="GY81" s="15"/>
      <c r="GZ81" s="15"/>
      <c r="HA81" s="15"/>
      <c r="HB81" s="6"/>
      <c r="HC81" s="6"/>
      <c r="HE81" s="8">
        <v>10</v>
      </c>
      <c r="HF81" s="17"/>
      <c r="HG81" s="18"/>
      <c r="HH81" s="18"/>
      <c r="HI81" s="18"/>
      <c r="HJ81" s="18"/>
      <c r="HK81" s="19"/>
      <c r="HL81" s="20"/>
      <c r="HM81" s="20"/>
      <c r="HN81" s="20"/>
      <c r="HO81" s="20"/>
      <c r="HP81" s="20"/>
      <c r="HQ81" s="20"/>
      <c r="HR81" s="20"/>
      <c r="HS81" s="20"/>
      <c r="HT81" s="20"/>
      <c r="HU81" s="20"/>
      <c r="HV81" s="20"/>
      <c r="HW81" s="20"/>
      <c r="HX81" s="20"/>
      <c r="HY81" s="9"/>
      <c r="HZ81" s="9"/>
    </row>
    <row r="82" customHeight="1" spans="2:234">
      <c r="B82" s="8">
        <v>72</v>
      </c>
      <c r="C82" s="17"/>
      <c r="D82" s="18"/>
      <c r="E82" s="18"/>
      <c r="F82" s="18"/>
      <c r="G82" s="18"/>
      <c r="H82" s="19"/>
      <c r="I82" s="20"/>
      <c r="J82" s="20"/>
      <c r="K82" s="20"/>
      <c r="L82" s="20"/>
      <c r="M82" s="20"/>
      <c r="N82" s="20"/>
      <c r="O82" s="20"/>
      <c r="P82" s="20"/>
      <c r="Q82" s="20"/>
      <c r="R82" s="20"/>
      <c r="S82" s="20"/>
      <c r="T82" s="20"/>
      <c r="U82" s="20"/>
      <c r="V82" s="9"/>
      <c r="W82" s="9"/>
      <c r="Y82" s="5">
        <v>11</v>
      </c>
      <c r="Z82" s="12"/>
      <c r="AA82" s="13"/>
      <c r="AB82" s="13"/>
      <c r="AC82" s="13"/>
      <c r="AD82" s="13"/>
      <c r="AE82" s="14"/>
      <c r="AF82" s="15"/>
      <c r="AG82" s="15"/>
      <c r="AH82" s="15"/>
      <c r="AI82" s="15"/>
      <c r="AJ82" s="15"/>
      <c r="AK82" s="15"/>
      <c r="AL82" s="15"/>
      <c r="AM82" s="15"/>
      <c r="AN82" s="15"/>
      <c r="AO82" s="15"/>
      <c r="AP82" s="15"/>
      <c r="AQ82" s="15"/>
      <c r="AR82" s="15"/>
      <c r="AS82" s="6"/>
      <c r="AT82" s="6"/>
      <c r="AW82" s="8">
        <v>72</v>
      </c>
      <c r="AX82" s="17"/>
      <c r="AY82" s="18"/>
      <c r="AZ82" s="18"/>
      <c r="BA82" s="18"/>
      <c r="BB82" s="18"/>
      <c r="BC82" s="19"/>
      <c r="BD82" s="20"/>
      <c r="BE82" s="20"/>
      <c r="BF82" s="20"/>
      <c r="BG82" s="20"/>
      <c r="BH82" s="20"/>
      <c r="BI82" s="20"/>
      <c r="BJ82" s="20"/>
      <c r="BK82" s="20"/>
      <c r="BL82" s="20"/>
      <c r="BM82" s="20"/>
      <c r="BN82" s="20"/>
      <c r="BO82" s="20"/>
      <c r="BP82" s="20"/>
      <c r="BQ82" s="9"/>
      <c r="BR82" s="9"/>
      <c r="BT82" s="5">
        <v>11</v>
      </c>
      <c r="BU82" s="12"/>
      <c r="BV82" s="13"/>
      <c r="BW82" s="13"/>
      <c r="BX82" s="13"/>
      <c r="BY82" s="13"/>
      <c r="BZ82" s="14"/>
      <c r="CA82" s="15"/>
      <c r="CB82" s="15"/>
      <c r="CC82" s="15"/>
      <c r="CD82" s="15"/>
      <c r="CE82" s="15"/>
      <c r="CF82" s="15"/>
      <c r="CG82" s="15"/>
      <c r="CH82" s="15"/>
      <c r="CI82" s="15"/>
      <c r="CJ82" s="15"/>
      <c r="CK82" s="15"/>
      <c r="CL82" s="15"/>
      <c r="CM82" s="15"/>
      <c r="CN82" s="6"/>
      <c r="CO82" s="6"/>
      <c r="CR82" s="8">
        <v>72</v>
      </c>
      <c r="CS82" s="17"/>
      <c r="CT82" s="18"/>
      <c r="CU82" s="18"/>
      <c r="CV82" s="18"/>
      <c r="CW82" s="18"/>
      <c r="CX82" s="19"/>
      <c r="CY82" s="20"/>
      <c r="CZ82" s="20"/>
      <c r="DA82" s="20"/>
      <c r="DB82" s="20"/>
      <c r="DC82" s="20"/>
      <c r="DD82" s="20"/>
      <c r="DE82" s="20"/>
      <c r="DF82" s="20"/>
      <c r="DG82" s="20"/>
      <c r="DH82" s="20"/>
      <c r="DI82" s="20"/>
      <c r="DJ82" s="20"/>
      <c r="DK82" s="20"/>
      <c r="DL82" s="9"/>
      <c r="DM82" s="9"/>
      <c r="DO82" s="5">
        <v>11</v>
      </c>
      <c r="DP82" s="12"/>
      <c r="DQ82" s="13"/>
      <c r="DR82" s="13"/>
      <c r="DS82" s="13"/>
      <c r="DT82" s="13"/>
      <c r="DU82" s="14"/>
      <c r="DV82" s="15"/>
      <c r="DW82" s="15"/>
      <c r="DX82" s="15"/>
      <c r="DY82" s="15"/>
      <c r="DZ82" s="15"/>
      <c r="EA82" s="15"/>
      <c r="EB82" s="15"/>
      <c r="EC82" s="15"/>
      <c r="ED82" s="15"/>
      <c r="EE82" s="15"/>
      <c r="EF82" s="15"/>
      <c r="EG82" s="15"/>
      <c r="EH82" s="15"/>
      <c r="EI82" s="6"/>
      <c r="EJ82" s="6"/>
      <c r="EM82" s="8">
        <v>72</v>
      </c>
      <c r="EN82" s="17"/>
      <c r="EO82" s="18"/>
      <c r="EP82" s="18"/>
      <c r="EQ82" s="18"/>
      <c r="ER82" s="18"/>
      <c r="ES82" s="19"/>
      <c r="ET82" s="20"/>
      <c r="EU82" s="20"/>
      <c r="EV82" s="20"/>
      <c r="EW82" s="20"/>
      <c r="EX82" s="20"/>
      <c r="EY82" s="20"/>
      <c r="EZ82" s="20"/>
      <c r="FA82" s="20"/>
      <c r="FB82" s="20"/>
      <c r="FC82" s="20"/>
      <c r="FD82" s="20"/>
      <c r="FE82" s="20"/>
      <c r="FF82" s="20"/>
      <c r="FG82" s="9"/>
      <c r="FH82" s="9"/>
      <c r="FJ82" s="5">
        <v>11</v>
      </c>
      <c r="FK82" s="12"/>
      <c r="FL82" s="13"/>
      <c r="FM82" s="13"/>
      <c r="FN82" s="13"/>
      <c r="FO82" s="13"/>
      <c r="FP82" s="14"/>
      <c r="FQ82" s="15"/>
      <c r="FR82" s="15"/>
      <c r="FS82" s="15"/>
      <c r="FT82" s="15"/>
      <c r="FU82" s="15"/>
      <c r="FV82" s="15"/>
      <c r="FW82" s="15"/>
      <c r="FX82" s="15"/>
      <c r="FY82" s="15"/>
      <c r="FZ82" s="15"/>
      <c r="GA82" s="15"/>
      <c r="GB82" s="15"/>
      <c r="GC82" s="15"/>
      <c r="GD82" s="6"/>
      <c r="GE82" s="6"/>
      <c r="GH82" s="8">
        <v>72</v>
      </c>
      <c r="GI82" s="17"/>
      <c r="GJ82" s="18"/>
      <c r="GK82" s="18"/>
      <c r="GL82" s="18"/>
      <c r="GM82" s="18"/>
      <c r="GN82" s="19"/>
      <c r="GO82" s="20"/>
      <c r="GP82" s="20"/>
      <c r="GQ82" s="20"/>
      <c r="GR82" s="20"/>
      <c r="GS82" s="20"/>
      <c r="GT82" s="20"/>
      <c r="GU82" s="20"/>
      <c r="GV82" s="20"/>
      <c r="GW82" s="20"/>
      <c r="GX82" s="20"/>
      <c r="GY82" s="20"/>
      <c r="GZ82" s="20"/>
      <c r="HA82" s="20"/>
      <c r="HB82" s="9"/>
      <c r="HC82" s="9"/>
      <c r="HE82" s="5">
        <v>11</v>
      </c>
      <c r="HF82" s="12"/>
      <c r="HG82" s="13"/>
      <c r="HH82" s="13"/>
      <c r="HI82" s="13"/>
      <c r="HJ82" s="13"/>
      <c r="HK82" s="14"/>
      <c r="HL82" s="15"/>
      <c r="HM82" s="15"/>
      <c r="HN82" s="15"/>
      <c r="HO82" s="15"/>
      <c r="HP82" s="15"/>
      <c r="HQ82" s="15"/>
      <c r="HR82" s="15"/>
      <c r="HS82" s="15"/>
      <c r="HT82" s="15"/>
      <c r="HU82" s="15"/>
      <c r="HV82" s="15"/>
      <c r="HW82" s="15"/>
      <c r="HX82" s="15"/>
      <c r="HY82" s="6"/>
      <c r="HZ82" s="6"/>
    </row>
    <row r="83" customHeight="1" spans="2:234">
      <c r="B83" s="5">
        <v>73</v>
      </c>
      <c r="C83" s="12"/>
      <c r="D83" s="13"/>
      <c r="E83" s="13"/>
      <c r="F83" s="13"/>
      <c r="G83" s="13"/>
      <c r="H83" s="14"/>
      <c r="I83" s="15"/>
      <c r="J83" s="15"/>
      <c r="K83" s="15"/>
      <c r="L83" s="15"/>
      <c r="M83" s="15"/>
      <c r="N83" s="15"/>
      <c r="O83" s="15"/>
      <c r="P83" s="15"/>
      <c r="Q83" s="15"/>
      <c r="R83" s="15"/>
      <c r="S83" s="15"/>
      <c r="T83" s="15"/>
      <c r="U83" s="15"/>
      <c r="V83" s="6"/>
      <c r="W83" s="6"/>
      <c r="Y83" s="8">
        <v>12</v>
      </c>
      <c r="Z83" s="17"/>
      <c r="AA83" s="18"/>
      <c r="AB83" s="18"/>
      <c r="AC83" s="18"/>
      <c r="AD83" s="18"/>
      <c r="AE83" s="19"/>
      <c r="AF83" s="20"/>
      <c r="AG83" s="20"/>
      <c r="AH83" s="20"/>
      <c r="AI83" s="20"/>
      <c r="AJ83" s="20"/>
      <c r="AK83" s="20"/>
      <c r="AL83" s="20"/>
      <c r="AM83" s="20"/>
      <c r="AN83" s="20"/>
      <c r="AO83" s="20"/>
      <c r="AP83" s="20"/>
      <c r="AQ83" s="20"/>
      <c r="AR83" s="20"/>
      <c r="AS83" s="9"/>
      <c r="AT83" s="9"/>
      <c r="AW83" s="5">
        <v>73</v>
      </c>
      <c r="AX83" s="12"/>
      <c r="AY83" s="13"/>
      <c r="AZ83" s="13"/>
      <c r="BA83" s="13"/>
      <c r="BB83" s="13"/>
      <c r="BC83" s="14"/>
      <c r="BD83" s="15"/>
      <c r="BE83" s="15"/>
      <c r="BF83" s="15"/>
      <c r="BG83" s="15"/>
      <c r="BH83" s="15"/>
      <c r="BI83" s="15"/>
      <c r="BJ83" s="15"/>
      <c r="BK83" s="15"/>
      <c r="BL83" s="15"/>
      <c r="BM83" s="15"/>
      <c r="BN83" s="15"/>
      <c r="BO83" s="15"/>
      <c r="BP83" s="15"/>
      <c r="BQ83" s="6"/>
      <c r="BR83" s="6"/>
      <c r="BT83" s="8">
        <v>12</v>
      </c>
      <c r="BU83" s="17"/>
      <c r="BV83" s="18"/>
      <c r="BW83" s="18"/>
      <c r="BX83" s="18"/>
      <c r="BY83" s="18"/>
      <c r="BZ83" s="19"/>
      <c r="CA83" s="20"/>
      <c r="CB83" s="20"/>
      <c r="CC83" s="20"/>
      <c r="CD83" s="20"/>
      <c r="CE83" s="20"/>
      <c r="CF83" s="20"/>
      <c r="CG83" s="20"/>
      <c r="CH83" s="20"/>
      <c r="CI83" s="20"/>
      <c r="CJ83" s="20"/>
      <c r="CK83" s="20"/>
      <c r="CL83" s="20"/>
      <c r="CM83" s="20"/>
      <c r="CN83" s="9"/>
      <c r="CO83" s="9"/>
      <c r="CR83" s="5">
        <v>73</v>
      </c>
      <c r="CS83" s="12"/>
      <c r="CT83" s="13"/>
      <c r="CU83" s="13"/>
      <c r="CV83" s="13"/>
      <c r="CW83" s="13"/>
      <c r="CX83" s="14"/>
      <c r="CY83" s="15"/>
      <c r="CZ83" s="15"/>
      <c r="DA83" s="15"/>
      <c r="DB83" s="15"/>
      <c r="DC83" s="15"/>
      <c r="DD83" s="15"/>
      <c r="DE83" s="15"/>
      <c r="DF83" s="15"/>
      <c r="DG83" s="15"/>
      <c r="DH83" s="15"/>
      <c r="DI83" s="15"/>
      <c r="DJ83" s="15"/>
      <c r="DK83" s="15"/>
      <c r="DL83" s="6"/>
      <c r="DM83" s="6"/>
      <c r="DO83" s="8">
        <v>12</v>
      </c>
      <c r="DP83" s="17"/>
      <c r="DQ83" s="18"/>
      <c r="DR83" s="18"/>
      <c r="DS83" s="18"/>
      <c r="DT83" s="18"/>
      <c r="DU83" s="19"/>
      <c r="DV83" s="20"/>
      <c r="DW83" s="20"/>
      <c r="DX83" s="20"/>
      <c r="DY83" s="20"/>
      <c r="DZ83" s="20"/>
      <c r="EA83" s="20"/>
      <c r="EB83" s="20"/>
      <c r="EC83" s="20"/>
      <c r="ED83" s="20"/>
      <c r="EE83" s="20"/>
      <c r="EF83" s="20"/>
      <c r="EG83" s="20"/>
      <c r="EH83" s="20"/>
      <c r="EI83" s="9"/>
      <c r="EJ83" s="9"/>
      <c r="EM83" s="5">
        <v>73</v>
      </c>
      <c r="EN83" s="12"/>
      <c r="EO83" s="13"/>
      <c r="EP83" s="13"/>
      <c r="EQ83" s="13"/>
      <c r="ER83" s="13"/>
      <c r="ES83" s="14"/>
      <c r="ET83" s="15"/>
      <c r="EU83" s="15"/>
      <c r="EV83" s="15"/>
      <c r="EW83" s="15"/>
      <c r="EX83" s="15"/>
      <c r="EY83" s="15"/>
      <c r="EZ83" s="15"/>
      <c r="FA83" s="15"/>
      <c r="FB83" s="15"/>
      <c r="FC83" s="15"/>
      <c r="FD83" s="15"/>
      <c r="FE83" s="15"/>
      <c r="FF83" s="15"/>
      <c r="FG83" s="6"/>
      <c r="FH83" s="6"/>
      <c r="FJ83" s="8">
        <v>12</v>
      </c>
      <c r="FK83" s="17"/>
      <c r="FL83" s="18"/>
      <c r="FM83" s="18"/>
      <c r="FN83" s="18"/>
      <c r="FO83" s="18"/>
      <c r="FP83" s="19"/>
      <c r="FQ83" s="20"/>
      <c r="FR83" s="20"/>
      <c r="FS83" s="20"/>
      <c r="FT83" s="20"/>
      <c r="FU83" s="20"/>
      <c r="FV83" s="20"/>
      <c r="FW83" s="20"/>
      <c r="FX83" s="20"/>
      <c r="FY83" s="20"/>
      <c r="FZ83" s="20"/>
      <c r="GA83" s="20"/>
      <c r="GB83" s="20"/>
      <c r="GC83" s="20"/>
      <c r="GD83" s="9"/>
      <c r="GE83" s="9"/>
      <c r="GH83" s="5">
        <v>73</v>
      </c>
      <c r="GI83" s="12"/>
      <c r="GJ83" s="13"/>
      <c r="GK83" s="13"/>
      <c r="GL83" s="13"/>
      <c r="GM83" s="13"/>
      <c r="GN83" s="14"/>
      <c r="GO83" s="15"/>
      <c r="GP83" s="15"/>
      <c r="GQ83" s="15"/>
      <c r="GR83" s="15"/>
      <c r="GS83" s="15"/>
      <c r="GT83" s="15"/>
      <c r="GU83" s="15"/>
      <c r="GV83" s="15"/>
      <c r="GW83" s="15"/>
      <c r="GX83" s="15"/>
      <c r="GY83" s="15"/>
      <c r="GZ83" s="15"/>
      <c r="HA83" s="15"/>
      <c r="HB83" s="6"/>
      <c r="HC83" s="6"/>
      <c r="HE83" s="8">
        <v>12</v>
      </c>
      <c r="HF83" s="17"/>
      <c r="HG83" s="18"/>
      <c r="HH83" s="18"/>
      <c r="HI83" s="18"/>
      <c r="HJ83" s="18"/>
      <c r="HK83" s="19"/>
      <c r="HL83" s="20"/>
      <c r="HM83" s="20"/>
      <c r="HN83" s="20"/>
      <c r="HO83" s="20"/>
      <c r="HP83" s="20"/>
      <c r="HQ83" s="20"/>
      <c r="HR83" s="20"/>
      <c r="HS83" s="20"/>
      <c r="HT83" s="20"/>
      <c r="HU83" s="20"/>
      <c r="HV83" s="20"/>
      <c r="HW83" s="20"/>
      <c r="HX83" s="20"/>
      <c r="HY83" s="9"/>
      <c r="HZ83" s="9"/>
    </row>
    <row r="84" customHeight="1" spans="2:234">
      <c r="B84" s="8">
        <v>74</v>
      </c>
      <c r="C84" s="17"/>
      <c r="D84" s="18"/>
      <c r="E84" s="18"/>
      <c r="F84" s="18"/>
      <c r="G84" s="18"/>
      <c r="H84" s="19"/>
      <c r="I84" s="20"/>
      <c r="J84" s="20"/>
      <c r="K84" s="20"/>
      <c r="L84" s="20"/>
      <c r="M84" s="20"/>
      <c r="N84" s="20"/>
      <c r="O84" s="20"/>
      <c r="P84" s="20"/>
      <c r="Q84" s="20"/>
      <c r="R84" s="20"/>
      <c r="S84" s="20"/>
      <c r="T84" s="20"/>
      <c r="U84" s="20"/>
      <c r="V84" s="9"/>
      <c r="W84" s="9"/>
      <c r="Y84" s="5">
        <v>13</v>
      </c>
      <c r="Z84" s="12"/>
      <c r="AA84" s="13"/>
      <c r="AB84" s="13"/>
      <c r="AC84" s="13"/>
      <c r="AD84" s="13"/>
      <c r="AE84" s="14"/>
      <c r="AF84" s="15"/>
      <c r="AG84" s="15"/>
      <c r="AH84" s="15"/>
      <c r="AI84" s="15"/>
      <c r="AJ84" s="15"/>
      <c r="AK84" s="15"/>
      <c r="AL84" s="15"/>
      <c r="AM84" s="15"/>
      <c r="AN84" s="15"/>
      <c r="AO84" s="15"/>
      <c r="AP84" s="15"/>
      <c r="AQ84" s="15"/>
      <c r="AR84" s="15"/>
      <c r="AS84" s="6"/>
      <c r="AT84" s="6"/>
      <c r="AW84" s="8">
        <v>74</v>
      </c>
      <c r="AX84" s="17"/>
      <c r="AY84" s="18"/>
      <c r="AZ84" s="18"/>
      <c r="BA84" s="18"/>
      <c r="BB84" s="18"/>
      <c r="BC84" s="19"/>
      <c r="BD84" s="20"/>
      <c r="BE84" s="20"/>
      <c r="BF84" s="20"/>
      <c r="BG84" s="20"/>
      <c r="BH84" s="20"/>
      <c r="BI84" s="20"/>
      <c r="BJ84" s="20"/>
      <c r="BK84" s="20"/>
      <c r="BL84" s="20"/>
      <c r="BM84" s="20"/>
      <c r="BN84" s="20"/>
      <c r="BO84" s="20"/>
      <c r="BP84" s="20"/>
      <c r="BQ84" s="9"/>
      <c r="BR84" s="9"/>
      <c r="BT84" s="5">
        <v>13</v>
      </c>
      <c r="BU84" s="12"/>
      <c r="BV84" s="13"/>
      <c r="BW84" s="13"/>
      <c r="BX84" s="13"/>
      <c r="BY84" s="13"/>
      <c r="BZ84" s="14"/>
      <c r="CA84" s="15"/>
      <c r="CB84" s="15"/>
      <c r="CC84" s="15"/>
      <c r="CD84" s="15"/>
      <c r="CE84" s="15"/>
      <c r="CF84" s="15"/>
      <c r="CG84" s="15"/>
      <c r="CH84" s="15"/>
      <c r="CI84" s="15"/>
      <c r="CJ84" s="15"/>
      <c r="CK84" s="15"/>
      <c r="CL84" s="15"/>
      <c r="CM84" s="15"/>
      <c r="CN84" s="6"/>
      <c r="CO84" s="6"/>
      <c r="CR84" s="8">
        <v>74</v>
      </c>
      <c r="CS84" s="17"/>
      <c r="CT84" s="18"/>
      <c r="CU84" s="18"/>
      <c r="CV84" s="18"/>
      <c r="CW84" s="18"/>
      <c r="CX84" s="19"/>
      <c r="CY84" s="20"/>
      <c r="CZ84" s="20"/>
      <c r="DA84" s="20"/>
      <c r="DB84" s="20"/>
      <c r="DC84" s="20"/>
      <c r="DD84" s="20"/>
      <c r="DE84" s="20"/>
      <c r="DF84" s="20"/>
      <c r="DG84" s="20"/>
      <c r="DH84" s="20"/>
      <c r="DI84" s="20"/>
      <c r="DJ84" s="20"/>
      <c r="DK84" s="20"/>
      <c r="DL84" s="9"/>
      <c r="DM84" s="9"/>
      <c r="DO84" s="5">
        <v>13</v>
      </c>
      <c r="DP84" s="12"/>
      <c r="DQ84" s="13"/>
      <c r="DR84" s="13"/>
      <c r="DS84" s="13"/>
      <c r="DT84" s="13"/>
      <c r="DU84" s="14"/>
      <c r="DV84" s="15"/>
      <c r="DW84" s="15"/>
      <c r="DX84" s="15"/>
      <c r="DY84" s="15"/>
      <c r="DZ84" s="15"/>
      <c r="EA84" s="15"/>
      <c r="EB84" s="15"/>
      <c r="EC84" s="15"/>
      <c r="ED84" s="15"/>
      <c r="EE84" s="15"/>
      <c r="EF84" s="15"/>
      <c r="EG84" s="15"/>
      <c r="EH84" s="15"/>
      <c r="EI84" s="6"/>
      <c r="EJ84" s="6"/>
      <c r="EM84" s="8">
        <v>74</v>
      </c>
      <c r="EN84" s="17"/>
      <c r="EO84" s="18"/>
      <c r="EP84" s="18"/>
      <c r="EQ84" s="18"/>
      <c r="ER84" s="18"/>
      <c r="ES84" s="19"/>
      <c r="ET84" s="20"/>
      <c r="EU84" s="20"/>
      <c r="EV84" s="20"/>
      <c r="EW84" s="20"/>
      <c r="EX84" s="20"/>
      <c r="EY84" s="20"/>
      <c r="EZ84" s="20"/>
      <c r="FA84" s="20"/>
      <c r="FB84" s="20"/>
      <c r="FC84" s="20"/>
      <c r="FD84" s="20"/>
      <c r="FE84" s="20"/>
      <c r="FF84" s="20"/>
      <c r="FG84" s="9"/>
      <c r="FH84" s="9"/>
      <c r="FJ84" s="5">
        <v>13</v>
      </c>
      <c r="FK84" s="12"/>
      <c r="FL84" s="13"/>
      <c r="FM84" s="13"/>
      <c r="FN84" s="13"/>
      <c r="FO84" s="13"/>
      <c r="FP84" s="14"/>
      <c r="FQ84" s="15"/>
      <c r="FR84" s="15"/>
      <c r="FS84" s="15"/>
      <c r="FT84" s="15"/>
      <c r="FU84" s="15"/>
      <c r="FV84" s="15"/>
      <c r="FW84" s="15"/>
      <c r="FX84" s="15"/>
      <c r="FY84" s="15"/>
      <c r="FZ84" s="15"/>
      <c r="GA84" s="15"/>
      <c r="GB84" s="15"/>
      <c r="GC84" s="15"/>
      <c r="GD84" s="6"/>
      <c r="GE84" s="6"/>
      <c r="GH84" s="8">
        <v>74</v>
      </c>
      <c r="GI84" s="17"/>
      <c r="GJ84" s="18"/>
      <c r="GK84" s="18"/>
      <c r="GL84" s="18"/>
      <c r="GM84" s="18"/>
      <c r="GN84" s="19"/>
      <c r="GO84" s="20"/>
      <c r="GP84" s="20"/>
      <c r="GQ84" s="20"/>
      <c r="GR84" s="20"/>
      <c r="GS84" s="20"/>
      <c r="GT84" s="20"/>
      <c r="GU84" s="20"/>
      <c r="GV84" s="20"/>
      <c r="GW84" s="20"/>
      <c r="GX84" s="20"/>
      <c r="GY84" s="20"/>
      <c r="GZ84" s="20"/>
      <c r="HA84" s="20"/>
      <c r="HB84" s="9"/>
      <c r="HC84" s="9"/>
      <c r="HE84" s="5">
        <v>13</v>
      </c>
      <c r="HF84" s="12"/>
      <c r="HG84" s="13"/>
      <c r="HH84" s="13"/>
      <c r="HI84" s="13"/>
      <c r="HJ84" s="13"/>
      <c r="HK84" s="14"/>
      <c r="HL84" s="15"/>
      <c r="HM84" s="15"/>
      <c r="HN84" s="15"/>
      <c r="HO84" s="15"/>
      <c r="HP84" s="15"/>
      <c r="HQ84" s="15"/>
      <c r="HR84" s="15"/>
      <c r="HS84" s="15"/>
      <c r="HT84" s="15"/>
      <c r="HU84" s="15"/>
      <c r="HV84" s="15"/>
      <c r="HW84" s="15"/>
      <c r="HX84" s="15"/>
      <c r="HY84" s="6"/>
      <c r="HZ84" s="6"/>
    </row>
    <row r="85" customHeight="1" spans="2:234">
      <c r="B85" s="5">
        <v>75</v>
      </c>
      <c r="C85" s="12"/>
      <c r="D85" s="13"/>
      <c r="E85" s="13"/>
      <c r="F85" s="13"/>
      <c r="G85" s="13"/>
      <c r="H85" s="14"/>
      <c r="I85" s="15"/>
      <c r="J85" s="15"/>
      <c r="K85" s="15"/>
      <c r="L85" s="15"/>
      <c r="M85" s="15"/>
      <c r="N85" s="15"/>
      <c r="O85" s="15"/>
      <c r="P85" s="15"/>
      <c r="Q85" s="15"/>
      <c r="R85" s="15"/>
      <c r="S85" s="15"/>
      <c r="T85" s="15"/>
      <c r="U85" s="15"/>
      <c r="V85" s="6"/>
      <c r="W85" s="6"/>
      <c r="Y85" s="8">
        <v>14</v>
      </c>
      <c r="Z85" s="17"/>
      <c r="AA85" s="18"/>
      <c r="AB85" s="18"/>
      <c r="AC85" s="18"/>
      <c r="AD85" s="18"/>
      <c r="AE85" s="19"/>
      <c r="AF85" s="20"/>
      <c r="AG85" s="20"/>
      <c r="AH85" s="20"/>
      <c r="AI85" s="20"/>
      <c r="AJ85" s="20"/>
      <c r="AK85" s="20"/>
      <c r="AL85" s="20"/>
      <c r="AM85" s="20"/>
      <c r="AN85" s="20"/>
      <c r="AO85" s="20"/>
      <c r="AP85" s="20"/>
      <c r="AQ85" s="20"/>
      <c r="AR85" s="20"/>
      <c r="AS85" s="9"/>
      <c r="AT85" s="9"/>
      <c r="AW85" s="5">
        <v>75</v>
      </c>
      <c r="AX85" s="12"/>
      <c r="AY85" s="13"/>
      <c r="AZ85" s="13"/>
      <c r="BA85" s="13"/>
      <c r="BB85" s="13"/>
      <c r="BC85" s="14"/>
      <c r="BD85" s="15"/>
      <c r="BE85" s="15"/>
      <c r="BF85" s="15"/>
      <c r="BG85" s="15"/>
      <c r="BH85" s="15"/>
      <c r="BI85" s="15"/>
      <c r="BJ85" s="15"/>
      <c r="BK85" s="15"/>
      <c r="BL85" s="15"/>
      <c r="BM85" s="15"/>
      <c r="BN85" s="15"/>
      <c r="BO85" s="15"/>
      <c r="BP85" s="15"/>
      <c r="BQ85" s="6"/>
      <c r="BR85" s="6"/>
      <c r="BT85" s="8">
        <v>14</v>
      </c>
      <c r="BU85" s="17"/>
      <c r="BV85" s="18"/>
      <c r="BW85" s="18"/>
      <c r="BX85" s="18"/>
      <c r="BY85" s="18"/>
      <c r="BZ85" s="19"/>
      <c r="CA85" s="20"/>
      <c r="CB85" s="20"/>
      <c r="CC85" s="20"/>
      <c r="CD85" s="20"/>
      <c r="CE85" s="20"/>
      <c r="CF85" s="20"/>
      <c r="CG85" s="20"/>
      <c r="CH85" s="20"/>
      <c r="CI85" s="20"/>
      <c r="CJ85" s="20"/>
      <c r="CK85" s="20"/>
      <c r="CL85" s="20"/>
      <c r="CM85" s="20"/>
      <c r="CN85" s="9"/>
      <c r="CO85" s="9"/>
      <c r="CR85" s="5">
        <v>75</v>
      </c>
      <c r="CS85" s="12"/>
      <c r="CT85" s="13"/>
      <c r="CU85" s="13"/>
      <c r="CV85" s="13"/>
      <c r="CW85" s="13"/>
      <c r="CX85" s="14"/>
      <c r="CY85" s="15"/>
      <c r="CZ85" s="15"/>
      <c r="DA85" s="15"/>
      <c r="DB85" s="15"/>
      <c r="DC85" s="15"/>
      <c r="DD85" s="15"/>
      <c r="DE85" s="15"/>
      <c r="DF85" s="15"/>
      <c r="DG85" s="15"/>
      <c r="DH85" s="15"/>
      <c r="DI85" s="15"/>
      <c r="DJ85" s="15"/>
      <c r="DK85" s="15"/>
      <c r="DL85" s="6"/>
      <c r="DM85" s="6"/>
      <c r="DO85" s="8">
        <v>14</v>
      </c>
      <c r="DP85" s="17"/>
      <c r="DQ85" s="18"/>
      <c r="DR85" s="18"/>
      <c r="DS85" s="18"/>
      <c r="DT85" s="18"/>
      <c r="DU85" s="19"/>
      <c r="DV85" s="20"/>
      <c r="DW85" s="20"/>
      <c r="DX85" s="20"/>
      <c r="DY85" s="20"/>
      <c r="DZ85" s="20"/>
      <c r="EA85" s="20"/>
      <c r="EB85" s="20"/>
      <c r="EC85" s="20"/>
      <c r="ED85" s="20"/>
      <c r="EE85" s="20"/>
      <c r="EF85" s="20"/>
      <c r="EG85" s="20"/>
      <c r="EH85" s="20"/>
      <c r="EI85" s="9"/>
      <c r="EJ85" s="9"/>
      <c r="EM85" s="5">
        <v>75</v>
      </c>
      <c r="EN85" s="12"/>
      <c r="EO85" s="13"/>
      <c r="EP85" s="13"/>
      <c r="EQ85" s="13"/>
      <c r="ER85" s="13"/>
      <c r="ES85" s="14"/>
      <c r="ET85" s="15"/>
      <c r="EU85" s="15"/>
      <c r="EV85" s="15"/>
      <c r="EW85" s="15"/>
      <c r="EX85" s="15"/>
      <c r="EY85" s="15"/>
      <c r="EZ85" s="15"/>
      <c r="FA85" s="15"/>
      <c r="FB85" s="15"/>
      <c r="FC85" s="15"/>
      <c r="FD85" s="15"/>
      <c r="FE85" s="15"/>
      <c r="FF85" s="15"/>
      <c r="FG85" s="6"/>
      <c r="FH85" s="6"/>
      <c r="FJ85" s="8">
        <v>14</v>
      </c>
      <c r="FK85" s="17"/>
      <c r="FL85" s="18"/>
      <c r="FM85" s="18"/>
      <c r="FN85" s="18"/>
      <c r="FO85" s="18"/>
      <c r="FP85" s="19"/>
      <c r="FQ85" s="20"/>
      <c r="FR85" s="20"/>
      <c r="FS85" s="20"/>
      <c r="FT85" s="20"/>
      <c r="FU85" s="20"/>
      <c r="FV85" s="20"/>
      <c r="FW85" s="20"/>
      <c r="FX85" s="20"/>
      <c r="FY85" s="20"/>
      <c r="FZ85" s="20"/>
      <c r="GA85" s="20"/>
      <c r="GB85" s="20"/>
      <c r="GC85" s="20"/>
      <c r="GD85" s="9"/>
      <c r="GE85" s="9"/>
      <c r="GH85" s="5">
        <v>75</v>
      </c>
      <c r="GI85" s="12"/>
      <c r="GJ85" s="13"/>
      <c r="GK85" s="13"/>
      <c r="GL85" s="13"/>
      <c r="GM85" s="13"/>
      <c r="GN85" s="14"/>
      <c r="GO85" s="15"/>
      <c r="GP85" s="15"/>
      <c r="GQ85" s="15"/>
      <c r="GR85" s="15"/>
      <c r="GS85" s="15"/>
      <c r="GT85" s="15"/>
      <c r="GU85" s="15"/>
      <c r="GV85" s="15"/>
      <c r="GW85" s="15"/>
      <c r="GX85" s="15"/>
      <c r="GY85" s="15"/>
      <c r="GZ85" s="15"/>
      <c r="HA85" s="15"/>
      <c r="HB85" s="6"/>
      <c r="HC85" s="6"/>
      <c r="HE85" s="8">
        <v>14</v>
      </c>
      <c r="HF85" s="17"/>
      <c r="HG85" s="18"/>
      <c r="HH85" s="18"/>
      <c r="HI85" s="18"/>
      <c r="HJ85" s="18"/>
      <c r="HK85" s="19"/>
      <c r="HL85" s="20"/>
      <c r="HM85" s="20"/>
      <c r="HN85" s="20"/>
      <c r="HO85" s="20"/>
      <c r="HP85" s="20"/>
      <c r="HQ85" s="20"/>
      <c r="HR85" s="20"/>
      <c r="HS85" s="20"/>
      <c r="HT85" s="20"/>
      <c r="HU85" s="20"/>
      <c r="HV85" s="20"/>
      <c r="HW85" s="20"/>
      <c r="HX85" s="20"/>
      <c r="HY85" s="9"/>
      <c r="HZ85" s="9"/>
    </row>
    <row r="86" customHeight="1" spans="2:234">
      <c r="B86" s="8">
        <v>76</v>
      </c>
      <c r="C86" s="17"/>
      <c r="D86" s="18"/>
      <c r="E86" s="18"/>
      <c r="F86" s="18"/>
      <c r="G86" s="18"/>
      <c r="H86" s="19"/>
      <c r="I86" s="20"/>
      <c r="J86" s="20"/>
      <c r="K86" s="20"/>
      <c r="L86" s="20"/>
      <c r="M86" s="20"/>
      <c r="N86" s="20"/>
      <c r="O86" s="20"/>
      <c r="P86" s="20"/>
      <c r="Q86" s="20"/>
      <c r="R86" s="20"/>
      <c r="S86" s="20"/>
      <c r="T86" s="20"/>
      <c r="U86" s="20"/>
      <c r="V86" s="9"/>
      <c r="W86" s="9"/>
      <c r="Y86" s="5">
        <v>15</v>
      </c>
      <c r="Z86" s="12"/>
      <c r="AA86" s="13"/>
      <c r="AB86" s="13"/>
      <c r="AC86" s="13"/>
      <c r="AD86" s="13"/>
      <c r="AE86" s="14"/>
      <c r="AF86" s="15"/>
      <c r="AG86" s="15"/>
      <c r="AH86" s="15"/>
      <c r="AI86" s="15"/>
      <c r="AJ86" s="15"/>
      <c r="AK86" s="15"/>
      <c r="AL86" s="15"/>
      <c r="AM86" s="15"/>
      <c r="AN86" s="15"/>
      <c r="AO86" s="15"/>
      <c r="AP86" s="15"/>
      <c r="AQ86" s="15"/>
      <c r="AR86" s="15"/>
      <c r="AS86" s="6"/>
      <c r="AT86" s="6"/>
      <c r="AW86" s="8">
        <v>76</v>
      </c>
      <c r="AX86" s="17"/>
      <c r="AY86" s="18"/>
      <c r="AZ86" s="18"/>
      <c r="BA86" s="18"/>
      <c r="BB86" s="18"/>
      <c r="BC86" s="19"/>
      <c r="BD86" s="20"/>
      <c r="BE86" s="20"/>
      <c r="BF86" s="20"/>
      <c r="BG86" s="20"/>
      <c r="BH86" s="20"/>
      <c r="BI86" s="20"/>
      <c r="BJ86" s="20"/>
      <c r="BK86" s="20"/>
      <c r="BL86" s="20"/>
      <c r="BM86" s="20"/>
      <c r="BN86" s="20"/>
      <c r="BO86" s="20"/>
      <c r="BP86" s="20"/>
      <c r="BQ86" s="9"/>
      <c r="BR86" s="9"/>
      <c r="BT86" s="5">
        <v>15</v>
      </c>
      <c r="BU86" s="12"/>
      <c r="BV86" s="13"/>
      <c r="BW86" s="13"/>
      <c r="BX86" s="13"/>
      <c r="BY86" s="13"/>
      <c r="BZ86" s="14"/>
      <c r="CA86" s="15"/>
      <c r="CB86" s="15"/>
      <c r="CC86" s="15"/>
      <c r="CD86" s="15"/>
      <c r="CE86" s="15"/>
      <c r="CF86" s="15"/>
      <c r="CG86" s="15"/>
      <c r="CH86" s="15"/>
      <c r="CI86" s="15"/>
      <c r="CJ86" s="15"/>
      <c r="CK86" s="15"/>
      <c r="CL86" s="15"/>
      <c r="CM86" s="15"/>
      <c r="CN86" s="6"/>
      <c r="CO86" s="6"/>
      <c r="CR86" s="8">
        <v>76</v>
      </c>
      <c r="CS86" s="17"/>
      <c r="CT86" s="18"/>
      <c r="CU86" s="18"/>
      <c r="CV86" s="18"/>
      <c r="CW86" s="18"/>
      <c r="CX86" s="19"/>
      <c r="CY86" s="20"/>
      <c r="CZ86" s="20"/>
      <c r="DA86" s="20"/>
      <c r="DB86" s="20"/>
      <c r="DC86" s="20"/>
      <c r="DD86" s="20"/>
      <c r="DE86" s="20"/>
      <c r="DF86" s="20"/>
      <c r="DG86" s="20"/>
      <c r="DH86" s="20"/>
      <c r="DI86" s="20"/>
      <c r="DJ86" s="20"/>
      <c r="DK86" s="20"/>
      <c r="DL86" s="9"/>
      <c r="DM86" s="9"/>
      <c r="DO86" s="5">
        <v>15</v>
      </c>
      <c r="DP86" s="12"/>
      <c r="DQ86" s="13"/>
      <c r="DR86" s="13"/>
      <c r="DS86" s="13"/>
      <c r="DT86" s="13"/>
      <c r="DU86" s="14"/>
      <c r="DV86" s="15"/>
      <c r="DW86" s="15"/>
      <c r="DX86" s="15"/>
      <c r="DY86" s="15"/>
      <c r="DZ86" s="15"/>
      <c r="EA86" s="15"/>
      <c r="EB86" s="15"/>
      <c r="EC86" s="15"/>
      <c r="ED86" s="15"/>
      <c r="EE86" s="15"/>
      <c r="EF86" s="15"/>
      <c r="EG86" s="15"/>
      <c r="EH86" s="15"/>
      <c r="EI86" s="6"/>
      <c r="EJ86" s="6"/>
      <c r="EM86" s="8">
        <v>76</v>
      </c>
      <c r="EN86" s="17"/>
      <c r="EO86" s="18"/>
      <c r="EP86" s="18"/>
      <c r="EQ86" s="18"/>
      <c r="ER86" s="18"/>
      <c r="ES86" s="19"/>
      <c r="ET86" s="20"/>
      <c r="EU86" s="20"/>
      <c r="EV86" s="20"/>
      <c r="EW86" s="20"/>
      <c r="EX86" s="20"/>
      <c r="EY86" s="20"/>
      <c r="EZ86" s="20"/>
      <c r="FA86" s="20"/>
      <c r="FB86" s="20"/>
      <c r="FC86" s="20"/>
      <c r="FD86" s="20"/>
      <c r="FE86" s="20"/>
      <c r="FF86" s="20"/>
      <c r="FG86" s="9"/>
      <c r="FH86" s="9"/>
      <c r="FJ86" s="5">
        <v>15</v>
      </c>
      <c r="FK86" s="12"/>
      <c r="FL86" s="13"/>
      <c r="FM86" s="13"/>
      <c r="FN86" s="13"/>
      <c r="FO86" s="13"/>
      <c r="FP86" s="14"/>
      <c r="FQ86" s="15"/>
      <c r="FR86" s="15"/>
      <c r="FS86" s="15"/>
      <c r="FT86" s="15"/>
      <c r="FU86" s="15"/>
      <c r="FV86" s="15"/>
      <c r="FW86" s="15"/>
      <c r="FX86" s="15"/>
      <c r="FY86" s="15"/>
      <c r="FZ86" s="15"/>
      <c r="GA86" s="15"/>
      <c r="GB86" s="15"/>
      <c r="GC86" s="15"/>
      <c r="GD86" s="6"/>
      <c r="GE86" s="6"/>
      <c r="GH86" s="8">
        <v>76</v>
      </c>
      <c r="GI86" s="17"/>
      <c r="GJ86" s="18"/>
      <c r="GK86" s="18"/>
      <c r="GL86" s="18"/>
      <c r="GM86" s="18"/>
      <c r="GN86" s="19"/>
      <c r="GO86" s="20"/>
      <c r="GP86" s="20"/>
      <c r="GQ86" s="20"/>
      <c r="GR86" s="20"/>
      <c r="GS86" s="20"/>
      <c r="GT86" s="20"/>
      <c r="GU86" s="20"/>
      <c r="GV86" s="20"/>
      <c r="GW86" s="20"/>
      <c r="GX86" s="20"/>
      <c r="GY86" s="20"/>
      <c r="GZ86" s="20"/>
      <c r="HA86" s="20"/>
      <c r="HB86" s="9"/>
      <c r="HC86" s="9"/>
      <c r="HE86" s="5">
        <v>15</v>
      </c>
      <c r="HF86" s="12"/>
      <c r="HG86" s="13"/>
      <c r="HH86" s="13"/>
      <c r="HI86" s="13"/>
      <c r="HJ86" s="13"/>
      <c r="HK86" s="14"/>
      <c r="HL86" s="15"/>
      <c r="HM86" s="15"/>
      <c r="HN86" s="15"/>
      <c r="HO86" s="15"/>
      <c r="HP86" s="15"/>
      <c r="HQ86" s="15"/>
      <c r="HR86" s="15"/>
      <c r="HS86" s="15"/>
      <c r="HT86" s="15"/>
      <c r="HU86" s="15"/>
      <c r="HV86" s="15"/>
      <c r="HW86" s="15"/>
      <c r="HX86" s="15"/>
      <c r="HY86" s="6"/>
      <c r="HZ86" s="6"/>
    </row>
    <row r="87" customHeight="1" spans="2:234">
      <c r="B87" s="5">
        <v>77</v>
      </c>
      <c r="C87" s="12"/>
      <c r="D87" s="13"/>
      <c r="E87" s="13"/>
      <c r="F87" s="13"/>
      <c r="G87" s="13"/>
      <c r="H87" s="14"/>
      <c r="I87" s="15"/>
      <c r="J87" s="15"/>
      <c r="K87" s="15"/>
      <c r="L87" s="15"/>
      <c r="M87" s="15"/>
      <c r="N87" s="15"/>
      <c r="O87" s="15"/>
      <c r="P87" s="15"/>
      <c r="Q87" s="15"/>
      <c r="R87" s="15"/>
      <c r="S87" s="15"/>
      <c r="T87" s="15"/>
      <c r="U87" s="15"/>
      <c r="V87" s="6"/>
      <c r="W87" s="6"/>
      <c r="Y87" s="8">
        <v>16</v>
      </c>
      <c r="Z87" s="17"/>
      <c r="AA87" s="18"/>
      <c r="AB87" s="18"/>
      <c r="AC87" s="18"/>
      <c r="AD87" s="18"/>
      <c r="AE87" s="19"/>
      <c r="AF87" s="20"/>
      <c r="AG87" s="20"/>
      <c r="AH87" s="20"/>
      <c r="AI87" s="20"/>
      <c r="AJ87" s="20"/>
      <c r="AK87" s="20"/>
      <c r="AL87" s="20"/>
      <c r="AM87" s="20"/>
      <c r="AN87" s="20"/>
      <c r="AO87" s="20"/>
      <c r="AP87" s="20"/>
      <c r="AQ87" s="20"/>
      <c r="AR87" s="20"/>
      <c r="AS87" s="9"/>
      <c r="AT87" s="9"/>
      <c r="AW87" s="5">
        <v>77</v>
      </c>
      <c r="AX87" s="12"/>
      <c r="AY87" s="13"/>
      <c r="AZ87" s="13"/>
      <c r="BA87" s="13"/>
      <c r="BB87" s="13"/>
      <c r="BC87" s="14"/>
      <c r="BD87" s="15"/>
      <c r="BE87" s="15"/>
      <c r="BF87" s="15"/>
      <c r="BG87" s="15"/>
      <c r="BH87" s="15"/>
      <c r="BI87" s="15"/>
      <c r="BJ87" s="15"/>
      <c r="BK87" s="15"/>
      <c r="BL87" s="15"/>
      <c r="BM87" s="15"/>
      <c r="BN87" s="15"/>
      <c r="BO87" s="15"/>
      <c r="BP87" s="15"/>
      <c r="BQ87" s="6"/>
      <c r="BR87" s="6"/>
      <c r="BT87" s="8">
        <v>16</v>
      </c>
      <c r="BU87" s="17"/>
      <c r="BV87" s="18"/>
      <c r="BW87" s="18"/>
      <c r="BX87" s="18"/>
      <c r="BY87" s="18"/>
      <c r="BZ87" s="19"/>
      <c r="CA87" s="20"/>
      <c r="CB87" s="20"/>
      <c r="CC87" s="20"/>
      <c r="CD87" s="20"/>
      <c r="CE87" s="20"/>
      <c r="CF87" s="20"/>
      <c r="CG87" s="20"/>
      <c r="CH87" s="20"/>
      <c r="CI87" s="20"/>
      <c r="CJ87" s="20"/>
      <c r="CK87" s="20"/>
      <c r="CL87" s="20"/>
      <c r="CM87" s="20"/>
      <c r="CN87" s="9"/>
      <c r="CO87" s="9"/>
      <c r="CR87" s="5">
        <v>77</v>
      </c>
      <c r="CS87" s="12"/>
      <c r="CT87" s="13"/>
      <c r="CU87" s="13"/>
      <c r="CV87" s="13"/>
      <c r="CW87" s="13"/>
      <c r="CX87" s="14"/>
      <c r="CY87" s="15"/>
      <c r="CZ87" s="15"/>
      <c r="DA87" s="15"/>
      <c r="DB87" s="15"/>
      <c r="DC87" s="15"/>
      <c r="DD87" s="15"/>
      <c r="DE87" s="15"/>
      <c r="DF87" s="15"/>
      <c r="DG87" s="15"/>
      <c r="DH87" s="15"/>
      <c r="DI87" s="15"/>
      <c r="DJ87" s="15"/>
      <c r="DK87" s="15"/>
      <c r="DL87" s="6"/>
      <c r="DM87" s="6"/>
      <c r="DO87" s="8">
        <v>16</v>
      </c>
      <c r="DP87" s="17"/>
      <c r="DQ87" s="18"/>
      <c r="DR87" s="18"/>
      <c r="DS87" s="18"/>
      <c r="DT87" s="18"/>
      <c r="DU87" s="19"/>
      <c r="DV87" s="20"/>
      <c r="DW87" s="20"/>
      <c r="DX87" s="20"/>
      <c r="DY87" s="20"/>
      <c r="DZ87" s="20"/>
      <c r="EA87" s="20"/>
      <c r="EB87" s="20"/>
      <c r="EC87" s="20"/>
      <c r="ED87" s="20"/>
      <c r="EE87" s="20"/>
      <c r="EF87" s="20"/>
      <c r="EG87" s="20"/>
      <c r="EH87" s="20"/>
      <c r="EI87" s="9"/>
      <c r="EJ87" s="9"/>
      <c r="EM87" s="5">
        <v>77</v>
      </c>
      <c r="EN87" s="12"/>
      <c r="EO87" s="13"/>
      <c r="EP87" s="13"/>
      <c r="EQ87" s="13"/>
      <c r="ER87" s="13"/>
      <c r="ES87" s="14"/>
      <c r="ET87" s="15"/>
      <c r="EU87" s="15"/>
      <c r="EV87" s="15"/>
      <c r="EW87" s="15"/>
      <c r="EX87" s="15"/>
      <c r="EY87" s="15"/>
      <c r="EZ87" s="15"/>
      <c r="FA87" s="15"/>
      <c r="FB87" s="15"/>
      <c r="FC87" s="15"/>
      <c r="FD87" s="15"/>
      <c r="FE87" s="15"/>
      <c r="FF87" s="15"/>
      <c r="FG87" s="6"/>
      <c r="FH87" s="6"/>
      <c r="FJ87" s="8">
        <v>16</v>
      </c>
      <c r="FK87" s="17"/>
      <c r="FL87" s="18"/>
      <c r="FM87" s="18"/>
      <c r="FN87" s="18"/>
      <c r="FO87" s="18"/>
      <c r="FP87" s="19"/>
      <c r="FQ87" s="20"/>
      <c r="FR87" s="20"/>
      <c r="FS87" s="20"/>
      <c r="FT87" s="20"/>
      <c r="FU87" s="20"/>
      <c r="FV87" s="20"/>
      <c r="FW87" s="20"/>
      <c r="FX87" s="20"/>
      <c r="FY87" s="20"/>
      <c r="FZ87" s="20"/>
      <c r="GA87" s="20"/>
      <c r="GB87" s="20"/>
      <c r="GC87" s="20"/>
      <c r="GD87" s="9"/>
      <c r="GE87" s="9"/>
      <c r="GH87" s="5">
        <v>77</v>
      </c>
      <c r="GI87" s="12"/>
      <c r="GJ87" s="13"/>
      <c r="GK87" s="13"/>
      <c r="GL87" s="13"/>
      <c r="GM87" s="13"/>
      <c r="GN87" s="14"/>
      <c r="GO87" s="15"/>
      <c r="GP87" s="15"/>
      <c r="GQ87" s="15"/>
      <c r="GR87" s="15"/>
      <c r="GS87" s="15"/>
      <c r="GT87" s="15"/>
      <c r="GU87" s="15"/>
      <c r="GV87" s="15"/>
      <c r="GW87" s="15"/>
      <c r="GX87" s="15"/>
      <c r="GY87" s="15"/>
      <c r="GZ87" s="15"/>
      <c r="HA87" s="15"/>
      <c r="HB87" s="6"/>
      <c r="HC87" s="6"/>
      <c r="HE87" s="8">
        <v>16</v>
      </c>
      <c r="HF87" s="17"/>
      <c r="HG87" s="18"/>
      <c r="HH87" s="18"/>
      <c r="HI87" s="18"/>
      <c r="HJ87" s="18"/>
      <c r="HK87" s="19"/>
      <c r="HL87" s="20"/>
      <c r="HM87" s="20"/>
      <c r="HN87" s="20"/>
      <c r="HO87" s="20"/>
      <c r="HP87" s="20"/>
      <c r="HQ87" s="20"/>
      <c r="HR87" s="20"/>
      <c r="HS87" s="20"/>
      <c r="HT87" s="20"/>
      <c r="HU87" s="20"/>
      <c r="HV87" s="20"/>
      <c r="HW87" s="20"/>
      <c r="HX87" s="20"/>
      <c r="HY87" s="9"/>
      <c r="HZ87" s="9"/>
    </row>
    <row r="88" customHeight="1" spans="2:234">
      <c r="B88" s="8">
        <v>78</v>
      </c>
      <c r="C88" s="17"/>
      <c r="D88" s="18"/>
      <c r="E88" s="18"/>
      <c r="F88" s="18"/>
      <c r="G88" s="18"/>
      <c r="H88" s="19"/>
      <c r="I88" s="20"/>
      <c r="J88" s="20"/>
      <c r="K88" s="20"/>
      <c r="L88" s="20"/>
      <c r="M88" s="20"/>
      <c r="N88" s="20"/>
      <c r="O88" s="20"/>
      <c r="P88" s="20"/>
      <c r="Q88" s="20"/>
      <c r="R88" s="20"/>
      <c r="S88" s="20"/>
      <c r="T88" s="20"/>
      <c r="U88" s="20"/>
      <c r="V88" s="9"/>
      <c r="W88" s="9"/>
      <c r="Y88" s="5">
        <v>17</v>
      </c>
      <c r="Z88" s="12"/>
      <c r="AA88" s="13"/>
      <c r="AB88" s="13"/>
      <c r="AC88" s="13"/>
      <c r="AD88" s="13"/>
      <c r="AE88" s="14"/>
      <c r="AF88" s="15"/>
      <c r="AG88" s="15"/>
      <c r="AH88" s="15"/>
      <c r="AI88" s="15"/>
      <c r="AJ88" s="15"/>
      <c r="AK88" s="15"/>
      <c r="AL88" s="15"/>
      <c r="AM88" s="15"/>
      <c r="AN88" s="15"/>
      <c r="AO88" s="15"/>
      <c r="AP88" s="15"/>
      <c r="AQ88" s="15"/>
      <c r="AR88" s="15"/>
      <c r="AS88" s="6"/>
      <c r="AT88" s="6"/>
      <c r="AW88" s="8">
        <v>78</v>
      </c>
      <c r="AX88" s="17"/>
      <c r="AY88" s="18"/>
      <c r="AZ88" s="18"/>
      <c r="BA88" s="18"/>
      <c r="BB88" s="18"/>
      <c r="BC88" s="19"/>
      <c r="BD88" s="20"/>
      <c r="BE88" s="20"/>
      <c r="BF88" s="20"/>
      <c r="BG88" s="20"/>
      <c r="BH88" s="20"/>
      <c r="BI88" s="20"/>
      <c r="BJ88" s="20"/>
      <c r="BK88" s="20"/>
      <c r="BL88" s="20"/>
      <c r="BM88" s="20"/>
      <c r="BN88" s="20"/>
      <c r="BO88" s="20"/>
      <c r="BP88" s="20"/>
      <c r="BQ88" s="9"/>
      <c r="BR88" s="9"/>
      <c r="BT88" s="5">
        <v>17</v>
      </c>
      <c r="BU88" s="12"/>
      <c r="BV88" s="13"/>
      <c r="BW88" s="13"/>
      <c r="BX88" s="13"/>
      <c r="BY88" s="13"/>
      <c r="BZ88" s="14"/>
      <c r="CA88" s="15"/>
      <c r="CB88" s="15"/>
      <c r="CC88" s="15"/>
      <c r="CD88" s="15"/>
      <c r="CE88" s="15"/>
      <c r="CF88" s="15"/>
      <c r="CG88" s="15"/>
      <c r="CH88" s="15"/>
      <c r="CI88" s="15"/>
      <c r="CJ88" s="15"/>
      <c r="CK88" s="15"/>
      <c r="CL88" s="15"/>
      <c r="CM88" s="15"/>
      <c r="CN88" s="6"/>
      <c r="CO88" s="6"/>
      <c r="CR88" s="8">
        <v>78</v>
      </c>
      <c r="CS88" s="17"/>
      <c r="CT88" s="18"/>
      <c r="CU88" s="18"/>
      <c r="CV88" s="18"/>
      <c r="CW88" s="18"/>
      <c r="CX88" s="19"/>
      <c r="CY88" s="20"/>
      <c r="CZ88" s="20"/>
      <c r="DA88" s="20"/>
      <c r="DB88" s="20"/>
      <c r="DC88" s="20"/>
      <c r="DD88" s="20"/>
      <c r="DE88" s="20"/>
      <c r="DF88" s="20"/>
      <c r="DG88" s="20"/>
      <c r="DH88" s="20"/>
      <c r="DI88" s="20"/>
      <c r="DJ88" s="20"/>
      <c r="DK88" s="20"/>
      <c r="DL88" s="9"/>
      <c r="DM88" s="9"/>
      <c r="DO88" s="5">
        <v>17</v>
      </c>
      <c r="DP88" s="12"/>
      <c r="DQ88" s="13"/>
      <c r="DR88" s="13"/>
      <c r="DS88" s="13"/>
      <c r="DT88" s="13"/>
      <c r="DU88" s="14"/>
      <c r="DV88" s="15"/>
      <c r="DW88" s="15"/>
      <c r="DX88" s="15"/>
      <c r="DY88" s="15"/>
      <c r="DZ88" s="15"/>
      <c r="EA88" s="15"/>
      <c r="EB88" s="15"/>
      <c r="EC88" s="15"/>
      <c r="ED88" s="15"/>
      <c r="EE88" s="15"/>
      <c r="EF88" s="15"/>
      <c r="EG88" s="15"/>
      <c r="EH88" s="15"/>
      <c r="EI88" s="6"/>
      <c r="EJ88" s="6"/>
      <c r="EM88" s="8">
        <v>78</v>
      </c>
      <c r="EN88" s="17"/>
      <c r="EO88" s="18"/>
      <c r="EP88" s="18"/>
      <c r="EQ88" s="18"/>
      <c r="ER88" s="18"/>
      <c r="ES88" s="19"/>
      <c r="ET88" s="20"/>
      <c r="EU88" s="20"/>
      <c r="EV88" s="20"/>
      <c r="EW88" s="20"/>
      <c r="EX88" s="20"/>
      <c r="EY88" s="20"/>
      <c r="EZ88" s="20"/>
      <c r="FA88" s="20"/>
      <c r="FB88" s="20"/>
      <c r="FC88" s="20"/>
      <c r="FD88" s="20"/>
      <c r="FE88" s="20"/>
      <c r="FF88" s="20"/>
      <c r="FG88" s="9"/>
      <c r="FH88" s="9"/>
      <c r="FJ88" s="5">
        <v>17</v>
      </c>
      <c r="FK88" s="12"/>
      <c r="FL88" s="13"/>
      <c r="FM88" s="13"/>
      <c r="FN88" s="13"/>
      <c r="FO88" s="13"/>
      <c r="FP88" s="14"/>
      <c r="FQ88" s="15"/>
      <c r="FR88" s="15"/>
      <c r="FS88" s="15"/>
      <c r="FT88" s="15"/>
      <c r="FU88" s="15"/>
      <c r="FV88" s="15"/>
      <c r="FW88" s="15"/>
      <c r="FX88" s="15"/>
      <c r="FY88" s="15"/>
      <c r="FZ88" s="15"/>
      <c r="GA88" s="15"/>
      <c r="GB88" s="15"/>
      <c r="GC88" s="15"/>
      <c r="GD88" s="6"/>
      <c r="GE88" s="6"/>
      <c r="GH88" s="8">
        <v>78</v>
      </c>
      <c r="GI88" s="17"/>
      <c r="GJ88" s="18"/>
      <c r="GK88" s="18"/>
      <c r="GL88" s="18"/>
      <c r="GM88" s="18"/>
      <c r="GN88" s="19"/>
      <c r="GO88" s="20"/>
      <c r="GP88" s="20"/>
      <c r="GQ88" s="20"/>
      <c r="GR88" s="20"/>
      <c r="GS88" s="20"/>
      <c r="GT88" s="20"/>
      <c r="GU88" s="20"/>
      <c r="GV88" s="20"/>
      <c r="GW88" s="20"/>
      <c r="GX88" s="20"/>
      <c r="GY88" s="20"/>
      <c r="GZ88" s="20"/>
      <c r="HA88" s="20"/>
      <c r="HB88" s="9"/>
      <c r="HC88" s="9"/>
      <c r="HE88" s="5">
        <v>17</v>
      </c>
      <c r="HF88" s="12"/>
      <c r="HG88" s="13"/>
      <c r="HH88" s="13"/>
      <c r="HI88" s="13"/>
      <c r="HJ88" s="13"/>
      <c r="HK88" s="14"/>
      <c r="HL88" s="15"/>
      <c r="HM88" s="15"/>
      <c r="HN88" s="15"/>
      <c r="HO88" s="15"/>
      <c r="HP88" s="15"/>
      <c r="HQ88" s="15"/>
      <c r="HR88" s="15"/>
      <c r="HS88" s="15"/>
      <c r="HT88" s="15"/>
      <c r="HU88" s="15"/>
      <c r="HV88" s="15"/>
      <c r="HW88" s="15"/>
      <c r="HX88" s="15"/>
      <c r="HY88" s="6"/>
      <c r="HZ88" s="6"/>
    </row>
    <row r="89" customHeight="1" spans="2:234">
      <c r="B89" s="5">
        <v>79</v>
      </c>
      <c r="C89" s="12"/>
      <c r="D89" s="13"/>
      <c r="E89" s="13"/>
      <c r="F89" s="13"/>
      <c r="G89" s="13"/>
      <c r="H89" s="14"/>
      <c r="I89" s="15"/>
      <c r="J89" s="15"/>
      <c r="K89" s="15"/>
      <c r="L89" s="15"/>
      <c r="M89" s="15"/>
      <c r="N89" s="15"/>
      <c r="O89" s="15"/>
      <c r="P89" s="15"/>
      <c r="Q89" s="15"/>
      <c r="R89" s="15"/>
      <c r="S89" s="15"/>
      <c r="T89" s="15"/>
      <c r="U89" s="15"/>
      <c r="V89" s="6"/>
      <c r="W89" s="6"/>
      <c r="Y89" s="8">
        <v>18</v>
      </c>
      <c r="Z89" s="17"/>
      <c r="AA89" s="18"/>
      <c r="AB89" s="18"/>
      <c r="AC89" s="18"/>
      <c r="AD89" s="18"/>
      <c r="AE89" s="19"/>
      <c r="AF89" s="20"/>
      <c r="AG89" s="20"/>
      <c r="AH89" s="20"/>
      <c r="AI89" s="20"/>
      <c r="AJ89" s="20"/>
      <c r="AK89" s="20"/>
      <c r="AL89" s="20"/>
      <c r="AM89" s="20"/>
      <c r="AN89" s="20"/>
      <c r="AO89" s="20"/>
      <c r="AP89" s="20"/>
      <c r="AQ89" s="20"/>
      <c r="AR89" s="20"/>
      <c r="AS89" s="9"/>
      <c r="AT89" s="9"/>
      <c r="AW89" s="5">
        <v>79</v>
      </c>
      <c r="AX89" s="12"/>
      <c r="AY89" s="13"/>
      <c r="AZ89" s="13"/>
      <c r="BA89" s="13"/>
      <c r="BB89" s="13"/>
      <c r="BC89" s="14"/>
      <c r="BD89" s="15"/>
      <c r="BE89" s="15"/>
      <c r="BF89" s="15"/>
      <c r="BG89" s="15"/>
      <c r="BH89" s="15"/>
      <c r="BI89" s="15"/>
      <c r="BJ89" s="15"/>
      <c r="BK89" s="15"/>
      <c r="BL89" s="15"/>
      <c r="BM89" s="15"/>
      <c r="BN89" s="15"/>
      <c r="BO89" s="15"/>
      <c r="BP89" s="15"/>
      <c r="BQ89" s="6"/>
      <c r="BR89" s="6"/>
      <c r="BT89" s="8">
        <v>18</v>
      </c>
      <c r="BU89" s="17"/>
      <c r="BV89" s="18"/>
      <c r="BW89" s="18"/>
      <c r="BX89" s="18"/>
      <c r="BY89" s="18"/>
      <c r="BZ89" s="19"/>
      <c r="CA89" s="20"/>
      <c r="CB89" s="20"/>
      <c r="CC89" s="20"/>
      <c r="CD89" s="20"/>
      <c r="CE89" s="20"/>
      <c r="CF89" s="20"/>
      <c r="CG89" s="20"/>
      <c r="CH89" s="20"/>
      <c r="CI89" s="20"/>
      <c r="CJ89" s="20"/>
      <c r="CK89" s="20"/>
      <c r="CL89" s="20"/>
      <c r="CM89" s="20"/>
      <c r="CN89" s="9"/>
      <c r="CO89" s="9"/>
      <c r="CR89" s="5">
        <v>79</v>
      </c>
      <c r="CS89" s="12"/>
      <c r="CT89" s="13"/>
      <c r="CU89" s="13"/>
      <c r="CV89" s="13"/>
      <c r="CW89" s="13"/>
      <c r="CX89" s="14"/>
      <c r="CY89" s="15"/>
      <c r="CZ89" s="15"/>
      <c r="DA89" s="15"/>
      <c r="DB89" s="15"/>
      <c r="DC89" s="15"/>
      <c r="DD89" s="15"/>
      <c r="DE89" s="15"/>
      <c r="DF89" s="15"/>
      <c r="DG89" s="15"/>
      <c r="DH89" s="15"/>
      <c r="DI89" s="15"/>
      <c r="DJ89" s="15"/>
      <c r="DK89" s="15"/>
      <c r="DL89" s="6"/>
      <c r="DM89" s="6"/>
      <c r="DO89" s="8">
        <v>18</v>
      </c>
      <c r="DP89" s="17"/>
      <c r="DQ89" s="18"/>
      <c r="DR89" s="18"/>
      <c r="DS89" s="18"/>
      <c r="DT89" s="18"/>
      <c r="DU89" s="19"/>
      <c r="DV89" s="20"/>
      <c r="DW89" s="20"/>
      <c r="DX89" s="20"/>
      <c r="DY89" s="20"/>
      <c r="DZ89" s="20"/>
      <c r="EA89" s="20"/>
      <c r="EB89" s="20"/>
      <c r="EC89" s="20"/>
      <c r="ED89" s="20"/>
      <c r="EE89" s="20"/>
      <c r="EF89" s="20"/>
      <c r="EG89" s="20"/>
      <c r="EH89" s="20"/>
      <c r="EI89" s="9"/>
      <c r="EJ89" s="9"/>
      <c r="EM89" s="5">
        <v>79</v>
      </c>
      <c r="EN89" s="12"/>
      <c r="EO89" s="13"/>
      <c r="EP89" s="13"/>
      <c r="EQ89" s="13"/>
      <c r="ER89" s="13"/>
      <c r="ES89" s="14"/>
      <c r="ET89" s="15"/>
      <c r="EU89" s="15"/>
      <c r="EV89" s="15"/>
      <c r="EW89" s="15"/>
      <c r="EX89" s="15"/>
      <c r="EY89" s="15"/>
      <c r="EZ89" s="15"/>
      <c r="FA89" s="15"/>
      <c r="FB89" s="15"/>
      <c r="FC89" s="15"/>
      <c r="FD89" s="15"/>
      <c r="FE89" s="15"/>
      <c r="FF89" s="15"/>
      <c r="FG89" s="6"/>
      <c r="FH89" s="6"/>
      <c r="FJ89" s="8">
        <v>18</v>
      </c>
      <c r="FK89" s="17"/>
      <c r="FL89" s="18"/>
      <c r="FM89" s="18"/>
      <c r="FN89" s="18"/>
      <c r="FO89" s="18"/>
      <c r="FP89" s="19"/>
      <c r="FQ89" s="20"/>
      <c r="FR89" s="20"/>
      <c r="FS89" s="20"/>
      <c r="FT89" s="20"/>
      <c r="FU89" s="20"/>
      <c r="FV89" s="20"/>
      <c r="FW89" s="20"/>
      <c r="FX89" s="20"/>
      <c r="FY89" s="20"/>
      <c r="FZ89" s="20"/>
      <c r="GA89" s="20"/>
      <c r="GB89" s="20"/>
      <c r="GC89" s="20"/>
      <c r="GD89" s="9"/>
      <c r="GE89" s="9"/>
      <c r="GH89" s="5">
        <v>79</v>
      </c>
      <c r="GI89" s="12"/>
      <c r="GJ89" s="13"/>
      <c r="GK89" s="13"/>
      <c r="GL89" s="13"/>
      <c r="GM89" s="13"/>
      <c r="GN89" s="14"/>
      <c r="GO89" s="15"/>
      <c r="GP89" s="15"/>
      <c r="GQ89" s="15"/>
      <c r="GR89" s="15"/>
      <c r="GS89" s="15"/>
      <c r="GT89" s="15"/>
      <c r="GU89" s="15"/>
      <c r="GV89" s="15"/>
      <c r="GW89" s="15"/>
      <c r="GX89" s="15"/>
      <c r="GY89" s="15"/>
      <c r="GZ89" s="15"/>
      <c r="HA89" s="15"/>
      <c r="HB89" s="6"/>
      <c r="HC89" s="6"/>
      <c r="HE89" s="8">
        <v>18</v>
      </c>
      <c r="HF89" s="17"/>
      <c r="HG89" s="18"/>
      <c r="HH89" s="18"/>
      <c r="HI89" s="18"/>
      <c r="HJ89" s="18"/>
      <c r="HK89" s="19"/>
      <c r="HL89" s="20"/>
      <c r="HM89" s="20"/>
      <c r="HN89" s="20"/>
      <c r="HO89" s="20"/>
      <c r="HP89" s="20"/>
      <c r="HQ89" s="20"/>
      <c r="HR89" s="20"/>
      <c r="HS89" s="20"/>
      <c r="HT89" s="20"/>
      <c r="HU89" s="20"/>
      <c r="HV89" s="20"/>
      <c r="HW89" s="20"/>
      <c r="HX89" s="20"/>
      <c r="HY89" s="9"/>
      <c r="HZ89" s="9"/>
    </row>
    <row r="90" customHeight="1" spans="2:234">
      <c r="B90" s="8">
        <v>80</v>
      </c>
      <c r="C90" s="17"/>
      <c r="D90" s="18"/>
      <c r="E90" s="18"/>
      <c r="F90" s="18"/>
      <c r="G90" s="18"/>
      <c r="H90" s="19"/>
      <c r="I90" s="20"/>
      <c r="J90" s="20"/>
      <c r="K90" s="20"/>
      <c r="L90" s="20"/>
      <c r="M90" s="20"/>
      <c r="N90" s="20"/>
      <c r="O90" s="20"/>
      <c r="P90" s="20"/>
      <c r="Q90" s="20"/>
      <c r="R90" s="20"/>
      <c r="S90" s="20"/>
      <c r="T90" s="20"/>
      <c r="U90" s="20"/>
      <c r="V90" s="9"/>
      <c r="W90" s="9"/>
      <c r="Y90" s="5">
        <v>19</v>
      </c>
      <c r="Z90" s="12"/>
      <c r="AA90" s="13"/>
      <c r="AB90" s="13"/>
      <c r="AC90" s="13"/>
      <c r="AD90" s="13"/>
      <c r="AE90" s="14"/>
      <c r="AF90" s="15"/>
      <c r="AG90" s="15"/>
      <c r="AH90" s="15"/>
      <c r="AI90" s="15"/>
      <c r="AJ90" s="15"/>
      <c r="AK90" s="15"/>
      <c r="AL90" s="15"/>
      <c r="AM90" s="15"/>
      <c r="AN90" s="15"/>
      <c r="AO90" s="15"/>
      <c r="AP90" s="15"/>
      <c r="AQ90" s="15"/>
      <c r="AR90" s="15"/>
      <c r="AS90" s="6"/>
      <c r="AT90" s="6"/>
      <c r="AW90" s="8">
        <v>80</v>
      </c>
      <c r="AX90" s="17"/>
      <c r="AY90" s="18"/>
      <c r="AZ90" s="18"/>
      <c r="BA90" s="18"/>
      <c r="BB90" s="18"/>
      <c r="BC90" s="19"/>
      <c r="BD90" s="20"/>
      <c r="BE90" s="20"/>
      <c r="BF90" s="20"/>
      <c r="BG90" s="20"/>
      <c r="BH90" s="20"/>
      <c r="BI90" s="20"/>
      <c r="BJ90" s="20"/>
      <c r="BK90" s="20"/>
      <c r="BL90" s="20"/>
      <c r="BM90" s="20"/>
      <c r="BN90" s="20"/>
      <c r="BO90" s="20"/>
      <c r="BP90" s="20"/>
      <c r="BQ90" s="9"/>
      <c r="BR90" s="9"/>
      <c r="BT90" s="5">
        <v>19</v>
      </c>
      <c r="BU90" s="12"/>
      <c r="BV90" s="13"/>
      <c r="BW90" s="13"/>
      <c r="BX90" s="13"/>
      <c r="BY90" s="13"/>
      <c r="BZ90" s="14"/>
      <c r="CA90" s="15"/>
      <c r="CB90" s="15"/>
      <c r="CC90" s="15"/>
      <c r="CD90" s="15"/>
      <c r="CE90" s="15"/>
      <c r="CF90" s="15"/>
      <c r="CG90" s="15"/>
      <c r="CH90" s="15"/>
      <c r="CI90" s="15"/>
      <c r="CJ90" s="15"/>
      <c r="CK90" s="15"/>
      <c r="CL90" s="15"/>
      <c r="CM90" s="15"/>
      <c r="CN90" s="6"/>
      <c r="CO90" s="6"/>
      <c r="CR90" s="8">
        <v>80</v>
      </c>
      <c r="CS90" s="17"/>
      <c r="CT90" s="18"/>
      <c r="CU90" s="18"/>
      <c r="CV90" s="18"/>
      <c r="CW90" s="18"/>
      <c r="CX90" s="19"/>
      <c r="CY90" s="20"/>
      <c r="CZ90" s="20"/>
      <c r="DA90" s="20"/>
      <c r="DB90" s="20"/>
      <c r="DC90" s="20"/>
      <c r="DD90" s="20"/>
      <c r="DE90" s="20"/>
      <c r="DF90" s="20"/>
      <c r="DG90" s="20"/>
      <c r="DH90" s="20"/>
      <c r="DI90" s="20"/>
      <c r="DJ90" s="20"/>
      <c r="DK90" s="20"/>
      <c r="DL90" s="9"/>
      <c r="DM90" s="9"/>
      <c r="DO90" s="5">
        <v>19</v>
      </c>
      <c r="DP90" s="12"/>
      <c r="DQ90" s="13"/>
      <c r="DR90" s="13"/>
      <c r="DS90" s="13"/>
      <c r="DT90" s="13"/>
      <c r="DU90" s="14"/>
      <c r="DV90" s="15"/>
      <c r="DW90" s="15"/>
      <c r="DX90" s="15"/>
      <c r="DY90" s="15"/>
      <c r="DZ90" s="15"/>
      <c r="EA90" s="15"/>
      <c r="EB90" s="15"/>
      <c r="EC90" s="15"/>
      <c r="ED90" s="15"/>
      <c r="EE90" s="15"/>
      <c r="EF90" s="15"/>
      <c r="EG90" s="15"/>
      <c r="EH90" s="15"/>
      <c r="EI90" s="6"/>
      <c r="EJ90" s="6"/>
      <c r="EM90" s="8">
        <v>80</v>
      </c>
      <c r="EN90" s="17"/>
      <c r="EO90" s="18"/>
      <c r="EP90" s="18"/>
      <c r="EQ90" s="18"/>
      <c r="ER90" s="18"/>
      <c r="ES90" s="19"/>
      <c r="ET90" s="20"/>
      <c r="EU90" s="20"/>
      <c r="EV90" s="20"/>
      <c r="EW90" s="20"/>
      <c r="EX90" s="20"/>
      <c r="EY90" s="20"/>
      <c r="EZ90" s="20"/>
      <c r="FA90" s="20"/>
      <c r="FB90" s="20"/>
      <c r="FC90" s="20"/>
      <c r="FD90" s="20"/>
      <c r="FE90" s="20"/>
      <c r="FF90" s="20"/>
      <c r="FG90" s="9"/>
      <c r="FH90" s="9"/>
      <c r="FJ90" s="5">
        <v>19</v>
      </c>
      <c r="FK90" s="12"/>
      <c r="FL90" s="13"/>
      <c r="FM90" s="13"/>
      <c r="FN90" s="13"/>
      <c r="FO90" s="13"/>
      <c r="FP90" s="14"/>
      <c r="FQ90" s="15"/>
      <c r="FR90" s="15"/>
      <c r="FS90" s="15"/>
      <c r="FT90" s="15"/>
      <c r="FU90" s="15"/>
      <c r="FV90" s="15"/>
      <c r="FW90" s="15"/>
      <c r="FX90" s="15"/>
      <c r="FY90" s="15"/>
      <c r="FZ90" s="15"/>
      <c r="GA90" s="15"/>
      <c r="GB90" s="15"/>
      <c r="GC90" s="15"/>
      <c r="GD90" s="6"/>
      <c r="GE90" s="6"/>
      <c r="GH90" s="8">
        <v>80</v>
      </c>
      <c r="GI90" s="17"/>
      <c r="GJ90" s="18"/>
      <c r="GK90" s="18"/>
      <c r="GL90" s="18"/>
      <c r="GM90" s="18"/>
      <c r="GN90" s="19"/>
      <c r="GO90" s="20"/>
      <c r="GP90" s="20"/>
      <c r="GQ90" s="20"/>
      <c r="GR90" s="20"/>
      <c r="GS90" s="20"/>
      <c r="GT90" s="20"/>
      <c r="GU90" s="20"/>
      <c r="GV90" s="20"/>
      <c r="GW90" s="20"/>
      <c r="GX90" s="20"/>
      <c r="GY90" s="20"/>
      <c r="GZ90" s="20"/>
      <c r="HA90" s="20"/>
      <c r="HB90" s="9"/>
      <c r="HC90" s="9"/>
      <c r="HE90" s="5">
        <v>19</v>
      </c>
      <c r="HF90" s="12"/>
      <c r="HG90" s="13"/>
      <c r="HH90" s="13"/>
      <c r="HI90" s="13"/>
      <c r="HJ90" s="13"/>
      <c r="HK90" s="14"/>
      <c r="HL90" s="15"/>
      <c r="HM90" s="15"/>
      <c r="HN90" s="15"/>
      <c r="HO90" s="15"/>
      <c r="HP90" s="15"/>
      <c r="HQ90" s="15"/>
      <c r="HR90" s="15"/>
      <c r="HS90" s="15"/>
      <c r="HT90" s="15"/>
      <c r="HU90" s="15"/>
      <c r="HV90" s="15"/>
      <c r="HW90" s="15"/>
      <c r="HX90" s="15"/>
      <c r="HY90" s="6"/>
      <c r="HZ90" s="6"/>
    </row>
    <row r="91" customHeight="1" spans="2:234">
      <c r="B91" s="5">
        <v>81</v>
      </c>
      <c r="C91" s="12"/>
      <c r="D91" s="13"/>
      <c r="E91" s="13"/>
      <c r="F91" s="13"/>
      <c r="G91" s="13"/>
      <c r="H91" s="14"/>
      <c r="I91" s="15"/>
      <c r="J91" s="15"/>
      <c r="K91" s="15"/>
      <c r="L91" s="15"/>
      <c r="M91" s="15"/>
      <c r="N91" s="15"/>
      <c r="O91" s="15"/>
      <c r="P91" s="15"/>
      <c r="Q91" s="15"/>
      <c r="R91" s="15"/>
      <c r="S91" s="15"/>
      <c r="T91" s="15"/>
      <c r="U91" s="15"/>
      <c r="V91" s="6"/>
      <c r="W91" s="6"/>
      <c r="Y91" s="8">
        <v>20</v>
      </c>
      <c r="Z91" s="17"/>
      <c r="AA91" s="18"/>
      <c r="AB91" s="18"/>
      <c r="AC91" s="18"/>
      <c r="AD91" s="18"/>
      <c r="AE91" s="19"/>
      <c r="AF91" s="20"/>
      <c r="AG91" s="20"/>
      <c r="AH91" s="20"/>
      <c r="AI91" s="20"/>
      <c r="AJ91" s="20"/>
      <c r="AK91" s="20"/>
      <c r="AL91" s="20"/>
      <c r="AM91" s="20"/>
      <c r="AN91" s="20"/>
      <c r="AO91" s="20"/>
      <c r="AP91" s="20"/>
      <c r="AQ91" s="20"/>
      <c r="AR91" s="20"/>
      <c r="AS91" s="9"/>
      <c r="AT91" s="9"/>
      <c r="AW91" s="5">
        <v>81</v>
      </c>
      <c r="AX91" s="12"/>
      <c r="AY91" s="13"/>
      <c r="AZ91" s="13"/>
      <c r="BA91" s="13"/>
      <c r="BB91" s="13"/>
      <c r="BC91" s="14"/>
      <c r="BD91" s="15"/>
      <c r="BE91" s="15"/>
      <c r="BF91" s="15"/>
      <c r="BG91" s="15"/>
      <c r="BH91" s="15"/>
      <c r="BI91" s="15"/>
      <c r="BJ91" s="15"/>
      <c r="BK91" s="15"/>
      <c r="BL91" s="15"/>
      <c r="BM91" s="15"/>
      <c r="BN91" s="15"/>
      <c r="BO91" s="15"/>
      <c r="BP91" s="15"/>
      <c r="BQ91" s="6"/>
      <c r="BR91" s="6"/>
      <c r="BT91" s="8">
        <v>20</v>
      </c>
      <c r="BU91" s="17"/>
      <c r="BV91" s="18"/>
      <c r="BW91" s="18"/>
      <c r="BX91" s="18"/>
      <c r="BY91" s="18"/>
      <c r="BZ91" s="19"/>
      <c r="CA91" s="20"/>
      <c r="CB91" s="20"/>
      <c r="CC91" s="20"/>
      <c r="CD91" s="20"/>
      <c r="CE91" s="20"/>
      <c r="CF91" s="20"/>
      <c r="CG91" s="20"/>
      <c r="CH91" s="20"/>
      <c r="CI91" s="20"/>
      <c r="CJ91" s="20"/>
      <c r="CK91" s="20"/>
      <c r="CL91" s="20"/>
      <c r="CM91" s="20"/>
      <c r="CN91" s="9"/>
      <c r="CO91" s="9"/>
      <c r="CR91" s="5">
        <v>81</v>
      </c>
      <c r="CS91" s="12"/>
      <c r="CT91" s="13"/>
      <c r="CU91" s="13"/>
      <c r="CV91" s="13"/>
      <c r="CW91" s="13"/>
      <c r="CX91" s="14"/>
      <c r="CY91" s="15"/>
      <c r="CZ91" s="15"/>
      <c r="DA91" s="15"/>
      <c r="DB91" s="15"/>
      <c r="DC91" s="15"/>
      <c r="DD91" s="15"/>
      <c r="DE91" s="15"/>
      <c r="DF91" s="15"/>
      <c r="DG91" s="15"/>
      <c r="DH91" s="15"/>
      <c r="DI91" s="15"/>
      <c r="DJ91" s="15"/>
      <c r="DK91" s="15"/>
      <c r="DL91" s="6"/>
      <c r="DM91" s="6"/>
      <c r="DO91" s="8">
        <v>20</v>
      </c>
      <c r="DP91" s="17"/>
      <c r="DQ91" s="18"/>
      <c r="DR91" s="18"/>
      <c r="DS91" s="18"/>
      <c r="DT91" s="18"/>
      <c r="DU91" s="19"/>
      <c r="DV91" s="20"/>
      <c r="DW91" s="20"/>
      <c r="DX91" s="20"/>
      <c r="DY91" s="20"/>
      <c r="DZ91" s="20"/>
      <c r="EA91" s="20"/>
      <c r="EB91" s="20"/>
      <c r="EC91" s="20"/>
      <c r="ED91" s="20"/>
      <c r="EE91" s="20"/>
      <c r="EF91" s="20"/>
      <c r="EG91" s="20"/>
      <c r="EH91" s="20"/>
      <c r="EI91" s="9"/>
      <c r="EJ91" s="9"/>
      <c r="EM91" s="5">
        <v>81</v>
      </c>
      <c r="EN91" s="12"/>
      <c r="EO91" s="13"/>
      <c r="EP91" s="13"/>
      <c r="EQ91" s="13"/>
      <c r="ER91" s="13"/>
      <c r="ES91" s="14"/>
      <c r="ET91" s="15"/>
      <c r="EU91" s="15"/>
      <c r="EV91" s="15"/>
      <c r="EW91" s="15"/>
      <c r="EX91" s="15"/>
      <c r="EY91" s="15"/>
      <c r="EZ91" s="15"/>
      <c r="FA91" s="15"/>
      <c r="FB91" s="15"/>
      <c r="FC91" s="15"/>
      <c r="FD91" s="15"/>
      <c r="FE91" s="15"/>
      <c r="FF91" s="15"/>
      <c r="FG91" s="6"/>
      <c r="FH91" s="6"/>
      <c r="FJ91" s="8">
        <v>20</v>
      </c>
      <c r="FK91" s="17"/>
      <c r="FL91" s="18"/>
      <c r="FM91" s="18"/>
      <c r="FN91" s="18"/>
      <c r="FO91" s="18"/>
      <c r="FP91" s="19"/>
      <c r="FQ91" s="20"/>
      <c r="FR91" s="20"/>
      <c r="FS91" s="20"/>
      <c r="FT91" s="20"/>
      <c r="FU91" s="20"/>
      <c r="FV91" s="20"/>
      <c r="FW91" s="20"/>
      <c r="FX91" s="20"/>
      <c r="FY91" s="20"/>
      <c r="FZ91" s="20"/>
      <c r="GA91" s="20"/>
      <c r="GB91" s="20"/>
      <c r="GC91" s="20"/>
      <c r="GD91" s="9"/>
      <c r="GE91" s="9"/>
      <c r="GH91" s="5">
        <v>81</v>
      </c>
      <c r="GI91" s="12"/>
      <c r="GJ91" s="13"/>
      <c r="GK91" s="13"/>
      <c r="GL91" s="13"/>
      <c r="GM91" s="13"/>
      <c r="GN91" s="14"/>
      <c r="GO91" s="15"/>
      <c r="GP91" s="15"/>
      <c r="GQ91" s="15"/>
      <c r="GR91" s="15"/>
      <c r="GS91" s="15"/>
      <c r="GT91" s="15"/>
      <c r="GU91" s="15"/>
      <c r="GV91" s="15"/>
      <c r="GW91" s="15"/>
      <c r="GX91" s="15"/>
      <c r="GY91" s="15"/>
      <c r="GZ91" s="15"/>
      <c r="HA91" s="15"/>
      <c r="HB91" s="6"/>
      <c r="HC91" s="6"/>
      <c r="HE91" s="8">
        <v>20</v>
      </c>
      <c r="HF91" s="17"/>
      <c r="HG91" s="18"/>
      <c r="HH91" s="18"/>
      <c r="HI91" s="18"/>
      <c r="HJ91" s="18"/>
      <c r="HK91" s="19"/>
      <c r="HL91" s="20"/>
      <c r="HM91" s="20"/>
      <c r="HN91" s="20"/>
      <c r="HO91" s="20"/>
      <c r="HP91" s="20"/>
      <c r="HQ91" s="20"/>
      <c r="HR91" s="20"/>
      <c r="HS91" s="20"/>
      <c r="HT91" s="20"/>
      <c r="HU91" s="20"/>
      <c r="HV91" s="20"/>
      <c r="HW91" s="20"/>
      <c r="HX91" s="20"/>
      <c r="HY91" s="9"/>
      <c r="HZ91" s="9"/>
    </row>
    <row r="92" customHeight="1" spans="2:234">
      <c r="B92" s="8">
        <v>82</v>
      </c>
      <c r="C92" s="17"/>
      <c r="D92" s="18"/>
      <c r="E92" s="18"/>
      <c r="F92" s="18"/>
      <c r="G92" s="18"/>
      <c r="H92" s="19"/>
      <c r="I92" s="20"/>
      <c r="J92" s="20"/>
      <c r="K92" s="20"/>
      <c r="L92" s="20"/>
      <c r="M92" s="20"/>
      <c r="N92" s="20"/>
      <c r="O92" s="20"/>
      <c r="P92" s="20"/>
      <c r="Q92" s="20"/>
      <c r="R92" s="20"/>
      <c r="S92" s="20"/>
      <c r="T92" s="20"/>
      <c r="U92" s="20"/>
      <c r="V92" s="9"/>
      <c r="W92" s="9"/>
      <c r="Y92" s="5">
        <v>21</v>
      </c>
      <c r="Z92" s="12"/>
      <c r="AA92" s="13"/>
      <c r="AB92" s="13"/>
      <c r="AC92" s="13"/>
      <c r="AD92" s="13"/>
      <c r="AE92" s="14"/>
      <c r="AF92" s="15"/>
      <c r="AG92" s="15"/>
      <c r="AH92" s="15"/>
      <c r="AI92" s="15"/>
      <c r="AJ92" s="15"/>
      <c r="AK92" s="15"/>
      <c r="AL92" s="15"/>
      <c r="AM92" s="15"/>
      <c r="AN92" s="15"/>
      <c r="AO92" s="15"/>
      <c r="AP92" s="15"/>
      <c r="AQ92" s="15"/>
      <c r="AR92" s="15"/>
      <c r="AS92" s="6"/>
      <c r="AT92" s="6"/>
      <c r="AW92" s="8">
        <v>82</v>
      </c>
      <c r="AX92" s="17"/>
      <c r="AY92" s="18"/>
      <c r="AZ92" s="18"/>
      <c r="BA92" s="18"/>
      <c r="BB92" s="18"/>
      <c r="BC92" s="19"/>
      <c r="BD92" s="20"/>
      <c r="BE92" s="20"/>
      <c r="BF92" s="20"/>
      <c r="BG92" s="20"/>
      <c r="BH92" s="20"/>
      <c r="BI92" s="20"/>
      <c r="BJ92" s="20"/>
      <c r="BK92" s="20"/>
      <c r="BL92" s="20"/>
      <c r="BM92" s="20"/>
      <c r="BN92" s="20"/>
      <c r="BO92" s="20"/>
      <c r="BP92" s="20"/>
      <c r="BQ92" s="9"/>
      <c r="BR92" s="9"/>
      <c r="BT92" s="5">
        <v>21</v>
      </c>
      <c r="BU92" s="12"/>
      <c r="BV92" s="13"/>
      <c r="BW92" s="13"/>
      <c r="BX92" s="13"/>
      <c r="BY92" s="13"/>
      <c r="BZ92" s="14"/>
      <c r="CA92" s="15"/>
      <c r="CB92" s="15"/>
      <c r="CC92" s="15"/>
      <c r="CD92" s="15"/>
      <c r="CE92" s="15"/>
      <c r="CF92" s="15"/>
      <c r="CG92" s="15"/>
      <c r="CH92" s="15"/>
      <c r="CI92" s="15"/>
      <c r="CJ92" s="15"/>
      <c r="CK92" s="15"/>
      <c r="CL92" s="15"/>
      <c r="CM92" s="15"/>
      <c r="CN92" s="6"/>
      <c r="CO92" s="6"/>
      <c r="CR92" s="8">
        <v>82</v>
      </c>
      <c r="CS92" s="17"/>
      <c r="CT92" s="18"/>
      <c r="CU92" s="18"/>
      <c r="CV92" s="18"/>
      <c r="CW92" s="18"/>
      <c r="CX92" s="19"/>
      <c r="CY92" s="20"/>
      <c r="CZ92" s="20"/>
      <c r="DA92" s="20"/>
      <c r="DB92" s="20"/>
      <c r="DC92" s="20"/>
      <c r="DD92" s="20"/>
      <c r="DE92" s="20"/>
      <c r="DF92" s="20"/>
      <c r="DG92" s="20"/>
      <c r="DH92" s="20"/>
      <c r="DI92" s="20"/>
      <c r="DJ92" s="20"/>
      <c r="DK92" s="20"/>
      <c r="DL92" s="9"/>
      <c r="DM92" s="9"/>
      <c r="DO92" s="5">
        <v>21</v>
      </c>
      <c r="DP92" s="12"/>
      <c r="DQ92" s="13"/>
      <c r="DR92" s="13"/>
      <c r="DS92" s="13"/>
      <c r="DT92" s="13"/>
      <c r="DU92" s="14"/>
      <c r="DV92" s="15"/>
      <c r="DW92" s="15"/>
      <c r="DX92" s="15"/>
      <c r="DY92" s="15"/>
      <c r="DZ92" s="15"/>
      <c r="EA92" s="15"/>
      <c r="EB92" s="15"/>
      <c r="EC92" s="15"/>
      <c r="ED92" s="15"/>
      <c r="EE92" s="15"/>
      <c r="EF92" s="15"/>
      <c r="EG92" s="15"/>
      <c r="EH92" s="15"/>
      <c r="EI92" s="6"/>
      <c r="EJ92" s="6"/>
      <c r="EM92" s="8">
        <v>82</v>
      </c>
      <c r="EN92" s="17"/>
      <c r="EO92" s="18"/>
      <c r="EP92" s="18"/>
      <c r="EQ92" s="18"/>
      <c r="ER92" s="18"/>
      <c r="ES92" s="19"/>
      <c r="ET92" s="20"/>
      <c r="EU92" s="20"/>
      <c r="EV92" s="20"/>
      <c r="EW92" s="20"/>
      <c r="EX92" s="20"/>
      <c r="EY92" s="20"/>
      <c r="EZ92" s="20"/>
      <c r="FA92" s="20"/>
      <c r="FB92" s="20"/>
      <c r="FC92" s="20"/>
      <c r="FD92" s="20"/>
      <c r="FE92" s="20"/>
      <c r="FF92" s="20"/>
      <c r="FG92" s="9"/>
      <c r="FH92" s="9"/>
      <c r="FJ92" s="5">
        <v>21</v>
      </c>
      <c r="FK92" s="12"/>
      <c r="FL92" s="13"/>
      <c r="FM92" s="13"/>
      <c r="FN92" s="13"/>
      <c r="FO92" s="13"/>
      <c r="FP92" s="14"/>
      <c r="FQ92" s="15"/>
      <c r="FR92" s="15"/>
      <c r="FS92" s="15"/>
      <c r="FT92" s="15"/>
      <c r="FU92" s="15"/>
      <c r="FV92" s="15"/>
      <c r="FW92" s="15"/>
      <c r="FX92" s="15"/>
      <c r="FY92" s="15"/>
      <c r="FZ92" s="15"/>
      <c r="GA92" s="15"/>
      <c r="GB92" s="15"/>
      <c r="GC92" s="15"/>
      <c r="GD92" s="6"/>
      <c r="GE92" s="6"/>
      <c r="GH92" s="8">
        <v>82</v>
      </c>
      <c r="GI92" s="17"/>
      <c r="GJ92" s="18"/>
      <c r="GK92" s="18"/>
      <c r="GL92" s="18"/>
      <c r="GM92" s="18"/>
      <c r="GN92" s="19"/>
      <c r="GO92" s="20"/>
      <c r="GP92" s="20"/>
      <c r="GQ92" s="20"/>
      <c r="GR92" s="20"/>
      <c r="GS92" s="20"/>
      <c r="GT92" s="20"/>
      <c r="GU92" s="20"/>
      <c r="GV92" s="20"/>
      <c r="GW92" s="20"/>
      <c r="GX92" s="20"/>
      <c r="GY92" s="20"/>
      <c r="GZ92" s="20"/>
      <c r="HA92" s="20"/>
      <c r="HB92" s="9"/>
      <c r="HC92" s="9"/>
      <c r="HE92" s="5">
        <v>21</v>
      </c>
      <c r="HF92" s="12"/>
      <c r="HG92" s="13"/>
      <c r="HH92" s="13"/>
      <c r="HI92" s="13"/>
      <c r="HJ92" s="13"/>
      <c r="HK92" s="14"/>
      <c r="HL92" s="15"/>
      <c r="HM92" s="15"/>
      <c r="HN92" s="15"/>
      <c r="HO92" s="15"/>
      <c r="HP92" s="15"/>
      <c r="HQ92" s="15"/>
      <c r="HR92" s="15"/>
      <c r="HS92" s="15"/>
      <c r="HT92" s="15"/>
      <c r="HU92" s="15"/>
      <c r="HV92" s="15"/>
      <c r="HW92" s="15"/>
      <c r="HX92" s="15"/>
      <c r="HY92" s="6"/>
      <c r="HZ92" s="6"/>
    </row>
    <row r="93" customHeight="1" spans="2:234">
      <c r="B93" s="5">
        <v>83</v>
      </c>
      <c r="C93" s="12"/>
      <c r="D93" s="13"/>
      <c r="E93" s="13"/>
      <c r="F93" s="13"/>
      <c r="G93" s="13"/>
      <c r="H93" s="14"/>
      <c r="I93" s="15"/>
      <c r="J93" s="15"/>
      <c r="K93" s="15"/>
      <c r="L93" s="15"/>
      <c r="M93" s="15"/>
      <c r="N93" s="15"/>
      <c r="O93" s="15"/>
      <c r="P93" s="15"/>
      <c r="Q93" s="15"/>
      <c r="R93" s="15"/>
      <c r="S93" s="15"/>
      <c r="T93" s="15"/>
      <c r="U93" s="15"/>
      <c r="V93" s="6"/>
      <c r="W93" s="6"/>
      <c r="Y93" s="8">
        <v>22</v>
      </c>
      <c r="Z93" s="17"/>
      <c r="AA93" s="18"/>
      <c r="AB93" s="18"/>
      <c r="AC93" s="18"/>
      <c r="AD93" s="18"/>
      <c r="AE93" s="19"/>
      <c r="AF93" s="20"/>
      <c r="AG93" s="20"/>
      <c r="AH93" s="20"/>
      <c r="AI93" s="20"/>
      <c r="AJ93" s="20"/>
      <c r="AK93" s="20"/>
      <c r="AL93" s="20"/>
      <c r="AM93" s="20"/>
      <c r="AN93" s="20"/>
      <c r="AO93" s="20"/>
      <c r="AP93" s="20"/>
      <c r="AQ93" s="20"/>
      <c r="AR93" s="20"/>
      <c r="AS93" s="9"/>
      <c r="AT93" s="9"/>
      <c r="AW93" s="5">
        <v>83</v>
      </c>
      <c r="AX93" s="12"/>
      <c r="AY93" s="13"/>
      <c r="AZ93" s="13"/>
      <c r="BA93" s="13"/>
      <c r="BB93" s="13"/>
      <c r="BC93" s="14"/>
      <c r="BD93" s="15"/>
      <c r="BE93" s="15"/>
      <c r="BF93" s="15"/>
      <c r="BG93" s="15"/>
      <c r="BH93" s="15"/>
      <c r="BI93" s="15"/>
      <c r="BJ93" s="15"/>
      <c r="BK93" s="15"/>
      <c r="BL93" s="15"/>
      <c r="BM93" s="15"/>
      <c r="BN93" s="15"/>
      <c r="BO93" s="15"/>
      <c r="BP93" s="15"/>
      <c r="BQ93" s="6"/>
      <c r="BR93" s="6"/>
      <c r="BT93" s="8">
        <v>22</v>
      </c>
      <c r="BU93" s="17"/>
      <c r="BV93" s="18"/>
      <c r="BW93" s="18"/>
      <c r="BX93" s="18"/>
      <c r="BY93" s="18"/>
      <c r="BZ93" s="19"/>
      <c r="CA93" s="20"/>
      <c r="CB93" s="20"/>
      <c r="CC93" s="20"/>
      <c r="CD93" s="20"/>
      <c r="CE93" s="20"/>
      <c r="CF93" s="20"/>
      <c r="CG93" s="20"/>
      <c r="CH93" s="20"/>
      <c r="CI93" s="20"/>
      <c r="CJ93" s="20"/>
      <c r="CK93" s="20"/>
      <c r="CL93" s="20"/>
      <c r="CM93" s="20"/>
      <c r="CN93" s="9"/>
      <c r="CO93" s="9"/>
      <c r="CR93" s="5">
        <v>83</v>
      </c>
      <c r="CS93" s="12"/>
      <c r="CT93" s="13"/>
      <c r="CU93" s="13"/>
      <c r="CV93" s="13"/>
      <c r="CW93" s="13"/>
      <c r="CX93" s="14"/>
      <c r="CY93" s="15"/>
      <c r="CZ93" s="15"/>
      <c r="DA93" s="15"/>
      <c r="DB93" s="15"/>
      <c r="DC93" s="15"/>
      <c r="DD93" s="15"/>
      <c r="DE93" s="15"/>
      <c r="DF93" s="15"/>
      <c r="DG93" s="15"/>
      <c r="DH93" s="15"/>
      <c r="DI93" s="15"/>
      <c r="DJ93" s="15"/>
      <c r="DK93" s="15"/>
      <c r="DL93" s="6"/>
      <c r="DM93" s="6"/>
      <c r="DO93" s="8">
        <v>22</v>
      </c>
      <c r="DP93" s="17"/>
      <c r="DQ93" s="18"/>
      <c r="DR93" s="18"/>
      <c r="DS93" s="18"/>
      <c r="DT93" s="18"/>
      <c r="DU93" s="19"/>
      <c r="DV93" s="20"/>
      <c r="DW93" s="20"/>
      <c r="DX93" s="20"/>
      <c r="DY93" s="20"/>
      <c r="DZ93" s="20"/>
      <c r="EA93" s="20"/>
      <c r="EB93" s="20"/>
      <c r="EC93" s="20"/>
      <c r="ED93" s="20"/>
      <c r="EE93" s="20"/>
      <c r="EF93" s="20"/>
      <c r="EG93" s="20"/>
      <c r="EH93" s="20"/>
      <c r="EI93" s="9"/>
      <c r="EJ93" s="9"/>
      <c r="EM93" s="5">
        <v>83</v>
      </c>
      <c r="EN93" s="12"/>
      <c r="EO93" s="13"/>
      <c r="EP93" s="13"/>
      <c r="EQ93" s="13"/>
      <c r="ER93" s="13"/>
      <c r="ES93" s="14"/>
      <c r="ET93" s="15"/>
      <c r="EU93" s="15"/>
      <c r="EV93" s="15"/>
      <c r="EW93" s="15"/>
      <c r="EX93" s="15"/>
      <c r="EY93" s="15"/>
      <c r="EZ93" s="15"/>
      <c r="FA93" s="15"/>
      <c r="FB93" s="15"/>
      <c r="FC93" s="15"/>
      <c r="FD93" s="15"/>
      <c r="FE93" s="15"/>
      <c r="FF93" s="15"/>
      <c r="FG93" s="6"/>
      <c r="FH93" s="6"/>
      <c r="FJ93" s="8">
        <v>22</v>
      </c>
      <c r="FK93" s="17"/>
      <c r="FL93" s="18"/>
      <c r="FM93" s="18"/>
      <c r="FN93" s="18"/>
      <c r="FO93" s="18"/>
      <c r="FP93" s="19"/>
      <c r="FQ93" s="20"/>
      <c r="FR93" s="20"/>
      <c r="FS93" s="20"/>
      <c r="FT93" s="20"/>
      <c r="FU93" s="20"/>
      <c r="FV93" s="20"/>
      <c r="FW93" s="20"/>
      <c r="FX93" s="20"/>
      <c r="FY93" s="20"/>
      <c r="FZ93" s="20"/>
      <c r="GA93" s="20"/>
      <c r="GB93" s="20"/>
      <c r="GC93" s="20"/>
      <c r="GD93" s="9"/>
      <c r="GE93" s="9"/>
      <c r="GH93" s="5">
        <v>83</v>
      </c>
      <c r="GI93" s="12"/>
      <c r="GJ93" s="13"/>
      <c r="GK93" s="13"/>
      <c r="GL93" s="13"/>
      <c r="GM93" s="13"/>
      <c r="GN93" s="14"/>
      <c r="GO93" s="15"/>
      <c r="GP93" s="15"/>
      <c r="GQ93" s="15"/>
      <c r="GR93" s="15"/>
      <c r="GS93" s="15"/>
      <c r="GT93" s="15"/>
      <c r="GU93" s="15"/>
      <c r="GV93" s="15"/>
      <c r="GW93" s="15"/>
      <c r="GX93" s="15"/>
      <c r="GY93" s="15"/>
      <c r="GZ93" s="15"/>
      <c r="HA93" s="15"/>
      <c r="HB93" s="6"/>
      <c r="HC93" s="6"/>
      <c r="HE93" s="8">
        <v>22</v>
      </c>
      <c r="HF93" s="17"/>
      <c r="HG93" s="18"/>
      <c r="HH93" s="18"/>
      <c r="HI93" s="18"/>
      <c r="HJ93" s="18"/>
      <c r="HK93" s="19"/>
      <c r="HL93" s="20"/>
      <c r="HM93" s="20"/>
      <c r="HN93" s="20"/>
      <c r="HO93" s="20"/>
      <c r="HP93" s="20"/>
      <c r="HQ93" s="20"/>
      <c r="HR93" s="20"/>
      <c r="HS93" s="20"/>
      <c r="HT93" s="20"/>
      <c r="HU93" s="20"/>
      <c r="HV93" s="20"/>
      <c r="HW93" s="20"/>
      <c r="HX93" s="20"/>
      <c r="HY93" s="9"/>
      <c r="HZ93" s="9"/>
    </row>
    <row r="94" customHeight="1" spans="2:234">
      <c r="B94" s="8">
        <v>84</v>
      </c>
      <c r="C94" s="17"/>
      <c r="D94" s="18"/>
      <c r="E94" s="18"/>
      <c r="F94" s="18"/>
      <c r="G94" s="18"/>
      <c r="H94" s="19"/>
      <c r="I94" s="20"/>
      <c r="J94" s="20"/>
      <c r="K94" s="20"/>
      <c r="L94" s="20"/>
      <c r="M94" s="20"/>
      <c r="N94" s="20"/>
      <c r="O94" s="20"/>
      <c r="P94" s="20"/>
      <c r="Q94" s="20"/>
      <c r="R94" s="20"/>
      <c r="S94" s="20"/>
      <c r="T94" s="20"/>
      <c r="U94" s="20"/>
      <c r="V94" s="9"/>
      <c r="W94" s="9"/>
      <c r="Y94" s="5">
        <v>23</v>
      </c>
      <c r="Z94" s="12"/>
      <c r="AA94" s="13"/>
      <c r="AB94" s="13"/>
      <c r="AC94" s="13"/>
      <c r="AD94" s="13"/>
      <c r="AE94" s="14"/>
      <c r="AF94" s="15"/>
      <c r="AG94" s="15"/>
      <c r="AH94" s="15"/>
      <c r="AI94" s="15"/>
      <c r="AJ94" s="15"/>
      <c r="AK94" s="15"/>
      <c r="AL94" s="15"/>
      <c r="AM94" s="15"/>
      <c r="AN94" s="15"/>
      <c r="AO94" s="15"/>
      <c r="AP94" s="15"/>
      <c r="AQ94" s="15"/>
      <c r="AR94" s="15"/>
      <c r="AS94" s="6"/>
      <c r="AT94" s="6"/>
      <c r="AW94" s="8">
        <v>84</v>
      </c>
      <c r="AX94" s="17"/>
      <c r="AY94" s="18"/>
      <c r="AZ94" s="18"/>
      <c r="BA94" s="18"/>
      <c r="BB94" s="18"/>
      <c r="BC94" s="19"/>
      <c r="BD94" s="20"/>
      <c r="BE94" s="20"/>
      <c r="BF94" s="20"/>
      <c r="BG94" s="20"/>
      <c r="BH94" s="20"/>
      <c r="BI94" s="20"/>
      <c r="BJ94" s="20"/>
      <c r="BK94" s="20"/>
      <c r="BL94" s="20"/>
      <c r="BM94" s="20"/>
      <c r="BN94" s="20"/>
      <c r="BO94" s="20"/>
      <c r="BP94" s="20"/>
      <c r="BQ94" s="9"/>
      <c r="BR94" s="9"/>
      <c r="BT94" s="5">
        <v>23</v>
      </c>
      <c r="BU94" s="12"/>
      <c r="BV94" s="13"/>
      <c r="BW94" s="13"/>
      <c r="BX94" s="13"/>
      <c r="BY94" s="13"/>
      <c r="BZ94" s="14"/>
      <c r="CA94" s="15"/>
      <c r="CB94" s="15"/>
      <c r="CC94" s="15"/>
      <c r="CD94" s="15"/>
      <c r="CE94" s="15"/>
      <c r="CF94" s="15"/>
      <c r="CG94" s="15"/>
      <c r="CH94" s="15"/>
      <c r="CI94" s="15"/>
      <c r="CJ94" s="15"/>
      <c r="CK94" s="15"/>
      <c r="CL94" s="15"/>
      <c r="CM94" s="15"/>
      <c r="CN94" s="6"/>
      <c r="CO94" s="6"/>
      <c r="CR94" s="8">
        <v>84</v>
      </c>
      <c r="CS94" s="17"/>
      <c r="CT94" s="18"/>
      <c r="CU94" s="18"/>
      <c r="CV94" s="18"/>
      <c r="CW94" s="18"/>
      <c r="CX94" s="19"/>
      <c r="CY94" s="20"/>
      <c r="CZ94" s="20"/>
      <c r="DA94" s="20"/>
      <c r="DB94" s="20"/>
      <c r="DC94" s="20"/>
      <c r="DD94" s="20"/>
      <c r="DE94" s="20"/>
      <c r="DF94" s="20"/>
      <c r="DG94" s="20"/>
      <c r="DH94" s="20"/>
      <c r="DI94" s="20"/>
      <c r="DJ94" s="20"/>
      <c r="DK94" s="20"/>
      <c r="DL94" s="9"/>
      <c r="DM94" s="9"/>
      <c r="DO94" s="5">
        <v>23</v>
      </c>
      <c r="DP94" s="12"/>
      <c r="DQ94" s="13"/>
      <c r="DR94" s="13"/>
      <c r="DS94" s="13"/>
      <c r="DT94" s="13"/>
      <c r="DU94" s="14"/>
      <c r="DV94" s="15"/>
      <c r="DW94" s="15"/>
      <c r="DX94" s="15"/>
      <c r="DY94" s="15"/>
      <c r="DZ94" s="15"/>
      <c r="EA94" s="15"/>
      <c r="EB94" s="15"/>
      <c r="EC94" s="15"/>
      <c r="ED94" s="15"/>
      <c r="EE94" s="15"/>
      <c r="EF94" s="15"/>
      <c r="EG94" s="15"/>
      <c r="EH94" s="15"/>
      <c r="EI94" s="6"/>
      <c r="EJ94" s="6"/>
      <c r="EM94" s="8">
        <v>84</v>
      </c>
      <c r="EN94" s="17"/>
      <c r="EO94" s="18"/>
      <c r="EP94" s="18"/>
      <c r="EQ94" s="18"/>
      <c r="ER94" s="18"/>
      <c r="ES94" s="19"/>
      <c r="ET94" s="20"/>
      <c r="EU94" s="20"/>
      <c r="EV94" s="20"/>
      <c r="EW94" s="20"/>
      <c r="EX94" s="20"/>
      <c r="EY94" s="20"/>
      <c r="EZ94" s="20"/>
      <c r="FA94" s="20"/>
      <c r="FB94" s="20"/>
      <c r="FC94" s="20"/>
      <c r="FD94" s="20"/>
      <c r="FE94" s="20"/>
      <c r="FF94" s="20"/>
      <c r="FG94" s="9"/>
      <c r="FH94" s="9"/>
      <c r="FJ94" s="5">
        <v>23</v>
      </c>
      <c r="FK94" s="12"/>
      <c r="FL94" s="13"/>
      <c r="FM94" s="13"/>
      <c r="FN94" s="13"/>
      <c r="FO94" s="13"/>
      <c r="FP94" s="14"/>
      <c r="FQ94" s="15"/>
      <c r="FR94" s="15"/>
      <c r="FS94" s="15"/>
      <c r="FT94" s="15"/>
      <c r="FU94" s="15"/>
      <c r="FV94" s="15"/>
      <c r="FW94" s="15"/>
      <c r="FX94" s="15"/>
      <c r="FY94" s="15"/>
      <c r="FZ94" s="15"/>
      <c r="GA94" s="15"/>
      <c r="GB94" s="15"/>
      <c r="GC94" s="15"/>
      <c r="GD94" s="6"/>
      <c r="GE94" s="6"/>
      <c r="GH94" s="8">
        <v>84</v>
      </c>
      <c r="GI94" s="17"/>
      <c r="GJ94" s="18"/>
      <c r="GK94" s="18"/>
      <c r="GL94" s="18"/>
      <c r="GM94" s="18"/>
      <c r="GN94" s="19"/>
      <c r="GO94" s="20"/>
      <c r="GP94" s="20"/>
      <c r="GQ94" s="20"/>
      <c r="GR94" s="20"/>
      <c r="GS94" s="20"/>
      <c r="GT94" s="20"/>
      <c r="GU94" s="20"/>
      <c r="GV94" s="20"/>
      <c r="GW94" s="20"/>
      <c r="GX94" s="20"/>
      <c r="GY94" s="20"/>
      <c r="GZ94" s="20"/>
      <c r="HA94" s="20"/>
      <c r="HB94" s="9"/>
      <c r="HC94" s="9"/>
      <c r="HE94" s="5">
        <v>23</v>
      </c>
      <c r="HF94" s="12"/>
      <c r="HG94" s="13"/>
      <c r="HH94" s="13"/>
      <c r="HI94" s="13"/>
      <c r="HJ94" s="13"/>
      <c r="HK94" s="14"/>
      <c r="HL94" s="15"/>
      <c r="HM94" s="15"/>
      <c r="HN94" s="15"/>
      <c r="HO94" s="15"/>
      <c r="HP94" s="15"/>
      <c r="HQ94" s="15"/>
      <c r="HR94" s="15"/>
      <c r="HS94" s="15"/>
      <c r="HT94" s="15"/>
      <c r="HU94" s="15"/>
      <c r="HV94" s="15"/>
      <c r="HW94" s="15"/>
      <c r="HX94" s="15"/>
      <c r="HY94" s="6"/>
      <c r="HZ94" s="6"/>
    </row>
    <row r="95" customHeight="1" spans="2:234">
      <c r="B95" s="5">
        <v>85</v>
      </c>
      <c r="C95" s="12"/>
      <c r="D95" s="13"/>
      <c r="E95" s="13"/>
      <c r="F95" s="13"/>
      <c r="G95" s="13"/>
      <c r="H95" s="14"/>
      <c r="I95" s="15"/>
      <c r="J95" s="15"/>
      <c r="K95" s="15"/>
      <c r="L95" s="15"/>
      <c r="M95" s="15"/>
      <c r="N95" s="15"/>
      <c r="O95" s="15"/>
      <c r="P95" s="15"/>
      <c r="Q95" s="15"/>
      <c r="R95" s="15"/>
      <c r="S95" s="15"/>
      <c r="T95" s="15"/>
      <c r="U95" s="15"/>
      <c r="V95" s="6"/>
      <c r="W95" s="6"/>
      <c r="Y95" s="8">
        <v>24</v>
      </c>
      <c r="Z95" s="17"/>
      <c r="AA95" s="18"/>
      <c r="AB95" s="18"/>
      <c r="AC95" s="18"/>
      <c r="AD95" s="18"/>
      <c r="AE95" s="19"/>
      <c r="AF95" s="20"/>
      <c r="AG95" s="20"/>
      <c r="AH95" s="20"/>
      <c r="AI95" s="20"/>
      <c r="AJ95" s="20"/>
      <c r="AK95" s="20"/>
      <c r="AL95" s="20"/>
      <c r="AM95" s="20"/>
      <c r="AN95" s="20"/>
      <c r="AO95" s="20"/>
      <c r="AP95" s="20"/>
      <c r="AQ95" s="20"/>
      <c r="AR95" s="20"/>
      <c r="AS95" s="9"/>
      <c r="AT95" s="9"/>
      <c r="AW95" s="5">
        <v>85</v>
      </c>
      <c r="AX95" s="12"/>
      <c r="AY95" s="13"/>
      <c r="AZ95" s="13"/>
      <c r="BA95" s="13"/>
      <c r="BB95" s="13"/>
      <c r="BC95" s="14"/>
      <c r="BD95" s="15"/>
      <c r="BE95" s="15"/>
      <c r="BF95" s="15"/>
      <c r="BG95" s="15"/>
      <c r="BH95" s="15"/>
      <c r="BI95" s="15"/>
      <c r="BJ95" s="15"/>
      <c r="BK95" s="15"/>
      <c r="BL95" s="15"/>
      <c r="BM95" s="15"/>
      <c r="BN95" s="15"/>
      <c r="BO95" s="15"/>
      <c r="BP95" s="15"/>
      <c r="BQ95" s="6"/>
      <c r="BR95" s="6"/>
      <c r="BT95" s="8">
        <v>24</v>
      </c>
      <c r="BU95" s="17"/>
      <c r="BV95" s="18"/>
      <c r="BW95" s="18"/>
      <c r="BX95" s="18"/>
      <c r="BY95" s="18"/>
      <c r="BZ95" s="19"/>
      <c r="CA95" s="20"/>
      <c r="CB95" s="20"/>
      <c r="CC95" s="20"/>
      <c r="CD95" s="20"/>
      <c r="CE95" s="20"/>
      <c r="CF95" s="20"/>
      <c r="CG95" s="20"/>
      <c r="CH95" s="20"/>
      <c r="CI95" s="20"/>
      <c r="CJ95" s="20"/>
      <c r="CK95" s="20"/>
      <c r="CL95" s="20"/>
      <c r="CM95" s="20"/>
      <c r="CN95" s="9"/>
      <c r="CO95" s="9"/>
      <c r="CR95" s="5">
        <v>85</v>
      </c>
      <c r="CS95" s="12"/>
      <c r="CT95" s="13"/>
      <c r="CU95" s="13"/>
      <c r="CV95" s="13"/>
      <c r="CW95" s="13"/>
      <c r="CX95" s="14"/>
      <c r="CY95" s="15"/>
      <c r="CZ95" s="15"/>
      <c r="DA95" s="15"/>
      <c r="DB95" s="15"/>
      <c r="DC95" s="15"/>
      <c r="DD95" s="15"/>
      <c r="DE95" s="15"/>
      <c r="DF95" s="15"/>
      <c r="DG95" s="15"/>
      <c r="DH95" s="15"/>
      <c r="DI95" s="15"/>
      <c r="DJ95" s="15"/>
      <c r="DK95" s="15"/>
      <c r="DL95" s="6"/>
      <c r="DM95" s="6"/>
      <c r="DO95" s="8">
        <v>24</v>
      </c>
      <c r="DP95" s="17"/>
      <c r="DQ95" s="18"/>
      <c r="DR95" s="18"/>
      <c r="DS95" s="18"/>
      <c r="DT95" s="18"/>
      <c r="DU95" s="19"/>
      <c r="DV95" s="20"/>
      <c r="DW95" s="20"/>
      <c r="DX95" s="20"/>
      <c r="DY95" s="20"/>
      <c r="DZ95" s="20"/>
      <c r="EA95" s="20"/>
      <c r="EB95" s="20"/>
      <c r="EC95" s="20"/>
      <c r="ED95" s="20"/>
      <c r="EE95" s="20"/>
      <c r="EF95" s="20"/>
      <c r="EG95" s="20"/>
      <c r="EH95" s="20"/>
      <c r="EI95" s="9"/>
      <c r="EJ95" s="9"/>
      <c r="EM95" s="5">
        <v>85</v>
      </c>
      <c r="EN95" s="12"/>
      <c r="EO95" s="13"/>
      <c r="EP95" s="13"/>
      <c r="EQ95" s="13"/>
      <c r="ER95" s="13"/>
      <c r="ES95" s="14"/>
      <c r="ET95" s="15"/>
      <c r="EU95" s="15"/>
      <c r="EV95" s="15"/>
      <c r="EW95" s="15"/>
      <c r="EX95" s="15"/>
      <c r="EY95" s="15"/>
      <c r="EZ95" s="15"/>
      <c r="FA95" s="15"/>
      <c r="FB95" s="15"/>
      <c r="FC95" s="15"/>
      <c r="FD95" s="15"/>
      <c r="FE95" s="15"/>
      <c r="FF95" s="15"/>
      <c r="FG95" s="6"/>
      <c r="FH95" s="6"/>
      <c r="FJ95" s="8">
        <v>24</v>
      </c>
      <c r="FK95" s="17"/>
      <c r="FL95" s="18"/>
      <c r="FM95" s="18"/>
      <c r="FN95" s="18"/>
      <c r="FO95" s="18"/>
      <c r="FP95" s="19"/>
      <c r="FQ95" s="20"/>
      <c r="FR95" s="20"/>
      <c r="FS95" s="20"/>
      <c r="FT95" s="20"/>
      <c r="FU95" s="20"/>
      <c r="FV95" s="20"/>
      <c r="FW95" s="20"/>
      <c r="FX95" s="20"/>
      <c r="FY95" s="20"/>
      <c r="FZ95" s="20"/>
      <c r="GA95" s="20"/>
      <c r="GB95" s="20"/>
      <c r="GC95" s="20"/>
      <c r="GD95" s="9"/>
      <c r="GE95" s="9"/>
      <c r="GH95" s="5">
        <v>85</v>
      </c>
      <c r="GI95" s="12"/>
      <c r="GJ95" s="13"/>
      <c r="GK95" s="13"/>
      <c r="GL95" s="13"/>
      <c r="GM95" s="13"/>
      <c r="GN95" s="14"/>
      <c r="GO95" s="15"/>
      <c r="GP95" s="15"/>
      <c r="GQ95" s="15"/>
      <c r="GR95" s="15"/>
      <c r="GS95" s="15"/>
      <c r="GT95" s="15"/>
      <c r="GU95" s="15"/>
      <c r="GV95" s="15"/>
      <c r="GW95" s="15"/>
      <c r="GX95" s="15"/>
      <c r="GY95" s="15"/>
      <c r="GZ95" s="15"/>
      <c r="HA95" s="15"/>
      <c r="HB95" s="6"/>
      <c r="HC95" s="6"/>
      <c r="HE95" s="8">
        <v>24</v>
      </c>
      <c r="HF95" s="17"/>
      <c r="HG95" s="18"/>
      <c r="HH95" s="18"/>
      <c r="HI95" s="18"/>
      <c r="HJ95" s="18"/>
      <c r="HK95" s="19"/>
      <c r="HL95" s="20"/>
      <c r="HM95" s="20"/>
      <c r="HN95" s="20"/>
      <c r="HO95" s="20"/>
      <c r="HP95" s="20"/>
      <c r="HQ95" s="20"/>
      <c r="HR95" s="20"/>
      <c r="HS95" s="20"/>
      <c r="HT95" s="20"/>
      <c r="HU95" s="20"/>
      <c r="HV95" s="20"/>
      <c r="HW95" s="20"/>
      <c r="HX95" s="20"/>
      <c r="HY95" s="9"/>
      <c r="HZ95" s="9"/>
    </row>
    <row r="96" customHeight="1" spans="2:234">
      <c r="B96" s="8">
        <v>86</v>
      </c>
      <c r="C96" s="17"/>
      <c r="D96" s="18"/>
      <c r="E96" s="18"/>
      <c r="F96" s="18"/>
      <c r="G96" s="18"/>
      <c r="H96" s="19"/>
      <c r="I96" s="20"/>
      <c r="J96" s="20"/>
      <c r="K96" s="20"/>
      <c r="L96" s="20"/>
      <c r="M96" s="20"/>
      <c r="N96" s="20"/>
      <c r="O96" s="20"/>
      <c r="P96" s="20"/>
      <c r="Q96" s="20"/>
      <c r="R96" s="20"/>
      <c r="S96" s="20"/>
      <c r="T96" s="20"/>
      <c r="U96" s="20"/>
      <c r="V96" s="9"/>
      <c r="W96" s="9"/>
      <c r="Y96" s="5">
        <v>25</v>
      </c>
      <c r="Z96" s="12"/>
      <c r="AA96" s="13"/>
      <c r="AB96" s="13"/>
      <c r="AC96" s="13"/>
      <c r="AD96" s="13"/>
      <c r="AE96" s="14"/>
      <c r="AF96" s="15"/>
      <c r="AG96" s="15"/>
      <c r="AH96" s="15"/>
      <c r="AI96" s="15"/>
      <c r="AJ96" s="15"/>
      <c r="AK96" s="15"/>
      <c r="AL96" s="15"/>
      <c r="AM96" s="15"/>
      <c r="AN96" s="15"/>
      <c r="AO96" s="15"/>
      <c r="AP96" s="15"/>
      <c r="AQ96" s="15"/>
      <c r="AR96" s="15"/>
      <c r="AS96" s="6"/>
      <c r="AT96" s="6"/>
      <c r="AW96" s="8">
        <v>86</v>
      </c>
      <c r="AX96" s="17"/>
      <c r="AY96" s="18"/>
      <c r="AZ96" s="18"/>
      <c r="BA96" s="18"/>
      <c r="BB96" s="18"/>
      <c r="BC96" s="19"/>
      <c r="BD96" s="20"/>
      <c r="BE96" s="20"/>
      <c r="BF96" s="20"/>
      <c r="BG96" s="20"/>
      <c r="BH96" s="20"/>
      <c r="BI96" s="20"/>
      <c r="BJ96" s="20"/>
      <c r="BK96" s="20"/>
      <c r="BL96" s="20"/>
      <c r="BM96" s="20"/>
      <c r="BN96" s="20"/>
      <c r="BO96" s="20"/>
      <c r="BP96" s="20"/>
      <c r="BQ96" s="9"/>
      <c r="BR96" s="9"/>
      <c r="BT96" s="5">
        <v>25</v>
      </c>
      <c r="BU96" s="12"/>
      <c r="BV96" s="13"/>
      <c r="BW96" s="13"/>
      <c r="BX96" s="13"/>
      <c r="BY96" s="13"/>
      <c r="BZ96" s="14"/>
      <c r="CA96" s="15"/>
      <c r="CB96" s="15"/>
      <c r="CC96" s="15"/>
      <c r="CD96" s="15"/>
      <c r="CE96" s="15"/>
      <c r="CF96" s="15"/>
      <c r="CG96" s="15"/>
      <c r="CH96" s="15"/>
      <c r="CI96" s="15"/>
      <c r="CJ96" s="15"/>
      <c r="CK96" s="15"/>
      <c r="CL96" s="15"/>
      <c r="CM96" s="15"/>
      <c r="CN96" s="6"/>
      <c r="CO96" s="6"/>
      <c r="CR96" s="8">
        <v>86</v>
      </c>
      <c r="CS96" s="17"/>
      <c r="CT96" s="18"/>
      <c r="CU96" s="18"/>
      <c r="CV96" s="18"/>
      <c r="CW96" s="18"/>
      <c r="CX96" s="19"/>
      <c r="CY96" s="20"/>
      <c r="CZ96" s="20"/>
      <c r="DA96" s="20"/>
      <c r="DB96" s="20"/>
      <c r="DC96" s="20"/>
      <c r="DD96" s="20"/>
      <c r="DE96" s="20"/>
      <c r="DF96" s="20"/>
      <c r="DG96" s="20"/>
      <c r="DH96" s="20"/>
      <c r="DI96" s="20"/>
      <c r="DJ96" s="20"/>
      <c r="DK96" s="20"/>
      <c r="DL96" s="9"/>
      <c r="DM96" s="9"/>
      <c r="DO96" s="5">
        <v>25</v>
      </c>
      <c r="DP96" s="12"/>
      <c r="DQ96" s="13"/>
      <c r="DR96" s="13"/>
      <c r="DS96" s="13"/>
      <c r="DT96" s="13"/>
      <c r="DU96" s="14"/>
      <c r="DV96" s="15"/>
      <c r="DW96" s="15"/>
      <c r="DX96" s="15"/>
      <c r="DY96" s="15"/>
      <c r="DZ96" s="15"/>
      <c r="EA96" s="15"/>
      <c r="EB96" s="15"/>
      <c r="EC96" s="15"/>
      <c r="ED96" s="15"/>
      <c r="EE96" s="15"/>
      <c r="EF96" s="15"/>
      <c r="EG96" s="15"/>
      <c r="EH96" s="15"/>
      <c r="EI96" s="6"/>
      <c r="EJ96" s="6"/>
      <c r="EM96" s="8">
        <v>86</v>
      </c>
      <c r="EN96" s="17"/>
      <c r="EO96" s="18"/>
      <c r="EP96" s="18"/>
      <c r="EQ96" s="18"/>
      <c r="ER96" s="18"/>
      <c r="ES96" s="19"/>
      <c r="ET96" s="20"/>
      <c r="EU96" s="20"/>
      <c r="EV96" s="20"/>
      <c r="EW96" s="20"/>
      <c r="EX96" s="20"/>
      <c r="EY96" s="20"/>
      <c r="EZ96" s="20"/>
      <c r="FA96" s="20"/>
      <c r="FB96" s="20"/>
      <c r="FC96" s="20"/>
      <c r="FD96" s="20"/>
      <c r="FE96" s="20"/>
      <c r="FF96" s="20"/>
      <c r="FG96" s="9"/>
      <c r="FH96" s="9"/>
      <c r="FJ96" s="5">
        <v>25</v>
      </c>
      <c r="FK96" s="12"/>
      <c r="FL96" s="13"/>
      <c r="FM96" s="13"/>
      <c r="FN96" s="13"/>
      <c r="FO96" s="13"/>
      <c r="FP96" s="14"/>
      <c r="FQ96" s="15"/>
      <c r="FR96" s="15"/>
      <c r="FS96" s="15"/>
      <c r="FT96" s="15"/>
      <c r="FU96" s="15"/>
      <c r="FV96" s="15"/>
      <c r="FW96" s="15"/>
      <c r="FX96" s="15"/>
      <c r="FY96" s="15"/>
      <c r="FZ96" s="15"/>
      <c r="GA96" s="15"/>
      <c r="GB96" s="15"/>
      <c r="GC96" s="15"/>
      <c r="GD96" s="6"/>
      <c r="GE96" s="6"/>
      <c r="GH96" s="8">
        <v>86</v>
      </c>
      <c r="GI96" s="17"/>
      <c r="GJ96" s="18"/>
      <c r="GK96" s="18"/>
      <c r="GL96" s="18"/>
      <c r="GM96" s="18"/>
      <c r="GN96" s="19"/>
      <c r="GO96" s="20"/>
      <c r="GP96" s="20"/>
      <c r="GQ96" s="20"/>
      <c r="GR96" s="20"/>
      <c r="GS96" s="20"/>
      <c r="GT96" s="20"/>
      <c r="GU96" s="20"/>
      <c r="GV96" s="20"/>
      <c r="GW96" s="20"/>
      <c r="GX96" s="20"/>
      <c r="GY96" s="20"/>
      <c r="GZ96" s="20"/>
      <c r="HA96" s="20"/>
      <c r="HB96" s="9"/>
      <c r="HC96" s="9"/>
      <c r="HE96" s="5">
        <v>25</v>
      </c>
      <c r="HF96" s="12"/>
      <c r="HG96" s="13"/>
      <c r="HH96" s="13"/>
      <c r="HI96" s="13"/>
      <c r="HJ96" s="13"/>
      <c r="HK96" s="14"/>
      <c r="HL96" s="15"/>
      <c r="HM96" s="15"/>
      <c r="HN96" s="15"/>
      <c r="HO96" s="15"/>
      <c r="HP96" s="15"/>
      <c r="HQ96" s="15"/>
      <c r="HR96" s="15"/>
      <c r="HS96" s="15"/>
      <c r="HT96" s="15"/>
      <c r="HU96" s="15"/>
      <c r="HV96" s="15"/>
      <c r="HW96" s="15"/>
      <c r="HX96" s="15"/>
      <c r="HY96" s="6"/>
      <c r="HZ96" s="6"/>
    </row>
    <row r="97" customHeight="1" spans="2:234">
      <c r="B97" s="5">
        <v>87</v>
      </c>
      <c r="C97" s="12"/>
      <c r="D97" s="13"/>
      <c r="E97" s="13"/>
      <c r="F97" s="13"/>
      <c r="G97" s="13"/>
      <c r="H97" s="14"/>
      <c r="I97" s="15"/>
      <c r="J97" s="15"/>
      <c r="K97" s="15"/>
      <c r="L97" s="15"/>
      <c r="M97" s="15"/>
      <c r="N97" s="15"/>
      <c r="O97" s="15"/>
      <c r="P97" s="15"/>
      <c r="Q97" s="15"/>
      <c r="R97" s="15"/>
      <c r="S97" s="15"/>
      <c r="T97" s="15"/>
      <c r="U97" s="15"/>
      <c r="V97" s="6"/>
      <c r="W97" s="6"/>
      <c r="Y97" s="8">
        <v>26</v>
      </c>
      <c r="Z97" s="17"/>
      <c r="AA97" s="18"/>
      <c r="AB97" s="18"/>
      <c r="AC97" s="18"/>
      <c r="AD97" s="18"/>
      <c r="AE97" s="19"/>
      <c r="AF97" s="20"/>
      <c r="AG97" s="20"/>
      <c r="AH97" s="20"/>
      <c r="AI97" s="20"/>
      <c r="AJ97" s="20"/>
      <c r="AK97" s="20"/>
      <c r="AL97" s="20"/>
      <c r="AM97" s="20"/>
      <c r="AN97" s="20"/>
      <c r="AO97" s="20"/>
      <c r="AP97" s="20"/>
      <c r="AQ97" s="20"/>
      <c r="AR97" s="20"/>
      <c r="AS97" s="9"/>
      <c r="AT97" s="9"/>
      <c r="AW97" s="5">
        <v>87</v>
      </c>
      <c r="AX97" s="12"/>
      <c r="AY97" s="13"/>
      <c r="AZ97" s="13"/>
      <c r="BA97" s="13"/>
      <c r="BB97" s="13"/>
      <c r="BC97" s="14"/>
      <c r="BD97" s="15"/>
      <c r="BE97" s="15"/>
      <c r="BF97" s="15"/>
      <c r="BG97" s="15"/>
      <c r="BH97" s="15"/>
      <c r="BI97" s="15"/>
      <c r="BJ97" s="15"/>
      <c r="BK97" s="15"/>
      <c r="BL97" s="15"/>
      <c r="BM97" s="15"/>
      <c r="BN97" s="15"/>
      <c r="BO97" s="15"/>
      <c r="BP97" s="15"/>
      <c r="BQ97" s="6"/>
      <c r="BR97" s="6"/>
      <c r="BT97" s="8">
        <v>26</v>
      </c>
      <c r="BU97" s="17"/>
      <c r="BV97" s="18"/>
      <c r="BW97" s="18"/>
      <c r="BX97" s="18"/>
      <c r="BY97" s="18"/>
      <c r="BZ97" s="19"/>
      <c r="CA97" s="20"/>
      <c r="CB97" s="20"/>
      <c r="CC97" s="20"/>
      <c r="CD97" s="20"/>
      <c r="CE97" s="20"/>
      <c r="CF97" s="20"/>
      <c r="CG97" s="20"/>
      <c r="CH97" s="20"/>
      <c r="CI97" s="20"/>
      <c r="CJ97" s="20"/>
      <c r="CK97" s="20"/>
      <c r="CL97" s="20"/>
      <c r="CM97" s="20"/>
      <c r="CN97" s="9"/>
      <c r="CO97" s="9"/>
      <c r="CR97" s="5">
        <v>87</v>
      </c>
      <c r="CS97" s="12"/>
      <c r="CT97" s="13"/>
      <c r="CU97" s="13"/>
      <c r="CV97" s="13"/>
      <c r="CW97" s="13"/>
      <c r="CX97" s="14"/>
      <c r="CY97" s="15"/>
      <c r="CZ97" s="15"/>
      <c r="DA97" s="15"/>
      <c r="DB97" s="15"/>
      <c r="DC97" s="15"/>
      <c r="DD97" s="15"/>
      <c r="DE97" s="15"/>
      <c r="DF97" s="15"/>
      <c r="DG97" s="15"/>
      <c r="DH97" s="15"/>
      <c r="DI97" s="15"/>
      <c r="DJ97" s="15"/>
      <c r="DK97" s="15"/>
      <c r="DL97" s="6"/>
      <c r="DM97" s="6"/>
      <c r="DO97" s="8">
        <v>26</v>
      </c>
      <c r="DP97" s="17"/>
      <c r="DQ97" s="18"/>
      <c r="DR97" s="18"/>
      <c r="DS97" s="18"/>
      <c r="DT97" s="18"/>
      <c r="DU97" s="19"/>
      <c r="DV97" s="20"/>
      <c r="DW97" s="20"/>
      <c r="DX97" s="20"/>
      <c r="DY97" s="20"/>
      <c r="DZ97" s="20"/>
      <c r="EA97" s="20"/>
      <c r="EB97" s="20"/>
      <c r="EC97" s="20"/>
      <c r="ED97" s="20"/>
      <c r="EE97" s="20"/>
      <c r="EF97" s="20"/>
      <c r="EG97" s="20"/>
      <c r="EH97" s="20"/>
      <c r="EI97" s="9"/>
      <c r="EJ97" s="9"/>
      <c r="EM97" s="5">
        <v>87</v>
      </c>
      <c r="EN97" s="12"/>
      <c r="EO97" s="13"/>
      <c r="EP97" s="13"/>
      <c r="EQ97" s="13"/>
      <c r="ER97" s="13"/>
      <c r="ES97" s="14"/>
      <c r="ET97" s="15"/>
      <c r="EU97" s="15"/>
      <c r="EV97" s="15"/>
      <c r="EW97" s="15"/>
      <c r="EX97" s="15"/>
      <c r="EY97" s="15"/>
      <c r="EZ97" s="15"/>
      <c r="FA97" s="15"/>
      <c r="FB97" s="15"/>
      <c r="FC97" s="15"/>
      <c r="FD97" s="15"/>
      <c r="FE97" s="15"/>
      <c r="FF97" s="15"/>
      <c r="FG97" s="6"/>
      <c r="FH97" s="6"/>
      <c r="FJ97" s="8">
        <v>26</v>
      </c>
      <c r="FK97" s="17"/>
      <c r="FL97" s="18"/>
      <c r="FM97" s="18"/>
      <c r="FN97" s="18"/>
      <c r="FO97" s="18"/>
      <c r="FP97" s="19"/>
      <c r="FQ97" s="20"/>
      <c r="FR97" s="20"/>
      <c r="FS97" s="20"/>
      <c r="FT97" s="20"/>
      <c r="FU97" s="20"/>
      <c r="FV97" s="20"/>
      <c r="FW97" s="20"/>
      <c r="FX97" s="20"/>
      <c r="FY97" s="20"/>
      <c r="FZ97" s="20"/>
      <c r="GA97" s="20"/>
      <c r="GB97" s="20"/>
      <c r="GC97" s="20"/>
      <c r="GD97" s="9"/>
      <c r="GE97" s="9"/>
      <c r="GH97" s="5">
        <v>87</v>
      </c>
      <c r="GI97" s="12"/>
      <c r="GJ97" s="13"/>
      <c r="GK97" s="13"/>
      <c r="GL97" s="13"/>
      <c r="GM97" s="13"/>
      <c r="GN97" s="14"/>
      <c r="GO97" s="15"/>
      <c r="GP97" s="15"/>
      <c r="GQ97" s="15"/>
      <c r="GR97" s="15"/>
      <c r="GS97" s="15"/>
      <c r="GT97" s="15"/>
      <c r="GU97" s="15"/>
      <c r="GV97" s="15"/>
      <c r="GW97" s="15"/>
      <c r="GX97" s="15"/>
      <c r="GY97" s="15"/>
      <c r="GZ97" s="15"/>
      <c r="HA97" s="15"/>
      <c r="HB97" s="6"/>
      <c r="HC97" s="6"/>
      <c r="HE97" s="8">
        <v>26</v>
      </c>
      <c r="HF97" s="17"/>
      <c r="HG97" s="18"/>
      <c r="HH97" s="18"/>
      <c r="HI97" s="18"/>
      <c r="HJ97" s="18"/>
      <c r="HK97" s="19"/>
      <c r="HL97" s="20"/>
      <c r="HM97" s="20"/>
      <c r="HN97" s="20"/>
      <c r="HO97" s="20"/>
      <c r="HP97" s="20"/>
      <c r="HQ97" s="20"/>
      <c r="HR97" s="20"/>
      <c r="HS97" s="20"/>
      <c r="HT97" s="20"/>
      <c r="HU97" s="20"/>
      <c r="HV97" s="20"/>
      <c r="HW97" s="20"/>
      <c r="HX97" s="20"/>
      <c r="HY97" s="9"/>
      <c r="HZ97" s="9"/>
    </row>
    <row r="98" customHeight="1" spans="2:234">
      <c r="B98" s="8">
        <v>88</v>
      </c>
      <c r="C98" s="17"/>
      <c r="D98" s="18"/>
      <c r="E98" s="18"/>
      <c r="F98" s="18"/>
      <c r="G98" s="18"/>
      <c r="H98" s="19"/>
      <c r="I98" s="20"/>
      <c r="J98" s="20"/>
      <c r="K98" s="20"/>
      <c r="L98" s="20"/>
      <c r="M98" s="20"/>
      <c r="N98" s="20"/>
      <c r="O98" s="20"/>
      <c r="P98" s="20"/>
      <c r="Q98" s="20"/>
      <c r="R98" s="20"/>
      <c r="S98" s="20"/>
      <c r="T98" s="20"/>
      <c r="U98" s="20"/>
      <c r="V98" s="9"/>
      <c r="W98" s="9"/>
      <c r="Y98" s="5">
        <v>27</v>
      </c>
      <c r="Z98" s="12"/>
      <c r="AA98" s="13"/>
      <c r="AB98" s="13"/>
      <c r="AC98" s="13"/>
      <c r="AD98" s="13"/>
      <c r="AE98" s="14"/>
      <c r="AF98" s="15"/>
      <c r="AG98" s="15"/>
      <c r="AH98" s="15"/>
      <c r="AI98" s="15"/>
      <c r="AJ98" s="15"/>
      <c r="AK98" s="15"/>
      <c r="AL98" s="15"/>
      <c r="AM98" s="15"/>
      <c r="AN98" s="15"/>
      <c r="AO98" s="15"/>
      <c r="AP98" s="15"/>
      <c r="AQ98" s="15"/>
      <c r="AR98" s="15"/>
      <c r="AS98" s="6"/>
      <c r="AT98" s="6"/>
      <c r="AW98" s="8">
        <v>88</v>
      </c>
      <c r="AX98" s="17"/>
      <c r="AY98" s="18"/>
      <c r="AZ98" s="18"/>
      <c r="BA98" s="18"/>
      <c r="BB98" s="18"/>
      <c r="BC98" s="19"/>
      <c r="BD98" s="20"/>
      <c r="BE98" s="20"/>
      <c r="BF98" s="20"/>
      <c r="BG98" s="20"/>
      <c r="BH98" s="20"/>
      <c r="BI98" s="20"/>
      <c r="BJ98" s="20"/>
      <c r="BK98" s="20"/>
      <c r="BL98" s="20"/>
      <c r="BM98" s="20"/>
      <c r="BN98" s="20"/>
      <c r="BO98" s="20"/>
      <c r="BP98" s="20"/>
      <c r="BQ98" s="9"/>
      <c r="BR98" s="9"/>
      <c r="BT98" s="5">
        <v>27</v>
      </c>
      <c r="BU98" s="12"/>
      <c r="BV98" s="13"/>
      <c r="BW98" s="13"/>
      <c r="BX98" s="13"/>
      <c r="BY98" s="13"/>
      <c r="BZ98" s="14"/>
      <c r="CA98" s="15"/>
      <c r="CB98" s="15"/>
      <c r="CC98" s="15"/>
      <c r="CD98" s="15"/>
      <c r="CE98" s="15"/>
      <c r="CF98" s="15"/>
      <c r="CG98" s="15"/>
      <c r="CH98" s="15"/>
      <c r="CI98" s="15"/>
      <c r="CJ98" s="15"/>
      <c r="CK98" s="15"/>
      <c r="CL98" s="15"/>
      <c r="CM98" s="15"/>
      <c r="CN98" s="6"/>
      <c r="CO98" s="6"/>
      <c r="CR98" s="8">
        <v>88</v>
      </c>
      <c r="CS98" s="17"/>
      <c r="CT98" s="18"/>
      <c r="CU98" s="18"/>
      <c r="CV98" s="18"/>
      <c r="CW98" s="18"/>
      <c r="CX98" s="19"/>
      <c r="CY98" s="20"/>
      <c r="CZ98" s="20"/>
      <c r="DA98" s="20"/>
      <c r="DB98" s="20"/>
      <c r="DC98" s="20"/>
      <c r="DD98" s="20"/>
      <c r="DE98" s="20"/>
      <c r="DF98" s="20"/>
      <c r="DG98" s="20"/>
      <c r="DH98" s="20"/>
      <c r="DI98" s="20"/>
      <c r="DJ98" s="20"/>
      <c r="DK98" s="20"/>
      <c r="DL98" s="9"/>
      <c r="DM98" s="9"/>
      <c r="DO98" s="5">
        <v>27</v>
      </c>
      <c r="DP98" s="12"/>
      <c r="DQ98" s="13"/>
      <c r="DR98" s="13"/>
      <c r="DS98" s="13"/>
      <c r="DT98" s="13"/>
      <c r="DU98" s="14"/>
      <c r="DV98" s="15"/>
      <c r="DW98" s="15"/>
      <c r="DX98" s="15"/>
      <c r="DY98" s="15"/>
      <c r="DZ98" s="15"/>
      <c r="EA98" s="15"/>
      <c r="EB98" s="15"/>
      <c r="EC98" s="15"/>
      <c r="ED98" s="15"/>
      <c r="EE98" s="15"/>
      <c r="EF98" s="15"/>
      <c r="EG98" s="15"/>
      <c r="EH98" s="15"/>
      <c r="EI98" s="6"/>
      <c r="EJ98" s="6"/>
      <c r="EM98" s="8">
        <v>88</v>
      </c>
      <c r="EN98" s="17"/>
      <c r="EO98" s="18"/>
      <c r="EP98" s="18"/>
      <c r="EQ98" s="18"/>
      <c r="ER98" s="18"/>
      <c r="ES98" s="19"/>
      <c r="ET98" s="20"/>
      <c r="EU98" s="20"/>
      <c r="EV98" s="20"/>
      <c r="EW98" s="20"/>
      <c r="EX98" s="20"/>
      <c r="EY98" s="20"/>
      <c r="EZ98" s="20"/>
      <c r="FA98" s="20"/>
      <c r="FB98" s="20"/>
      <c r="FC98" s="20"/>
      <c r="FD98" s="20"/>
      <c r="FE98" s="20"/>
      <c r="FF98" s="20"/>
      <c r="FG98" s="9"/>
      <c r="FH98" s="9"/>
      <c r="FJ98" s="5">
        <v>27</v>
      </c>
      <c r="FK98" s="12"/>
      <c r="FL98" s="13"/>
      <c r="FM98" s="13"/>
      <c r="FN98" s="13"/>
      <c r="FO98" s="13"/>
      <c r="FP98" s="14"/>
      <c r="FQ98" s="15"/>
      <c r="FR98" s="15"/>
      <c r="FS98" s="15"/>
      <c r="FT98" s="15"/>
      <c r="FU98" s="15"/>
      <c r="FV98" s="15"/>
      <c r="FW98" s="15"/>
      <c r="FX98" s="15"/>
      <c r="FY98" s="15"/>
      <c r="FZ98" s="15"/>
      <c r="GA98" s="15"/>
      <c r="GB98" s="15"/>
      <c r="GC98" s="15"/>
      <c r="GD98" s="6"/>
      <c r="GE98" s="6"/>
      <c r="GH98" s="8">
        <v>88</v>
      </c>
      <c r="GI98" s="17"/>
      <c r="GJ98" s="18"/>
      <c r="GK98" s="18"/>
      <c r="GL98" s="18"/>
      <c r="GM98" s="18"/>
      <c r="GN98" s="19"/>
      <c r="GO98" s="20"/>
      <c r="GP98" s="20"/>
      <c r="GQ98" s="20"/>
      <c r="GR98" s="20"/>
      <c r="GS98" s="20"/>
      <c r="GT98" s="20"/>
      <c r="GU98" s="20"/>
      <c r="GV98" s="20"/>
      <c r="GW98" s="20"/>
      <c r="GX98" s="20"/>
      <c r="GY98" s="20"/>
      <c r="GZ98" s="20"/>
      <c r="HA98" s="20"/>
      <c r="HB98" s="9"/>
      <c r="HC98" s="9"/>
      <c r="HE98" s="5">
        <v>27</v>
      </c>
      <c r="HF98" s="12"/>
      <c r="HG98" s="13"/>
      <c r="HH98" s="13"/>
      <c r="HI98" s="13"/>
      <c r="HJ98" s="13"/>
      <c r="HK98" s="14"/>
      <c r="HL98" s="15"/>
      <c r="HM98" s="15"/>
      <c r="HN98" s="15"/>
      <c r="HO98" s="15"/>
      <c r="HP98" s="15"/>
      <c r="HQ98" s="15"/>
      <c r="HR98" s="15"/>
      <c r="HS98" s="15"/>
      <c r="HT98" s="15"/>
      <c r="HU98" s="15"/>
      <c r="HV98" s="15"/>
      <c r="HW98" s="15"/>
      <c r="HX98" s="15"/>
      <c r="HY98" s="6"/>
      <c r="HZ98" s="6"/>
    </row>
    <row r="99" customHeight="1" spans="2:234">
      <c r="B99" s="5">
        <v>89</v>
      </c>
      <c r="C99" s="12"/>
      <c r="D99" s="13"/>
      <c r="E99" s="13"/>
      <c r="F99" s="13"/>
      <c r="G99" s="13"/>
      <c r="H99" s="14"/>
      <c r="I99" s="15"/>
      <c r="J99" s="15"/>
      <c r="K99" s="15"/>
      <c r="L99" s="15"/>
      <c r="M99" s="15"/>
      <c r="N99" s="15"/>
      <c r="O99" s="15"/>
      <c r="P99" s="15"/>
      <c r="Q99" s="15"/>
      <c r="R99" s="15"/>
      <c r="S99" s="15"/>
      <c r="T99" s="15"/>
      <c r="U99" s="15"/>
      <c r="V99" s="6"/>
      <c r="W99" s="6"/>
      <c r="Y99" s="8">
        <v>28</v>
      </c>
      <c r="Z99" s="17"/>
      <c r="AA99" s="18"/>
      <c r="AB99" s="18"/>
      <c r="AC99" s="18"/>
      <c r="AD99" s="18"/>
      <c r="AE99" s="19"/>
      <c r="AF99" s="20"/>
      <c r="AG99" s="20"/>
      <c r="AH99" s="20"/>
      <c r="AI99" s="20"/>
      <c r="AJ99" s="20"/>
      <c r="AK99" s="20"/>
      <c r="AL99" s="20"/>
      <c r="AM99" s="20"/>
      <c r="AN99" s="20"/>
      <c r="AO99" s="20"/>
      <c r="AP99" s="20"/>
      <c r="AQ99" s="20"/>
      <c r="AR99" s="20"/>
      <c r="AS99" s="9"/>
      <c r="AT99" s="9"/>
      <c r="AW99" s="5">
        <v>89</v>
      </c>
      <c r="AX99" s="12"/>
      <c r="AY99" s="13"/>
      <c r="AZ99" s="13"/>
      <c r="BA99" s="13"/>
      <c r="BB99" s="13"/>
      <c r="BC99" s="14"/>
      <c r="BD99" s="15"/>
      <c r="BE99" s="15"/>
      <c r="BF99" s="15"/>
      <c r="BG99" s="15"/>
      <c r="BH99" s="15"/>
      <c r="BI99" s="15"/>
      <c r="BJ99" s="15"/>
      <c r="BK99" s="15"/>
      <c r="BL99" s="15"/>
      <c r="BM99" s="15"/>
      <c r="BN99" s="15"/>
      <c r="BO99" s="15"/>
      <c r="BP99" s="15"/>
      <c r="BQ99" s="6"/>
      <c r="BR99" s="6"/>
      <c r="BT99" s="8">
        <v>28</v>
      </c>
      <c r="BU99" s="17"/>
      <c r="BV99" s="18"/>
      <c r="BW99" s="18"/>
      <c r="BX99" s="18"/>
      <c r="BY99" s="18"/>
      <c r="BZ99" s="19"/>
      <c r="CA99" s="20"/>
      <c r="CB99" s="20"/>
      <c r="CC99" s="20"/>
      <c r="CD99" s="20"/>
      <c r="CE99" s="20"/>
      <c r="CF99" s="20"/>
      <c r="CG99" s="20"/>
      <c r="CH99" s="20"/>
      <c r="CI99" s="20"/>
      <c r="CJ99" s="20"/>
      <c r="CK99" s="20"/>
      <c r="CL99" s="20"/>
      <c r="CM99" s="20"/>
      <c r="CN99" s="9"/>
      <c r="CO99" s="9"/>
      <c r="CR99" s="5">
        <v>89</v>
      </c>
      <c r="CS99" s="12"/>
      <c r="CT99" s="13"/>
      <c r="CU99" s="13"/>
      <c r="CV99" s="13"/>
      <c r="CW99" s="13"/>
      <c r="CX99" s="14"/>
      <c r="CY99" s="15"/>
      <c r="CZ99" s="15"/>
      <c r="DA99" s="15"/>
      <c r="DB99" s="15"/>
      <c r="DC99" s="15"/>
      <c r="DD99" s="15"/>
      <c r="DE99" s="15"/>
      <c r="DF99" s="15"/>
      <c r="DG99" s="15"/>
      <c r="DH99" s="15"/>
      <c r="DI99" s="15"/>
      <c r="DJ99" s="15"/>
      <c r="DK99" s="15"/>
      <c r="DL99" s="6"/>
      <c r="DM99" s="6"/>
      <c r="DO99" s="8">
        <v>28</v>
      </c>
      <c r="DP99" s="17"/>
      <c r="DQ99" s="18"/>
      <c r="DR99" s="18"/>
      <c r="DS99" s="18"/>
      <c r="DT99" s="18"/>
      <c r="DU99" s="19"/>
      <c r="DV99" s="20"/>
      <c r="DW99" s="20"/>
      <c r="DX99" s="20"/>
      <c r="DY99" s="20"/>
      <c r="DZ99" s="20"/>
      <c r="EA99" s="20"/>
      <c r="EB99" s="20"/>
      <c r="EC99" s="20"/>
      <c r="ED99" s="20"/>
      <c r="EE99" s="20"/>
      <c r="EF99" s="20"/>
      <c r="EG99" s="20"/>
      <c r="EH99" s="20"/>
      <c r="EI99" s="9"/>
      <c r="EJ99" s="9"/>
      <c r="EM99" s="5">
        <v>89</v>
      </c>
      <c r="EN99" s="12"/>
      <c r="EO99" s="13"/>
      <c r="EP99" s="13"/>
      <c r="EQ99" s="13"/>
      <c r="ER99" s="13"/>
      <c r="ES99" s="14"/>
      <c r="ET99" s="15"/>
      <c r="EU99" s="15"/>
      <c r="EV99" s="15"/>
      <c r="EW99" s="15"/>
      <c r="EX99" s="15"/>
      <c r="EY99" s="15"/>
      <c r="EZ99" s="15"/>
      <c r="FA99" s="15"/>
      <c r="FB99" s="15"/>
      <c r="FC99" s="15"/>
      <c r="FD99" s="15"/>
      <c r="FE99" s="15"/>
      <c r="FF99" s="15"/>
      <c r="FG99" s="6"/>
      <c r="FH99" s="6"/>
      <c r="FJ99" s="8">
        <v>28</v>
      </c>
      <c r="FK99" s="17"/>
      <c r="FL99" s="18"/>
      <c r="FM99" s="18"/>
      <c r="FN99" s="18"/>
      <c r="FO99" s="18"/>
      <c r="FP99" s="19"/>
      <c r="FQ99" s="20"/>
      <c r="FR99" s="20"/>
      <c r="FS99" s="20"/>
      <c r="FT99" s="20"/>
      <c r="FU99" s="20"/>
      <c r="FV99" s="20"/>
      <c r="FW99" s="20"/>
      <c r="FX99" s="20"/>
      <c r="FY99" s="20"/>
      <c r="FZ99" s="20"/>
      <c r="GA99" s="20"/>
      <c r="GB99" s="20"/>
      <c r="GC99" s="20"/>
      <c r="GD99" s="9"/>
      <c r="GE99" s="9"/>
      <c r="GH99" s="5">
        <v>89</v>
      </c>
      <c r="GI99" s="12"/>
      <c r="GJ99" s="13"/>
      <c r="GK99" s="13"/>
      <c r="GL99" s="13"/>
      <c r="GM99" s="13"/>
      <c r="GN99" s="14"/>
      <c r="GO99" s="15"/>
      <c r="GP99" s="15"/>
      <c r="GQ99" s="15"/>
      <c r="GR99" s="15"/>
      <c r="GS99" s="15"/>
      <c r="GT99" s="15"/>
      <c r="GU99" s="15"/>
      <c r="GV99" s="15"/>
      <c r="GW99" s="15"/>
      <c r="GX99" s="15"/>
      <c r="GY99" s="15"/>
      <c r="GZ99" s="15"/>
      <c r="HA99" s="15"/>
      <c r="HB99" s="6"/>
      <c r="HC99" s="6"/>
      <c r="HE99" s="8">
        <v>28</v>
      </c>
      <c r="HF99" s="17"/>
      <c r="HG99" s="18"/>
      <c r="HH99" s="18"/>
      <c r="HI99" s="18"/>
      <c r="HJ99" s="18"/>
      <c r="HK99" s="19"/>
      <c r="HL99" s="20"/>
      <c r="HM99" s="20"/>
      <c r="HN99" s="20"/>
      <c r="HO99" s="20"/>
      <c r="HP99" s="20"/>
      <c r="HQ99" s="20"/>
      <c r="HR99" s="20"/>
      <c r="HS99" s="20"/>
      <c r="HT99" s="20"/>
      <c r="HU99" s="20"/>
      <c r="HV99" s="20"/>
      <c r="HW99" s="20"/>
      <c r="HX99" s="20"/>
      <c r="HY99" s="9"/>
      <c r="HZ99" s="9"/>
    </row>
    <row r="100" customHeight="1" spans="2:234">
      <c r="B100" s="8">
        <v>90</v>
      </c>
      <c r="C100" s="17"/>
      <c r="D100" s="18"/>
      <c r="E100" s="18"/>
      <c r="F100" s="18"/>
      <c r="G100" s="18"/>
      <c r="H100" s="19"/>
      <c r="I100" s="20"/>
      <c r="J100" s="20"/>
      <c r="K100" s="20"/>
      <c r="L100" s="20"/>
      <c r="M100" s="20"/>
      <c r="N100" s="20"/>
      <c r="O100" s="20"/>
      <c r="P100" s="20"/>
      <c r="Q100" s="20"/>
      <c r="R100" s="20"/>
      <c r="S100" s="20"/>
      <c r="T100" s="20"/>
      <c r="U100" s="20"/>
      <c r="V100" s="9"/>
      <c r="W100" s="9"/>
      <c r="Y100" s="5">
        <v>29</v>
      </c>
      <c r="Z100" s="12"/>
      <c r="AA100" s="13"/>
      <c r="AB100" s="13"/>
      <c r="AC100" s="13"/>
      <c r="AD100" s="13"/>
      <c r="AE100" s="14"/>
      <c r="AF100" s="15"/>
      <c r="AG100" s="15"/>
      <c r="AH100" s="15"/>
      <c r="AI100" s="15"/>
      <c r="AJ100" s="15"/>
      <c r="AK100" s="15"/>
      <c r="AL100" s="15"/>
      <c r="AM100" s="15"/>
      <c r="AN100" s="15"/>
      <c r="AO100" s="15"/>
      <c r="AP100" s="15"/>
      <c r="AQ100" s="15"/>
      <c r="AR100" s="15"/>
      <c r="AS100" s="6"/>
      <c r="AT100" s="6"/>
      <c r="AW100" s="8">
        <v>90</v>
      </c>
      <c r="AX100" s="17"/>
      <c r="AY100" s="18"/>
      <c r="AZ100" s="18"/>
      <c r="BA100" s="18"/>
      <c r="BB100" s="18"/>
      <c r="BC100" s="19"/>
      <c r="BD100" s="20"/>
      <c r="BE100" s="20"/>
      <c r="BF100" s="20"/>
      <c r="BG100" s="20"/>
      <c r="BH100" s="20"/>
      <c r="BI100" s="20"/>
      <c r="BJ100" s="20"/>
      <c r="BK100" s="20"/>
      <c r="BL100" s="20"/>
      <c r="BM100" s="20"/>
      <c r="BN100" s="20"/>
      <c r="BO100" s="20"/>
      <c r="BP100" s="20"/>
      <c r="BQ100" s="9"/>
      <c r="BR100" s="9"/>
      <c r="BT100" s="5">
        <v>29</v>
      </c>
      <c r="BU100" s="12"/>
      <c r="BV100" s="13"/>
      <c r="BW100" s="13"/>
      <c r="BX100" s="13"/>
      <c r="BY100" s="13"/>
      <c r="BZ100" s="14"/>
      <c r="CA100" s="15"/>
      <c r="CB100" s="15"/>
      <c r="CC100" s="15"/>
      <c r="CD100" s="15"/>
      <c r="CE100" s="15"/>
      <c r="CF100" s="15"/>
      <c r="CG100" s="15"/>
      <c r="CH100" s="15"/>
      <c r="CI100" s="15"/>
      <c r="CJ100" s="15"/>
      <c r="CK100" s="15"/>
      <c r="CL100" s="15"/>
      <c r="CM100" s="15"/>
      <c r="CN100" s="6"/>
      <c r="CO100" s="6"/>
      <c r="CR100" s="8">
        <v>90</v>
      </c>
      <c r="CS100" s="17"/>
      <c r="CT100" s="18"/>
      <c r="CU100" s="18"/>
      <c r="CV100" s="18"/>
      <c r="CW100" s="18"/>
      <c r="CX100" s="19"/>
      <c r="CY100" s="20"/>
      <c r="CZ100" s="20"/>
      <c r="DA100" s="20"/>
      <c r="DB100" s="20"/>
      <c r="DC100" s="20"/>
      <c r="DD100" s="20"/>
      <c r="DE100" s="20"/>
      <c r="DF100" s="20"/>
      <c r="DG100" s="20"/>
      <c r="DH100" s="20"/>
      <c r="DI100" s="20"/>
      <c r="DJ100" s="20"/>
      <c r="DK100" s="20"/>
      <c r="DL100" s="9"/>
      <c r="DM100" s="9"/>
      <c r="DO100" s="5">
        <v>29</v>
      </c>
      <c r="DP100" s="12"/>
      <c r="DQ100" s="13"/>
      <c r="DR100" s="13"/>
      <c r="DS100" s="13"/>
      <c r="DT100" s="13"/>
      <c r="DU100" s="14"/>
      <c r="DV100" s="15"/>
      <c r="DW100" s="15"/>
      <c r="DX100" s="15"/>
      <c r="DY100" s="15"/>
      <c r="DZ100" s="15"/>
      <c r="EA100" s="15"/>
      <c r="EB100" s="15"/>
      <c r="EC100" s="15"/>
      <c r="ED100" s="15"/>
      <c r="EE100" s="15"/>
      <c r="EF100" s="15"/>
      <c r="EG100" s="15"/>
      <c r="EH100" s="15"/>
      <c r="EI100" s="6"/>
      <c r="EJ100" s="6"/>
      <c r="EM100" s="8">
        <v>90</v>
      </c>
      <c r="EN100" s="17"/>
      <c r="EO100" s="18"/>
      <c r="EP100" s="18"/>
      <c r="EQ100" s="18"/>
      <c r="ER100" s="18"/>
      <c r="ES100" s="19"/>
      <c r="ET100" s="20"/>
      <c r="EU100" s="20"/>
      <c r="EV100" s="20"/>
      <c r="EW100" s="20"/>
      <c r="EX100" s="20"/>
      <c r="EY100" s="20"/>
      <c r="EZ100" s="20"/>
      <c r="FA100" s="20"/>
      <c r="FB100" s="20"/>
      <c r="FC100" s="20"/>
      <c r="FD100" s="20"/>
      <c r="FE100" s="20"/>
      <c r="FF100" s="20"/>
      <c r="FG100" s="9"/>
      <c r="FH100" s="9"/>
      <c r="FJ100" s="5">
        <v>29</v>
      </c>
      <c r="FK100" s="12"/>
      <c r="FL100" s="13"/>
      <c r="FM100" s="13"/>
      <c r="FN100" s="13"/>
      <c r="FO100" s="13"/>
      <c r="FP100" s="14"/>
      <c r="FQ100" s="15"/>
      <c r="FR100" s="15"/>
      <c r="FS100" s="15"/>
      <c r="FT100" s="15"/>
      <c r="FU100" s="15"/>
      <c r="FV100" s="15"/>
      <c r="FW100" s="15"/>
      <c r="FX100" s="15"/>
      <c r="FY100" s="15"/>
      <c r="FZ100" s="15"/>
      <c r="GA100" s="15"/>
      <c r="GB100" s="15"/>
      <c r="GC100" s="15"/>
      <c r="GD100" s="6"/>
      <c r="GE100" s="6"/>
      <c r="GH100" s="8">
        <v>90</v>
      </c>
      <c r="GI100" s="17"/>
      <c r="GJ100" s="18"/>
      <c r="GK100" s="18"/>
      <c r="GL100" s="18"/>
      <c r="GM100" s="18"/>
      <c r="GN100" s="19"/>
      <c r="GO100" s="20"/>
      <c r="GP100" s="20"/>
      <c r="GQ100" s="20"/>
      <c r="GR100" s="20"/>
      <c r="GS100" s="20"/>
      <c r="GT100" s="20"/>
      <c r="GU100" s="20"/>
      <c r="GV100" s="20"/>
      <c r="GW100" s="20"/>
      <c r="GX100" s="20"/>
      <c r="GY100" s="20"/>
      <c r="GZ100" s="20"/>
      <c r="HA100" s="20"/>
      <c r="HB100" s="9"/>
      <c r="HC100" s="9"/>
      <c r="HE100" s="5">
        <v>29</v>
      </c>
      <c r="HF100" s="12"/>
      <c r="HG100" s="13"/>
      <c r="HH100" s="13"/>
      <c r="HI100" s="13"/>
      <c r="HJ100" s="13"/>
      <c r="HK100" s="14"/>
      <c r="HL100" s="15"/>
      <c r="HM100" s="15"/>
      <c r="HN100" s="15"/>
      <c r="HO100" s="15"/>
      <c r="HP100" s="15"/>
      <c r="HQ100" s="15"/>
      <c r="HR100" s="15"/>
      <c r="HS100" s="15"/>
      <c r="HT100" s="15"/>
      <c r="HU100" s="15"/>
      <c r="HV100" s="15"/>
      <c r="HW100" s="15"/>
      <c r="HX100" s="15"/>
      <c r="HY100" s="6"/>
      <c r="HZ100" s="6"/>
    </row>
    <row r="101" customHeight="1" spans="2:234">
      <c r="B101" s="5">
        <v>91</v>
      </c>
      <c r="C101" s="12"/>
      <c r="D101" s="13"/>
      <c r="E101" s="13"/>
      <c r="F101" s="13"/>
      <c r="G101" s="13"/>
      <c r="H101" s="14"/>
      <c r="I101" s="15"/>
      <c r="J101" s="15"/>
      <c r="K101" s="15"/>
      <c r="L101" s="15"/>
      <c r="M101" s="15"/>
      <c r="N101" s="15"/>
      <c r="O101" s="15"/>
      <c r="P101" s="15"/>
      <c r="Q101" s="15"/>
      <c r="R101" s="15"/>
      <c r="S101" s="15"/>
      <c r="T101" s="15"/>
      <c r="U101" s="15"/>
      <c r="V101" s="6"/>
      <c r="W101" s="6"/>
      <c r="Y101" s="8">
        <v>30</v>
      </c>
      <c r="Z101" s="17"/>
      <c r="AA101" s="18"/>
      <c r="AB101" s="18"/>
      <c r="AC101" s="18"/>
      <c r="AD101" s="18"/>
      <c r="AE101" s="19"/>
      <c r="AF101" s="20"/>
      <c r="AG101" s="20"/>
      <c r="AH101" s="20"/>
      <c r="AI101" s="20"/>
      <c r="AJ101" s="20"/>
      <c r="AK101" s="20"/>
      <c r="AL101" s="20"/>
      <c r="AM101" s="20"/>
      <c r="AN101" s="20"/>
      <c r="AO101" s="20"/>
      <c r="AP101" s="20"/>
      <c r="AQ101" s="20"/>
      <c r="AR101" s="20"/>
      <c r="AS101" s="9"/>
      <c r="AT101" s="9"/>
      <c r="AW101" s="5">
        <v>91</v>
      </c>
      <c r="AX101" s="12"/>
      <c r="AY101" s="13"/>
      <c r="AZ101" s="13"/>
      <c r="BA101" s="13"/>
      <c r="BB101" s="13"/>
      <c r="BC101" s="14"/>
      <c r="BD101" s="15"/>
      <c r="BE101" s="15"/>
      <c r="BF101" s="15"/>
      <c r="BG101" s="15"/>
      <c r="BH101" s="15"/>
      <c r="BI101" s="15"/>
      <c r="BJ101" s="15"/>
      <c r="BK101" s="15"/>
      <c r="BL101" s="15"/>
      <c r="BM101" s="15"/>
      <c r="BN101" s="15"/>
      <c r="BO101" s="15"/>
      <c r="BP101" s="15"/>
      <c r="BQ101" s="6"/>
      <c r="BR101" s="6"/>
      <c r="BT101" s="8">
        <v>30</v>
      </c>
      <c r="BU101" s="17"/>
      <c r="BV101" s="18"/>
      <c r="BW101" s="18"/>
      <c r="BX101" s="18"/>
      <c r="BY101" s="18"/>
      <c r="BZ101" s="19"/>
      <c r="CA101" s="20"/>
      <c r="CB101" s="20"/>
      <c r="CC101" s="20"/>
      <c r="CD101" s="20"/>
      <c r="CE101" s="20"/>
      <c r="CF101" s="20"/>
      <c r="CG101" s="20"/>
      <c r="CH101" s="20"/>
      <c r="CI101" s="20"/>
      <c r="CJ101" s="20"/>
      <c r="CK101" s="20"/>
      <c r="CL101" s="20"/>
      <c r="CM101" s="20"/>
      <c r="CN101" s="9"/>
      <c r="CO101" s="9"/>
      <c r="CR101" s="5">
        <v>91</v>
      </c>
      <c r="CS101" s="12"/>
      <c r="CT101" s="13"/>
      <c r="CU101" s="13"/>
      <c r="CV101" s="13"/>
      <c r="CW101" s="13"/>
      <c r="CX101" s="14"/>
      <c r="CY101" s="15"/>
      <c r="CZ101" s="15"/>
      <c r="DA101" s="15"/>
      <c r="DB101" s="15"/>
      <c r="DC101" s="15"/>
      <c r="DD101" s="15"/>
      <c r="DE101" s="15"/>
      <c r="DF101" s="15"/>
      <c r="DG101" s="15"/>
      <c r="DH101" s="15"/>
      <c r="DI101" s="15"/>
      <c r="DJ101" s="15"/>
      <c r="DK101" s="15"/>
      <c r="DL101" s="6"/>
      <c r="DM101" s="6"/>
      <c r="DO101" s="8">
        <v>30</v>
      </c>
      <c r="DP101" s="17"/>
      <c r="DQ101" s="18"/>
      <c r="DR101" s="18"/>
      <c r="DS101" s="18"/>
      <c r="DT101" s="18"/>
      <c r="DU101" s="19"/>
      <c r="DV101" s="20"/>
      <c r="DW101" s="20"/>
      <c r="DX101" s="20"/>
      <c r="DY101" s="20"/>
      <c r="DZ101" s="20"/>
      <c r="EA101" s="20"/>
      <c r="EB101" s="20"/>
      <c r="EC101" s="20"/>
      <c r="ED101" s="20"/>
      <c r="EE101" s="20"/>
      <c r="EF101" s="20"/>
      <c r="EG101" s="20"/>
      <c r="EH101" s="20"/>
      <c r="EI101" s="9"/>
      <c r="EJ101" s="9"/>
      <c r="EM101" s="5">
        <v>91</v>
      </c>
      <c r="EN101" s="12"/>
      <c r="EO101" s="13"/>
      <c r="EP101" s="13"/>
      <c r="EQ101" s="13"/>
      <c r="ER101" s="13"/>
      <c r="ES101" s="14"/>
      <c r="ET101" s="15"/>
      <c r="EU101" s="15"/>
      <c r="EV101" s="15"/>
      <c r="EW101" s="15"/>
      <c r="EX101" s="15"/>
      <c r="EY101" s="15"/>
      <c r="EZ101" s="15"/>
      <c r="FA101" s="15"/>
      <c r="FB101" s="15"/>
      <c r="FC101" s="15"/>
      <c r="FD101" s="15"/>
      <c r="FE101" s="15"/>
      <c r="FF101" s="15"/>
      <c r="FG101" s="6"/>
      <c r="FH101" s="6"/>
      <c r="FJ101" s="8">
        <v>30</v>
      </c>
      <c r="FK101" s="17"/>
      <c r="FL101" s="18"/>
      <c r="FM101" s="18"/>
      <c r="FN101" s="18"/>
      <c r="FO101" s="18"/>
      <c r="FP101" s="19"/>
      <c r="FQ101" s="20"/>
      <c r="FR101" s="20"/>
      <c r="FS101" s="20"/>
      <c r="FT101" s="20"/>
      <c r="FU101" s="20"/>
      <c r="FV101" s="20"/>
      <c r="FW101" s="20"/>
      <c r="FX101" s="20"/>
      <c r="FY101" s="20"/>
      <c r="FZ101" s="20"/>
      <c r="GA101" s="20"/>
      <c r="GB101" s="20"/>
      <c r="GC101" s="20"/>
      <c r="GD101" s="9"/>
      <c r="GE101" s="9"/>
      <c r="GH101" s="5">
        <v>91</v>
      </c>
      <c r="GI101" s="12"/>
      <c r="GJ101" s="13"/>
      <c r="GK101" s="13"/>
      <c r="GL101" s="13"/>
      <c r="GM101" s="13"/>
      <c r="GN101" s="14"/>
      <c r="GO101" s="15"/>
      <c r="GP101" s="15"/>
      <c r="GQ101" s="15"/>
      <c r="GR101" s="15"/>
      <c r="GS101" s="15"/>
      <c r="GT101" s="15"/>
      <c r="GU101" s="15"/>
      <c r="GV101" s="15"/>
      <c r="GW101" s="15"/>
      <c r="GX101" s="15"/>
      <c r="GY101" s="15"/>
      <c r="GZ101" s="15"/>
      <c r="HA101" s="15"/>
      <c r="HB101" s="6"/>
      <c r="HC101" s="6"/>
      <c r="HE101" s="8">
        <v>30</v>
      </c>
      <c r="HF101" s="17"/>
      <c r="HG101" s="18"/>
      <c r="HH101" s="18"/>
      <c r="HI101" s="18"/>
      <c r="HJ101" s="18"/>
      <c r="HK101" s="19"/>
      <c r="HL101" s="20"/>
      <c r="HM101" s="20"/>
      <c r="HN101" s="20"/>
      <c r="HO101" s="20"/>
      <c r="HP101" s="20"/>
      <c r="HQ101" s="20"/>
      <c r="HR101" s="20"/>
      <c r="HS101" s="20"/>
      <c r="HT101" s="20"/>
      <c r="HU101" s="20"/>
      <c r="HV101" s="20"/>
      <c r="HW101" s="20"/>
      <c r="HX101" s="20"/>
      <c r="HY101" s="9"/>
      <c r="HZ101" s="9"/>
    </row>
    <row r="102" customHeight="1" spans="2:234">
      <c r="B102" s="8">
        <v>92</v>
      </c>
      <c r="C102" s="17"/>
      <c r="D102" s="18"/>
      <c r="E102" s="18"/>
      <c r="F102" s="18"/>
      <c r="G102" s="18"/>
      <c r="H102" s="19"/>
      <c r="I102" s="20"/>
      <c r="J102" s="20"/>
      <c r="K102" s="20"/>
      <c r="L102" s="20"/>
      <c r="M102" s="20"/>
      <c r="N102" s="20"/>
      <c r="O102" s="20"/>
      <c r="P102" s="20"/>
      <c r="Q102" s="20"/>
      <c r="R102" s="20"/>
      <c r="S102" s="20"/>
      <c r="T102" s="20"/>
      <c r="U102" s="20"/>
      <c r="V102" s="9"/>
      <c r="W102" s="9"/>
      <c r="Y102" s="5">
        <v>31</v>
      </c>
      <c r="Z102" s="12"/>
      <c r="AA102" s="13"/>
      <c r="AB102" s="13"/>
      <c r="AC102" s="13"/>
      <c r="AD102" s="13"/>
      <c r="AE102" s="14"/>
      <c r="AF102" s="15"/>
      <c r="AG102" s="15"/>
      <c r="AH102" s="15"/>
      <c r="AI102" s="15"/>
      <c r="AJ102" s="15"/>
      <c r="AK102" s="15"/>
      <c r="AL102" s="15"/>
      <c r="AM102" s="15"/>
      <c r="AN102" s="15"/>
      <c r="AO102" s="15"/>
      <c r="AP102" s="15"/>
      <c r="AQ102" s="15"/>
      <c r="AR102" s="15"/>
      <c r="AS102" s="6"/>
      <c r="AT102" s="6"/>
      <c r="AW102" s="8">
        <v>92</v>
      </c>
      <c r="AX102" s="17"/>
      <c r="AY102" s="18"/>
      <c r="AZ102" s="18"/>
      <c r="BA102" s="18"/>
      <c r="BB102" s="18"/>
      <c r="BC102" s="19"/>
      <c r="BD102" s="20"/>
      <c r="BE102" s="20"/>
      <c r="BF102" s="20"/>
      <c r="BG102" s="20"/>
      <c r="BH102" s="20"/>
      <c r="BI102" s="20"/>
      <c r="BJ102" s="20"/>
      <c r="BK102" s="20"/>
      <c r="BL102" s="20"/>
      <c r="BM102" s="20"/>
      <c r="BN102" s="20"/>
      <c r="BO102" s="20"/>
      <c r="BP102" s="20"/>
      <c r="BQ102" s="9"/>
      <c r="BR102" s="9"/>
      <c r="BT102" s="5">
        <v>31</v>
      </c>
      <c r="BU102" s="12"/>
      <c r="BV102" s="13"/>
      <c r="BW102" s="13"/>
      <c r="BX102" s="13"/>
      <c r="BY102" s="13"/>
      <c r="BZ102" s="14"/>
      <c r="CA102" s="15"/>
      <c r="CB102" s="15"/>
      <c r="CC102" s="15"/>
      <c r="CD102" s="15"/>
      <c r="CE102" s="15"/>
      <c r="CF102" s="15"/>
      <c r="CG102" s="15"/>
      <c r="CH102" s="15"/>
      <c r="CI102" s="15"/>
      <c r="CJ102" s="15"/>
      <c r="CK102" s="15"/>
      <c r="CL102" s="15"/>
      <c r="CM102" s="15"/>
      <c r="CN102" s="6"/>
      <c r="CO102" s="6"/>
      <c r="CR102" s="8">
        <v>92</v>
      </c>
      <c r="CS102" s="17"/>
      <c r="CT102" s="18"/>
      <c r="CU102" s="18"/>
      <c r="CV102" s="18"/>
      <c r="CW102" s="18"/>
      <c r="CX102" s="19"/>
      <c r="CY102" s="20"/>
      <c r="CZ102" s="20"/>
      <c r="DA102" s="20"/>
      <c r="DB102" s="20"/>
      <c r="DC102" s="20"/>
      <c r="DD102" s="20"/>
      <c r="DE102" s="20"/>
      <c r="DF102" s="20"/>
      <c r="DG102" s="20"/>
      <c r="DH102" s="20"/>
      <c r="DI102" s="20"/>
      <c r="DJ102" s="20"/>
      <c r="DK102" s="20"/>
      <c r="DL102" s="9"/>
      <c r="DM102" s="9"/>
      <c r="DO102" s="5">
        <v>31</v>
      </c>
      <c r="DP102" s="12"/>
      <c r="DQ102" s="13"/>
      <c r="DR102" s="13"/>
      <c r="DS102" s="13"/>
      <c r="DT102" s="13"/>
      <c r="DU102" s="14"/>
      <c r="DV102" s="15"/>
      <c r="DW102" s="15"/>
      <c r="DX102" s="15"/>
      <c r="DY102" s="15"/>
      <c r="DZ102" s="15"/>
      <c r="EA102" s="15"/>
      <c r="EB102" s="15"/>
      <c r="EC102" s="15"/>
      <c r="ED102" s="15"/>
      <c r="EE102" s="15"/>
      <c r="EF102" s="15"/>
      <c r="EG102" s="15"/>
      <c r="EH102" s="15"/>
      <c r="EI102" s="6"/>
      <c r="EJ102" s="6"/>
      <c r="EM102" s="8">
        <v>92</v>
      </c>
      <c r="EN102" s="17"/>
      <c r="EO102" s="18"/>
      <c r="EP102" s="18"/>
      <c r="EQ102" s="18"/>
      <c r="ER102" s="18"/>
      <c r="ES102" s="19"/>
      <c r="ET102" s="20"/>
      <c r="EU102" s="20"/>
      <c r="EV102" s="20"/>
      <c r="EW102" s="20"/>
      <c r="EX102" s="20"/>
      <c r="EY102" s="20"/>
      <c r="EZ102" s="20"/>
      <c r="FA102" s="20"/>
      <c r="FB102" s="20"/>
      <c r="FC102" s="20"/>
      <c r="FD102" s="20"/>
      <c r="FE102" s="20"/>
      <c r="FF102" s="20"/>
      <c r="FG102" s="9"/>
      <c r="FH102" s="9"/>
      <c r="FJ102" s="5">
        <v>31</v>
      </c>
      <c r="FK102" s="12"/>
      <c r="FL102" s="13"/>
      <c r="FM102" s="13"/>
      <c r="FN102" s="13"/>
      <c r="FO102" s="13"/>
      <c r="FP102" s="14"/>
      <c r="FQ102" s="15"/>
      <c r="FR102" s="15"/>
      <c r="FS102" s="15"/>
      <c r="FT102" s="15"/>
      <c r="FU102" s="15"/>
      <c r="FV102" s="15"/>
      <c r="FW102" s="15"/>
      <c r="FX102" s="15"/>
      <c r="FY102" s="15"/>
      <c r="FZ102" s="15"/>
      <c r="GA102" s="15"/>
      <c r="GB102" s="15"/>
      <c r="GC102" s="15"/>
      <c r="GD102" s="6"/>
      <c r="GE102" s="6"/>
      <c r="GH102" s="8">
        <v>92</v>
      </c>
      <c r="GI102" s="17"/>
      <c r="GJ102" s="18"/>
      <c r="GK102" s="18"/>
      <c r="GL102" s="18"/>
      <c r="GM102" s="18"/>
      <c r="GN102" s="19"/>
      <c r="GO102" s="20"/>
      <c r="GP102" s="20"/>
      <c r="GQ102" s="20"/>
      <c r="GR102" s="20"/>
      <c r="GS102" s="20"/>
      <c r="GT102" s="20"/>
      <c r="GU102" s="20"/>
      <c r="GV102" s="20"/>
      <c r="GW102" s="20"/>
      <c r="GX102" s="20"/>
      <c r="GY102" s="20"/>
      <c r="GZ102" s="20"/>
      <c r="HA102" s="20"/>
      <c r="HB102" s="9"/>
      <c r="HC102" s="9"/>
      <c r="HE102" s="5">
        <v>31</v>
      </c>
      <c r="HF102" s="12"/>
      <c r="HG102" s="13"/>
      <c r="HH102" s="13"/>
      <c r="HI102" s="13"/>
      <c r="HJ102" s="13"/>
      <c r="HK102" s="14"/>
      <c r="HL102" s="15"/>
      <c r="HM102" s="15"/>
      <c r="HN102" s="15"/>
      <c r="HO102" s="15"/>
      <c r="HP102" s="15"/>
      <c r="HQ102" s="15"/>
      <c r="HR102" s="15"/>
      <c r="HS102" s="15"/>
      <c r="HT102" s="15"/>
      <c r="HU102" s="15"/>
      <c r="HV102" s="15"/>
      <c r="HW102" s="15"/>
      <c r="HX102" s="15"/>
      <c r="HY102" s="6"/>
      <c r="HZ102" s="6"/>
    </row>
    <row r="103" customHeight="1" spans="2:234">
      <c r="B103" s="5">
        <v>93</v>
      </c>
      <c r="C103" s="12"/>
      <c r="D103" s="13"/>
      <c r="E103" s="13"/>
      <c r="F103" s="13"/>
      <c r="G103" s="13"/>
      <c r="H103" s="14"/>
      <c r="I103" s="15"/>
      <c r="J103" s="15"/>
      <c r="K103" s="15"/>
      <c r="L103" s="15"/>
      <c r="M103" s="15"/>
      <c r="N103" s="15"/>
      <c r="O103" s="15"/>
      <c r="P103" s="15"/>
      <c r="Q103" s="15"/>
      <c r="R103" s="15"/>
      <c r="S103" s="15"/>
      <c r="T103" s="15"/>
      <c r="U103" s="15"/>
      <c r="V103" s="6"/>
      <c r="W103" s="6"/>
      <c r="Y103" s="8">
        <v>32</v>
      </c>
      <c r="Z103" s="17"/>
      <c r="AA103" s="18"/>
      <c r="AB103" s="18"/>
      <c r="AC103" s="18"/>
      <c r="AD103" s="18"/>
      <c r="AE103" s="19"/>
      <c r="AF103" s="20"/>
      <c r="AG103" s="20"/>
      <c r="AH103" s="20"/>
      <c r="AI103" s="20"/>
      <c r="AJ103" s="20"/>
      <c r="AK103" s="20"/>
      <c r="AL103" s="20"/>
      <c r="AM103" s="20"/>
      <c r="AN103" s="20"/>
      <c r="AO103" s="20"/>
      <c r="AP103" s="20"/>
      <c r="AQ103" s="20"/>
      <c r="AR103" s="20"/>
      <c r="AS103" s="9"/>
      <c r="AT103" s="9"/>
      <c r="AW103" s="5">
        <v>93</v>
      </c>
      <c r="AX103" s="12"/>
      <c r="AY103" s="13"/>
      <c r="AZ103" s="13"/>
      <c r="BA103" s="13"/>
      <c r="BB103" s="13"/>
      <c r="BC103" s="14"/>
      <c r="BD103" s="15"/>
      <c r="BE103" s="15"/>
      <c r="BF103" s="15"/>
      <c r="BG103" s="15"/>
      <c r="BH103" s="15"/>
      <c r="BI103" s="15"/>
      <c r="BJ103" s="15"/>
      <c r="BK103" s="15"/>
      <c r="BL103" s="15"/>
      <c r="BM103" s="15"/>
      <c r="BN103" s="15"/>
      <c r="BO103" s="15"/>
      <c r="BP103" s="15"/>
      <c r="BQ103" s="6"/>
      <c r="BR103" s="6"/>
      <c r="BT103" s="8">
        <v>32</v>
      </c>
      <c r="BU103" s="17"/>
      <c r="BV103" s="18"/>
      <c r="BW103" s="18"/>
      <c r="BX103" s="18"/>
      <c r="BY103" s="18"/>
      <c r="BZ103" s="19"/>
      <c r="CA103" s="20"/>
      <c r="CB103" s="20"/>
      <c r="CC103" s="20"/>
      <c r="CD103" s="20"/>
      <c r="CE103" s="20"/>
      <c r="CF103" s="20"/>
      <c r="CG103" s="20"/>
      <c r="CH103" s="20"/>
      <c r="CI103" s="20"/>
      <c r="CJ103" s="20"/>
      <c r="CK103" s="20"/>
      <c r="CL103" s="20"/>
      <c r="CM103" s="20"/>
      <c r="CN103" s="9"/>
      <c r="CO103" s="9"/>
      <c r="CR103" s="5">
        <v>93</v>
      </c>
      <c r="CS103" s="12"/>
      <c r="CT103" s="13"/>
      <c r="CU103" s="13"/>
      <c r="CV103" s="13"/>
      <c r="CW103" s="13"/>
      <c r="CX103" s="14"/>
      <c r="CY103" s="15"/>
      <c r="CZ103" s="15"/>
      <c r="DA103" s="15"/>
      <c r="DB103" s="15"/>
      <c r="DC103" s="15"/>
      <c r="DD103" s="15"/>
      <c r="DE103" s="15"/>
      <c r="DF103" s="15"/>
      <c r="DG103" s="15"/>
      <c r="DH103" s="15"/>
      <c r="DI103" s="15"/>
      <c r="DJ103" s="15"/>
      <c r="DK103" s="15"/>
      <c r="DL103" s="6"/>
      <c r="DM103" s="6"/>
      <c r="DO103" s="8">
        <v>32</v>
      </c>
      <c r="DP103" s="17"/>
      <c r="DQ103" s="18"/>
      <c r="DR103" s="18"/>
      <c r="DS103" s="18"/>
      <c r="DT103" s="18"/>
      <c r="DU103" s="19"/>
      <c r="DV103" s="20"/>
      <c r="DW103" s="20"/>
      <c r="DX103" s="20"/>
      <c r="DY103" s="20"/>
      <c r="DZ103" s="20"/>
      <c r="EA103" s="20"/>
      <c r="EB103" s="20"/>
      <c r="EC103" s="20"/>
      <c r="ED103" s="20"/>
      <c r="EE103" s="20"/>
      <c r="EF103" s="20"/>
      <c r="EG103" s="20"/>
      <c r="EH103" s="20"/>
      <c r="EI103" s="9"/>
      <c r="EJ103" s="9"/>
      <c r="EM103" s="5">
        <v>93</v>
      </c>
      <c r="EN103" s="12"/>
      <c r="EO103" s="13"/>
      <c r="EP103" s="13"/>
      <c r="EQ103" s="13"/>
      <c r="ER103" s="13"/>
      <c r="ES103" s="14"/>
      <c r="ET103" s="15"/>
      <c r="EU103" s="15"/>
      <c r="EV103" s="15"/>
      <c r="EW103" s="15"/>
      <c r="EX103" s="15"/>
      <c r="EY103" s="15"/>
      <c r="EZ103" s="15"/>
      <c r="FA103" s="15"/>
      <c r="FB103" s="15"/>
      <c r="FC103" s="15"/>
      <c r="FD103" s="15"/>
      <c r="FE103" s="15"/>
      <c r="FF103" s="15"/>
      <c r="FG103" s="6"/>
      <c r="FH103" s="6"/>
      <c r="FJ103" s="8">
        <v>32</v>
      </c>
      <c r="FK103" s="17"/>
      <c r="FL103" s="18"/>
      <c r="FM103" s="18"/>
      <c r="FN103" s="18"/>
      <c r="FO103" s="18"/>
      <c r="FP103" s="19"/>
      <c r="FQ103" s="20"/>
      <c r="FR103" s="20"/>
      <c r="FS103" s="20"/>
      <c r="FT103" s="20"/>
      <c r="FU103" s="20"/>
      <c r="FV103" s="20"/>
      <c r="FW103" s="20"/>
      <c r="FX103" s="20"/>
      <c r="FY103" s="20"/>
      <c r="FZ103" s="20"/>
      <c r="GA103" s="20"/>
      <c r="GB103" s="20"/>
      <c r="GC103" s="20"/>
      <c r="GD103" s="9"/>
      <c r="GE103" s="9"/>
      <c r="GH103" s="5">
        <v>93</v>
      </c>
      <c r="GI103" s="12"/>
      <c r="GJ103" s="13"/>
      <c r="GK103" s="13"/>
      <c r="GL103" s="13"/>
      <c r="GM103" s="13"/>
      <c r="GN103" s="14"/>
      <c r="GO103" s="15"/>
      <c r="GP103" s="15"/>
      <c r="GQ103" s="15"/>
      <c r="GR103" s="15"/>
      <c r="GS103" s="15"/>
      <c r="GT103" s="15"/>
      <c r="GU103" s="15"/>
      <c r="GV103" s="15"/>
      <c r="GW103" s="15"/>
      <c r="GX103" s="15"/>
      <c r="GY103" s="15"/>
      <c r="GZ103" s="15"/>
      <c r="HA103" s="15"/>
      <c r="HB103" s="6"/>
      <c r="HC103" s="6"/>
      <c r="HE103" s="8">
        <v>32</v>
      </c>
      <c r="HF103" s="17"/>
      <c r="HG103" s="18"/>
      <c r="HH103" s="18"/>
      <c r="HI103" s="18"/>
      <c r="HJ103" s="18"/>
      <c r="HK103" s="19"/>
      <c r="HL103" s="20"/>
      <c r="HM103" s="20"/>
      <c r="HN103" s="20"/>
      <c r="HO103" s="20"/>
      <c r="HP103" s="20"/>
      <c r="HQ103" s="20"/>
      <c r="HR103" s="20"/>
      <c r="HS103" s="20"/>
      <c r="HT103" s="20"/>
      <c r="HU103" s="20"/>
      <c r="HV103" s="20"/>
      <c r="HW103" s="20"/>
      <c r="HX103" s="20"/>
      <c r="HY103" s="9"/>
      <c r="HZ103" s="9"/>
    </row>
    <row r="104" customHeight="1" spans="2:234">
      <c r="B104" s="8">
        <v>94</v>
      </c>
      <c r="C104" s="17"/>
      <c r="D104" s="18"/>
      <c r="E104" s="18"/>
      <c r="F104" s="18"/>
      <c r="G104" s="18"/>
      <c r="H104" s="19"/>
      <c r="I104" s="20"/>
      <c r="J104" s="20"/>
      <c r="K104" s="20"/>
      <c r="L104" s="20"/>
      <c r="M104" s="20"/>
      <c r="N104" s="20"/>
      <c r="O104" s="20"/>
      <c r="P104" s="20"/>
      <c r="Q104" s="20"/>
      <c r="R104" s="20"/>
      <c r="S104" s="20"/>
      <c r="T104" s="20"/>
      <c r="U104" s="20"/>
      <c r="V104" s="9"/>
      <c r="W104" s="9"/>
      <c r="Y104" s="5">
        <v>33</v>
      </c>
      <c r="Z104" s="12"/>
      <c r="AA104" s="13"/>
      <c r="AB104" s="13"/>
      <c r="AC104" s="13"/>
      <c r="AD104" s="13"/>
      <c r="AE104" s="14"/>
      <c r="AF104" s="15"/>
      <c r="AG104" s="15"/>
      <c r="AH104" s="15"/>
      <c r="AI104" s="15"/>
      <c r="AJ104" s="15"/>
      <c r="AK104" s="15"/>
      <c r="AL104" s="15"/>
      <c r="AM104" s="15"/>
      <c r="AN104" s="15"/>
      <c r="AO104" s="15"/>
      <c r="AP104" s="15"/>
      <c r="AQ104" s="15"/>
      <c r="AR104" s="15"/>
      <c r="AS104" s="6"/>
      <c r="AT104" s="6"/>
      <c r="AW104" s="8">
        <v>94</v>
      </c>
      <c r="AX104" s="17"/>
      <c r="AY104" s="18"/>
      <c r="AZ104" s="18"/>
      <c r="BA104" s="18"/>
      <c r="BB104" s="18"/>
      <c r="BC104" s="19"/>
      <c r="BD104" s="20"/>
      <c r="BE104" s="20"/>
      <c r="BF104" s="20"/>
      <c r="BG104" s="20"/>
      <c r="BH104" s="20"/>
      <c r="BI104" s="20"/>
      <c r="BJ104" s="20"/>
      <c r="BK104" s="20"/>
      <c r="BL104" s="20"/>
      <c r="BM104" s="20"/>
      <c r="BN104" s="20"/>
      <c r="BO104" s="20"/>
      <c r="BP104" s="20"/>
      <c r="BQ104" s="9"/>
      <c r="BR104" s="9"/>
      <c r="BT104" s="5">
        <v>33</v>
      </c>
      <c r="BU104" s="12"/>
      <c r="BV104" s="13"/>
      <c r="BW104" s="13"/>
      <c r="BX104" s="13"/>
      <c r="BY104" s="13"/>
      <c r="BZ104" s="14"/>
      <c r="CA104" s="15"/>
      <c r="CB104" s="15"/>
      <c r="CC104" s="15"/>
      <c r="CD104" s="15"/>
      <c r="CE104" s="15"/>
      <c r="CF104" s="15"/>
      <c r="CG104" s="15"/>
      <c r="CH104" s="15"/>
      <c r="CI104" s="15"/>
      <c r="CJ104" s="15"/>
      <c r="CK104" s="15"/>
      <c r="CL104" s="15"/>
      <c r="CM104" s="15"/>
      <c r="CN104" s="6"/>
      <c r="CO104" s="6"/>
      <c r="CR104" s="8">
        <v>94</v>
      </c>
      <c r="CS104" s="17"/>
      <c r="CT104" s="18"/>
      <c r="CU104" s="18"/>
      <c r="CV104" s="18"/>
      <c r="CW104" s="18"/>
      <c r="CX104" s="19"/>
      <c r="CY104" s="20"/>
      <c r="CZ104" s="20"/>
      <c r="DA104" s="20"/>
      <c r="DB104" s="20"/>
      <c r="DC104" s="20"/>
      <c r="DD104" s="20"/>
      <c r="DE104" s="20"/>
      <c r="DF104" s="20"/>
      <c r="DG104" s="20"/>
      <c r="DH104" s="20"/>
      <c r="DI104" s="20"/>
      <c r="DJ104" s="20"/>
      <c r="DK104" s="20"/>
      <c r="DL104" s="9"/>
      <c r="DM104" s="9"/>
      <c r="DO104" s="5">
        <v>33</v>
      </c>
      <c r="DP104" s="12"/>
      <c r="DQ104" s="13"/>
      <c r="DR104" s="13"/>
      <c r="DS104" s="13"/>
      <c r="DT104" s="13"/>
      <c r="DU104" s="14"/>
      <c r="DV104" s="15"/>
      <c r="DW104" s="15"/>
      <c r="DX104" s="15"/>
      <c r="DY104" s="15"/>
      <c r="DZ104" s="15"/>
      <c r="EA104" s="15"/>
      <c r="EB104" s="15"/>
      <c r="EC104" s="15"/>
      <c r="ED104" s="15"/>
      <c r="EE104" s="15"/>
      <c r="EF104" s="15"/>
      <c r="EG104" s="15"/>
      <c r="EH104" s="15"/>
      <c r="EI104" s="6"/>
      <c r="EJ104" s="6"/>
      <c r="EM104" s="8">
        <v>94</v>
      </c>
      <c r="EN104" s="17"/>
      <c r="EO104" s="18"/>
      <c r="EP104" s="18"/>
      <c r="EQ104" s="18"/>
      <c r="ER104" s="18"/>
      <c r="ES104" s="19"/>
      <c r="ET104" s="20"/>
      <c r="EU104" s="20"/>
      <c r="EV104" s="20"/>
      <c r="EW104" s="20"/>
      <c r="EX104" s="20"/>
      <c r="EY104" s="20"/>
      <c r="EZ104" s="20"/>
      <c r="FA104" s="20"/>
      <c r="FB104" s="20"/>
      <c r="FC104" s="20"/>
      <c r="FD104" s="20"/>
      <c r="FE104" s="20"/>
      <c r="FF104" s="20"/>
      <c r="FG104" s="9"/>
      <c r="FH104" s="9"/>
      <c r="FJ104" s="5">
        <v>33</v>
      </c>
      <c r="FK104" s="12"/>
      <c r="FL104" s="13"/>
      <c r="FM104" s="13"/>
      <c r="FN104" s="13"/>
      <c r="FO104" s="13"/>
      <c r="FP104" s="14"/>
      <c r="FQ104" s="15"/>
      <c r="FR104" s="15"/>
      <c r="FS104" s="15"/>
      <c r="FT104" s="15"/>
      <c r="FU104" s="15"/>
      <c r="FV104" s="15"/>
      <c r="FW104" s="15"/>
      <c r="FX104" s="15"/>
      <c r="FY104" s="15"/>
      <c r="FZ104" s="15"/>
      <c r="GA104" s="15"/>
      <c r="GB104" s="15"/>
      <c r="GC104" s="15"/>
      <c r="GD104" s="6"/>
      <c r="GE104" s="6"/>
      <c r="GH104" s="8">
        <v>94</v>
      </c>
      <c r="GI104" s="17"/>
      <c r="GJ104" s="18"/>
      <c r="GK104" s="18"/>
      <c r="GL104" s="18"/>
      <c r="GM104" s="18"/>
      <c r="GN104" s="19"/>
      <c r="GO104" s="20"/>
      <c r="GP104" s="20"/>
      <c r="GQ104" s="20"/>
      <c r="GR104" s="20"/>
      <c r="GS104" s="20"/>
      <c r="GT104" s="20"/>
      <c r="GU104" s="20"/>
      <c r="GV104" s="20"/>
      <c r="GW104" s="20"/>
      <c r="GX104" s="20"/>
      <c r="GY104" s="20"/>
      <c r="GZ104" s="20"/>
      <c r="HA104" s="20"/>
      <c r="HB104" s="9"/>
      <c r="HC104" s="9"/>
      <c r="HE104" s="5">
        <v>33</v>
      </c>
      <c r="HF104" s="12"/>
      <c r="HG104" s="13"/>
      <c r="HH104" s="13"/>
      <c r="HI104" s="13"/>
      <c r="HJ104" s="13"/>
      <c r="HK104" s="14"/>
      <c r="HL104" s="15"/>
      <c r="HM104" s="15"/>
      <c r="HN104" s="15"/>
      <c r="HO104" s="15"/>
      <c r="HP104" s="15"/>
      <c r="HQ104" s="15"/>
      <c r="HR104" s="15"/>
      <c r="HS104" s="15"/>
      <c r="HT104" s="15"/>
      <c r="HU104" s="15"/>
      <c r="HV104" s="15"/>
      <c r="HW104" s="15"/>
      <c r="HX104" s="15"/>
      <c r="HY104" s="6"/>
      <c r="HZ104" s="6"/>
    </row>
    <row r="105" customHeight="1" spans="2:234">
      <c r="B105" s="5">
        <v>95</v>
      </c>
      <c r="C105" s="12"/>
      <c r="D105" s="13"/>
      <c r="E105" s="13"/>
      <c r="F105" s="13"/>
      <c r="G105" s="13"/>
      <c r="H105" s="14"/>
      <c r="I105" s="15"/>
      <c r="J105" s="15"/>
      <c r="K105" s="15"/>
      <c r="L105" s="15"/>
      <c r="M105" s="15"/>
      <c r="N105" s="15"/>
      <c r="O105" s="15"/>
      <c r="P105" s="15"/>
      <c r="Q105" s="15"/>
      <c r="R105" s="15"/>
      <c r="S105" s="15"/>
      <c r="T105" s="15"/>
      <c r="U105" s="15"/>
      <c r="V105" s="6"/>
      <c r="W105" s="6"/>
      <c r="Y105" s="8">
        <v>34</v>
      </c>
      <c r="Z105" s="17"/>
      <c r="AA105" s="18"/>
      <c r="AB105" s="18"/>
      <c r="AC105" s="18"/>
      <c r="AD105" s="18"/>
      <c r="AE105" s="19"/>
      <c r="AF105" s="20"/>
      <c r="AG105" s="20"/>
      <c r="AH105" s="20"/>
      <c r="AI105" s="20"/>
      <c r="AJ105" s="20"/>
      <c r="AK105" s="20"/>
      <c r="AL105" s="20"/>
      <c r="AM105" s="20"/>
      <c r="AN105" s="20"/>
      <c r="AO105" s="20"/>
      <c r="AP105" s="20"/>
      <c r="AQ105" s="20"/>
      <c r="AR105" s="20"/>
      <c r="AS105" s="9"/>
      <c r="AT105" s="9"/>
      <c r="AW105" s="5">
        <v>95</v>
      </c>
      <c r="AX105" s="12"/>
      <c r="AY105" s="13"/>
      <c r="AZ105" s="13"/>
      <c r="BA105" s="13"/>
      <c r="BB105" s="13"/>
      <c r="BC105" s="14"/>
      <c r="BD105" s="15"/>
      <c r="BE105" s="15"/>
      <c r="BF105" s="15"/>
      <c r="BG105" s="15"/>
      <c r="BH105" s="15"/>
      <c r="BI105" s="15"/>
      <c r="BJ105" s="15"/>
      <c r="BK105" s="15"/>
      <c r="BL105" s="15"/>
      <c r="BM105" s="15"/>
      <c r="BN105" s="15"/>
      <c r="BO105" s="15"/>
      <c r="BP105" s="15"/>
      <c r="BQ105" s="6"/>
      <c r="BR105" s="6"/>
      <c r="BT105" s="8">
        <v>34</v>
      </c>
      <c r="BU105" s="17"/>
      <c r="BV105" s="18"/>
      <c r="BW105" s="18"/>
      <c r="BX105" s="18"/>
      <c r="BY105" s="18"/>
      <c r="BZ105" s="19"/>
      <c r="CA105" s="20"/>
      <c r="CB105" s="20"/>
      <c r="CC105" s="20"/>
      <c r="CD105" s="20"/>
      <c r="CE105" s="20"/>
      <c r="CF105" s="20"/>
      <c r="CG105" s="20"/>
      <c r="CH105" s="20"/>
      <c r="CI105" s="20"/>
      <c r="CJ105" s="20"/>
      <c r="CK105" s="20"/>
      <c r="CL105" s="20"/>
      <c r="CM105" s="20"/>
      <c r="CN105" s="9"/>
      <c r="CO105" s="9"/>
      <c r="CR105" s="5">
        <v>95</v>
      </c>
      <c r="CS105" s="12"/>
      <c r="CT105" s="13"/>
      <c r="CU105" s="13"/>
      <c r="CV105" s="13"/>
      <c r="CW105" s="13"/>
      <c r="CX105" s="14"/>
      <c r="CY105" s="15"/>
      <c r="CZ105" s="15"/>
      <c r="DA105" s="15"/>
      <c r="DB105" s="15"/>
      <c r="DC105" s="15"/>
      <c r="DD105" s="15"/>
      <c r="DE105" s="15"/>
      <c r="DF105" s="15"/>
      <c r="DG105" s="15"/>
      <c r="DH105" s="15"/>
      <c r="DI105" s="15"/>
      <c r="DJ105" s="15"/>
      <c r="DK105" s="15"/>
      <c r="DL105" s="6"/>
      <c r="DM105" s="6"/>
      <c r="DO105" s="8">
        <v>34</v>
      </c>
      <c r="DP105" s="17"/>
      <c r="DQ105" s="18"/>
      <c r="DR105" s="18"/>
      <c r="DS105" s="18"/>
      <c r="DT105" s="18"/>
      <c r="DU105" s="19"/>
      <c r="DV105" s="20"/>
      <c r="DW105" s="20"/>
      <c r="DX105" s="20"/>
      <c r="DY105" s="20"/>
      <c r="DZ105" s="20"/>
      <c r="EA105" s="20"/>
      <c r="EB105" s="20"/>
      <c r="EC105" s="20"/>
      <c r="ED105" s="20"/>
      <c r="EE105" s="20"/>
      <c r="EF105" s="20"/>
      <c r="EG105" s="20"/>
      <c r="EH105" s="20"/>
      <c r="EI105" s="9"/>
      <c r="EJ105" s="9"/>
      <c r="EM105" s="5">
        <v>95</v>
      </c>
      <c r="EN105" s="12"/>
      <c r="EO105" s="13"/>
      <c r="EP105" s="13"/>
      <c r="EQ105" s="13"/>
      <c r="ER105" s="13"/>
      <c r="ES105" s="14"/>
      <c r="ET105" s="15"/>
      <c r="EU105" s="15"/>
      <c r="EV105" s="15"/>
      <c r="EW105" s="15"/>
      <c r="EX105" s="15"/>
      <c r="EY105" s="15"/>
      <c r="EZ105" s="15"/>
      <c r="FA105" s="15"/>
      <c r="FB105" s="15"/>
      <c r="FC105" s="15"/>
      <c r="FD105" s="15"/>
      <c r="FE105" s="15"/>
      <c r="FF105" s="15"/>
      <c r="FG105" s="6"/>
      <c r="FH105" s="6"/>
      <c r="FJ105" s="8">
        <v>34</v>
      </c>
      <c r="FK105" s="17"/>
      <c r="FL105" s="18"/>
      <c r="FM105" s="18"/>
      <c r="FN105" s="18"/>
      <c r="FO105" s="18"/>
      <c r="FP105" s="19"/>
      <c r="FQ105" s="20"/>
      <c r="FR105" s="20"/>
      <c r="FS105" s="20"/>
      <c r="FT105" s="20"/>
      <c r="FU105" s="20"/>
      <c r="FV105" s="20"/>
      <c r="FW105" s="20"/>
      <c r="FX105" s="20"/>
      <c r="FY105" s="20"/>
      <c r="FZ105" s="20"/>
      <c r="GA105" s="20"/>
      <c r="GB105" s="20"/>
      <c r="GC105" s="20"/>
      <c r="GD105" s="9"/>
      <c r="GE105" s="9"/>
      <c r="GH105" s="5">
        <v>95</v>
      </c>
      <c r="GI105" s="12"/>
      <c r="GJ105" s="13"/>
      <c r="GK105" s="13"/>
      <c r="GL105" s="13"/>
      <c r="GM105" s="13"/>
      <c r="GN105" s="14"/>
      <c r="GO105" s="15"/>
      <c r="GP105" s="15"/>
      <c r="GQ105" s="15"/>
      <c r="GR105" s="15"/>
      <c r="GS105" s="15"/>
      <c r="GT105" s="15"/>
      <c r="GU105" s="15"/>
      <c r="GV105" s="15"/>
      <c r="GW105" s="15"/>
      <c r="GX105" s="15"/>
      <c r="GY105" s="15"/>
      <c r="GZ105" s="15"/>
      <c r="HA105" s="15"/>
      <c r="HB105" s="6"/>
      <c r="HC105" s="6"/>
      <c r="HE105" s="8">
        <v>34</v>
      </c>
      <c r="HF105" s="17"/>
      <c r="HG105" s="18"/>
      <c r="HH105" s="18"/>
      <c r="HI105" s="18"/>
      <c r="HJ105" s="18"/>
      <c r="HK105" s="19"/>
      <c r="HL105" s="20"/>
      <c r="HM105" s="20"/>
      <c r="HN105" s="20"/>
      <c r="HO105" s="20"/>
      <c r="HP105" s="20"/>
      <c r="HQ105" s="20"/>
      <c r="HR105" s="20"/>
      <c r="HS105" s="20"/>
      <c r="HT105" s="20"/>
      <c r="HU105" s="20"/>
      <c r="HV105" s="20"/>
      <c r="HW105" s="20"/>
      <c r="HX105" s="20"/>
      <c r="HY105" s="9"/>
      <c r="HZ105" s="9"/>
    </row>
    <row r="106" customHeight="1" spans="2:234">
      <c r="B106" s="8">
        <v>96</v>
      </c>
      <c r="C106" s="17"/>
      <c r="D106" s="18"/>
      <c r="E106" s="18"/>
      <c r="F106" s="18"/>
      <c r="G106" s="18"/>
      <c r="H106" s="19"/>
      <c r="I106" s="20"/>
      <c r="J106" s="20"/>
      <c r="K106" s="20"/>
      <c r="L106" s="20"/>
      <c r="M106" s="20"/>
      <c r="N106" s="20"/>
      <c r="O106" s="20"/>
      <c r="P106" s="20"/>
      <c r="Q106" s="20"/>
      <c r="R106" s="20"/>
      <c r="S106" s="20"/>
      <c r="T106" s="20"/>
      <c r="U106" s="20"/>
      <c r="V106" s="9"/>
      <c r="W106" s="9"/>
      <c r="Y106" s="5">
        <v>35</v>
      </c>
      <c r="Z106" s="12"/>
      <c r="AA106" s="13"/>
      <c r="AB106" s="13"/>
      <c r="AC106" s="13"/>
      <c r="AD106" s="13"/>
      <c r="AE106" s="14"/>
      <c r="AF106" s="15"/>
      <c r="AG106" s="15"/>
      <c r="AH106" s="15"/>
      <c r="AI106" s="15"/>
      <c r="AJ106" s="15"/>
      <c r="AK106" s="15"/>
      <c r="AL106" s="15"/>
      <c r="AM106" s="15"/>
      <c r="AN106" s="15"/>
      <c r="AO106" s="15"/>
      <c r="AP106" s="15"/>
      <c r="AQ106" s="15"/>
      <c r="AR106" s="15"/>
      <c r="AS106" s="6"/>
      <c r="AT106" s="6"/>
      <c r="AW106" s="8">
        <v>96</v>
      </c>
      <c r="AX106" s="17"/>
      <c r="AY106" s="18"/>
      <c r="AZ106" s="18"/>
      <c r="BA106" s="18"/>
      <c r="BB106" s="18"/>
      <c r="BC106" s="19"/>
      <c r="BD106" s="20"/>
      <c r="BE106" s="20"/>
      <c r="BF106" s="20"/>
      <c r="BG106" s="20"/>
      <c r="BH106" s="20"/>
      <c r="BI106" s="20"/>
      <c r="BJ106" s="20"/>
      <c r="BK106" s="20"/>
      <c r="BL106" s="20"/>
      <c r="BM106" s="20"/>
      <c r="BN106" s="20"/>
      <c r="BO106" s="20"/>
      <c r="BP106" s="20"/>
      <c r="BQ106" s="9"/>
      <c r="BR106" s="9"/>
      <c r="BT106" s="5">
        <v>35</v>
      </c>
      <c r="BU106" s="12"/>
      <c r="BV106" s="13"/>
      <c r="BW106" s="13"/>
      <c r="BX106" s="13"/>
      <c r="BY106" s="13"/>
      <c r="BZ106" s="14"/>
      <c r="CA106" s="15"/>
      <c r="CB106" s="15"/>
      <c r="CC106" s="15"/>
      <c r="CD106" s="15"/>
      <c r="CE106" s="15"/>
      <c r="CF106" s="15"/>
      <c r="CG106" s="15"/>
      <c r="CH106" s="15"/>
      <c r="CI106" s="15"/>
      <c r="CJ106" s="15"/>
      <c r="CK106" s="15"/>
      <c r="CL106" s="15"/>
      <c r="CM106" s="15"/>
      <c r="CN106" s="6"/>
      <c r="CO106" s="6"/>
      <c r="CR106" s="8">
        <v>96</v>
      </c>
      <c r="CS106" s="17"/>
      <c r="CT106" s="18"/>
      <c r="CU106" s="18"/>
      <c r="CV106" s="18"/>
      <c r="CW106" s="18"/>
      <c r="CX106" s="19"/>
      <c r="CY106" s="20"/>
      <c r="CZ106" s="20"/>
      <c r="DA106" s="20"/>
      <c r="DB106" s="20"/>
      <c r="DC106" s="20"/>
      <c r="DD106" s="20"/>
      <c r="DE106" s="20"/>
      <c r="DF106" s="20"/>
      <c r="DG106" s="20"/>
      <c r="DH106" s="20"/>
      <c r="DI106" s="20"/>
      <c r="DJ106" s="20"/>
      <c r="DK106" s="20"/>
      <c r="DL106" s="9"/>
      <c r="DM106" s="9"/>
      <c r="DO106" s="5">
        <v>35</v>
      </c>
      <c r="DP106" s="12"/>
      <c r="DQ106" s="13"/>
      <c r="DR106" s="13"/>
      <c r="DS106" s="13"/>
      <c r="DT106" s="13"/>
      <c r="DU106" s="14"/>
      <c r="DV106" s="15"/>
      <c r="DW106" s="15"/>
      <c r="DX106" s="15"/>
      <c r="DY106" s="15"/>
      <c r="DZ106" s="15"/>
      <c r="EA106" s="15"/>
      <c r="EB106" s="15"/>
      <c r="EC106" s="15"/>
      <c r="ED106" s="15"/>
      <c r="EE106" s="15"/>
      <c r="EF106" s="15"/>
      <c r="EG106" s="15"/>
      <c r="EH106" s="15"/>
      <c r="EI106" s="6"/>
      <c r="EJ106" s="6"/>
      <c r="EM106" s="8">
        <v>96</v>
      </c>
      <c r="EN106" s="17"/>
      <c r="EO106" s="18"/>
      <c r="EP106" s="18"/>
      <c r="EQ106" s="18"/>
      <c r="ER106" s="18"/>
      <c r="ES106" s="19"/>
      <c r="ET106" s="20"/>
      <c r="EU106" s="20"/>
      <c r="EV106" s="20"/>
      <c r="EW106" s="20"/>
      <c r="EX106" s="20"/>
      <c r="EY106" s="20"/>
      <c r="EZ106" s="20"/>
      <c r="FA106" s="20"/>
      <c r="FB106" s="20"/>
      <c r="FC106" s="20"/>
      <c r="FD106" s="20"/>
      <c r="FE106" s="20"/>
      <c r="FF106" s="20"/>
      <c r="FG106" s="9"/>
      <c r="FH106" s="9"/>
      <c r="FJ106" s="5">
        <v>35</v>
      </c>
      <c r="FK106" s="12"/>
      <c r="FL106" s="13"/>
      <c r="FM106" s="13"/>
      <c r="FN106" s="13"/>
      <c r="FO106" s="13"/>
      <c r="FP106" s="14"/>
      <c r="FQ106" s="15"/>
      <c r="FR106" s="15"/>
      <c r="FS106" s="15"/>
      <c r="FT106" s="15"/>
      <c r="FU106" s="15"/>
      <c r="FV106" s="15"/>
      <c r="FW106" s="15"/>
      <c r="FX106" s="15"/>
      <c r="FY106" s="15"/>
      <c r="FZ106" s="15"/>
      <c r="GA106" s="15"/>
      <c r="GB106" s="15"/>
      <c r="GC106" s="15"/>
      <c r="GD106" s="6"/>
      <c r="GE106" s="6"/>
      <c r="GH106" s="8">
        <v>96</v>
      </c>
      <c r="GI106" s="17"/>
      <c r="GJ106" s="18"/>
      <c r="GK106" s="18"/>
      <c r="GL106" s="18"/>
      <c r="GM106" s="18"/>
      <c r="GN106" s="19"/>
      <c r="GO106" s="20"/>
      <c r="GP106" s="20"/>
      <c r="GQ106" s="20"/>
      <c r="GR106" s="20"/>
      <c r="GS106" s="20"/>
      <c r="GT106" s="20"/>
      <c r="GU106" s="20"/>
      <c r="GV106" s="20"/>
      <c r="GW106" s="20"/>
      <c r="GX106" s="20"/>
      <c r="GY106" s="20"/>
      <c r="GZ106" s="20"/>
      <c r="HA106" s="20"/>
      <c r="HB106" s="9"/>
      <c r="HC106" s="9"/>
      <c r="HE106" s="5">
        <v>35</v>
      </c>
      <c r="HF106" s="12"/>
      <c r="HG106" s="13"/>
      <c r="HH106" s="13"/>
      <c r="HI106" s="13"/>
      <c r="HJ106" s="13"/>
      <c r="HK106" s="14"/>
      <c r="HL106" s="15"/>
      <c r="HM106" s="15"/>
      <c r="HN106" s="15"/>
      <c r="HO106" s="15"/>
      <c r="HP106" s="15"/>
      <c r="HQ106" s="15"/>
      <c r="HR106" s="15"/>
      <c r="HS106" s="15"/>
      <c r="HT106" s="15"/>
      <c r="HU106" s="15"/>
      <c r="HV106" s="15"/>
      <c r="HW106" s="15"/>
      <c r="HX106" s="15"/>
      <c r="HY106" s="6"/>
      <c r="HZ106" s="6"/>
    </row>
    <row r="107" customHeight="1" spans="2:234">
      <c r="B107" s="5">
        <v>97</v>
      </c>
      <c r="C107" s="12"/>
      <c r="D107" s="13"/>
      <c r="E107" s="13"/>
      <c r="F107" s="13"/>
      <c r="G107" s="13"/>
      <c r="H107" s="14"/>
      <c r="I107" s="15"/>
      <c r="J107" s="15"/>
      <c r="K107" s="15"/>
      <c r="L107" s="15"/>
      <c r="M107" s="15"/>
      <c r="N107" s="15"/>
      <c r="O107" s="15"/>
      <c r="P107" s="15"/>
      <c r="Q107" s="15"/>
      <c r="R107" s="15"/>
      <c r="S107" s="15"/>
      <c r="T107" s="15"/>
      <c r="U107" s="15"/>
      <c r="V107" s="6"/>
      <c r="W107" s="6"/>
      <c r="Y107" s="8">
        <v>36</v>
      </c>
      <c r="Z107" s="17"/>
      <c r="AA107" s="18"/>
      <c r="AB107" s="18"/>
      <c r="AC107" s="18"/>
      <c r="AD107" s="18"/>
      <c r="AE107" s="19"/>
      <c r="AF107" s="20"/>
      <c r="AG107" s="20"/>
      <c r="AH107" s="20"/>
      <c r="AI107" s="20"/>
      <c r="AJ107" s="20"/>
      <c r="AK107" s="20"/>
      <c r="AL107" s="20"/>
      <c r="AM107" s="20"/>
      <c r="AN107" s="20"/>
      <c r="AO107" s="20"/>
      <c r="AP107" s="20"/>
      <c r="AQ107" s="20"/>
      <c r="AR107" s="20"/>
      <c r="AS107" s="9"/>
      <c r="AT107" s="9"/>
      <c r="AW107" s="5">
        <v>97</v>
      </c>
      <c r="AX107" s="12"/>
      <c r="AY107" s="13"/>
      <c r="AZ107" s="13"/>
      <c r="BA107" s="13"/>
      <c r="BB107" s="13"/>
      <c r="BC107" s="14"/>
      <c r="BD107" s="15"/>
      <c r="BE107" s="15"/>
      <c r="BF107" s="15"/>
      <c r="BG107" s="15"/>
      <c r="BH107" s="15"/>
      <c r="BI107" s="15"/>
      <c r="BJ107" s="15"/>
      <c r="BK107" s="15"/>
      <c r="BL107" s="15"/>
      <c r="BM107" s="15"/>
      <c r="BN107" s="15"/>
      <c r="BO107" s="15"/>
      <c r="BP107" s="15"/>
      <c r="BQ107" s="6"/>
      <c r="BR107" s="6"/>
      <c r="BT107" s="8">
        <v>36</v>
      </c>
      <c r="BU107" s="17"/>
      <c r="BV107" s="18"/>
      <c r="BW107" s="18"/>
      <c r="BX107" s="18"/>
      <c r="BY107" s="18"/>
      <c r="BZ107" s="19"/>
      <c r="CA107" s="20"/>
      <c r="CB107" s="20"/>
      <c r="CC107" s="20"/>
      <c r="CD107" s="20"/>
      <c r="CE107" s="20"/>
      <c r="CF107" s="20"/>
      <c r="CG107" s="20"/>
      <c r="CH107" s="20"/>
      <c r="CI107" s="20"/>
      <c r="CJ107" s="20"/>
      <c r="CK107" s="20"/>
      <c r="CL107" s="20"/>
      <c r="CM107" s="20"/>
      <c r="CN107" s="9"/>
      <c r="CO107" s="9"/>
      <c r="CR107" s="5">
        <v>97</v>
      </c>
      <c r="CS107" s="12"/>
      <c r="CT107" s="13"/>
      <c r="CU107" s="13"/>
      <c r="CV107" s="13"/>
      <c r="CW107" s="13"/>
      <c r="CX107" s="14"/>
      <c r="CY107" s="15"/>
      <c r="CZ107" s="15"/>
      <c r="DA107" s="15"/>
      <c r="DB107" s="15"/>
      <c r="DC107" s="15"/>
      <c r="DD107" s="15"/>
      <c r="DE107" s="15"/>
      <c r="DF107" s="15"/>
      <c r="DG107" s="15"/>
      <c r="DH107" s="15"/>
      <c r="DI107" s="15"/>
      <c r="DJ107" s="15"/>
      <c r="DK107" s="15"/>
      <c r="DL107" s="6"/>
      <c r="DM107" s="6"/>
      <c r="DO107" s="8">
        <v>36</v>
      </c>
      <c r="DP107" s="17"/>
      <c r="DQ107" s="18"/>
      <c r="DR107" s="18"/>
      <c r="DS107" s="18"/>
      <c r="DT107" s="18"/>
      <c r="DU107" s="19"/>
      <c r="DV107" s="20"/>
      <c r="DW107" s="20"/>
      <c r="DX107" s="20"/>
      <c r="DY107" s="20"/>
      <c r="DZ107" s="20"/>
      <c r="EA107" s="20"/>
      <c r="EB107" s="20"/>
      <c r="EC107" s="20"/>
      <c r="ED107" s="20"/>
      <c r="EE107" s="20"/>
      <c r="EF107" s="20"/>
      <c r="EG107" s="20"/>
      <c r="EH107" s="20"/>
      <c r="EI107" s="9"/>
      <c r="EJ107" s="9"/>
      <c r="EM107" s="5">
        <v>97</v>
      </c>
      <c r="EN107" s="12"/>
      <c r="EO107" s="13"/>
      <c r="EP107" s="13"/>
      <c r="EQ107" s="13"/>
      <c r="ER107" s="13"/>
      <c r="ES107" s="14"/>
      <c r="ET107" s="15"/>
      <c r="EU107" s="15"/>
      <c r="EV107" s="15"/>
      <c r="EW107" s="15"/>
      <c r="EX107" s="15"/>
      <c r="EY107" s="15"/>
      <c r="EZ107" s="15"/>
      <c r="FA107" s="15"/>
      <c r="FB107" s="15"/>
      <c r="FC107" s="15"/>
      <c r="FD107" s="15"/>
      <c r="FE107" s="15"/>
      <c r="FF107" s="15"/>
      <c r="FG107" s="6"/>
      <c r="FH107" s="6"/>
      <c r="FJ107" s="8">
        <v>36</v>
      </c>
      <c r="FK107" s="17"/>
      <c r="FL107" s="18"/>
      <c r="FM107" s="18"/>
      <c r="FN107" s="18"/>
      <c r="FO107" s="18"/>
      <c r="FP107" s="19"/>
      <c r="FQ107" s="20"/>
      <c r="FR107" s="20"/>
      <c r="FS107" s="20"/>
      <c r="FT107" s="20"/>
      <c r="FU107" s="20"/>
      <c r="FV107" s="20"/>
      <c r="FW107" s="20"/>
      <c r="FX107" s="20"/>
      <c r="FY107" s="20"/>
      <c r="FZ107" s="20"/>
      <c r="GA107" s="20"/>
      <c r="GB107" s="20"/>
      <c r="GC107" s="20"/>
      <c r="GD107" s="9"/>
      <c r="GE107" s="9"/>
      <c r="GH107" s="5">
        <v>97</v>
      </c>
      <c r="GI107" s="12"/>
      <c r="GJ107" s="13"/>
      <c r="GK107" s="13"/>
      <c r="GL107" s="13"/>
      <c r="GM107" s="13"/>
      <c r="GN107" s="14"/>
      <c r="GO107" s="15"/>
      <c r="GP107" s="15"/>
      <c r="GQ107" s="15"/>
      <c r="GR107" s="15"/>
      <c r="GS107" s="15"/>
      <c r="GT107" s="15"/>
      <c r="GU107" s="15"/>
      <c r="GV107" s="15"/>
      <c r="GW107" s="15"/>
      <c r="GX107" s="15"/>
      <c r="GY107" s="15"/>
      <c r="GZ107" s="15"/>
      <c r="HA107" s="15"/>
      <c r="HB107" s="6"/>
      <c r="HC107" s="6"/>
      <c r="HE107" s="8">
        <v>36</v>
      </c>
      <c r="HF107" s="17"/>
      <c r="HG107" s="18"/>
      <c r="HH107" s="18"/>
      <c r="HI107" s="18"/>
      <c r="HJ107" s="18"/>
      <c r="HK107" s="19"/>
      <c r="HL107" s="20"/>
      <c r="HM107" s="20"/>
      <c r="HN107" s="20"/>
      <c r="HO107" s="20"/>
      <c r="HP107" s="20"/>
      <c r="HQ107" s="20"/>
      <c r="HR107" s="20"/>
      <c r="HS107" s="20"/>
      <c r="HT107" s="20"/>
      <c r="HU107" s="20"/>
      <c r="HV107" s="20"/>
      <c r="HW107" s="20"/>
      <c r="HX107" s="20"/>
      <c r="HY107" s="9"/>
      <c r="HZ107" s="9"/>
    </row>
    <row r="108" customHeight="1" spans="2:234">
      <c r="B108" s="8">
        <v>98</v>
      </c>
      <c r="C108" s="17"/>
      <c r="D108" s="18"/>
      <c r="E108" s="18"/>
      <c r="F108" s="18"/>
      <c r="G108" s="18"/>
      <c r="H108" s="19"/>
      <c r="I108" s="20"/>
      <c r="J108" s="20"/>
      <c r="K108" s="20"/>
      <c r="L108" s="20"/>
      <c r="M108" s="20"/>
      <c r="N108" s="20"/>
      <c r="O108" s="20"/>
      <c r="P108" s="20"/>
      <c r="Q108" s="20"/>
      <c r="R108" s="20"/>
      <c r="S108" s="20"/>
      <c r="T108" s="20"/>
      <c r="U108" s="20"/>
      <c r="V108" s="9"/>
      <c r="W108" s="9"/>
      <c r="Y108" s="5">
        <v>37</v>
      </c>
      <c r="Z108" s="12"/>
      <c r="AA108" s="13"/>
      <c r="AB108" s="13"/>
      <c r="AC108" s="13"/>
      <c r="AD108" s="13"/>
      <c r="AE108" s="14"/>
      <c r="AF108" s="15"/>
      <c r="AG108" s="15"/>
      <c r="AH108" s="15"/>
      <c r="AI108" s="15"/>
      <c r="AJ108" s="15"/>
      <c r="AK108" s="15"/>
      <c r="AL108" s="15"/>
      <c r="AM108" s="15"/>
      <c r="AN108" s="15"/>
      <c r="AO108" s="15"/>
      <c r="AP108" s="15"/>
      <c r="AQ108" s="15"/>
      <c r="AR108" s="15"/>
      <c r="AS108" s="6"/>
      <c r="AT108" s="6"/>
      <c r="AW108" s="8">
        <v>98</v>
      </c>
      <c r="AX108" s="17"/>
      <c r="AY108" s="18"/>
      <c r="AZ108" s="18"/>
      <c r="BA108" s="18"/>
      <c r="BB108" s="18"/>
      <c r="BC108" s="19"/>
      <c r="BD108" s="20"/>
      <c r="BE108" s="20"/>
      <c r="BF108" s="20"/>
      <c r="BG108" s="20"/>
      <c r="BH108" s="20"/>
      <c r="BI108" s="20"/>
      <c r="BJ108" s="20"/>
      <c r="BK108" s="20"/>
      <c r="BL108" s="20"/>
      <c r="BM108" s="20"/>
      <c r="BN108" s="20"/>
      <c r="BO108" s="20"/>
      <c r="BP108" s="20"/>
      <c r="BQ108" s="9"/>
      <c r="BR108" s="9"/>
      <c r="BT108" s="5">
        <v>37</v>
      </c>
      <c r="BU108" s="12"/>
      <c r="BV108" s="13"/>
      <c r="BW108" s="13"/>
      <c r="BX108" s="13"/>
      <c r="BY108" s="13"/>
      <c r="BZ108" s="14"/>
      <c r="CA108" s="15"/>
      <c r="CB108" s="15"/>
      <c r="CC108" s="15"/>
      <c r="CD108" s="15"/>
      <c r="CE108" s="15"/>
      <c r="CF108" s="15"/>
      <c r="CG108" s="15"/>
      <c r="CH108" s="15"/>
      <c r="CI108" s="15"/>
      <c r="CJ108" s="15"/>
      <c r="CK108" s="15"/>
      <c r="CL108" s="15"/>
      <c r="CM108" s="15"/>
      <c r="CN108" s="6"/>
      <c r="CO108" s="6"/>
      <c r="CR108" s="8">
        <v>98</v>
      </c>
      <c r="CS108" s="17"/>
      <c r="CT108" s="18"/>
      <c r="CU108" s="18"/>
      <c r="CV108" s="18"/>
      <c r="CW108" s="18"/>
      <c r="CX108" s="19"/>
      <c r="CY108" s="20"/>
      <c r="CZ108" s="20"/>
      <c r="DA108" s="20"/>
      <c r="DB108" s="20"/>
      <c r="DC108" s="20"/>
      <c r="DD108" s="20"/>
      <c r="DE108" s="20"/>
      <c r="DF108" s="20"/>
      <c r="DG108" s="20"/>
      <c r="DH108" s="20"/>
      <c r="DI108" s="20"/>
      <c r="DJ108" s="20"/>
      <c r="DK108" s="20"/>
      <c r="DL108" s="9"/>
      <c r="DM108" s="9"/>
      <c r="DO108" s="5">
        <v>37</v>
      </c>
      <c r="DP108" s="12"/>
      <c r="DQ108" s="13"/>
      <c r="DR108" s="13"/>
      <c r="DS108" s="13"/>
      <c r="DT108" s="13"/>
      <c r="DU108" s="14"/>
      <c r="DV108" s="15"/>
      <c r="DW108" s="15"/>
      <c r="DX108" s="15"/>
      <c r="DY108" s="15"/>
      <c r="DZ108" s="15"/>
      <c r="EA108" s="15"/>
      <c r="EB108" s="15"/>
      <c r="EC108" s="15"/>
      <c r="ED108" s="15"/>
      <c r="EE108" s="15"/>
      <c r="EF108" s="15"/>
      <c r="EG108" s="15"/>
      <c r="EH108" s="15"/>
      <c r="EI108" s="6"/>
      <c r="EJ108" s="6"/>
      <c r="EM108" s="8">
        <v>98</v>
      </c>
      <c r="EN108" s="17"/>
      <c r="EO108" s="18"/>
      <c r="EP108" s="18"/>
      <c r="EQ108" s="18"/>
      <c r="ER108" s="18"/>
      <c r="ES108" s="19"/>
      <c r="ET108" s="20"/>
      <c r="EU108" s="20"/>
      <c r="EV108" s="20"/>
      <c r="EW108" s="20"/>
      <c r="EX108" s="20"/>
      <c r="EY108" s="20"/>
      <c r="EZ108" s="20"/>
      <c r="FA108" s="20"/>
      <c r="FB108" s="20"/>
      <c r="FC108" s="20"/>
      <c r="FD108" s="20"/>
      <c r="FE108" s="20"/>
      <c r="FF108" s="20"/>
      <c r="FG108" s="9"/>
      <c r="FH108" s="9"/>
      <c r="FJ108" s="5">
        <v>37</v>
      </c>
      <c r="FK108" s="12"/>
      <c r="FL108" s="13"/>
      <c r="FM108" s="13"/>
      <c r="FN108" s="13"/>
      <c r="FO108" s="13"/>
      <c r="FP108" s="14"/>
      <c r="FQ108" s="15"/>
      <c r="FR108" s="15"/>
      <c r="FS108" s="15"/>
      <c r="FT108" s="15"/>
      <c r="FU108" s="15"/>
      <c r="FV108" s="15"/>
      <c r="FW108" s="15"/>
      <c r="FX108" s="15"/>
      <c r="FY108" s="15"/>
      <c r="FZ108" s="15"/>
      <c r="GA108" s="15"/>
      <c r="GB108" s="15"/>
      <c r="GC108" s="15"/>
      <c r="GD108" s="6"/>
      <c r="GE108" s="6"/>
      <c r="GH108" s="8">
        <v>98</v>
      </c>
      <c r="GI108" s="17"/>
      <c r="GJ108" s="18"/>
      <c r="GK108" s="18"/>
      <c r="GL108" s="18"/>
      <c r="GM108" s="18"/>
      <c r="GN108" s="19"/>
      <c r="GO108" s="20"/>
      <c r="GP108" s="20"/>
      <c r="GQ108" s="20"/>
      <c r="GR108" s="20"/>
      <c r="GS108" s="20"/>
      <c r="GT108" s="20"/>
      <c r="GU108" s="20"/>
      <c r="GV108" s="20"/>
      <c r="GW108" s="20"/>
      <c r="GX108" s="20"/>
      <c r="GY108" s="20"/>
      <c r="GZ108" s="20"/>
      <c r="HA108" s="20"/>
      <c r="HB108" s="9"/>
      <c r="HC108" s="9"/>
      <c r="HE108" s="5">
        <v>37</v>
      </c>
      <c r="HF108" s="12"/>
      <c r="HG108" s="13"/>
      <c r="HH108" s="13"/>
      <c r="HI108" s="13"/>
      <c r="HJ108" s="13"/>
      <c r="HK108" s="14"/>
      <c r="HL108" s="15"/>
      <c r="HM108" s="15"/>
      <c r="HN108" s="15"/>
      <c r="HO108" s="15"/>
      <c r="HP108" s="15"/>
      <c r="HQ108" s="15"/>
      <c r="HR108" s="15"/>
      <c r="HS108" s="15"/>
      <c r="HT108" s="15"/>
      <c r="HU108" s="15"/>
      <c r="HV108" s="15"/>
      <c r="HW108" s="15"/>
      <c r="HX108" s="15"/>
      <c r="HY108" s="6"/>
      <c r="HZ108" s="6"/>
    </row>
    <row r="109" customHeight="1" spans="2:234">
      <c r="B109" s="5">
        <v>99</v>
      </c>
      <c r="C109" s="12"/>
      <c r="D109" s="13"/>
      <c r="E109" s="13"/>
      <c r="F109" s="13"/>
      <c r="G109" s="13"/>
      <c r="H109" s="14"/>
      <c r="I109" s="15"/>
      <c r="J109" s="15"/>
      <c r="K109" s="15"/>
      <c r="L109" s="15"/>
      <c r="M109" s="15"/>
      <c r="N109" s="15"/>
      <c r="O109" s="15"/>
      <c r="P109" s="15"/>
      <c r="Q109" s="15"/>
      <c r="R109" s="15"/>
      <c r="S109" s="15"/>
      <c r="T109" s="15"/>
      <c r="U109" s="15"/>
      <c r="V109" s="6"/>
      <c r="W109" s="6"/>
      <c r="Y109" s="8">
        <v>38</v>
      </c>
      <c r="Z109" s="17"/>
      <c r="AA109" s="18"/>
      <c r="AB109" s="18"/>
      <c r="AC109" s="18"/>
      <c r="AD109" s="18"/>
      <c r="AE109" s="19"/>
      <c r="AF109" s="20"/>
      <c r="AG109" s="20"/>
      <c r="AH109" s="20"/>
      <c r="AI109" s="20"/>
      <c r="AJ109" s="20"/>
      <c r="AK109" s="20"/>
      <c r="AL109" s="20"/>
      <c r="AM109" s="20"/>
      <c r="AN109" s="20"/>
      <c r="AO109" s="20"/>
      <c r="AP109" s="20"/>
      <c r="AQ109" s="20"/>
      <c r="AR109" s="20"/>
      <c r="AS109" s="9"/>
      <c r="AT109" s="9"/>
      <c r="AW109" s="5">
        <v>99</v>
      </c>
      <c r="AX109" s="12"/>
      <c r="AY109" s="13"/>
      <c r="AZ109" s="13"/>
      <c r="BA109" s="13"/>
      <c r="BB109" s="13"/>
      <c r="BC109" s="14"/>
      <c r="BD109" s="15"/>
      <c r="BE109" s="15"/>
      <c r="BF109" s="15"/>
      <c r="BG109" s="15"/>
      <c r="BH109" s="15"/>
      <c r="BI109" s="15"/>
      <c r="BJ109" s="15"/>
      <c r="BK109" s="15"/>
      <c r="BL109" s="15"/>
      <c r="BM109" s="15"/>
      <c r="BN109" s="15"/>
      <c r="BO109" s="15"/>
      <c r="BP109" s="15"/>
      <c r="BQ109" s="6"/>
      <c r="BR109" s="6"/>
      <c r="BT109" s="8">
        <v>38</v>
      </c>
      <c r="BU109" s="17"/>
      <c r="BV109" s="18"/>
      <c r="BW109" s="18"/>
      <c r="BX109" s="18"/>
      <c r="BY109" s="18"/>
      <c r="BZ109" s="19"/>
      <c r="CA109" s="20"/>
      <c r="CB109" s="20"/>
      <c r="CC109" s="20"/>
      <c r="CD109" s="20"/>
      <c r="CE109" s="20"/>
      <c r="CF109" s="20"/>
      <c r="CG109" s="20"/>
      <c r="CH109" s="20"/>
      <c r="CI109" s="20"/>
      <c r="CJ109" s="20"/>
      <c r="CK109" s="20"/>
      <c r="CL109" s="20"/>
      <c r="CM109" s="20"/>
      <c r="CN109" s="9"/>
      <c r="CO109" s="9"/>
      <c r="CR109" s="5">
        <v>99</v>
      </c>
      <c r="CS109" s="12"/>
      <c r="CT109" s="13"/>
      <c r="CU109" s="13"/>
      <c r="CV109" s="13"/>
      <c r="CW109" s="13"/>
      <c r="CX109" s="14"/>
      <c r="CY109" s="15"/>
      <c r="CZ109" s="15"/>
      <c r="DA109" s="15"/>
      <c r="DB109" s="15"/>
      <c r="DC109" s="15"/>
      <c r="DD109" s="15"/>
      <c r="DE109" s="15"/>
      <c r="DF109" s="15"/>
      <c r="DG109" s="15"/>
      <c r="DH109" s="15"/>
      <c r="DI109" s="15"/>
      <c r="DJ109" s="15"/>
      <c r="DK109" s="15"/>
      <c r="DL109" s="6"/>
      <c r="DM109" s="6"/>
      <c r="DO109" s="8">
        <v>38</v>
      </c>
      <c r="DP109" s="17"/>
      <c r="DQ109" s="18"/>
      <c r="DR109" s="18"/>
      <c r="DS109" s="18"/>
      <c r="DT109" s="18"/>
      <c r="DU109" s="19"/>
      <c r="DV109" s="20"/>
      <c r="DW109" s="20"/>
      <c r="DX109" s="20"/>
      <c r="DY109" s="20"/>
      <c r="DZ109" s="20"/>
      <c r="EA109" s="20"/>
      <c r="EB109" s="20"/>
      <c r="EC109" s="20"/>
      <c r="ED109" s="20"/>
      <c r="EE109" s="20"/>
      <c r="EF109" s="20"/>
      <c r="EG109" s="20"/>
      <c r="EH109" s="20"/>
      <c r="EI109" s="9"/>
      <c r="EJ109" s="9"/>
      <c r="EM109" s="5">
        <v>99</v>
      </c>
      <c r="EN109" s="12"/>
      <c r="EO109" s="13"/>
      <c r="EP109" s="13"/>
      <c r="EQ109" s="13"/>
      <c r="ER109" s="13"/>
      <c r="ES109" s="14"/>
      <c r="ET109" s="15"/>
      <c r="EU109" s="15"/>
      <c r="EV109" s="15"/>
      <c r="EW109" s="15"/>
      <c r="EX109" s="15"/>
      <c r="EY109" s="15"/>
      <c r="EZ109" s="15"/>
      <c r="FA109" s="15"/>
      <c r="FB109" s="15"/>
      <c r="FC109" s="15"/>
      <c r="FD109" s="15"/>
      <c r="FE109" s="15"/>
      <c r="FF109" s="15"/>
      <c r="FG109" s="6"/>
      <c r="FH109" s="6"/>
      <c r="FJ109" s="8">
        <v>38</v>
      </c>
      <c r="FK109" s="17"/>
      <c r="FL109" s="18"/>
      <c r="FM109" s="18"/>
      <c r="FN109" s="18"/>
      <c r="FO109" s="18"/>
      <c r="FP109" s="19"/>
      <c r="FQ109" s="20"/>
      <c r="FR109" s="20"/>
      <c r="FS109" s="20"/>
      <c r="FT109" s="20"/>
      <c r="FU109" s="20"/>
      <c r="FV109" s="20"/>
      <c r="FW109" s="20"/>
      <c r="FX109" s="20"/>
      <c r="FY109" s="20"/>
      <c r="FZ109" s="20"/>
      <c r="GA109" s="20"/>
      <c r="GB109" s="20"/>
      <c r="GC109" s="20"/>
      <c r="GD109" s="9"/>
      <c r="GE109" s="9"/>
      <c r="GH109" s="5">
        <v>99</v>
      </c>
      <c r="GI109" s="12"/>
      <c r="GJ109" s="13"/>
      <c r="GK109" s="13"/>
      <c r="GL109" s="13"/>
      <c r="GM109" s="13"/>
      <c r="GN109" s="14"/>
      <c r="GO109" s="15"/>
      <c r="GP109" s="15"/>
      <c r="GQ109" s="15"/>
      <c r="GR109" s="15"/>
      <c r="GS109" s="15"/>
      <c r="GT109" s="15"/>
      <c r="GU109" s="15"/>
      <c r="GV109" s="15"/>
      <c r="GW109" s="15"/>
      <c r="GX109" s="15"/>
      <c r="GY109" s="15"/>
      <c r="GZ109" s="15"/>
      <c r="HA109" s="15"/>
      <c r="HB109" s="6"/>
      <c r="HC109" s="6"/>
      <c r="HE109" s="8">
        <v>38</v>
      </c>
      <c r="HF109" s="17"/>
      <c r="HG109" s="18"/>
      <c r="HH109" s="18"/>
      <c r="HI109" s="18"/>
      <c r="HJ109" s="18"/>
      <c r="HK109" s="19"/>
      <c r="HL109" s="20"/>
      <c r="HM109" s="20"/>
      <c r="HN109" s="20"/>
      <c r="HO109" s="20"/>
      <c r="HP109" s="20"/>
      <c r="HQ109" s="20"/>
      <c r="HR109" s="20"/>
      <c r="HS109" s="20"/>
      <c r="HT109" s="20"/>
      <c r="HU109" s="20"/>
      <c r="HV109" s="20"/>
      <c r="HW109" s="20"/>
      <c r="HX109" s="20"/>
      <c r="HY109" s="9"/>
      <c r="HZ109" s="9"/>
    </row>
    <row r="110" customHeight="1" spans="2:234">
      <c r="B110" s="8">
        <v>100</v>
      </c>
      <c r="C110" s="17"/>
      <c r="D110" s="18"/>
      <c r="E110" s="18"/>
      <c r="F110" s="18"/>
      <c r="G110" s="18"/>
      <c r="H110" s="19"/>
      <c r="I110" s="20"/>
      <c r="J110" s="20"/>
      <c r="K110" s="20"/>
      <c r="L110" s="20"/>
      <c r="M110" s="20"/>
      <c r="N110" s="20"/>
      <c r="O110" s="20"/>
      <c r="P110" s="20"/>
      <c r="Q110" s="20"/>
      <c r="R110" s="20"/>
      <c r="S110" s="20"/>
      <c r="T110" s="20"/>
      <c r="U110" s="20"/>
      <c r="V110" s="9"/>
      <c r="W110" s="9"/>
      <c r="Y110" s="5">
        <v>39</v>
      </c>
      <c r="Z110" s="12"/>
      <c r="AA110" s="13"/>
      <c r="AB110" s="13"/>
      <c r="AC110" s="13"/>
      <c r="AD110" s="13"/>
      <c r="AE110" s="14"/>
      <c r="AF110" s="15"/>
      <c r="AG110" s="15"/>
      <c r="AH110" s="15"/>
      <c r="AI110" s="15"/>
      <c r="AJ110" s="15"/>
      <c r="AK110" s="15"/>
      <c r="AL110" s="15"/>
      <c r="AM110" s="15"/>
      <c r="AN110" s="15"/>
      <c r="AO110" s="15"/>
      <c r="AP110" s="15"/>
      <c r="AQ110" s="15"/>
      <c r="AR110" s="15"/>
      <c r="AS110" s="6"/>
      <c r="AT110" s="6"/>
      <c r="AW110" s="8">
        <v>100</v>
      </c>
      <c r="AX110" s="17"/>
      <c r="AY110" s="18"/>
      <c r="AZ110" s="18"/>
      <c r="BA110" s="18"/>
      <c r="BB110" s="18"/>
      <c r="BC110" s="19"/>
      <c r="BD110" s="20"/>
      <c r="BE110" s="20"/>
      <c r="BF110" s="20"/>
      <c r="BG110" s="20"/>
      <c r="BH110" s="20"/>
      <c r="BI110" s="20"/>
      <c r="BJ110" s="20"/>
      <c r="BK110" s="20"/>
      <c r="BL110" s="20"/>
      <c r="BM110" s="20"/>
      <c r="BN110" s="20"/>
      <c r="BO110" s="20"/>
      <c r="BP110" s="20"/>
      <c r="BQ110" s="9"/>
      <c r="BR110" s="9"/>
      <c r="BT110" s="5">
        <v>39</v>
      </c>
      <c r="BU110" s="12"/>
      <c r="BV110" s="13"/>
      <c r="BW110" s="13"/>
      <c r="BX110" s="13"/>
      <c r="BY110" s="13"/>
      <c r="BZ110" s="14"/>
      <c r="CA110" s="15"/>
      <c r="CB110" s="15"/>
      <c r="CC110" s="15"/>
      <c r="CD110" s="15"/>
      <c r="CE110" s="15"/>
      <c r="CF110" s="15"/>
      <c r="CG110" s="15"/>
      <c r="CH110" s="15"/>
      <c r="CI110" s="15"/>
      <c r="CJ110" s="15"/>
      <c r="CK110" s="15"/>
      <c r="CL110" s="15"/>
      <c r="CM110" s="15"/>
      <c r="CN110" s="6"/>
      <c r="CO110" s="6"/>
      <c r="CR110" s="8">
        <v>100</v>
      </c>
      <c r="CS110" s="17"/>
      <c r="CT110" s="18"/>
      <c r="CU110" s="18"/>
      <c r="CV110" s="18"/>
      <c r="CW110" s="18"/>
      <c r="CX110" s="19"/>
      <c r="CY110" s="20"/>
      <c r="CZ110" s="20"/>
      <c r="DA110" s="20"/>
      <c r="DB110" s="20"/>
      <c r="DC110" s="20"/>
      <c r="DD110" s="20"/>
      <c r="DE110" s="20"/>
      <c r="DF110" s="20"/>
      <c r="DG110" s="20"/>
      <c r="DH110" s="20"/>
      <c r="DI110" s="20"/>
      <c r="DJ110" s="20"/>
      <c r="DK110" s="20"/>
      <c r="DL110" s="9"/>
      <c r="DM110" s="9"/>
      <c r="DO110" s="5">
        <v>39</v>
      </c>
      <c r="DP110" s="12"/>
      <c r="DQ110" s="13"/>
      <c r="DR110" s="13"/>
      <c r="DS110" s="13"/>
      <c r="DT110" s="13"/>
      <c r="DU110" s="14"/>
      <c r="DV110" s="15"/>
      <c r="DW110" s="15"/>
      <c r="DX110" s="15"/>
      <c r="DY110" s="15"/>
      <c r="DZ110" s="15"/>
      <c r="EA110" s="15"/>
      <c r="EB110" s="15"/>
      <c r="EC110" s="15"/>
      <c r="ED110" s="15"/>
      <c r="EE110" s="15"/>
      <c r="EF110" s="15"/>
      <c r="EG110" s="15"/>
      <c r="EH110" s="15"/>
      <c r="EI110" s="6"/>
      <c r="EJ110" s="6"/>
      <c r="EM110" s="8">
        <v>100</v>
      </c>
      <c r="EN110" s="17"/>
      <c r="EO110" s="18"/>
      <c r="EP110" s="18"/>
      <c r="EQ110" s="18"/>
      <c r="ER110" s="18"/>
      <c r="ES110" s="19"/>
      <c r="ET110" s="20"/>
      <c r="EU110" s="20"/>
      <c r="EV110" s="20"/>
      <c r="EW110" s="20"/>
      <c r="EX110" s="20"/>
      <c r="EY110" s="20"/>
      <c r="EZ110" s="20"/>
      <c r="FA110" s="20"/>
      <c r="FB110" s="20"/>
      <c r="FC110" s="20"/>
      <c r="FD110" s="20"/>
      <c r="FE110" s="20"/>
      <c r="FF110" s="20"/>
      <c r="FG110" s="9"/>
      <c r="FH110" s="9"/>
      <c r="FJ110" s="5">
        <v>39</v>
      </c>
      <c r="FK110" s="12"/>
      <c r="FL110" s="13"/>
      <c r="FM110" s="13"/>
      <c r="FN110" s="13"/>
      <c r="FO110" s="13"/>
      <c r="FP110" s="14"/>
      <c r="FQ110" s="15"/>
      <c r="FR110" s="15"/>
      <c r="FS110" s="15"/>
      <c r="FT110" s="15"/>
      <c r="FU110" s="15"/>
      <c r="FV110" s="15"/>
      <c r="FW110" s="15"/>
      <c r="FX110" s="15"/>
      <c r="FY110" s="15"/>
      <c r="FZ110" s="15"/>
      <c r="GA110" s="15"/>
      <c r="GB110" s="15"/>
      <c r="GC110" s="15"/>
      <c r="GD110" s="6"/>
      <c r="GE110" s="6"/>
      <c r="GH110" s="8">
        <v>100</v>
      </c>
      <c r="GI110" s="17"/>
      <c r="GJ110" s="18"/>
      <c r="GK110" s="18"/>
      <c r="GL110" s="18"/>
      <c r="GM110" s="18"/>
      <c r="GN110" s="19"/>
      <c r="GO110" s="20"/>
      <c r="GP110" s="20"/>
      <c r="GQ110" s="20"/>
      <c r="GR110" s="20"/>
      <c r="GS110" s="20"/>
      <c r="GT110" s="20"/>
      <c r="GU110" s="20"/>
      <c r="GV110" s="20"/>
      <c r="GW110" s="20"/>
      <c r="GX110" s="20"/>
      <c r="GY110" s="20"/>
      <c r="GZ110" s="20"/>
      <c r="HA110" s="20"/>
      <c r="HB110" s="9"/>
      <c r="HC110" s="9"/>
      <c r="HE110" s="5">
        <v>39</v>
      </c>
      <c r="HF110" s="12"/>
      <c r="HG110" s="13"/>
      <c r="HH110" s="13"/>
      <c r="HI110" s="13"/>
      <c r="HJ110" s="13"/>
      <c r="HK110" s="14"/>
      <c r="HL110" s="15"/>
      <c r="HM110" s="15"/>
      <c r="HN110" s="15"/>
      <c r="HO110" s="15"/>
      <c r="HP110" s="15"/>
      <c r="HQ110" s="15"/>
      <c r="HR110" s="15"/>
      <c r="HS110" s="15"/>
      <c r="HT110" s="15"/>
      <c r="HU110" s="15"/>
      <c r="HV110" s="15"/>
      <c r="HW110" s="15"/>
      <c r="HX110" s="15"/>
      <c r="HY110" s="6"/>
      <c r="HZ110" s="6"/>
    </row>
  </sheetData>
  <sheetProtection selectLockedCells="1"/>
  <protectedRanges>
    <protectedRange sqref="AV13:AV16 E17:Y111 AB17:AV111 AU112:AV112 AB120:AT213 E120:Y213 E223:Y316 AB223:AT316 E326:Y419 AB326:AT419 E429:Y522 AB429:AT522 CP13:CQ110 BW111:CQ112 AZ111:BT112 AZ17:BT110 BW17:CO110 CU17:DO110 DR17:EJ110 EP17:FJ110 FM17:GE110 GK17:HE110 HH17:HZ110" name="区域3"/>
    <protectedRange sqref="BX4:CC8 CG4:CQ8" name="区域2"/>
    <protectedRange sqref="AV4:BT8 AV9" name="区域1"/>
    <protectedRange sqref="C3:H7" name="区域1_1"/>
  </protectedRanges>
  <mergeCells count="3044">
    <mergeCell ref="A1:AU1"/>
    <mergeCell ref="C2:H2"/>
    <mergeCell ref="I2:N2"/>
    <mergeCell ref="O2:AT2"/>
    <mergeCell ref="C3:H3"/>
    <mergeCell ref="I3:N3"/>
    <mergeCell ref="O3:AT3"/>
    <mergeCell ref="C4:H4"/>
    <mergeCell ref="I4:N4"/>
    <mergeCell ref="O4:AT4"/>
    <mergeCell ref="C5:H5"/>
    <mergeCell ref="I5:N5"/>
    <mergeCell ref="O5:AT5"/>
    <mergeCell ref="C6:H6"/>
    <mergeCell ref="I6:N6"/>
    <mergeCell ref="O6:AT6"/>
    <mergeCell ref="C7:H7"/>
    <mergeCell ref="I7:N7"/>
    <mergeCell ref="O7:AT7"/>
    <mergeCell ref="B9:W9"/>
    <mergeCell ref="Y9:AF9"/>
    <mergeCell ref="AH9:AT9"/>
    <mergeCell ref="AW9:BR9"/>
    <mergeCell ref="BT9:CA9"/>
    <mergeCell ref="CC9:CO9"/>
    <mergeCell ref="CR9:DM9"/>
    <mergeCell ref="DO9:DV9"/>
    <mergeCell ref="DX9:EJ9"/>
    <mergeCell ref="EM9:FH9"/>
    <mergeCell ref="FJ9:FQ9"/>
    <mergeCell ref="FS9:GE9"/>
    <mergeCell ref="GH9:HC9"/>
    <mergeCell ref="HE9:HL9"/>
    <mergeCell ref="HN9:HZ9"/>
    <mergeCell ref="C10:H10"/>
    <mergeCell ref="I10:U10"/>
    <mergeCell ref="V10:W10"/>
    <mergeCell ref="Y10:Z10"/>
    <mergeCell ref="AA10:AF10"/>
    <mergeCell ref="AH10:AI10"/>
    <mergeCell ref="AJ10:AT10"/>
    <mergeCell ref="AX10:BC10"/>
    <mergeCell ref="BD10:BP10"/>
    <mergeCell ref="BQ10:BR10"/>
    <mergeCell ref="BT10:BU10"/>
    <mergeCell ref="BV10:CA10"/>
    <mergeCell ref="CC10:CD10"/>
    <mergeCell ref="CE10:CO10"/>
    <mergeCell ref="CS10:CX10"/>
    <mergeCell ref="CY10:DK10"/>
    <mergeCell ref="DL10:DM10"/>
    <mergeCell ref="DO10:DP10"/>
    <mergeCell ref="DQ10:DV10"/>
    <mergeCell ref="DX10:DY10"/>
    <mergeCell ref="DZ10:EJ10"/>
    <mergeCell ref="EN10:ES10"/>
    <mergeCell ref="ET10:FF10"/>
    <mergeCell ref="FG10:FH10"/>
    <mergeCell ref="FJ10:FK10"/>
    <mergeCell ref="FL10:FQ10"/>
    <mergeCell ref="FS10:FT10"/>
    <mergeCell ref="FU10:GE10"/>
    <mergeCell ref="GI10:GN10"/>
    <mergeCell ref="GO10:HA10"/>
    <mergeCell ref="HB10:HC10"/>
    <mergeCell ref="HE10:HF10"/>
    <mergeCell ref="HG10:HL10"/>
    <mergeCell ref="HN10:HO10"/>
    <mergeCell ref="HP10:HZ10"/>
    <mergeCell ref="C11:H11"/>
    <mergeCell ref="I11:U11"/>
    <mergeCell ref="V11:W11"/>
    <mergeCell ref="Y11:Z11"/>
    <mergeCell ref="AA11:AF11"/>
    <mergeCell ref="AH11:AI11"/>
    <mergeCell ref="AJ11:AT11"/>
    <mergeCell ref="AX11:BC11"/>
    <mergeCell ref="BD11:BP11"/>
    <mergeCell ref="BQ11:BR11"/>
    <mergeCell ref="BT11:BU11"/>
    <mergeCell ref="BV11:CA11"/>
    <mergeCell ref="CC11:CD11"/>
    <mergeCell ref="CE11:CO11"/>
    <mergeCell ref="CS11:CX11"/>
    <mergeCell ref="CY11:DK11"/>
    <mergeCell ref="DL11:DM11"/>
    <mergeCell ref="DO11:DP11"/>
    <mergeCell ref="DQ11:DV11"/>
    <mergeCell ref="DX11:DY11"/>
    <mergeCell ref="DZ11:EJ11"/>
    <mergeCell ref="EN11:ES11"/>
    <mergeCell ref="ET11:FF11"/>
    <mergeCell ref="FG11:FH11"/>
    <mergeCell ref="FJ11:FK11"/>
    <mergeCell ref="FL11:FQ11"/>
    <mergeCell ref="FS11:FT11"/>
    <mergeCell ref="FU11:GE11"/>
    <mergeCell ref="GI11:GN11"/>
    <mergeCell ref="GO11:HA11"/>
    <mergeCell ref="HB11:HC11"/>
    <mergeCell ref="HE11:HF11"/>
    <mergeCell ref="HG11:HL11"/>
    <mergeCell ref="HN11:HO11"/>
    <mergeCell ref="HP11:HZ11"/>
    <mergeCell ref="C12:H12"/>
    <mergeCell ref="I12:U12"/>
    <mergeCell ref="V12:W12"/>
    <mergeCell ref="Y12:Z12"/>
    <mergeCell ref="AA12:AF12"/>
    <mergeCell ref="AH12:AI12"/>
    <mergeCell ref="AJ12:AT12"/>
    <mergeCell ref="AX12:BC12"/>
    <mergeCell ref="BD12:BP12"/>
    <mergeCell ref="BQ12:BR12"/>
    <mergeCell ref="BT12:BU12"/>
    <mergeCell ref="BV12:CA12"/>
    <mergeCell ref="CC12:CD12"/>
    <mergeCell ref="CE12:CO12"/>
    <mergeCell ref="CS12:CX12"/>
    <mergeCell ref="CY12:DK12"/>
    <mergeCell ref="DL12:DM12"/>
    <mergeCell ref="DO12:DP12"/>
    <mergeCell ref="DQ12:DV12"/>
    <mergeCell ref="DX12:DY12"/>
    <mergeCell ref="DZ12:EJ12"/>
    <mergeCell ref="EN12:ES12"/>
    <mergeCell ref="ET12:FF12"/>
    <mergeCell ref="FG12:FH12"/>
    <mergeCell ref="FJ12:FK12"/>
    <mergeCell ref="FL12:FQ12"/>
    <mergeCell ref="FS12:FT12"/>
    <mergeCell ref="FU12:GE12"/>
    <mergeCell ref="GI12:GN12"/>
    <mergeCell ref="GO12:HA12"/>
    <mergeCell ref="HB12:HC12"/>
    <mergeCell ref="HE12:HF12"/>
    <mergeCell ref="HG12:HL12"/>
    <mergeCell ref="HN12:HO12"/>
    <mergeCell ref="HP12:HZ12"/>
    <mergeCell ref="C13:H13"/>
    <mergeCell ref="I13:U13"/>
    <mergeCell ref="V13:W13"/>
    <mergeCell ref="Y13:Z13"/>
    <mergeCell ref="AA13:AF13"/>
    <mergeCell ref="AH13:AI13"/>
    <mergeCell ref="AJ13:AT13"/>
    <mergeCell ref="AX13:BC13"/>
    <mergeCell ref="BD13:BP13"/>
    <mergeCell ref="BQ13:BR13"/>
    <mergeCell ref="BT13:BU13"/>
    <mergeCell ref="BV13:CA13"/>
    <mergeCell ref="CC13:CD13"/>
    <mergeCell ref="CE13:CO13"/>
    <mergeCell ref="CS13:CX13"/>
    <mergeCell ref="CY13:DK13"/>
    <mergeCell ref="DL13:DM13"/>
    <mergeCell ref="DO13:DP13"/>
    <mergeCell ref="DQ13:DV13"/>
    <mergeCell ref="DX13:DY13"/>
    <mergeCell ref="DZ13:EJ13"/>
    <mergeCell ref="EN13:ES13"/>
    <mergeCell ref="ET13:FF13"/>
    <mergeCell ref="FG13:FH13"/>
    <mergeCell ref="FJ13:FK13"/>
    <mergeCell ref="FL13:FQ13"/>
    <mergeCell ref="FS13:FT13"/>
    <mergeCell ref="FU13:GE13"/>
    <mergeCell ref="GI13:GN13"/>
    <mergeCell ref="GO13:HA13"/>
    <mergeCell ref="HB13:HC13"/>
    <mergeCell ref="HE13:HF13"/>
    <mergeCell ref="HG13:HL13"/>
    <mergeCell ref="HN13:HO13"/>
    <mergeCell ref="HP13:HZ13"/>
    <mergeCell ref="C14:H14"/>
    <mergeCell ref="I14:U14"/>
    <mergeCell ref="V14:W14"/>
    <mergeCell ref="Y14:Z14"/>
    <mergeCell ref="AA14:AF14"/>
    <mergeCell ref="AH14:AI14"/>
    <mergeCell ref="AJ14:AT14"/>
    <mergeCell ref="AX14:BC14"/>
    <mergeCell ref="BD14:BP14"/>
    <mergeCell ref="BQ14:BR14"/>
    <mergeCell ref="BT14:BU14"/>
    <mergeCell ref="BV14:CA14"/>
    <mergeCell ref="CC14:CD14"/>
    <mergeCell ref="CE14:CO14"/>
    <mergeCell ref="CS14:CX14"/>
    <mergeCell ref="CY14:DK14"/>
    <mergeCell ref="DL14:DM14"/>
    <mergeCell ref="DO14:DP14"/>
    <mergeCell ref="DQ14:DV14"/>
    <mergeCell ref="DX14:DY14"/>
    <mergeCell ref="DZ14:EJ14"/>
    <mergeCell ref="EN14:ES14"/>
    <mergeCell ref="ET14:FF14"/>
    <mergeCell ref="FG14:FH14"/>
    <mergeCell ref="FJ14:FK14"/>
    <mergeCell ref="FL14:FQ14"/>
    <mergeCell ref="FS14:FT14"/>
    <mergeCell ref="FU14:GE14"/>
    <mergeCell ref="GI14:GN14"/>
    <mergeCell ref="GO14:HA14"/>
    <mergeCell ref="HB14:HC14"/>
    <mergeCell ref="HE14:HF14"/>
    <mergeCell ref="HG14:HL14"/>
    <mergeCell ref="HN14:HO14"/>
    <mergeCell ref="HP14:HZ14"/>
    <mergeCell ref="C15:H15"/>
    <mergeCell ref="I15:U15"/>
    <mergeCell ref="V15:W15"/>
    <mergeCell ref="Y15:Z15"/>
    <mergeCell ref="AA15:AF15"/>
    <mergeCell ref="AH15:AI15"/>
    <mergeCell ref="AJ15:AT15"/>
    <mergeCell ref="AX15:BC15"/>
    <mergeCell ref="BD15:BP15"/>
    <mergeCell ref="BQ15:BR15"/>
    <mergeCell ref="BT15:BU15"/>
    <mergeCell ref="BV15:CA15"/>
    <mergeCell ref="CC15:CD15"/>
    <mergeCell ref="CE15:CO15"/>
    <mergeCell ref="CS15:CX15"/>
    <mergeCell ref="CY15:DK15"/>
    <mergeCell ref="DL15:DM15"/>
    <mergeCell ref="DO15:DP15"/>
    <mergeCell ref="DQ15:DV15"/>
    <mergeCell ref="DX15:DY15"/>
    <mergeCell ref="DZ15:EJ15"/>
    <mergeCell ref="EN15:ES15"/>
    <mergeCell ref="ET15:FF15"/>
    <mergeCell ref="FG15:FH15"/>
    <mergeCell ref="FJ15:FK15"/>
    <mergeCell ref="FL15:FQ15"/>
    <mergeCell ref="FS15:FT15"/>
    <mergeCell ref="FU15:GE15"/>
    <mergeCell ref="GI15:GN15"/>
    <mergeCell ref="GO15:HA15"/>
    <mergeCell ref="HB15:HC15"/>
    <mergeCell ref="HE15:HF15"/>
    <mergeCell ref="HG15:HL15"/>
    <mergeCell ref="HN15:HO15"/>
    <mergeCell ref="HP15:HZ15"/>
    <mergeCell ref="C16:H16"/>
    <mergeCell ref="I16:U16"/>
    <mergeCell ref="V16:W16"/>
    <mergeCell ref="AX16:BC16"/>
    <mergeCell ref="BD16:BP16"/>
    <mergeCell ref="BQ16:BR16"/>
    <mergeCell ref="CS16:CX16"/>
    <mergeCell ref="CY16:DK16"/>
    <mergeCell ref="DL16:DM16"/>
    <mergeCell ref="EN16:ES16"/>
    <mergeCell ref="ET16:FF16"/>
    <mergeCell ref="FG16:FH16"/>
    <mergeCell ref="GI16:GN16"/>
    <mergeCell ref="GO16:HA16"/>
    <mergeCell ref="HB16:HC16"/>
    <mergeCell ref="C17:H17"/>
    <mergeCell ref="I17:U17"/>
    <mergeCell ref="V17:W17"/>
    <mergeCell ref="Y17:AT17"/>
    <mergeCell ref="AX17:BC17"/>
    <mergeCell ref="BD17:BP17"/>
    <mergeCell ref="BQ17:BR17"/>
    <mergeCell ref="BT17:CO17"/>
    <mergeCell ref="CS17:CX17"/>
    <mergeCell ref="CY17:DK17"/>
    <mergeCell ref="DL17:DM17"/>
    <mergeCell ref="DO17:EJ17"/>
    <mergeCell ref="EN17:ES17"/>
    <mergeCell ref="ET17:FF17"/>
    <mergeCell ref="FG17:FH17"/>
    <mergeCell ref="FJ17:GE17"/>
    <mergeCell ref="GI17:GN17"/>
    <mergeCell ref="GO17:HA17"/>
    <mergeCell ref="HB17:HC17"/>
    <mergeCell ref="HE17:HZ17"/>
    <mergeCell ref="C18:H18"/>
    <mergeCell ref="I18:U18"/>
    <mergeCell ref="V18:W18"/>
    <mergeCell ref="Z18:AE18"/>
    <mergeCell ref="AF18:AR18"/>
    <mergeCell ref="AS18:AT18"/>
    <mergeCell ref="AX18:BC18"/>
    <mergeCell ref="BD18:BP18"/>
    <mergeCell ref="BQ18:BR18"/>
    <mergeCell ref="BU18:BZ18"/>
    <mergeCell ref="CA18:CM18"/>
    <mergeCell ref="CN18:CO18"/>
    <mergeCell ref="CS18:CX18"/>
    <mergeCell ref="CY18:DK18"/>
    <mergeCell ref="DL18:DM18"/>
    <mergeCell ref="DP18:DU18"/>
    <mergeCell ref="DV18:EH18"/>
    <mergeCell ref="EI18:EJ18"/>
    <mergeCell ref="EN18:ES18"/>
    <mergeCell ref="ET18:FF18"/>
    <mergeCell ref="FG18:FH18"/>
    <mergeCell ref="FK18:FP18"/>
    <mergeCell ref="FQ18:GC18"/>
    <mergeCell ref="GD18:GE18"/>
    <mergeCell ref="GI18:GN18"/>
    <mergeCell ref="GO18:HA18"/>
    <mergeCell ref="HB18:HC18"/>
    <mergeCell ref="HF18:HK18"/>
    <mergeCell ref="HL18:HX18"/>
    <mergeCell ref="HY18:HZ18"/>
    <mergeCell ref="C19:H19"/>
    <mergeCell ref="I19:U19"/>
    <mergeCell ref="V19:W19"/>
    <mergeCell ref="Z19:AE19"/>
    <mergeCell ref="AF19:AR19"/>
    <mergeCell ref="AS19:AT19"/>
    <mergeCell ref="AX19:BC19"/>
    <mergeCell ref="BD19:BP19"/>
    <mergeCell ref="BQ19:BR19"/>
    <mergeCell ref="BU19:BZ19"/>
    <mergeCell ref="CA19:CM19"/>
    <mergeCell ref="CN19:CO19"/>
    <mergeCell ref="CS19:CX19"/>
    <mergeCell ref="CY19:DK19"/>
    <mergeCell ref="DL19:DM19"/>
    <mergeCell ref="DP19:DU19"/>
    <mergeCell ref="DV19:EH19"/>
    <mergeCell ref="EI19:EJ19"/>
    <mergeCell ref="EN19:ES19"/>
    <mergeCell ref="ET19:FF19"/>
    <mergeCell ref="FG19:FH19"/>
    <mergeCell ref="FK19:FP19"/>
    <mergeCell ref="FQ19:GC19"/>
    <mergeCell ref="GD19:GE19"/>
    <mergeCell ref="GI19:GN19"/>
    <mergeCell ref="GO19:HA19"/>
    <mergeCell ref="HB19:HC19"/>
    <mergeCell ref="HF19:HK19"/>
    <mergeCell ref="HL19:HX19"/>
    <mergeCell ref="HY19:HZ19"/>
    <mergeCell ref="C20:H20"/>
    <mergeCell ref="I20:U20"/>
    <mergeCell ref="V20:W20"/>
    <mergeCell ref="Z20:AE20"/>
    <mergeCell ref="AF20:AR20"/>
    <mergeCell ref="AS20:AT20"/>
    <mergeCell ref="AX20:BC20"/>
    <mergeCell ref="BD20:BP20"/>
    <mergeCell ref="BQ20:BR20"/>
    <mergeCell ref="BU20:BZ20"/>
    <mergeCell ref="CA20:CM20"/>
    <mergeCell ref="CN20:CO20"/>
    <mergeCell ref="CS20:CX20"/>
    <mergeCell ref="CY20:DK20"/>
    <mergeCell ref="DL20:DM20"/>
    <mergeCell ref="DP20:DU20"/>
    <mergeCell ref="DV20:EH20"/>
    <mergeCell ref="EI20:EJ20"/>
    <mergeCell ref="EN20:ES20"/>
    <mergeCell ref="ET20:FF20"/>
    <mergeCell ref="FG20:FH20"/>
    <mergeCell ref="FK20:FP20"/>
    <mergeCell ref="FQ20:GC20"/>
    <mergeCell ref="GD20:GE20"/>
    <mergeCell ref="GI20:GN20"/>
    <mergeCell ref="GO20:HA20"/>
    <mergeCell ref="HB20:HC20"/>
    <mergeCell ref="HF20:HK20"/>
    <mergeCell ref="HL20:HX20"/>
    <mergeCell ref="HY20:HZ20"/>
    <mergeCell ref="C21:H21"/>
    <mergeCell ref="I21:U21"/>
    <mergeCell ref="V21:W21"/>
    <mergeCell ref="Z21:AE21"/>
    <mergeCell ref="AF21:AR21"/>
    <mergeCell ref="AS21:AT21"/>
    <mergeCell ref="AX21:BC21"/>
    <mergeCell ref="BD21:BP21"/>
    <mergeCell ref="BQ21:BR21"/>
    <mergeCell ref="BU21:BZ21"/>
    <mergeCell ref="CA21:CM21"/>
    <mergeCell ref="CN21:CO21"/>
    <mergeCell ref="CS21:CX21"/>
    <mergeCell ref="CY21:DK21"/>
    <mergeCell ref="DL21:DM21"/>
    <mergeCell ref="DP21:DU21"/>
    <mergeCell ref="DV21:EH21"/>
    <mergeCell ref="EI21:EJ21"/>
    <mergeCell ref="EN21:ES21"/>
    <mergeCell ref="ET21:FF21"/>
    <mergeCell ref="FG21:FH21"/>
    <mergeCell ref="FK21:FP21"/>
    <mergeCell ref="FQ21:GC21"/>
    <mergeCell ref="GD21:GE21"/>
    <mergeCell ref="GI21:GN21"/>
    <mergeCell ref="GO21:HA21"/>
    <mergeCell ref="HB21:HC21"/>
    <mergeCell ref="HF21:HK21"/>
    <mergeCell ref="HL21:HX21"/>
    <mergeCell ref="HY21:HZ21"/>
    <mergeCell ref="C22:H22"/>
    <mergeCell ref="I22:U22"/>
    <mergeCell ref="V22:W22"/>
    <mergeCell ref="Z22:AE22"/>
    <mergeCell ref="AF22:AR22"/>
    <mergeCell ref="AS22:AT22"/>
    <mergeCell ref="AX22:BC22"/>
    <mergeCell ref="BD22:BP22"/>
    <mergeCell ref="BQ22:BR22"/>
    <mergeCell ref="BU22:BZ22"/>
    <mergeCell ref="CA22:CM22"/>
    <mergeCell ref="CN22:CO22"/>
    <mergeCell ref="CS22:CX22"/>
    <mergeCell ref="CY22:DK22"/>
    <mergeCell ref="DL22:DM22"/>
    <mergeCell ref="DP22:DU22"/>
    <mergeCell ref="DV22:EH22"/>
    <mergeCell ref="EI22:EJ22"/>
    <mergeCell ref="EN22:ES22"/>
    <mergeCell ref="ET22:FF22"/>
    <mergeCell ref="FG22:FH22"/>
    <mergeCell ref="FK22:FP22"/>
    <mergeCell ref="FQ22:GC22"/>
    <mergeCell ref="GD22:GE22"/>
    <mergeCell ref="GI22:GN22"/>
    <mergeCell ref="GO22:HA22"/>
    <mergeCell ref="HB22:HC22"/>
    <mergeCell ref="HF22:HK22"/>
    <mergeCell ref="HL22:HX22"/>
    <mergeCell ref="HY22:HZ22"/>
    <mergeCell ref="C23:H23"/>
    <mergeCell ref="I23:U23"/>
    <mergeCell ref="V23:W23"/>
    <mergeCell ref="Z23:AE23"/>
    <mergeCell ref="AF23:AR23"/>
    <mergeCell ref="AS23:AT23"/>
    <mergeCell ref="AX23:BC23"/>
    <mergeCell ref="BD23:BP23"/>
    <mergeCell ref="BQ23:BR23"/>
    <mergeCell ref="BU23:BZ23"/>
    <mergeCell ref="CA23:CM23"/>
    <mergeCell ref="CN23:CO23"/>
    <mergeCell ref="CS23:CX23"/>
    <mergeCell ref="CY23:DK23"/>
    <mergeCell ref="DL23:DM23"/>
    <mergeCell ref="DP23:DU23"/>
    <mergeCell ref="DV23:EH23"/>
    <mergeCell ref="EI23:EJ23"/>
    <mergeCell ref="EN23:ES23"/>
    <mergeCell ref="ET23:FF23"/>
    <mergeCell ref="FG23:FH23"/>
    <mergeCell ref="FK23:FP23"/>
    <mergeCell ref="FQ23:GC23"/>
    <mergeCell ref="GD23:GE23"/>
    <mergeCell ref="GI23:GN23"/>
    <mergeCell ref="GO23:HA23"/>
    <mergeCell ref="HB23:HC23"/>
    <mergeCell ref="HF23:HK23"/>
    <mergeCell ref="HL23:HX23"/>
    <mergeCell ref="HY23:HZ23"/>
    <mergeCell ref="C24:H24"/>
    <mergeCell ref="I24:U24"/>
    <mergeCell ref="V24:W24"/>
    <mergeCell ref="Z24:AE24"/>
    <mergeCell ref="AF24:AR24"/>
    <mergeCell ref="AS24:AT24"/>
    <mergeCell ref="AX24:BC24"/>
    <mergeCell ref="BD24:BP24"/>
    <mergeCell ref="BQ24:BR24"/>
    <mergeCell ref="BU24:BZ24"/>
    <mergeCell ref="CA24:CM24"/>
    <mergeCell ref="CN24:CO24"/>
    <mergeCell ref="CS24:CX24"/>
    <mergeCell ref="CY24:DK24"/>
    <mergeCell ref="DL24:DM24"/>
    <mergeCell ref="DP24:DU24"/>
    <mergeCell ref="DV24:EH24"/>
    <mergeCell ref="EI24:EJ24"/>
    <mergeCell ref="EN24:ES24"/>
    <mergeCell ref="ET24:FF24"/>
    <mergeCell ref="FG24:FH24"/>
    <mergeCell ref="FK24:FP24"/>
    <mergeCell ref="FQ24:GC24"/>
    <mergeCell ref="GD24:GE24"/>
    <mergeCell ref="GI24:GN24"/>
    <mergeCell ref="GO24:HA24"/>
    <mergeCell ref="HB24:HC24"/>
    <mergeCell ref="HF24:HK24"/>
    <mergeCell ref="HL24:HX24"/>
    <mergeCell ref="HY24:HZ24"/>
    <mergeCell ref="C25:H25"/>
    <mergeCell ref="I25:U25"/>
    <mergeCell ref="V25:W25"/>
    <mergeCell ref="Z25:AE25"/>
    <mergeCell ref="AF25:AR25"/>
    <mergeCell ref="AS25:AT25"/>
    <mergeCell ref="AX25:BC25"/>
    <mergeCell ref="BD25:BP25"/>
    <mergeCell ref="BQ25:BR25"/>
    <mergeCell ref="BU25:BZ25"/>
    <mergeCell ref="CA25:CM25"/>
    <mergeCell ref="CN25:CO25"/>
    <mergeCell ref="CS25:CX25"/>
    <mergeCell ref="CY25:DK25"/>
    <mergeCell ref="DL25:DM25"/>
    <mergeCell ref="DP25:DU25"/>
    <mergeCell ref="DV25:EH25"/>
    <mergeCell ref="EI25:EJ25"/>
    <mergeCell ref="EN25:ES25"/>
    <mergeCell ref="ET25:FF25"/>
    <mergeCell ref="FG25:FH25"/>
    <mergeCell ref="FK25:FP25"/>
    <mergeCell ref="FQ25:GC25"/>
    <mergeCell ref="GD25:GE25"/>
    <mergeCell ref="GI25:GN25"/>
    <mergeCell ref="GO25:HA25"/>
    <mergeCell ref="HB25:HC25"/>
    <mergeCell ref="HF25:HK25"/>
    <mergeCell ref="HL25:HX25"/>
    <mergeCell ref="HY25:HZ25"/>
    <mergeCell ref="C26:H26"/>
    <mergeCell ref="I26:U26"/>
    <mergeCell ref="V26:W26"/>
    <mergeCell ref="Z26:AE26"/>
    <mergeCell ref="AF26:AR26"/>
    <mergeCell ref="AS26:AT26"/>
    <mergeCell ref="AX26:BC26"/>
    <mergeCell ref="BD26:BP26"/>
    <mergeCell ref="BQ26:BR26"/>
    <mergeCell ref="BU26:BZ26"/>
    <mergeCell ref="CA26:CM26"/>
    <mergeCell ref="CN26:CO26"/>
    <mergeCell ref="CS26:CX26"/>
    <mergeCell ref="CY26:DK26"/>
    <mergeCell ref="DL26:DM26"/>
    <mergeCell ref="DP26:DU26"/>
    <mergeCell ref="DV26:EH26"/>
    <mergeCell ref="EI26:EJ26"/>
    <mergeCell ref="EN26:ES26"/>
    <mergeCell ref="ET26:FF26"/>
    <mergeCell ref="FG26:FH26"/>
    <mergeCell ref="FK26:FP26"/>
    <mergeCell ref="FQ26:GC26"/>
    <mergeCell ref="GD26:GE26"/>
    <mergeCell ref="GI26:GN26"/>
    <mergeCell ref="GO26:HA26"/>
    <mergeCell ref="HB26:HC26"/>
    <mergeCell ref="HF26:HK26"/>
    <mergeCell ref="HL26:HX26"/>
    <mergeCell ref="HY26:HZ26"/>
    <mergeCell ref="C27:H27"/>
    <mergeCell ref="I27:U27"/>
    <mergeCell ref="V27:W27"/>
    <mergeCell ref="Z27:AE27"/>
    <mergeCell ref="AF27:AR27"/>
    <mergeCell ref="AS27:AT27"/>
    <mergeCell ref="AX27:BC27"/>
    <mergeCell ref="BD27:BP27"/>
    <mergeCell ref="BQ27:BR27"/>
    <mergeCell ref="BU27:BZ27"/>
    <mergeCell ref="CA27:CM27"/>
    <mergeCell ref="CN27:CO27"/>
    <mergeCell ref="CS27:CX27"/>
    <mergeCell ref="CY27:DK27"/>
    <mergeCell ref="DL27:DM27"/>
    <mergeCell ref="DP27:DU27"/>
    <mergeCell ref="DV27:EH27"/>
    <mergeCell ref="EI27:EJ27"/>
    <mergeCell ref="EN27:ES27"/>
    <mergeCell ref="ET27:FF27"/>
    <mergeCell ref="FG27:FH27"/>
    <mergeCell ref="FK27:FP27"/>
    <mergeCell ref="FQ27:GC27"/>
    <mergeCell ref="GD27:GE27"/>
    <mergeCell ref="GI27:GN27"/>
    <mergeCell ref="GO27:HA27"/>
    <mergeCell ref="HB27:HC27"/>
    <mergeCell ref="HF27:HK27"/>
    <mergeCell ref="HL27:HX27"/>
    <mergeCell ref="HY27:HZ27"/>
    <mergeCell ref="C28:H28"/>
    <mergeCell ref="I28:U28"/>
    <mergeCell ref="V28:W28"/>
    <mergeCell ref="Z28:AE28"/>
    <mergeCell ref="AF28:AR28"/>
    <mergeCell ref="AS28:AT28"/>
    <mergeCell ref="AX28:BC28"/>
    <mergeCell ref="BD28:BP28"/>
    <mergeCell ref="BQ28:BR28"/>
    <mergeCell ref="BU28:BZ28"/>
    <mergeCell ref="CA28:CM28"/>
    <mergeCell ref="CN28:CO28"/>
    <mergeCell ref="CS28:CX28"/>
    <mergeCell ref="CY28:DK28"/>
    <mergeCell ref="DL28:DM28"/>
    <mergeCell ref="DP28:DU28"/>
    <mergeCell ref="DV28:EH28"/>
    <mergeCell ref="EI28:EJ28"/>
    <mergeCell ref="EN28:ES28"/>
    <mergeCell ref="ET28:FF28"/>
    <mergeCell ref="FG28:FH28"/>
    <mergeCell ref="FK28:FP28"/>
    <mergeCell ref="FQ28:GC28"/>
    <mergeCell ref="GD28:GE28"/>
    <mergeCell ref="GI28:GN28"/>
    <mergeCell ref="GO28:HA28"/>
    <mergeCell ref="HB28:HC28"/>
    <mergeCell ref="HF28:HK28"/>
    <mergeCell ref="HL28:HX28"/>
    <mergeCell ref="HY28:HZ28"/>
    <mergeCell ref="C29:H29"/>
    <mergeCell ref="I29:U29"/>
    <mergeCell ref="V29:W29"/>
    <mergeCell ref="Z29:AE29"/>
    <mergeCell ref="AF29:AR29"/>
    <mergeCell ref="AS29:AT29"/>
    <mergeCell ref="AX29:BC29"/>
    <mergeCell ref="BD29:BP29"/>
    <mergeCell ref="BQ29:BR29"/>
    <mergeCell ref="BU29:BZ29"/>
    <mergeCell ref="CA29:CM29"/>
    <mergeCell ref="CN29:CO29"/>
    <mergeCell ref="CS29:CX29"/>
    <mergeCell ref="CY29:DK29"/>
    <mergeCell ref="DL29:DM29"/>
    <mergeCell ref="DP29:DU29"/>
    <mergeCell ref="DV29:EH29"/>
    <mergeCell ref="EI29:EJ29"/>
    <mergeCell ref="EN29:ES29"/>
    <mergeCell ref="ET29:FF29"/>
    <mergeCell ref="FG29:FH29"/>
    <mergeCell ref="FK29:FP29"/>
    <mergeCell ref="FQ29:GC29"/>
    <mergeCell ref="GD29:GE29"/>
    <mergeCell ref="GI29:GN29"/>
    <mergeCell ref="GO29:HA29"/>
    <mergeCell ref="HB29:HC29"/>
    <mergeCell ref="HF29:HK29"/>
    <mergeCell ref="HL29:HX29"/>
    <mergeCell ref="HY29:HZ29"/>
    <mergeCell ref="C30:H30"/>
    <mergeCell ref="I30:U30"/>
    <mergeCell ref="V30:W30"/>
    <mergeCell ref="Z30:AE30"/>
    <mergeCell ref="AF30:AR30"/>
    <mergeCell ref="AS30:AT30"/>
    <mergeCell ref="AX30:BC30"/>
    <mergeCell ref="BD30:BP30"/>
    <mergeCell ref="BQ30:BR30"/>
    <mergeCell ref="BU30:BZ30"/>
    <mergeCell ref="CA30:CM30"/>
    <mergeCell ref="CN30:CO30"/>
    <mergeCell ref="CS30:CX30"/>
    <mergeCell ref="CY30:DK30"/>
    <mergeCell ref="DL30:DM30"/>
    <mergeCell ref="DP30:DU30"/>
    <mergeCell ref="DV30:EH30"/>
    <mergeCell ref="EI30:EJ30"/>
    <mergeCell ref="EN30:ES30"/>
    <mergeCell ref="ET30:FF30"/>
    <mergeCell ref="FG30:FH30"/>
    <mergeCell ref="FK30:FP30"/>
    <mergeCell ref="FQ30:GC30"/>
    <mergeCell ref="GD30:GE30"/>
    <mergeCell ref="GI30:GN30"/>
    <mergeCell ref="GO30:HA30"/>
    <mergeCell ref="HB30:HC30"/>
    <mergeCell ref="HF30:HK30"/>
    <mergeCell ref="HL30:HX30"/>
    <mergeCell ref="HY30:HZ30"/>
    <mergeCell ref="C31:H31"/>
    <mergeCell ref="I31:U31"/>
    <mergeCell ref="V31:W31"/>
    <mergeCell ref="Z31:AE31"/>
    <mergeCell ref="AF31:AR31"/>
    <mergeCell ref="AS31:AT31"/>
    <mergeCell ref="AX31:BC31"/>
    <mergeCell ref="BD31:BP31"/>
    <mergeCell ref="BQ31:BR31"/>
    <mergeCell ref="BU31:BZ31"/>
    <mergeCell ref="CA31:CM31"/>
    <mergeCell ref="CN31:CO31"/>
    <mergeCell ref="CS31:CX31"/>
    <mergeCell ref="CY31:DK31"/>
    <mergeCell ref="DL31:DM31"/>
    <mergeCell ref="DP31:DU31"/>
    <mergeCell ref="DV31:EH31"/>
    <mergeCell ref="EI31:EJ31"/>
    <mergeCell ref="EN31:ES31"/>
    <mergeCell ref="ET31:FF31"/>
    <mergeCell ref="FG31:FH31"/>
    <mergeCell ref="FK31:FP31"/>
    <mergeCell ref="FQ31:GC31"/>
    <mergeCell ref="GD31:GE31"/>
    <mergeCell ref="GI31:GN31"/>
    <mergeCell ref="GO31:HA31"/>
    <mergeCell ref="HB31:HC31"/>
    <mergeCell ref="HF31:HK31"/>
    <mergeCell ref="HL31:HX31"/>
    <mergeCell ref="HY31:HZ31"/>
    <mergeCell ref="C32:H32"/>
    <mergeCell ref="I32:U32"/>
    <mergeCell ref="V32:W32"/>
    <mergeCell ref="Z32:AE32"/>
    <mergeCell ref="AF32:AR32"/>
    <mergeCell ref="AS32:AT32"/>
    <mergeCell ref="AX32:BC32"/>
    <mergeCell ref="BD32:BP32"/>
    <mergeCell ref="BQ32:BR32"/>
    <mergeCell ref="BU32:BZ32"/>
    <mergeCell ref="CA32:CM32"/>
    <mergeCell ref="CN32:CO32"/>
    <mergeCell ref="CS32:CX32"/>
    <mergeCell ref="CY32:DK32"/>
    <mergeCell ref="DL32:DM32"/>
    <mergeCell ref="DP32:DU32"/>
    <mergeCell ref="DV32:EH32"/>
    <mergeCell ref="EI32:EJ32"/>
    <mergeCell ref="EN32:ES32"/>
    <mergeCell ref="ET32:FF32"/>
    <mergeCell ref="FG32:FH32"/>
    <mergeCell ref="FK32:FP32"/>
    <mergeCell ref="FQ32:GC32"/>
    <mergeCell ref="GD32:GE32"/>
    <mergeCell ref="GI32:GN32"/>
    <mergeCell ref="GO32:HA32"/>
    <mergeCell ref="HB32:HC32"/>
    <mergeCell ref="HF32:HK32"/>
    <mergeCell ref="HL32:HX32"/>
    <mergeCell ref="HY32:HZ32"/>
    <mergeCell ref="C33:H33"/>
    <mergeCell ref="I33:U33"/>
    <mergeCell ref="V33:W33"/>
    <mergeCell ref="Z33:AE33"/>
    <mergeCell ref="AF33:AR33"/>
    <mergeCell ref="AS33:AT33"/>
    <mergeCell ref="AX33:BC33"/>
    <mergeCell ref="BD33:BP33"/>
    <mergeCell ref="BQ33:BR33"/>
    <mergeCell ref="BU33:BZ33"/>
    <mergeCell ref="CA33:CM33"/>
    <mergeCell ref="CN33:CO33"/>
    <mergeCell ref="CS33:CX33"/>
    <mergeCell ref="CY33:DK33"/>
    <mergeCell ref="DL33:DM33"/>
    <mergeCell ref="DP33:DU33"/>
    <mergeCell ref="DV33:EH33"/>
    <mergeCell ref="EI33:EJ33"/>
    <mergeCell ref="EN33:ES33"/>
    <mergeCell ref="ET33:FF33"/>
    <mergeCell ref="FG33:FH33"/>
    <mergeCell ref="FK33:FP33"/>
    <mergeCell ref="FQ33:GC33"/>
    <mergeCell ref="GD33:GE33"/>
    <mergeCell ref="GI33:GN33"/>
    <mergeCell ref="GO33:HA33"/>
    <mergeCell ref="HB33:HC33"/>
    <mergeCell ref="HF33:HK33"/>
    <mergeCell ref="HL33:HX33"/>
    <mergeCell ref="HY33:HZ33"/>
    <mergeCell ref="C34:H34"/>
    <mergeCell ref="I34:U34"/>
    <mergeCell ref="V34:W34"/>
    <mergeCell ref="Z34:AE34"/>
    <mergeCell ref="AF34:AR34"/>
    <mergeCell ref="AS34:AT34"/>
    <mergeCell ref="AX34:BC34"/>
    <mergeCell ref="BD34:BP34"/>
    <mergeCell ref="BQ34:BR34"/>
    <mergeCell ref="BU34:BZ34"/>
    <mergeCell ref="CA34:CM34"/>
    <mergeCell ref="CN34:CO34"/>
    <mergeCell ref="CS34:CX34"/>
    <mergeCell ref="CY34:DK34"/>
    <mergeCell ref="DL34:DM34"/>
    <mergeCell ref="DP34:DU34"/>
    <mergeCell ref="DV34:EH34"/>
    <mergeCell ref="EI34:EJ34"/>
    <mergeCell ref="EN34:ES34"/>
    <mergeCell ref="ET34:FF34"/>
    <mergeCell ref="FG34:FH34"/>
    <mergeCell ref="FK34:FP34"/>
    <mergeCell ref="FQ34:GC34"/>
    <mergeCell ref="GD34:GE34"/>
    <mergeCell ref="GI34:GN34"/>
    <mergeCell ref="GO34:HA34"/>
    <mergeCell ref="HB34:HC34"/>
    <mergeCell ref="HF34:HK34"/>
    <mergeCell ref="HL34:HX34"/>
    <mergeCell ref="HY34:HZ34"/>
    <mergeCell ref="C35:H35"/>
    <mergeCell ref="I35:U35"/>
    <mergeCell ref="V35:W35"/>
    <mergeCell ref="Z35:AE35"/>
    <mergeCell ref="AF35:AR35"/>
    <mergeCell ref="AS35:AT35"/>
    <mergeCell ref="AX35:BC35"/>
    <mergeCell ref="BD35:BP35"/>
    <mergeCell ref="BQ35:BR35"/>
    <mergeCell ref="BU35:BZ35"/>
    <mergeCell ref="CA35:CM35"/>
    <mergeCell ref="CN35:CO35"/>
    <mergeCell ref="CS35:CX35"/>
    <mergeCell ref="CY35:DK35"/>
    <mergeCell ref="DL35:DM35"/>
    <mergeCell ref="DP35:DU35"/>
    <mergeCell ref="DV35:EH35"/>
    <mergeCell ref="EI35:EJ35"/>
    <mergeCell ref="EN35:ES35"/>
    <mergeCell ref="ET35:FF35"/>
    <mergeCell ref="FG35:FH35"/>
    <mergeCell ref="FK35:FP35"/>
    <mergeCell ref="FQ35:GC35"/>
    <mergeCell ref="GD35:GE35"/>
    <mergeCell ref="GI35:GN35"/>
    <mergeCell ref="GO35:HA35"/>
    <mergeCell ref="HB35:HC35"/>
    <mergeCell ref="HF35:HK35"/>
    <mergeCell ref="HL35:HX35"/>
    <mergeCell ref="HY35:HZ35"/>
    <mergeCell ref="C36:H36"/>
    <mergeCell ref="I36:U36"/>
    <mergeCell ref="V36:W36"/>
    <mergeCell ref="Z36:AE36"/>
    <mergeCell ref="AF36:AR36"/>
    <mergeCell ref="AS36:AT36"/>
    <mergeCell ref="AX36:BC36"/>
    <mergeCell ref="BD36:BP36"/>
    <mergeCell ref="BQ36:BR36"/>
    <mergeCell ref="BU36:BZ36"/>
    <mergeCell ref="CA36:CM36"/>
    <mergeCell ref="CN36:CO36"/>
    <mergeCell ref="CS36:CX36"/>
    <mergeCell ref="CY36:DK36"/>
    <mergeCell ref="DL36:DM36"/>
    <mergeCell ref="DP36:DU36"/>
    <mergeCell ref="DV36:EH36"/>
    <mergeCell ref="EI36:EJ36"/>
    <mergeCell ref="EN36:ES36"/>
    <mergeCell ref="ET36:FF36"/>
    <mergeCell ref="FG36:FH36"/>
    <mergeCell ref="FK36:FP36"/>
    <mergeCell ref="FQ36:GC36"/>
    <mergeCell ref="GD36:GE36"/>
    <mergeCell ref="GI36:GN36"/>
    <mergeCell ref="GO36:HA36"/>
    <mergeCell ref="HB36:HC36"/>
    <mergeCell ref="HF36:HK36"/>
    <mergeCell ref="HL36:HX36"/>
    <mergeCell ref="HY36:HZ36"/>
    <mergeCell ref="C37:H37"/>
    <mergeCell ref="I37:U37"/>
    <mergeCell ref="V37:W37"/>
    <mergeCell ref="Z37:AE37"/>
    <mergeCell ref="AF37:AR37"/>
    <mergeCell ref="AS37:AT37"/>
    <mergeCell ref="AX37:BC37"/>
    <mergeCell ref="BD37:BP37"/>
    <mergeCell ref="BQ37:BR37"/>
    <mergeCell ref="BU37:BZ37"/>
    <mergeCell ref="CA37:CM37"/>
    <mergeCell ref="CN37:CO37"/>
    <mergeCell ref="CS37:CX37"/>
    <mergeCell ref="CY37:DK37"/>
    <mergeCell ref="DL37:DM37"/>
    <mergeCell ref="DP37:DU37"/>
    <mergeCell ref="DV37:EH37"/>
    <mergeCell ref="EI37:EJ37"/>
    <mergeCell ref="EN37:ES37"/>
    <mergeCell ref="ET37:FF37"/>
    <mergeCell ref="FG37:FH37"/>
    <mergeCell ref="FK37:FP37"/>
    <mergeCell ref="FQ37:GC37"/>
    <mergeCell ref="GD37:GE37"/>
    <mergeCell ref="GI37:GN37"/>
    <mergeCell ref="GO37:HA37"/>
    <mergeCell ref="HB37:HC37"/>
    <mergeCell ref="HF37:HK37"/>
    <mergeCell ref="HL37:HX37"/>
    <mergeCell ref="HY37:HZ37"/>
    <mergeCell ref="C38:H38"/>
    <mergeCell ref="I38:U38"/>
    <mergeCell ref="V38:W38"/>
    <mergeCell ref="Z38:AE38"/>
    <mergeCell ref="AF38:AR38"/>
    <mergeCell ref="AS38:AT38"/>
    <mergeCell ref="AX38:BC38"/>
    <mergeCell ref="BD38:BP38"/>
    <mergeCell ref="BQ38:BR38"/>
    <mergeCell ref="BU38:BZ38"/>
    <mergeCell ref="CA38:CM38"/>
    <mergeCell ref="CN38:CO38"/>
    <mergeCell ref="CS38:CX38"/>
    <mergeCell ref="CY38:DK38"/>
    <mergeCell ref="DL38:DM38"/>
    <mergeCell ref="DP38:DU38"/>
    <mergeCell ref="DV38:EH38"/>
    <mergeCell ref="EI38:EJ38"/>
    <mergeCell ref="EN38:ES38"/>
    <mergeCell ref="ET38:FF38"/>
    <mergeCell ref="FG38:FH38"/>
    <mergeCell ref="FK38:FP38"/>
    <mergeCell ref="FQ38:GC38"/>
    <mergeCell ref="GD38:GE38"/>
    <mergeCell ref="GI38:GN38"/>
    <mergeCell ref="GO38:HA38"/>
    <mergeCell ref="HB38:HC38"/>
    <mergeCell ref="HF38:HK38"/>
    <mergeCell ref="HL38:HX38"/>
    <mergeCell ref="HY38:HZ38"/>
    <mergeCell ref="C39:H39"/>
    <mergeCell ref="I39:U39"/>
    <mergeCell ref="V39:W39"/>
    <mergeCell ref="Z39:AE39"/>
    <mergeCell ref="AF39:AR39"/>
    <mergeCell ref="AS39:AT39"/>
    <mergeCell ref="AX39:BC39"/>
    <mergeCell ref="BD39:BP39"/>
    <mergeCell ref="BQ39:BR39"/>
    <mergeCell ref="BU39:BZ39"/>
    <mergeCell ref="CA39:CM39"/>
    <mergeCell ref="CN39:CO39"/>
    <mergeCell ref="CS39:CX39"/>
    <mergeCell ref="CY39:DK39"/>
    <mergeCell ref="DL39:DM39"/>
    <mergeCell ref="DP39:DU39"/>
    <mergeCell ref="DV39:EH39"/>
    <mergeCell ref="EI39:EJ39"/>
    <mergeCell ref="EN39:ES39"/>
    <mergeCell ref="ET39:FF39"/>
    <mergeCell ref="FG39:FH39"/>
    <mergeCell ref="FK39:FP39"/>
    <mergeCell ref="FQ39:GC39"/>
    <mergeCell ref="GD39:GE39"/>
    <mergeCell ref="GI39:GN39"/>
    <mergeCell ref="GO39:HA39"/>
    <mergeCell ref="HB39:HC39"/>
    <mergeCell ref="HF39:HK39"/>
    <mergeCell ref="HL39:HX39"/>
    <mergeCell ref="HY39:HZ39"/>
    <mergeCell ref="C40:H40"/>
    <mergeCell ref="I40:U40"/>
    <mergeCell ref="V40:W40"/>
    <mergeCell ref="Z40:AE40"/>
    <mergeCell ref="AF40:AR40"/>
    <mergeCell ref="AS40:AT40"/>
    <mergeCell ref="AX40:BC40"/>
    <mergeCell ref="BD40:BP40"/>
    <mergeCell ref="BQ40:BR40"/>
    <mergeCell ref="BU40:BZ40"/>
    <mergeCell ref="CA40:CM40"/>
    <mergeCell ref="CN40:CO40"/>
    <mergeCell ref="CS40:CX40"/>
    <mergeCell ref="CY40:DK40"/>
    <mergeCell ref="DL40:DM40"/>
    <mergeCell ref="DP40:DU40"/>
    <mergeCell ref="DV40:EH40"/>
    <mergeCell ref="EI40:EJ40"/>
    <mergeCell ref="EN40:ES40"/>
    <mergeCell ref="ET40:FF40"/>
    <mergeCell ref="FG40:FH40"/>
    <mergeCell ref="FK40:FP40"/>
    <mergeCell ref="FQ40:GC40"/>
    <mergeCell ref="GD40:GE40"/>
    <mergeCell ref="GI40:GN40"/>
    <mergeCell ref="GO40:HA40"/>
    <mergeCell ref="HB40:HC40"/>
    <mergeCell ref="HF40:HK40"/>
    <mergeCell ref="HL40:HX40"/>
    <mergeCell ref="HY40:HZ40"/>
    <mergeCell ref="C41:H41"/>
    <mergeCell ref="I41:U41"/>
    <mergeCell ref="V41:W41"/>
    <mergeCell ref="Z41:AE41"/>
    <mergeCell ref="AF41:AR41"/>
    <mergeCell ref="AS41:AT41"/>
    <mergeCell ref="AX41:BC41"/>
    <mergeCell ref="BD41:BP41"/>
    <mergeCell ref="BQ41:BR41"/>
    <mergeCell ref="BU41:BZ41"/>
    <mergeCell ref="CA41:CM41"/>
    <mergeCell ref="CN41:CO41"/>
    <mergeCell ref="CS41:CX41"/>
    <mergeCell ref="CY41:DK41"/>
    <mergeCell ref="DL41:DM41"/>
    <mergeCell ref="DP41:DU41"/>
    <mergeCell ref="DV41:EH41"/>
    <mergeCell ref="EI41:EJ41"/>
    <mergeCell ref="EN41:ES41"/>
    <mergeCell ref="ET41:FF41"/>
    <mergeCell ref="FG41:FH41"/>
    <mergeCell ref="FK41:FP41"/>
    <mergeCell ref="FQ41:GC41"/>
    <mergeCell ref="GD41:GE41"/>
    <mergeCell ref="GI41:GN41"/>
    <mergeCell ref="GO41:HA41"/>
    <mergeCell ref="HB41:HC41"/>
    <mergeCell ref="HF41:HK41"/>
    <mergeCell ref="HL41:HX41"/>
    <mergeCell ref="HY41:HZ41"/>
    <mergeCell ref="C42:H42"/>
    <mergeCell ref="I42:U42"/>
    <mergeCell ref="V42:W42"/>
    <mergeCell ref="Z42:AE42"/>
    <mergeCell ref="AF42:AR42"/>
    <mergeCell ref="AS42:AT42"/>
    <mergeCell ref="AX42:BC42"/>
    <mergeCell ref="BD42:BP42"/>
    <mergeCell ref="BQ42:BR42"/>
    <mergeCell ref="BU42:BZ42"/>
    <mergeCell ref="CA42:CM42"/>
    <mergeCell ref="CN42:CO42"/>
    <mergeCell ref="CS42:CX42"/>
    <mergeCell ref="CY42:DK42"/>
    <mergeCell ref="DL42:DM42"/>
    <mergeCell ref="DP42:DU42"/>
    <mergeCell ref="DV42:EH42"/>
    <mergeCell ref="EI42:EJ42"/>
    <mergeCell ref="EN42:ES42"/>
    <mergeCell ref="ET42:FF42"/>
    <mergeCell ref="FG42:FH42"/>
    <mergeCell ref="FK42:FP42"/>
    <mergeCell ref="FQ42:GC42"/>
    <mergeCell ref="GD42:GE42"/>
    <mergeCell ref="GI42:GN42"/>
    <mergeCell ref="GO42:HA42"/>
    <mergeCell ref="HB42:HC42"/>
    <mergeCell ref="HF42:HK42"/>
    <mergeCell ref="HL42:HX42"/>
    <mergeCell ref="HY42:HZ42"/>
    <mergeCell ref="C43:H43"/>
    <mergeCell ref="I43:U43"/>
    <mergeCell ref="V43:W43"/>
    <mergeCell ref="Z43:AE43"/>
    <mergeCell ref="AF43:AR43"/>
    <mergeCell ref="AS43:AT43"/>
    <mergeCell ref="AX43:BC43"/>
    <mergeCell ref="BD43:BP43"/>
    <mergeCell ref="BQ43:BR43"/>
    <mergeCell ref="BU43:BZ43"/>
    <mergeCell ref="CA43:CM43"/>
    <mergeCell ref="CN43:CO43"/>
    <mergeCell ref="CS43:CX43"/>
    <mergeCell ref="CY43:DK43"/>
    <mergeCell ref="DL43:DM43"/>
    <mergeCell ref="DP43:DU43"/>
    <mergeCell ref="DV43:EH43"/>
    <mergeCell ref="EI43:EJ43"/>
    <mergeCell ref="EN43:ES43"/>
    <mergeCell ref="ET43:FF43"/>
    <mergeCell ref="FG43:FH43"/>
    <mergeCell ref="FK43:FP43"/>
    <mergeCell ref="FQ43:GC43"/>
    <mergeCell ref="GD43:GE43"/>
    <mergeCell ref="GI43:GN43"/>
    <mergeCell ref="GO43:HA43"/>
    <mergeCell ref="HB43:HC43"/>
    <mergeCell ref="HF43:HK43"/>
    <mergeCell ref="HL43:HX43"/>
    <mergeCell ref="HY43:HZ43"/>
    <mergeCell ref="C44:H44"/>
    <mergeCell ref="I44:U44"/>
    <mergeCell ref="V44:W44"/>
    <mergeCell ref="Z44:AE44"/>
    <mergeCell ref="AF44:AR44"/>
    <mergeCell ref="AS44:AT44"/>
    <mergeCell ref="AX44:BC44"/>
    <mergeCell ref="BD44:BP44"/>
    <mergeCell ref="BQ44:BR44"/>
    <mergeCell ref="BU44:BZ44"/>
    <mergeCell ref="CA44:CM44"/>
    <mergeCell ref="CN44:CO44"/>
    <mergeCell ref="CS44:CX44"/>
    <mergeCell ref="CY44:DK44"/>
    <mergeCell ref="DL44:DM44"/>
    <mergeCell ref="DP44:DU44"/>
    <mergeCell ref="DV44:EH44"/>
    <mergeCell ref="EI44:EJ44"/>
    <mergeCell ref="EN44:ES44"/>
    <mergeCell ref="ET44:FF44"/>
    <mergeCell ref="FG44:FH44"/>
    <mergeCell ref="FK44:FP44"/>
    <mergeCell ref="FQ44:GC44"/>
    <mergeCell ref="GD44:GE44"/>
    <mergeCell ref="GI44:GN44"/>
    <mergeCell ref="GO44:HA44"/>
    <mergeCell ref="HB44:HC44"/>
    <mergeCell ref="HF44:HK44"/>
    <mergeCell ref="HL44:HX44"/>
    <mergeCell ref="HY44:HZ44"/>
    <mergeCell ref="C45:H45"/>
    <mergeCell ref="I45:U45"/>
    <mergeCell ref="V45:W45"/>
    <mergeCell ref="Z45:AE45"/>
    <mergeCell ref="AF45:AR45"/>
    <mergeCell ref="AS45:AT45"/>
    <mergeCell ref="AX45:BC45"/>
    <mergeCell ref="BD45:BP45"/>
    <mergeCell ref="BQ45:BR45"/>
    <mergeCell ref="BU45:BZ45"/>
    <mergeCell ref="CA45:CM45"/>
    <mergeCell ref="CN45:CO45"/>
    <mergeCell ref="CS45:CX45"/>
    <mergeCell ref="CY45:DK45"/>
    <mergeCell ref="DL45:DM45"/>
    <mergeCell ref="DP45:DU45"/>
    <mergeCell ref="DV45:EH45"/>
    <mergeCell ref="EI45:EJ45"/>
    <mergeCell ref="EN45:ES45"/>
    <mergeCell ref="ET45:FF45"/>
    <mergeCell ref="FG45:FH45"/>
    <mergeCell ref="FK45:FP45"/>
    <mergeCell ref="FQ45:GC45"/>
    <mergeCell ref="GD45:GE45"/>
    <mergeCell ref="GI45:GN45"/>
    <mergeCell ref="GO45:HA45"/>
    <mergeCell ref="HB45:HC45"/>
    <mergeCell ref="HF45:HK45"/>
    <mergeCell ref="HL45:HX45"/>
    <mergeCell ref="HY45:HZ45"/>
    <mergeCell ref="C46:H46"/>
    <mergeCell ref="I46:U46"/>
    <mergeCell ref="V46:W46"/>
    <mergeCell ref="Z46:AE46"/>
    <mergeCell ref="AF46:AR46"/>
    <mergeCell ref="AS46:AT46"/>
    <mergeCell ref="AX46:BC46"/>
    <mergeCell ref="BD46:BP46"/>
    <mergeCell ref="BQ46:BR46"/>
    <mergeCell ref="BU46:BZ46"/>
    <mergeCell ref="CA46:CM46"/>
    <mergeCell ref="CN46:CO46"/>
    <mergeCell ref="CS46:CX46"/>
    <mergeCell ref="CY46:DK46"/>
    <mergeCell ref="DL46:DM46"/>
    <mergeCell ref="DP46:DU46"/>
    <mergeCell ref="DV46:EH46"/>
    <mergeCell ref="EI46:EJ46"/>
    <mergeCell ref="EN46:ES46"/>
    <mergeCell ref="ET46:FF46"/>
    <mergeCell ref="FG46:FH46"/>
    <mergeCell ref="FK46:FP46"/>
    <mergeCell ref="FQ46:GC46"/>
    <mergeCell ref="GD46:GE46"/>
    <mergeCell ref="GI46:GN46"/>
    <mergeCell ref="GO46:HA46"/>
    <mergeCell ref="HB46:HC46"/>
    <mergeCell ref="HF46:HK46"/>
    <mergeCell ref="HL46:HX46"/>
    <mergeCell ref="HY46:HZ46"/>
    <mergeCell ref="C47:H47"/>
    <mergeCell ref="I47:U47"/>
    <mergeCell ref="V47:W47"/>
    <mergeCell ref="Z47:AE47"/>
    <mergeCell ref="AF47:AR47"/>
    <mergeCell ref="AS47:AT47"/>
    <mergeCell ref="AX47:BC47"/>
    <mergeCell ref="BD47:BP47"/>
    <mergeCell ref="BQ47:BR47"/>
    <mergeCell ref="BU47:BZ47"/>
    <mergeCell ref="CA47:CM47"/>
    <mergeCell ref="CN47:CO47"/>
    <mergeCell ref="CS47:CX47"/>
    <mergeCell ref="CY47:DK47"/>
    <mergeCell ref="DL47:DM47"/>
    <mergeCell ref="DP47:DU47"/>
    <mergeCell ref="DV47:EH47"/>
    <mergeCell ref="EI47:EJ47"/>
    <mergeCell ref="EN47:ES47"/>
    <mergeCell ref="ET47:FF47"/>
    <mergeCell ref="FG47:FH47"/>
    <mergeCell ref="FK47:FP47"/>
    <mergeCell ref="FQ47:GC47"/>
    <mergeCell ref="GD47:GE47"/>
    <mergeCell ref="GI47:GN47"/>
    <mergeCell ref="GO47:HA47"/>
    <mergeCell ref="HB47:HC47"/>
    <mergeCell ref="HF47:HK47"/>
    <mergeCell ref="HL47:HX47"/>
    <mergeCell ref="HY47:HZ47"/>
    <mergeCell ref="C48:H48"/>
    <mergeCell ref="I48:U48"/>
    <mergeCell ref="V48:W48"/>
    <mergeCell ref="Z48:AE48"/>
    <mergeCell ref="AF48:AR48"/>
    <mergeCell ref="AS48:AT48"/>
    <mergeCell ref="AX48:BC48"/>
    <mergeCell ref="BD48:BP48"/>
    <mergeCell ref="BQ48:BR48"/>
    <mergeCell ref="BU48:BZ48"/>
    <mergeCell ref="CA48:CM48"/>
    <mergeCell ref="CN48:CO48"/>
    <mergeCell ref="CS48:CX48"/>
    <mergeCell ref="CY48:DK48"/>
    <mergeCell ref="DL48:DM48"/>
    <mergeCell ref="DP48:DU48"/>
    <mergeCell ref="DV48:EH48"/>
    <mergeCell ref="EI48:EJ48"/>
    <mergeCell ref="EN48:ES48"/>
    <mergeCell ref="ET48:FF48"/>
    <mergeCell ref="FG48:FH48"/>
    <mergeCell ref="FK48:FP48"/>
    <mergeCell ref="FQ48:GC48"/>
    <mergeCell ref="GD48:GE48"/>
    <mergeCell ref="GI48:GN48"/>
    <mergeCell ref="GO48:HA48"/>
    <mergeCell ref="HB48:HC48"/>
    <mergeCell ref="HF48:HK48"/>
    <mergeCell ref="HL48:HX48"/>
    <mergeCell ref="HY48:HZ48"/>
    <mergeCell ref="C49:H49"/>
    <mergeCell ref="I49:U49"/>
    <mergeCell ref="V49:W49"/>
    <mergeCell ref="Z49:AE49"/>
    <mergeCell ref="AF49:AR49"/>
    <mergeCell ref="AS49:AT49"/>
    <mergeCell ref="AX49:BC49"/>
    <mergeCell ref="BD49:BP49"/>
    <mergeCell ref="BQ49:BR49"/>
    <mergeCell ref="BU49:BZ49"/>
    <mergeCell ref="CA49:CM49"/>
    <mergeCell ref="CN49:CO49"/>
    <mergeCell ref="CS49:CX49"/>
    <mergeCell ref="CY49:DK49"/>
    <mergeCell ref="DL49:DM49"/>
    <mergeCell ref="DP49:DU49"/>
    <mergeCell ref="DV49:EH49"/>
    <mergeCell ref="EI49:EJ49"/>
    <mergeCell ref="EN49:ES49"/>
    <mergeCell ref="ET49:FF49"/>
    <mergeCell ref="FG49:FH49"/>
    <mergeCell ref="FK49:FP49"/>
    <mergeCell ref="FQ49:GC49"/>
    <mergeCell ref="GD49:GE49"/>
    <mergeCell ref="GI49:GN49"/>
    <mergeCell ref="GO49:HA49"/>
    <mergeCell ref="HB49:HC49"/>
    <mergeCell ref="HF49:HK49"/>
    <mergeCell ref="HL49:HX49"/>
    <mergeCell ref="HY49:HZ49"/>
    <mergeCell ref="C50:H50"/>
    <mergeCell ref="I50:U50"/>
    <mergeCell ref="V50:W50"/>
    <mergeCell ref="Z50:AE50"/>
    <mergeCell ref="AF50:AR50"/>
    <mergeCell ref="AS50:AT50"/>
    <mergeCell ref="AX50:BC50"/>
    <mergeCell ref="BD50:BP50"/>
    <mergeCell ref="BQ50:BR50"/>
    <mergeCell ref="BU50:BZ50"/>
    <mergeCell ref="CA50:CM50"/>
    <mergeCell ref="CN50:CO50"/>
    <mergeCell ref="CS50:CX50"/>
    <mergeCell ref="CY50:DK50"/>
    <mergeCell ref="DL50:DM50"/>
    <mergeCell ref="DP50:DU50"/>
    <mergeCell ref="DV50:EH50"/>
    <mergeCell ref="EI50:EJ50"/>
    <mergeCell ref="EN50:ES50"/>
    <mergeCell ref="ET50:FF50"/>
    <mergeCell ref="FG50:FH50"/>
    <mergeCell ref="FK50:FP50"/>
    <mergeCell ref="FQ50:GC50"/>
    <mergeCell ref="GD50:GE50"/>
    <mergeCell ref="GI50:GN50"/>
    <mergeCell ref="GO50:HA50"/>
    <mergeCell ref="HB50:HC50"/>
    <mergeCell ref="HF50:HK50"/>
    <mergeCell ref="HL50:HX50"/>
    <mergeCell ref="HY50:HZ50"/>
    <mergeCell ref="C51:H51"/>
    <mergeCell ref="I51:U51"/>
    <mergeCell ref="V51:W51"/>
    <mergeCell ref="Z51:AE51"/>
    <mergeCell ref="AF51:AR51"/>
    <mergeCell ref="AS51:AT51"/>
    <mergeCell ref="AX51:BC51"/>
    <mergeCell ref="BD51:BP51"/>
    <mergeCell ref="BQ51:BR51"/>
    <mergeCell ref="BU51:BZ51"/>
    <mergeCell ref="CA51:CM51"/>
    <mergeCell ref="CN51:CO51"/>
    <mergeCell ref="CS51:CX51"/>
    <mergeCell ref="CY51:DK51"/>
    <mergeCell ref="DL51:DM51"/>
    <mergeCell ref="DP51:DU51"/>
    <mergeCell ref="DV51:EH51"/>
    <mergeCell ref="EI51:EJ51"/>
    <mergeCell ref="EN51:ES51"/>
    <mergeCell ref="ET51:FF51"/>
    <mergeCell ref="FG51:FH51"/>
    <mergeCell ref="FK51:FP51"/>
    <mergeCell ref="FQ51:GC51"/>
    <mergeCell ref="GD51:GE51"/>
    <mergeCell ref="GI51:GN51"/>
    <mergeCell ref="GO51:HA51"/>
    <mergeCell ref="HB51:HC51"/>
    <mergeCell ref="HF51:HK51"/>
    <mergeCell ref="HL51:HX51"/>
    <mergeCell ref="HY51:HZ51"/>
    <mergeCell ref="C52:H52"/>
    <mergeCell ref="I52:U52"/>
    <mergeCell ref="V52:W52"/>
    <mergeCell ref="Z52:AE52"/>
    <mergeCell ref="AF52:AR52"/>
    <mergeCell ref="AS52:AT52"/>
    <mergeCell ref="AX52:BC52"/>
    <mergeCell ref="BD52:BP52"/>
    <mergeCell ref="BQ52:BR52"/>
    <mergeCell ref="BU52:BZ52"/>
    <mergeCell ref="CA52:CM52"/>
    <mergeCell ref="CN52:CO52"/>
    <mergeCell ref="CS52:CX52"/>
    <mergeCell ref="CY52:DK52"/>
    <mergeCell ref="DL52:DM52"/>
    <mergeCell ref="DP52:DU52"/>
    <mergeCell ref="DV52:EH52"/>
    <mergeCell ref="EI52:EJ52"/>
    <mergeCell ref="EN52:ES52"/>
    <mergeCell ref="ET52:FF52"/>
    <mergeCell ref="FG52:FH52"/>
    <mergeCell ref="FK52:FP52"/>
    <mergeCell ref="FQ52:GC52"/>
    <mergeCell ref="GD52:GE52"/>
    <mergeCell ref="GI52:GN52"/>
    <mergeCell ref="GO52:HA52"/>
    <mergeCell ref="HB52:HC52"/>
    <mergeCell ref="HF52:HK52"/>
    <mergeCell ref="HL52:HX52"/>
    <mergeCell ref="HY52:HZ52"/>
    <mergeCell ref="C53:H53"/>
    <mergeCell ref="I53:U53"/>
    <mergeCell ref="V53:W53"/>
    <mergeCell ref="Z53:AE53"/>
    <mergeCell ref="AF53:AR53"/>
    <mergeCell ref="AS53:AT53"/>
    <mergeCell ref="AX53:BC53"/>
    <mergeCell ref="BD53:BP53"/>
    <mergeCell ref="BQ53:BR53"/>
    <mergeCell ref="BU53:BZ53"/>
    <mergeCell ref="CA53:CM53"/>
    <mergeCell ref="CN53:CO53"/>
    <mergeCell ref="CS53:CX53"/>
    <mergeCell ref="CY53:DK53"/>
    <mergeCell ref="DL53:DM53"/>
    <mergeCell ref="DP53:DU53"/>
    <mergeCell ref="DV53:EH53"/>
    <mergeCell ref="EI53:EJ53"/>
    <mergeCell ref="EN53:ES53"/>
    <mergeCell ref="ET53:FF53"/>
    <mergeCell ref="FG53:FH53"/>
    <mergeCell ref="FK53:FP53"/>
    <mergeCell ref="FQ53:GC53"/>
    <mergeCell ref="GD53:GE53"/>
    <mergeCell ref="GI53:GN53"/>
    <mergeCell ref="GO53:HA53"/>
    <mergeCell ref="HB53:HC53"/>
    <mergeCell ref="HF53:HK53"/>
    <mergeCell ref="HL53:HX53"/>
    <mergeCell ref="HY53:HZ53"/>
    <mergeCell ref="C54:H54"/>
    <mergeCell ref="I54:U54"/>
    <mergeCell ref="V54:W54"/>
    <mergeCell ref="Z54:AE54"/>
    <mergeCell ref="AF54:AR54"/>
    <mergeCell ref="AS54:AT54"/>
    <mergeCell ref="AX54:BC54"/>
    <mergeCell ref="BD54:BP54"/>
    <mergeCell ref="BQ54:BR54"/>
    <mergeCell ref="BU54:BZ54"/>
    <mergeCell ref="CA54:CM54"/>
    <mergeCell ref="CN54:CO54"/>
    <mergeCell ref="CS54:CX54"/>
    <mergeCell ref="CY54:DK54"/>
    <mergeCell ref="DL54:DM54"/>
    <mergeCell ref="DP54:DU54"/>
    <mergeCell ref="DV54:EH54"/>
    <mergeCell ref="EI54:EJ54"/>
    <mergeCell ref="EN54:ES54"/>
    <mergeCell ref="ET54:FF54"/>
    <mergeCell ref="FG54:FH54"/>
    <mergeCell ref="FK54:FP54"/>
    <mergeCell ref="FQ54:GC54"/>
    <mergeCell ref="GD54:GE54"/>
    <mergeCell ref="GI54:GN54"/>
    <mergeCell ref="GO54:HA54"/>
    <mergeCell ref="HB54:HC54"/>
    <mergeCell ref="HF54:HK54"/>
    <mergeCell ref="HL54:HX54"/>
    <mergeCell ref="HY54:HZ54"/>
    <mergeCell ref="C55:H55"/>
    <mergeCell ref="I55:U55"/>
    <mergeCell ref="V55:W55"/>
    <mergeCell ref="Z55:AE55"/>
    <mergeCell ref="AF55:AR55"/>
    <mergeCell ref="AS55:AT55"/>
    <mergeCell ref="AX55:BC55"/>
    <mergeCell ref="BD55:BP55"/>
    <mergeCell ref="BQ55:BR55"/>
    <mergeCell ref="BU55:BZ55"/>
    <mergeCell ref="CA55:CM55"/>
    <mergeCell ref="CN55:CO55"/>
    <mergeCell ref="CS55:CX55"/>
    <mergeCell ref="CY55:DK55"/>
    <mergeCell ref="DL55:DM55"/>
    <mergeCell ref="DP55:DU55"/>
    <mergeCell ref="DV55:EH55"/>
    <mergeCell ref="EI55:EJ55"/>
    <mergeCell ref="EN55:ES55"/>
    <mergeCell ref="ET55:FF55"/>
    <mergeCell ref="FG55:FH55"/>
    <mergeCell ref="FK55:FP55"/>
    <mergeCell ref="FQ55:GC55"/>
    <mergeCell ref="GD55:GE55"/>
    <mergeCell ref="GI55:GN55"/>
    <mergeCell ref="GO55:HA55"/>
    <mergeCell ref="HB55:HC55"/>
    <mergeCell ref="HF55:HK55"/>
    <mergeCell ref="HL55:HX55"/>
    <mergeCell ref="HY55:HZ55"/>
    <mergeCell ref="C56:H56"/>
    <mergeCell ref="I56:U56"/>
    <mergeCell ref="V56:W56"/>
    <mergeCell ref="Z56:AE56"/>
    <mergeCell ref="AF56:AR56"/>
    <mergeCell ref="AS56:AT56"/>
    <mergeCell ref="AX56:BC56"/>
    <mergeCell ref="BD56:BP56"/>
    <mergeCell ref="BQ56:BR56"/>
    <mergeCell ref="BU56:BZ56"/>
    <mergeCell ref="CA56:CM56"/>
    <mergeCell ref="CN56:CO56"/>
    <mergeCell ref="CS56:CX56"/>
    <mergeCell ref="CY56:DK56"/>
    <mergeCell ref="DL56:DM56"/>
    <mergeCell ref="DP56:DU56"/>
    <mergeCell ref="DV56:EH56"/>
    <mergeCell ref="EI56:EJ56"/>
    <mergeCell ref="EN56:ES56"/>
    <mergeCell ref="ET56:FF56"/>
    <mergeCell ref="FG56:FH56"/>
    <mergeCell ref="FK56:FP56"/>
    <mergeCell ref="FQ56:GC56"/>
    <mergeCell ref="GD56:GE56"/>
    <mergeCell ref="GI56:GN56"/>
    <mergeCell ref="GO56:HA56"/>
    <mergeCell ref="HB56:HC56"/>
    <mergeCell ref="HF56:HK56"/>
    <mergeCell ref="HL56:HX56"/>
    <mergeCell ref="HY56:HZ56"/>
    <mergeCell ref="C57:H57"/>
    <mergeCell ref="I57:U57"/>
    <mergeCell ref="V57:W57"/>
    <mergeCell ref="Z57:AE57"/>
    <mergeCell ref="AF57:AR57"/>
    <mergeCell ref="AS57:AT57"/>
    <mergeCell ref="AX57:BC57"/>
    <mergeCell ref="BD57:BP57"/>
    <mergeCell ref="BQ57:BR57"/>
    <mergeCell ref="BU57:BZ57"/>
    <mergeCell ref="CA57:CM57"/>
    <mergeCell ref="CN57:CO57"/>
    <mergeCell ref="CS57:CX57"/>
    <mergeCell ref="CY57:DK57"/>
    <mergeCell ref="DL57:DM57"/>
    <mergeCell ref="DP57:DU57"/>
    <mergeCell ref="DV57:EH57"/>
    <mergeCell ref="EI57:EJ57"/>
    <mergeCell ref="EN57:ES57"/>
    <mergeCell ref="ET57:FF57"/>
    <mergeCell ref="FG57:FH57"/>
    <mergeCell ref="FK57:FP57"/>
    <mergeCell ref="FQ57:GC57"/>
    <mergeCell ref="GD57:GE57"/>
    <mergeCell ref="GI57:GN57"/>
    <mergeCell ref="GO57:HA57"/>
    <mergeCell ref="HB57:HC57"/>
    <mergeCell ref="HF57:HK57"/>
    <mergeCell ref="HL57:HX57"/>
    <mergeCell ref="HY57:HZ57"/>
    <mergeCell ref="C58:H58"/>
    <mergeCell ref="I58:U58"/>
    <mergeCell ref="V58:W58"/>
    <mergeCell ref="Z58:AE58"/>
    <mergeCell ref="AF58:AR58"/>
    <mergeCell ref="AS58:AT58"/>
    <mergeCell ref="AX58:BC58"/>
    <mergeCell ref="BD58:BP58"/>
    <mergeCell ref="BQ58:BR58"/>
    <mergeCell ref="BU58:BZ58"/>
    <mergeCell ref="CA58:CM58"/>
    <mergeCell ref="CN58:CO58"/>
    <mergeCell ref="CS58:CX58"/>
    <mergeCell ref="CY58:DK58"/>
    <mergeCell ref="DL58:DM58"/>
    <mergeCell ref="DP58:DU58"/>
    <mergeCell ref="DV58:EH58"/>
    <mergeCell ref="EI58:EJ58"/>
    <mergeCell ref="EN58:ES58"/>
    <mergeCell ref="ET58:FF58"/>
    <mergeCell ref="FG58:FH58"/>
    <mergeCell ref="FK58:FP58"/>
    <mergeCell ref="FQ58:GC58"/>
    <mergeCell ref="GD58:GE58"/>
    <mergeCell ref="GI58:GN58"/>
    <mergeCell ref="GO58:HA58"/>
    <mergeCell ref="HB58:HC58"/>
    <mergeCell ref="HF58:HK58"/>
    <mergeCell ref="HL58:HX58"/>
    <mergeCell ref="HY58:HZ58"/>
    <mergeCell ref="C59:H59"/>
    <mergeCell ref="I59:U59"/>
    <mergeCell ref="V59:W59"/>
    <mergeCell ref="Z59:AE59"/>
    <mergeCell ref="AF59:AR59"/>
    <mergeCell ref="AS59:AT59"/>
    <mergeCell ref="AX59:BC59"/>
    <mergeCell ref="BD59:BP59"/>
    <mergeCell ref="BQ59:BR59"/>
    <mergeCell ref="BU59:BZ59"/>
    <mergeCell ref="CA59:CM59"/>
    <mergeCell ref="CN59:CO59"/>
    <mergeCell ref="CS59:CX59"/>
    <mergeCell ref="CY59:DK59"/>
    <mergeCell ref="DL59:DM59"/>
    <mergeCell ref="DP59:DU59"/>
    <mergeCell ref="DV59:EH59"/>
    <mergeCell ref="EI59:EJ59"/>
    <mergeCell ref="EN59:ES59"/>
    <mergeCell ref="ET59:FF59"/>
    <mergeCell ref="FG59:FH59"/>
    <mergeCell ref="FK59:FP59"/>
    <mergeCell ref="FQ59:GC59"/>
    <mergeCell ref="GD59:GE59"/>
    <mergeCell ref="GI59:GN59"/>
    <mergeCell ref="GO59:HA59"/>
    <mergeCell ref="HB59:HC59"/>
    <mergeCell ref="HF59:HK59"/>
    <mergeCell ref="HL59:HX59"/>
    <mergeCell ref="HY59:HZ59"/>
    <mergeCell ref="C60:H60"/>
    <mergeCell ref="I60:U60"/>
    <mergeCell ref="V60:W60"/>
    <mergeCell ref="Z60:AE60"/>
    <mergeCell ref="AF60:AR60"/>
    <mergeCell ref="AS60:AT60"/>
    <mergeCell ref="AX60:BC60"/>
    <mergeCell ref="BD60:BP60"/>
    <mergeCell ref="BQ60:BR60"/>
    <mergeCell ref="BU60:BZ60"/>
    <mergeCell ref="CA60:CM60"/>
    <mergeCell ref="CN60:CO60"/>
    <mergeCell ref="CS60:CX60"/>
    <mergeCell ref="CY60:DK60"/>
    <mergeCell ref="DL60:DM60"/>
    <mergeCell ref="DP60:DU60"/>
    <mergeCell ref="DV60:EH60"/>
    <mergeCell ref="EI60:EJ60"/>
    <mergeCell ref="EN60:ES60"/>
    <mergeCell ref="ET60:FF60"/>
    <mergeCell ref="FG60:FH60"/>
    <mergeCell ref="FK60:FP60"/>
    <mergeCell ref="FQ60:GC60"/>
    <mergeCell ref="GD60:GE60"/>
    <mergeCell ref="GI60:GN60"/>
    <mergeCell ref="GO60:HA60"/>
    <mergeCell ref="HB60:HC60"/>
    <mergeCell ref="HF60:HK60"/>
    <mergeCell ref="HL60:HX60"/>
    <mergeCell ref="HY60:HZ60"/>
    <mergeCell ref="C61:H61"/>
    <mergeCell ref="I61:U61"/>
    <mergeCell ref="V61:W61"/>
    <mergeCell ref="Z61:AE61"/>
    <mergeCell ref="AF61:AR61"/>
    <mergeCell ref="AS61:AT61"/>
    <mergeCell ref="AX61:BC61"/>
    <mergeCell ref="BD61:BP61"/>
    <mergeCell ref="BQ61:BR61"/>
    <mergeCell ref="BU61:BZ61"/>
    <mergeCell ref="CA61:CM61"/>
    <mergeCell ref="CN61:CO61"/>
    <mergeCell ref="CS61:CX61"/>
    <mergeCell ref="CY61:DK61"/>
    <mergeCell ref="DL61:DM61"/>
    <mergeCell ref="DP61:DU61"/>
    <mergeCell ref="DV61:EH61"/>
    <mergeCell ref="EI61:EJ61"/>
    <mergeCell ref="EN61:ES61"/>
    <mergeCell ref="ET61:FF61"/>
    <mergeCell ref="FG61:FH61"/>
    <mergeCell ref="FK61:FP61"/>
    <mergeCell ref="FQ61:GC61"/>
    <mergeCell ref="GD61:GE61"/>
    <mergeCell ref="GI61:GN61"/>
    <mergeCell ref="GO61:HA61"/>
    <mergeCell ref="HB61:HC61"/>
    <mergeCell ref="HF61:HK61"/>
    <mergeCell ref="HL61:HX61"/>
    <mergeCell ref="HY61:HZ61"/>
    <mergeCell ref="C62:H62"/>
    <mergeCell ref="I62:U62"/>
    <mergeCell ref="V62:W62"/>
    <mergeCell ref="Z62:AE62"/>
    <mergeCell ref="AF62:AR62"/>
    <mergeCell ref="AS62:AT62"/>
    <mergeCell ref="AX62:BC62"/>
    <mergeCell ref="BD62:BP62"/>
    <mergeCell ref="BQ62:BR62"/>
    <mergeCell ref="BU62:BZ62"/>
    <mergeCell ref="CA62:CM62"/>
    <mergeCell ref="CN62:CO62"/>
    <mergeCell ref="CS62:CX62"/>
    <mergeCell ref="CY62:DK62"/>
    <mergeCell ref="DL62:DM62"/>
    <mergeCell ref="DP62:DU62"/>
    <mergeCell ref="DV62:EH62"/>
    <mergeCell ref="EI62:EJ62"/>
    <mergeCell ref="EN62:ES62"/>
    <mergeCell ref="ET62:FF62"/>
    <mergeCell ref="FG62:FH62"/>
    <mergeCell ref="FK62:FP62"/>
    <mergeCell ref="FQ62:GC62"/>
    <mergeCell ref="GD62:GE62"/>
    <mergeCell ref="GI62:GN62"/>
    <mergeCell ref="GO62:HA62"/>
    <mergeCell ref="HB62:HC62"/>
    <mergeCell ref="HF62:HK62"/>
    <mergeCell ref="HL62:HX62"/>
    <mergeCell ref="HY62:HZ62"/>
    <mergeCell ref="C63:H63"/>
    <mergeCell ref="I63:U63"/>
    <mergeCell ref="V63:W63"/>
    <mergeCell ref="Z63:AE63"/>
    <mergeCell ref="AF63:AR63"/>
    <mergeCell ref="AS63:AT63"/>
    <mergeCell ref="AX63:BC63"/>
    <mergeCell ref="BD63:BP63"/>
    <mergeCell ref="BQ63:BR63"/>
    <mergeCell ref="BU63:BZ63"/>
    <mergeCell ref="CA63:CM63"/>
    <mergeCell ref="CN63:CO63"/>
    <mergeCell ref="CS63:CX63"/>
    <mergeCell ref="CY63:DK63"/>
    <mergeCell ref="DL63:DM63"/>
    <mergeCell ref="DP63:DU63"/>
    <mergeCell ref="DV63:EH63"/>
    <mergeCell ref="EI63:EJ63"/>
    <mergeCell ref="EN63:ES63"/>
    <mergeCell ref="ET63:FF63"/>
    <mergeCell ref="FG63:FH63"/>
    <mergeCell ref="FK63:FP63"/>
    <mergeCell ref="FQ63:GC63"/>
    <mergeCell ref="GD63:GE63"/>
    <mergeCell ref="GI63:GN63"/>
    <mergeCell ref="GO63:HA63"/>
    <mergeCell ref="HB63:HC63"/>
    <mergeCell ref="HF63:HK63"/>
    <mergeCell ref="HL63:HX63"/>
    <mergeCell ref="HY63:HZ63"/>
    <mergeCell ref="C64:H64"/>
    <mergeCell ref="I64:U64"/>
    <mergeCell ref="V64:W64"/>
    <mergeCell ref="Z64:AE64"/>
    <mergeCell ref="AF64:AR64"/>
    <mergeCell ref="AS64:AT64"/>
    <mergeCell ref="AX64:BC64"/>
    <mergeCell ref="BD64:BP64"/>
    <mergeCell ref="BQ64:BR64"/>
    <mergeCell ref="BU64:BZ64"/>
    <mergeCell ref="CA64:CM64"/>
    <mergeCell ref="CN64:CO64"/>
    <mergeCell ref="CS64:CX64"/>
    <mergeCell ref="CY64:DK64"/>
    <mergeCell ref="DL64:DM64"/>
    <mergeCell ref="DP64:DU64"/>
    <mergeCell ref="DV64:EH64"/>
    <mergeCell ref="EI64:EJ64"/>
    <mergeCell ref="EN64:ES64"/>
    <mergeCell ref="ET64:FF64"/>
    <mergeCell ref="FG64:FH64"/>
    <mergeCell ref="FK64:FP64"/>
    <mergeCell ref="FQ64:GC64"/>
    <mergeCell ref="GD64:GE64"/>
    <mergeCell ref="GI64:GN64"/>
    <mergeCell ref="GO64:HA64"/>
    <mergeCell ref="HB64:HC64"/>
    <mergeCell ref="HF64:HK64"/>
    <mergeCell ref="HL64:HX64"/>
    <mergeCell ref="HY64:HZ64"/>
    <mergeCell ref="C65:H65"/>
    <mergeCell ref="I65:U65"/>
    <mergeCell ref="V65:W65"/>
    <mergeCell ref="Z65:AE65"/>
    <mergeCell ref="AF65:AR65"/>
    <mergeCell ref="AS65:AT65"/>
    <mergeCell ref="AX65:BC65"/>
    <mergeCell ref="BD65:BP65"/>
    <mergeCell ref="BQ65:BR65"/>
    <mergeCell ref="BU65:BZ65"/>
    <mergeCell ref="CA65:CM65"/>
    <mergeCell ref="CN65:CO65"/>
    <mergeCell ref="CS65:CX65"/>
    <mergeCell ref="CY65:DK65"/>
    <mergeCell ref="DL65:DM65"/>
    <mergeCell ref="DP65:DU65"/>
    <mergeCell ref="DV65:EH65"/>
    <mergeCell ref="EI65:EJ65"/>
    <mergeCell ref="EN65:ES65"/>
    <mergeCell ref="ET65:FF65"/>
    <mergeCell ref="FG65:FH65"/>
    <mergeCell ref="FK65:FP65"/>
    <mergeCell ref="FQ65:GC65"/>
    <mergeCell ref="GD65:GE65"/>
    <mergeCell ref="GI65:GN65"/>
    <mergeCell ref="GO65:HA65"/>
    <mergeCell ref="HB65:HC65"/>
    <mergeCell ref="HF65:HK65"/>
    <mergeCell ref="HL65:HX65"/>
    <mergeCell ref="HY65:HZ65"/>
    <mergeCell ref="C66:H66"/>
    <mergeCell ref="I66:U66"/>
    <mergeCell ref="V66:W66"/>
    <mergeCell ref="Z66:AE66"/>
    <mergeCell ref="AF66:AR66"/>
    <mergeCell ref="AS66:AT66"/>
    <mergeCell ref="AX66:BC66"/>
    <mergeCell ref="BD66:BP66"/>
    <mergeCell ref="BQ66:BR66"/>
    <mergeCell ref="BU66:BZ66"/>
    <mergeCell ref="CA66:CM66"/>
    <mergeCell ref="CN66:CO66"/>
    <mergeCell ref="CS66:CX66"/>
    <mergeCell ref="CY66:DK66"/>
    <mergeCell ref="DL66:DM66"/>
    <mergeCell ref="DP66:DU66"/>
    <mergeCell ref="DV66:EH66"/>
    <mergeCell ref="EI66:EJ66"/>
    <mergeCell ref="EN66:ES66"/>
    <mergeCell ref="ET66:FF66"/>
    <mergeCell ref="FG66:FH66"/>
    <mergeCell ref="FK66:FP66"/>
    <mergeCell ref="FQ66:GC66"/>
    <mergeCell ref="GD66:GE66"/>
    <mergeCell ref="GI66:GN66"/>
    <mergeCell ref="GO66:HA66"/>
    <mergeCell ref="HB66:HC66"/>
    <mergeCell ref="HF66:HK66"/>
    <mergeCell ref="HL66:HX66"/>
    <mergeCell ref="HY66:HZ66"/>
    <mergeCell ref="C67:H67"/>
    <mergeCell ref="I67:U67"/>
    <mergeCell ref="V67:W67"/>
    <mergeCell ref="Z67:AE67"/>
    <mergeCell ref="AF67:AR67"/>
    <mergeCell ref="AS67:AT67"/>
    <mergeCell ref="AX67:BC67"/>
    <mergeCell ref="BD67:BP67"/>
    <mergeCell ref="BQ67:BR67"/>
    <mergeCell ref="BU67:BZ67"/>
    <mergeCell ref="CA67:CM67"/>
    <mergeCell ref="CN67:CO67"/>
    <mergeCell ref="CS67:CX67"/>
    <mergeCell ref="CY67:DK67"/>
    <mergeCell ref="DL67:DM67"/>
    <mergeCell ref="DP67:DU67"/>
    <mergeCell ref="DV67:EH67"/>
    <mergeCell ref="EI67:EJ67"/>
    <mergeCell ref="EN67:ES67"/>
    <mergeCell ref="ET67:FF67"/>
    <mergeCell ref="FG67:FH67"/>
    <mergeCell ref="FK67:FP67"/>
    <mergeCell ref="FQ67:GC67"/>
    <mergeCell ref="GD67:GE67"/>
    <mergeCell ref="GI67:GN67"/>
    <mergeCell ref="GO67:HA67"/>
    <mergeCell ref="HB67:HC67"/>
    <mergeCell ref="HF67:HK67"/>
    <mergeCell ref="HL67:HX67"/>
    <mergeCell ref="HY67:HZ67"/>
    <mergeCell ref="C68:H68"/>
    <mergeCell ref="I68:U68"/>
    <mergeCell ref="V68:W68"/>
    <mergeCell ref="Z68:AE68"/>
    <mergeCell ref="AF68:AR68"/>
    <mergeCell ref="AS68:AT68"/>
    <mergeCell ref="AX68:BC68"/>
    <mergeCell ref="BD68:BP68"/>
    <mergeCell ref="BQ68:BR68"/>
    <mergeCell ref="BU68:BZ68"/>
    <mergeCell ref="CA68:CM68"/>
    <mergeCell ref="CN68:CO68"/>
    <mergeCell ref="CS68:CX68"/>
    <mergeCell ref="CY68:DK68"/>
    <mergeCell ref="DL68:DM68"/>
    <mergeCell ref="DP68:DU68"/>
    <mergeCell ref="DV68:EH68"/>
    <mergeCell ref="EI68:EJ68"/>
    <mergeCell ref="EN68:ES68"/>
    <mergeCell ref="ET68:FF68"/>
    <mergeCell ref="FG68:FH68"/>
    <mergeCell ref="FK68:FP68"/>
    <mergeCell ref="FQ68:GC68"/>
    <mergeCell ref="GD68:GE68"/>
    <mergeCell ref="GI68:GN68"/>
    <mergeCell ref="GO68:HA68"/>
    <mergeCell ref="HB68:HC68"/>
    <mergeCell ref="HF68:HK68"/>
    <mergeCell ref="HL68:HX68"/>
    <mergeCell ref="HY68:HZ68"/>
    <mergeCell ref="C69:H69"/>
    <mergeCell ref="I69:U69"/>
    <mergeCell ref="V69:W69"/>
    <mergeCell ref="AX69:BC69"/>
    <mergeCell ref="BD69:BP69"/>
    <mergeCell ref="BQ69:BR69"/>
    <mergeCell ref="CS69:CX69"/>
    <mergeCell ref="CY69:DK69"/>
    <mergeCell ref="DL69:DM69"/>
    <mergeCell ref="EN69:ES69"/>
    <mergeCell ref="ET69:FF69"/>
    <mergeCell ref="FG69:FH69"/>
    <mergeCell ref="GI69:GN69"/>
    <mergeCell ref="GO69:HA69"/>
    <mergeCell ref="HB69:HC69"/>
    <mergeCell ref="C70:H70"/>
    <mergeCell ref="I70:U70"/>
    <mergeCell ref="V70:W70"/>
    <mergeCell ref="Y70:AT70"/>
    <mergeCell ref="AX70:BC70"/>
    <mergeCell ref="BD70:BP70"/>
    <mergeCell ref="BQ70:BR70"/>
    <mergeCell ref="BT70:CO70"/>
    <mergeCell ref="CS70:CX70"/>
    <mergeCell ref="CY70:DK70"/>
    <mergeCell ref="DL70:DM70"/>
    <mergeCell ref="DO70:EJ70"/>
    <mergeCell ref="EN70:ES70"/>
    <mergeCell ref="ET70:FF70"/>
    <mergeCell ref="FG70:FH70"/>
    <mergeCell ref="FJ70:GE70"/>
    <mergeCell ref="GI70:GN70"/>
    <mergeCell ref="GO70:HA70"/>
    <mergeCell ref="HB70:HC70"/>
    <mergeCell ref="HE70:HZ70"/>
    <mergeCell ref="C71:H71"/>
    <mergeCell ref="I71:U71"/>
    <mergeCell ref="V71:W71"/>
    <mergeCell ref="Z71:AE71"/>
    <mergeCell ref="AF71:AR71"/>
    <mergeCell ref="AS71:AT71"/>
    <mergeCell ref="AX71:BC71"/>
    <mergeCell ref="BD71:BP71"/>
    <mergeCell ref="BQ71:BR71"/>
    <mergeCell ref="BU71:BZ71"/>
    <mergeCell ref="CA71:CM71"/>
    <mergeCell ref="CN71:CO71"/>
    <mergeCell ref="CS71:CX71"/>
    <mergeCell ref="CY71:DK71"/>
    <mergeCell ref="DL71:DM71"/>
    <mergeCell ref="DP71:DU71"/>
    <mergeCell ref="DV71:EH71"/>
    <mergeCell ref="EI71:EJ71"/>
    <mergeCell ref="EN71:ES71"/>
    <mergeCell ref="ET71:FF71"/>
    <mergeCell ref="FG71:FH71"/>
    <mergeCell ref="FK71:FP71"/>
    <mergeCell ref="FQ71:GC71"/>
    <mergeCell ref="GD71:GE71"/>
    <mergeCell ref="GI71:GN71"/>
    <mergeCell ref="GO71:HA71"/>
    <mergeCell ref="HB71:HC71"/>
    <mergeCell ref="HF71:HK71"/>
    <mergeCell ref="HL71:HX71"/>
    <mergeCell ref="HY71:HZ71"/>
    <mergeCell ref="C72:H72"/>
    <mergeCell ref="I72:U72"/>
    <mergeCell ref="V72:W72"/>
    <mergeCell ref="Z72:AE72"/>
    <mergeCell ref="AF72:AR72"/>
    <mergeCell ref="AS72:AT72"/>
    <mergeCell ref="AX72:BC72"/>
    <mergeCell ref="BD72:BP72"/>
    <mergeCell ref="BQ72:BR72"/>
    <mergeCell ref="BU72:BZ72"/>
    <mergeCell ref="CA72:CM72"/>
    <mergeCell ref="CN72:CO72"/>
    <mergeCell ref="CS72:CX72"/>
    <mergeCell ref="CY72:DK72"/>
    <mergeCell ref="DL72:DM72"/>
    <mergeCell ref="DP72:DU72"/>
    <mergeCell ref="DV72:EH72"/>
    <mergeCell ref="EI72:EJ72"/>
    <mergeCell ref="EN72:ES72"/>
    <mergeCell ref="ET72:FF72"/>
    <mergeCell ref="FG72:FH72"/>
    <mergeCell ref="FK72:FP72"/>
    <mergeCell ref="FQ72:GC72"/>
    <mergeCell ref="GD72:GE72"/>
    <mergeCell ref="GI72:GN72"/>
    <mergeCell ref="GO72:HA72"/>
    <mergeCell ref="HB72:HC72"/>
    <mergeCell ref="HF72:HK72"/>
    <mergeCell ref="HL72:HX72"/>
    <mergeCell ref="HY72:HZ72"/>
    <mergeCell ref="C73:H73"/>
    <mergeCell ref="I73:U73"/>
    <mergeCell ref="V73:W73"/>
    <mergeCell ref="Z73:AE73"/>
    <mergeCell ref="AF73:AR73"/>
    <mergeCell ref="AS73:AT73"/>
    <mergeCell ref="AX73:BC73"/>
    <mergeCell ref="BD73:BP73"/>
    <mergeCell ref="BQ73:BR73"/>
    <mergeCell ref="BU73:BZ73"/>
    <mergeCell ref="CA73:CM73"/>
    <mergeCell ref="CN73:CO73"/>
    <mergeCell ref="CS73:CX73"/>
    <mergeCell ref="CY73:DK73"/>
    <mergeCell ref="DL73:DM73"/>
    <mergeCell ref="DP73:DU73"/>
    <mergeCell ref="DV73:EH73"/>
    <mergeCell ref="EI73:EJ73"/>
    <mergeCell ref="EN73:ES73"/>
    <mergeCell ref="ET73:FF73"/>
    <mergeCell ref="FG73:FH73"/>
    <mergeCell ref="FK73:FP73"/>
    <mergeCell ref="FQ73:GC73"/>
    <mergeCell ref="GD73:GE73"/>
    <mergeCell ref="GI73:GN73"/>
    <mergeCell ref="GO73:HA73"/>
    <mergeCell ref="HB73:HC73"/>
    <mergeCell ref="HF73:HK73"/>
    <mergeCell ref="HL73:HX73"/>
    <mergeCell ref="HY73:HZ73"/>
    <mergeCell ref="C74:H74"/>
    <mergeCell ref="I74:U74"/>
    <mergeCell ref="V74:W74"/>
    <mergeCell ref="Z74:AE74"/>
    <mergeCell ref="AF74:AR74"/>
    <mergeCell ref="AS74:AT74"/>
    <mergeCell ref="AX74:BC74"/>
    <mergeCell ref="BD74:BP74"/>
    <mergeCell ref="BQ74:BR74"/>
    <mergeCell ref="BU74:BZ74"/>
    <mergeCell ref="CA74:CM74"/>
    <mergeCell ref="CN74:CO74"/>
    <mergeCell ref="CS74:CX74"/>
    <mergeCell ref="CY74:DK74"/>
    <mergeCell ref="DL74:DM74"/>
    <mergeCell ref="DP74:DU74"/>
    <mergeCell ref="DV74:EH74"/>
    <mergeCell ref="EI74:EJ74"/>
    <mergeCell ref="EN74:ES74"/>
    <mergeCell ref="ET74:FF74"/>
    <mergeCell ref="FG74:FH74"/>
    <mergeCell ref="FK74:FP74"/>
    <mergeCell ref="FQ74:GC74"/>
    <mergeCell ref="GD74:GE74"/>
    <mergeCell ref="GI74:GN74"/>
    <mergeCell ref="GO74:HA74"/>
    <mergeCell ref="HB74:HC74"/>
    <mergeCell ref="HF74:HK74"/>
    <mergeCell ref="HL74:HX74"/>
    <mergeCell ref="HY74:HZ74"/>
    <mergeCell ref="C75:H75"/>
    <mergeCell ref="I75:U75"/>
    <mergeCell ref="V75:W75"/>
    <mergeCell ref="Z75:AE75"/>
    <mergeCell ref="AF75:AR75"/>
    <mergeCell ref="AS75:AT75"/>
    <mergeCell ref="AX75:BC75"/>
    <mergeCell ref="BD75:BP75"/>
    <mergeCell ref="BQ75:BR75"/>
    <mergeCell ref="BU75:BZ75"/>
    <mergeCell ref="CA75:CM75"/>
    <mergeCell ref="CN75:CO75"/>
    <mergeCell ref="CS75:CX75"/>
    <mergeCell ref="CY75:DK75"/>
    <mergeCell ref="DL75:DM75"/>
    <mergeCell ref="DP75:DU75"/>
    <mergeCell ref="DV75:EH75"/>
    <mergeCell ref="EI75:EJ75"/>
    <mergeCell ref="EN75:ES75"/>
    <mergeCell ref="ET75:FF75"/>
    <mergeCell ref="FG75:FH75"/>
    <mergeCell ref="FK75:FP75"/>
    <mergeCell ref="FQ75:GC75"/>
    <mergeCell ref="GD75:GE75"/>
    <mergeCell ref="GI75:GN75"/>
    <mergeCell ref="GO75:HA75"/>
    <mergeCell ref="HB75:HC75"/>
    <mergeCell ref="HF75:HK75"/>
    <mergeCell ref="HL75:HX75"/>
    <mergeCell ref="HY75:HZ75"/>
    <mergeCell ref="C76:H76"/>
    <mergeCell ref="I76:U76"/>
    <mergeCell ref="V76:W76"/>
    <mergeCell ref="Z76:AE76"/>
    <mergeCell ref="AF76:AR76"/>
    <mergeCell ref="AS76:AT76"/>
    <mergeCell ref="AX76:BC76"/>
    <mergeCell ref="BD76:BP76"/>
    <mergeCell ref="BQ76:BR76"/>
    <mergeCell ref="BU76:BZ76"/>
    <mergeCell ref="CA76:CM76"/>
    <mergeCell ref="CN76:CO76"/>
    <mergeCell ref="CS76:CX76"/>
    <mergeCell ref="CY76:DK76"/>
    <mergeCell ref="DL76:DM76"/>
    <mergeCell ref="DP76:DU76"/>
    <mergeCell ref="DV76:EH76"/>
    <mergeCell ref="EI76:EJ76"/>
    <mergeCell ref="EN76:ES76"/>
    <mergeCell ref="ET76:FF76"/>
    <mergeCell ref="FG76:FH76"/>
    <mergeCell ref="FK76:FP76"/>
    <mergeCell ref="FQ76:GC76"/>
    <mergeCell ref="GD76:GE76"/>
    <mergeCell ref="GI76:GN76"/>
    <mergeCell ref="GO76:HA76"/>
    <mergeCell ref="HB76:HC76"/>
    <mergeCell ref="HF76:HK76"/>
    <mergeCell ref="HL76:HX76"/>
    <mergeCell ref="HY76:HZ76"/>
    <mergeCell ref="C77:H77"/>
    <mergeCell ref="I77:U77"/>
    <mergeCell ref="V77:W77"/>
    <mergeCell ref="Z77:AE77"/>
    <mergeCell ref="AF77:AR77"/>
    <mergeCell ref="AS77:AT77"/>
    <mergeCell ref="AX77:BC77"/>
    <mergeCell ref="BD77:BP77"/>
    <mergeCell ref="BQ77:BR77"/>
    <mergeCell ref="BU77:BZ77"/>
    <mergeCell ref="CA77:CM77"/>
    <mergeCell ref="CN77:CO77"/>
    <mergeCell ref="CS77:CX77"/>
    <mergeCell ref="CY77:DK77"/>
    <mergeCell ref="DL77:DM77"/>
    <mergeCell ref="DP77:DU77"/>
    <mergeCell ref="DV77:EH77"/>
    <mergeCell ref="EI77:EJ77"/>
    <mergeCell ref="EN77:ES77"/>
    <mergeCell ref="ET77:FF77"/>
    <mergeCell ref="FG77:FH77"/>
    <mergeCell ref="FK77:FP77"/>
    <mergeCell ref="FQ77:GC77"/>
    <mergeCell ref="GD77:GE77"/>
    <mergeCell ref="GI77:GN77"/>
    <mergeCell ref="GO77:HA77"/>
    <mergeCell ref="HB77:HC77"/>
    <mergeCell ref="HF77:HK77"/>
    <mergeCell ref="HL77:HX77"/>
    <mergeCell ref="HY77:HZ77"/>
    <mergeCell ref="C78:H78"/>
    <mergeCell ref="I78:U78"/>
    <mergeCell ref="V78:W78"/>
    <mergeCell ref="Z78:AE78"/>
    <mergeCell ref="AF78:AR78"/>
    <mergeCell ref="AS78:AT78"/>
    <mergeCell ref="AX78:BC78"/>
    <mergeCell ref="BD78:BP78"/>
    <mergeCell ref="BQ78:BR78"/>
    <mergeCell ref="BU78:BZ78"/>
    <mergeCell ref="CA78:CM78"/>
    <mergeCell ref="CN78:CO78"/>
    <mergeCell ref="CS78:CX78"/>
    <mergeCell ref="CY78:DK78"/>
    <mergeCell ref="DL78:DM78"/>
    <mergeCell ref="DP78:DU78"/>
    <mergeCell ref="DV78:EH78"/>
    <mergeCell ref="EI78:EJ78"/>
    <mergeCell ref="EN78:ES78"/>
    <mergeCell ref="ET78:FF78"/>
    <mergeCell ref="FG78:FH78"/>
    <mergeCell ref="FK78:FP78"/>
    <mergeCell ref="FQ78:GC78"/>
    <mergeCell ref="GD78:GE78"/>
    <mergeCell ref="GI78:GN78"/>
    <mergeCell ref="GO78:HA78"/>
    <mergeCell ref="HB78:HC78"/>
    <mergeCell ref="HF78:HK78"/>
    <mergeCell ref="HL78:HX78"/>
    <mergeCell ref="HY78:HZ78"/>
    <mergeCell ref="C79:H79"/>
    <mergeCell ref="I79:U79"/>
    <mergeCell ref="V79:W79"/>
    <mergeCell ref="Z79:AE79"/>
    <mergeCell ref="AF79:AR79"/>
    <mergeCell ref="AS79:AT79"/>
    <mergeCell ref="AX79:BC79"/>
    <mergeCell ref="BD79:BP79"/>
    <mergeCell ref="BQ79:BR79"/>
    <mergeCell ref="BU79:BZ79"/>
    <mergeCell ref="CA79:CM79"/>
    <mergeCell ref="CN79:CO79"/>
    <mergeCell ref="CS79:CX79"/>
    <mergeCell ref="CY79:DK79"/>
    <mergeCell ref="DL79:DM79"/>
    <mergeCell ref="DP79:DU79"/>
    <mergeCell ref="DV79:EH79"/>
    <mergeCell ref="EI79:EJ79"/>
    <mergeCell ref="EN79:ES79"/>
    <mergeCell ref="ET79:FF79"/>
    <mergeCell ref="FG79:FH79"/>
    <mergeCell ref="FK79:FP79"/>
    <mergeCell ref="FQ79:GC79"/>
    <mergeCell ref="GD79:GE79"/>
    <mergeCell ref="GI79:GN79"/>
    <mergeCell ref="GO79:HA79"/>
    <mergeCell ref="HB79:HC79"/>
    <mergeCell ref="HF79:HK79"/>
    <mergeCell ref="HL79:HX79"/>
    <mergeCell ref="HY79:HZ79"/>
    <mergeCell ref="C80:H80"/>
    <mergeCell ref="I80:U80"/>
    <mergeCell ref="V80:W80"/>
    <mergeCell ref="Z80:AE80"/>
    <mergeCell ref="AF80:AR80"/>
    <mergeCell ref="AS80:AT80"/>
    <mergeCell ref="AX80:BC80"/>
    <mergeCell ref="BD80:BP80"/>
    <mergeCell ref="BQ80:BR80"/>
    <mergeCell ref="BU80:BZ80"/>
    <mergeCell ref="CA80:CM80"/>
    <mergeCell ref="CN80:CO80"/>
    <mergeCell ref="CS80:CX80"/>
    <mergeCell ref="CY80:DK80"/>
    <mergeCell ref="DL80:DM80"/>
    <mergeCell ref="DP80:DU80"/>
    <mergeCell ref="DV80:EH80"/>
    <mergeCell ref="EI80:EJ80"/>
    <mergeCell ref="EN80:ES80"/>
    <mergeCell ref="ET80:FF80"/>
    <mergeCell ref="FG80:FH80"/>
    <mergeCell ref="FK80:FP80"/>
    <mergeCell ref="FQ80:GC80"/>
    <mergeCell ref="GD80:GE80"/>
    <mergeCell ref="GI80:GN80"/>
    <mergeCell ref="GO80:HA80"/>
    <mergeCell ref="HB80:HC80"/>
    <mergeCell ref="HF80:HK80"/>
    <mergeCell ref="HL80:HX80"/>
    <mergeCell ref="HY80:HZ80"/>
    <mergeCell ref="C81:H81"/>
    <mergeCell ref="I81:U81"/>
    <mergeCell ref="V81:W81"/>
    <mergeCell ref="Z81:AE81"/>
    <mergeCell ref="AF81:AR81"/>
    <mergeCell ref="AS81:AT81"/>
    <mergeCell ref="AX81:BC81"/>
    <mergeCell ref="BD81:BP81"/>
    <mergeCell ref="BQ81:BR81"/>
    <mergeCell ref="BU81:BZ81"/>
    <mergeCell ref="CA81:CM81"/>
    <mergeCell ref="CN81:CO81"/>
    <mergeCell ref="CS81:CX81"/>
    <mergeCell ref="CY81:DK81"/>
    <mergeCell ref="DL81:DM81"/>
    <mergeCell ref="DP81:DU81"/>
    <mergeCell ref="DV81:EH81"/>
    <mergeCell ref="EI81:EJ81"/>
    <mergeCell ref="EN81:ES81"/>
    <mergeCell ref="ET81:FF81"/>
    <mergeCell ref="FG81:FH81"/>
    <mergeCell ref="FK81:FP81"/>
    <mergeCell ref="FQ81:GC81"/>
    <mergeCell ref="GD81:GE81"/>
    <mergeCell ref="GI81:GN81"/>
    <mergeCell ref="GO81:HA81"/>
    <mergeCell ref="HB81:HC81"/>
    <mergeCell ref="HF81:HK81"/>
    <mergeCell ref="HL81:HX81"/>
    <mergeCell ref="HY81:HZ81"/>
    <mergeCell ref="C82:H82"/>
    <mergeCell ref="I82:U82"/>
    <mergeCell ref="V82:W82"/>
    <mergeCell ref="Z82:AE82"/>
    <mergeCell ref="AF82:AR82"/>
    <mergeCell ref="AS82:AT82"/>
    <mergeCell ref="AX82:BC82"/>
    <mergeCell ref="BD82:BP82"/>
    <mergeCell ref="BQ82:BR82"/>
    <mergeCell ref="BU82:BZ82"/>
    <mergeCell ref="CA82:CM82"/>
    <mergeCell ref="CN82:CO82"/>
    <mergeCell ref="CS82:CX82"/>
    <mergeCell ref="CY82:DK82"/>
    <mergeCell ref="DL82:DM82"/>
    <mergeCell ref="DP82:DU82"/>
    <mergeCell ref="DV82:EH82"/>
    <mergeCell ref="EI82:EJ82"/>
    <mergeCell ref="EN82:ES82"/>
    <mergeCell ref="ET82:FF82"/>
    <mergeCell ref="FG82:FH82"/>
    <mergeCell ref="FK82:FP82"/>
    <mergeCell ref="FQ82:GC82"/>
    <mergeCell ref="GD82:GE82"/>
    <mergeCell ref="GI82:GN82"/>
    <mergeCell ref="GO82:HA82"/>
    <mergeCell ref="HB82:HC82"/>
    <mergeCell ref="HF82:HK82"/>
    <mergeCell ref="HL82:HX82"/>
    <mergeCell ref="HY82:HZ82"/>
    <mergeCell ref="C83:H83"/>
    <mergeCell ref="I83:U83"/>
    <mergeCell ref="V83:W83"/>
    <mergeCell ref="Z83:AE83"/>
    <mergeCell ref="AF83:AR83"/>
    <mergeCell ref="AS83:AT83"/>
    <mergeCell ref="AX83:BC83"/>
    <mergeCell ref="BD83:BP83"/>
    <mergeCell ref="BQ83:BR83"/>
    <mergeCell ref="BU83:BZ83"/>
    <mergeCell ref="CA83:CM83"/>
    <mergeCell ref="CN83:CO83"/>
    <mergeCell ref="CS83:CX83"/>
    <mergeCell ref="CY83:DK83"/>
    <mergeCell ref="DL83:DM83"/>
    <mergeCell ref="DP83:DU83"/>
    <mergeCell ref="DV83:EH83"/>
    <mergeCell ref="EI83:EJ83"/>
    <mergeCell ref="EN83:ES83"/>
    <mergeCell ref="ET83:FF83"/>
    <mergeCell ref="FG83:FH83"/>
    <mergeCell ref="FK83:FP83"/>
    <mergeCell ref="FQ83:GC83"/>
    <mergeCell ref="GD83:GE83"/>
    <mergeCell ref="GI83:GN83"/>
    <mergeCell ref="GO83:HA83"/>
    <mergeCell ref="HB83:HC83"/>
    <mergeCell ref="HF83:HK83"/>
    <mergeCell ref="HL83:HX83"/>
    <mergeCell ref="HY83:HZ83"/>
    <mergeCell ref="C84:H84"/>
    <mergeCell ref="I84:U84"/>
    <mergeCell ref="V84:W84"/>
    <mergeCell ref="Z84:AE84"/>
    <mergeCell ref="AF84:AR84"/>
    <mergeCell ref="AS84:AT84"/>
    <mergeCell ref="AX84:BC84"/>
    <mergeCell ref="BD84:BP84"/>
    <mergeCell ref="BQ84:BR84"/>
    <mergeCell ref="BU84:BZ84"/>
    <mergeCell ref="CA84:CM84"/>
    <mergeCell ref="CN84:CO84"/>
    <mergeCell ref="CS84:CX84"/>
    <mergeCell ref="CY84:DK84"/>
    <mergeCell ref="DL84:DM84"/>
    <mergeCell ref="DP84:DU84"/>
    <mergeCell ref="DV84:EH84"/>
    <mergeCell ref="EI84:EJ84"/>
    <mergeCell ref="EN84:ES84"/>
    <mergeCell ref="ET84:FF84"/>
    <mergeCell ref="FG84:FH84"/>
    <mergeCell ref="FK84:FP84"/>
    <mergeCell ref="FQ84:GC84"/>
    <mergeCell ref="GD84:GE84"/>
    <mergeCell ref="GI84:GN84"/>
    <mergeCell ref="GO84:HA84"/>
    <mergeCell ref="HB84:HC84"/>
    <mergeCell ref="HF84:HK84"/>
    <mergeCell ref="HL84:HX84"/>
    <mergeCell ref="HY84:HZ84"/>
    <mergeCell ref="C85:H85"/>
    <mergeCell ref="I85:U85"/>
    <mergeCell ref="V85:W85"/>
    <mergeCell ref="Z85:AE85"/>
    <mergeCell ref="AF85:AR85"/>
    <mergeCell ref="AS85:AT85"/>
    <mergeCell ref="AX85:BC85"/>
    <mergeCell ref="BD85:BP85"/>
    <mergeCell ref="BQ85:BR85"/>
    <mergeCell ref="BU85:BZ85"/>
    <mergeCell ref="CA85:CM85"/>
    <mergeCell ref="CN85:CO85"/>
    <mergeCell ref="CS85:CX85"/>
    <mergeCell ref="CY85:DK85"/>
    <mergeCell ref="DL85:DM85"/>
    <mergeCell ref="DP85:DU85"/>
    <mergeCell ref="DV85:EH85"/>
    <mergeCell ref="EI85:EJ85"/>
    <mergeCell ref="EN85:ES85"/>
    <mergeCell ref="ET85:FF85"/>
    <mergeCell ref="FG85:FH85"/>
    <mergeCell ref="FK85:FP85"/>
    <mergeCell ref="FQ85:GC85"/>
    <mergeCell ref="GD85:GE85"/>
    <mergeCell ref="GI85:GN85"/>
    <mergeCell ref="GO85:HA85"/>
    <mergeCell ref="HB85:HC85"/>
    <mergeCell ref="HF85:HK85"/>
    <mergeCell ref="HL85:HX85"/>
    <mergeCell ref="HY85:HZ85"/>
    <mergeCell ref="C86:H86"/>
    <mergeCell ref="I86:U86"/>
    <mergeCell ref="V86:W86"/>
    <mergeCell ref="Z86:AE86"/>
    <mergeCell ref="AF86:AR86"/>
    <mergeCell ref="AS86:AT86"/>
    <mergeCell ref="AX86:BC86"/>
    <mergeCell ref="BD86:BP86"/>
    <mergeCell ref="BQ86:BR86"/>
    <mergeCell ref="BU86:BZ86"/>
    <mergeCell ref="CA86:CM86"/>
    <mergeCell ref="CN86:CO86"/>
    <mergeCell ref="CS86:CX86"/>
    <mergeCell ref="CY86:DK86"/>
    <mergeCell ref="DL86:DM86"/>
    <mergeCell ref="DP86:DU86"/>
    <mergeCell ref="DV86:EH86"/>
    <mergeCell ref="EI86:EJ86"/>
    <mergeCell ref="EN86:ES86"/>
    <mergeCell ref="ET86:FF86"/>
    <mergeCell ref="FG86:FH86"/>
    <mergeCell ref="FK86:FP86"/>
    <mergeCell ref="FQ86:GC86"/>
    <mergeCell ref="GD86:GE86"/>
    <mergeCell ref="GI86:GN86"/>
    <mergeCell ref="GO86:HA86"/>
    <mergeCell ref="HB86:HC86"/>
    <mergeCell ref="HF86:HK86"/>
    <mergeCell ref="HL86:HX86"/>
    <mergeCell ref="HY86:HZ86"/>
    <mergeCell ref="C87:H87"/>
    <mergeCell ref="I87:U87"/>
    <mergeCell ref="V87:W87"/>
    <mergeCell ref="Z87:AE87"/>
    <mergeCell ref="AF87:AR87"/>
    <mergeCell ref="AS87:AT87"/>
    <mergeCell ref="AX87:BC87"/>
    <mergeCell ref="BD87:BP87"/>
    <mergeCell ref="BQ87:BR87"/>
    <mergeCell ref="BU87:BZ87"/>
    <mergeCell ref="CA87:CM87"/>
    <mergeCell ref="CN87:CO87"/>
    <mergeCell ref="CS87:CX87"/>
    <mergeCell ref="CY87:DK87"/>
    <mergeCell ref="DL87:DM87"/>
    <mergeCell ref="DP87:DU87"/>
    <mergeCell ref="DV87:EH87"/>
    <mergeCell ref="EI87:EJ87"/>
    <mergeCell ref="EN87:ES87"/>
    <mergeCell ref="ET87:FF87"/>
    <mergeCell ref="FG87:FH87"/>
    <mergeCell ref="FK87:FP87"/>
    <mergeCell ref="FQ87:GC87"/>
    <mergeCell ref="GD87:GE87"/>
    <mergeCell ref="GI87:GN87"/>
    <mergeCell ref="GO87:HA87"/>
    <mergeCell ref="HB87:HC87"/>
    <mergeCell ref="HF87:HK87"/>
    <mergeCell ref="HL87:HX87"/>
    <mergeCell ref="HY87:HZ87"/>
    <mergeCell ref="C88:H88"/>
    <mergeCell ref="I88:U88"/>
    <mergeCell ref="V88:W88"/>
    <mergeCell ref="Z88:AE88"/>
    <mergeCell ref="AF88:AR88"/>
    <mergeCell ref="AS88:AT88"/>
    <mergeCell ref="AX88:BC88"/>
    <mergeCell ref="BD88:BP88"/>
    <mergeCell ref="BQ88:BR88"/>
    <mergeCell ref="BU88:BZ88"/>
    <mergeCell ref="CA88:CM88"/>
    <mergeCell ref="CN88:CO88"/>
    <mergeCell ref="CS88:CX88"/>
    <mergeCell ref="CY88:DK88"/>
    <mergeCell ref="DL88:DM88"/>
    <mergeCell ref="DP88:DU88"/>
    <mergeCell ref="DV88:EH88"/>
    <mergeCell ref="EI88:EJ88"/>
    <mergeCell ref="EN88:ES88"/>
    <mergeCell ref="ET88:FF88"/>
    <mergeCell ref="FG88:FH88"/>
    <mergeCell ref="FK88:FP88"/>
    <mergeCell ref="FQ88:GC88"/>
    <mergeCell ref="GD88:GE88"/>
    <mergeCell ref="GI88:GN88"/>
    <mergeCell ref="GO88:HA88"/>
    <mergeCell ref="HB88:HC88"/>
    <mergeCell ref="HF88:HK88"/>
    <mergeCell ref="HL88:HX88"/>
    <mergeCell ref="HY88:HZ88"/>
    <mergeCell ref="C89:H89"/>
    <mergeCell ref="I89:U89"/>
    <mergeCell ref="V89:W89"/>
    <mergeCell ref="Z89:AE89"/>
    <mergeCell ref="AF89:AR89"/>
    <mergeCell ref="AS89:AT89"/>
    <mergeCell ref="AX89:BC89"/>
    <mergeCell ref="BD89:BP89"/>
    <mergeCell ref="BQ89:BR89"/>
    <mergeCell ref="BU89:BZ89"/>
    <mergeCell ref="CA89:CM89"/>
    <mergeCell ref="CN89:CO89"/>
    <mergeCell ref="CS89:CX89"/>
    <mergeCell ref="CY89:DK89"/>
    <mergeCell ref="DL89:DM89"/>
    <mergeCell ref="DP89:DU89"/>
    <mergeCell ref="DV89:EH89"/>
    <mergeCell ref="EI89:EJ89"/>
    <mergeCell ref="EN89:ES89"/>
    <mergeCell ref="ET89:FF89"/>
    <mergeCell ref="FG89:FH89"/>
    <mergeCell ref="FK89:FP89"/>
    <mergeCell ref="FQ89:GC89"/>
    <mergeCell ref="GD89:GE89"/>
    <mergeCell ref="GI89:GN89"/>
    <mergeCell ref="GO89:HA89"/>
    <mergeCell ref="HB89:HC89"/>
    <mergeCell ref="HF89:HK89"/>
    <mergeCell ref="HL89:HX89"/>
    <mergeCell ref="HY89:HZ89"/>
    <mergeCell ref="C90:H90"/>
    <mergeCell ref="I90:U90"/>
    <mergeCell ref="V90:W90"/>
    <mergeCell ref="Z90:AE90"/>
    <mergeCell ref="AF90:AR90"/>
    <mergeCell ref="AS90:AT90"/>
    <mergeCell ref="AX90:BC90"/>
    <mergeCell ref="BD90:BP90"/>
    <mergeCell ref="BQ90:BR90"/>
    <mergeCell ref="BU90:BZ90"/>
    <mergeCell ref="CA90:CM90"/>
    <mergeCell ref="CN90:CO90"/>
    <mergeCell ref="CS90:CX90"/>
    <mergeCell ref="CY90:DK90"/>
    <mergeCell ref="DL90:DM90"/>
    <mergeCell ref="DP90:DU90"/>
    <mergeCell ref="DV90:EH90"/>
    <mergeCell ref="EI90:EJ90"/>
    <mergeCell ref="EN90:ES90"/>
    <mergeCell ref="ET90:FF90"/>
    <mergeCell ref="FG90:FH90"/>
    <mergeCell ref="FK90:FP90"/>
    <mergeCell ref="FQ90:GC90"/>
    <mergeCell ref="GD90:GE90"/>
    <mergeCell ref="GI90:GN90"/>
    <mergeCell ref="GO90:HA90"/>
    <mergeCell ref="HB90:HC90"/>
    <mergeCell ref="HF90:HK90"/>
    <mergeCell ref="HL90:HX90"/>
    <mergeCell ref="HY90:HZ90"/>
    <mergeCell ref="C91:H91"/>
    <mergeCell ref="I91:U91"/>
    <mergeCell ref="V91:W91"/>
    <mergeCell ref="Z91:AE91"/>
    <mergeCell ref="AF91:AR91"/>
    <mergeCell ref="AS91:AT91"/>
    <mergeCell ref="AX91:BC91"/>
    <mergeCell ref="BD91:BP91"/>
    <mergeCell ref="BQ91:BR91"/>
    <mergeCell ref="BU91:BZ91"/>
    <mergeCell ref="CA91:CM91"/>
    <mergeCell ref="CN91:CO91"/>
    <mergeCell ref="CS91:CX91"/>
    <mergeCell ref="CY91:DK91"/>
    <mergeCell ref="DL91:DM91"/>
    <mergeCell ref="DP91:DU91"/>
    <mergeCell ref="DV91:EH91"/>
    <mergeCell ref="EI91:EJ91"/>
    <mergeCell ref="EN91:ES91"/>
    <mergeCell ref="ET91:FF91"/>
    <mergeCell ref="FG91:FH91"/>
    <mergeCell ref="FK91:FP91"/>
    <mergeCell ref="FQ91:GC91"/>
    <mergeCell ref="GD91:GE91"/>
    <mergeCell ref="GI91:GN91"/>
    <mergeCell ref="GO91:HA91"/>
    <mergeCell ref="HB91:HC91"/>
    <mergeCell ref="HF91:HK91"/>
    <mergeCell ref="HL91:HX91"/>
    <mergeCell ref="HY91:HZ91"/>
    <mergeCell ref="C92:H92"/>
    <mergeCell ref="I92:U92"/>
    <mergeCell ref="V92:W92"/>
    <mergeCell ref="Z92:AE92"/>
    <mergeCell ref="AF92:AR92"/>
    <mergeCell ref="AS92:AT92"/>
    <mergeCell ref="AX92:BC92"/>
    <mergeCell ref="BD92:BP92"/>
    <mergeCell ref="BQ92:BR92"/>
    <mergeCell ref="BU92:BZ92"/>
    <mergeCell ref="CA92:CM92"/>
    <mergeCell ref="CN92:CO92"/>
    <mergeCell ref="CS92:CX92"/>
    <mergeCell ref="CY92:DK92"/>
    <mergeCell ref="DL92:DM92"/>
    <mergeCell ref="DP92:DU92"/>
    <mergeCell ref="DV92:EH92"/>
    <mergeCell ref="EI92:EJ92"/>
    <mergeCell ref="EN92:ES92"/>
    <mergeCell ref="ET92:FF92"/>
    <mergeCell ref="FG92:FH92"/>
    <mergeCell ref="FK92:FP92"/>
    <mergeCell ref="FQ92:GC92"/>
    <mergeCell ref="GD92:GE92"/>
    <mergeCell ref="GI92:GN92"/>
    <mergeCell ref="GO92:HA92"/>
    <mergeCell ref="HB92:HC92"/>
    <mergeCell ref="HF92:HK92"/>
    <mergeCell ref="HL92:HX92"/>
    <mergeCell ref="HY92:HZ92"/>
    <mergeCell ref="C93:H93"/>
    <mergeCell ref="I93:U93"/>
    <mergeCell ref="V93:W93"/>
    <mergeCell ref="Z93:AE93"/>
    <mergeCell ref="AF93:AR93"/>
    <mergeCell ref="AS93:AT93"/>
    <mergeCell ref="AX93:BC93"/>
    <mergeCell ref="BD93:BP93"/>
    <mergeCell ref="BQ93:BR93"/>
    <mergeCell ref="BU93:BZ93"/>
    <mergeCell ref="CA93:CM93"/>
    <mergeCell ref="CN93:CO93"/>
    <mergeCell ref="CS93:CX93"/>
    <mergeCell ref="CY93:DK93"/>
    <mergeCell ref="DL93:DM93"/>
    <mergeCell ref="DP93:DU93"/>
    <mergeCell ref="DV93:EH93"/>
    <mergeCell ref="EI93:EJ93"/>
    <mergeCell ref="EN93:ES93"/>
    <mergeCell ref="ET93:FF93"/>
    <mergeCell ref="FG93:FH93"/>
    <mergeCell ref="FK93:FP93"/>
    <mergeCell ref="FQ93:GC93"/>
    <mergeCell ref="GD93:GE93"/>
    <mergeCell ref="GI93:GN93"/>
    <mergeCell ref="GO93:HA93"/>
    <mergeCell ref="HB93:HC93"/>
    <mergeCell ref="HF93:HK93"/>
    <mergeCell ref="HL93:HX93"/>
    <mergeCell ref="HY93:HZ93"/>
    <mergeCell ref="C94:H94"/>
    <mergeCell ref="I94:U94"/>
    <mergeCell ref="V94:W94"/>
    <mergeCell ref="Z94:AE94"/>
    <mergeCell ref="AF94:AR94"/>
    <mergeCell ref="AS94:AT94"/>
    <mergeCell ref="AX94:BC94"/>
    <mergeCell ref="BD94:BP94"/>
    <mergeCell ref="BQ94:BR94"/>
    <mergeCell ref="BU94:BZ94"/>
    <mergeCell ref="CA94:CM94"/>
    <mergeCell ref="CN94:CO94"/>
    <mergeCell ref="CS94:CX94"/>
    <mergeCell ref="CY94:DK94"/>
    <mergeCell ref="DL94:DM94"/>
    <mergeCell ref="DP94:DU94"/>
    <mergeCell ref="DV94:EH94"/>
    <mergeCell ref="EI94:EJ94"/>
    <mergeCell ref="EN94:ES94"/>
    <mergeCell ref="ET94:FF94"/>
    <mergeCell ref="FG94:FH94"/>
    <mergeCell ref="FK94:FP94"/>
    <mergeCell ref="FQ94:GC94"/>
    <mergeCell ref="GD94:GE94"/>
    <mergeCell ref="GI94:GN94"/>
    <mergeCell ref="GO94:HA94"/>
    <mergeCell ref="HB94:HC94"/>
    <mergeCell ref="HF94:HK94"/>
    <mergeCell ref="HL94:HX94"/>
    <mergeCell ref="HY94:HZ94"/>
    <mergeCell ref="C95:H95"/>
    <mergeCell ref="I95:U95"/>
    <mergeCell ref="V95:W95"/>
    <mergeCell ref="Z95:AE95"/>
    <mergeCell ref="AF95:AR95"/>
    <mergeCell ref="AS95:AT95"/>
    <mergeCell ref="AX95:BC95"/>
    <mergeCell ref="BD95:BP95"/>
    <mergeCell ref="BQ95:BR95"/>
    <mergeCell ref="BU95:BZ95"/>
    <mergeCell ref="CA95:CM95"/>
    <mergeCell ref="CN95:CO95"/>
    <mergeCell ref="CS95:CX95"/>
    <mergeCell ref="CY95:DK95"/>
    <mergeCell ref="DL95:DM95"/>
    <mergeCell ref="DP95:DU95"/>
    <mergeCell ref="DV95:EH95"/>
    <mergeCell ref="EI95:EJ95"/>
    <mergeCell ref="EN95:ES95"/>
    <mergeCell ref="ET95:FF95"/>
    <mergeCell ref="FG95:FH95"/>
    <mergeCell ref="FK95:FP95"/>
    <mergeCell ref="FQ95:GC95"/>
    <mergeCell ref="GD95:GE95"/>
    <mergeCell ref="GI95:GN95"/>
    <mergeCell ref="GO95:HA95"/>
    <mergeCell ref="HB95:HC95"/>
    <mergeCell ref="HF95:HK95"/>
    <mergeCell ref="HL95:HX95"/>
    <mergeCell ref="HY95:HZ95"/>
    <mergeCell ref="C96:H96"/>
    <mergeCell ref="I96:U96"/>
    <mergeCell ref="V96:W96"/>
    <mergeCell ref="Z96:AE96"/>
    <mergeCell ref="AF96:AR96"/>
    <mergeCell ref="AS96:AT96"/>
    <mergeCell ref="AX96:BC96"/>
    <mergeCell ref="BD96:BP96"/>
    <mergeCell ref="BQ96:BR96"/>
    <mergeCell ref="BU96:BZ96"/>
    <mergeCell ref="CA96:CM96"/>
    <mergeCell ref="CN96:CO96"/>
    <mergeCell ref="CS96:CX96"/>
    <mergeCell ref="CY96:DK96"/>
    <mergeCell ref="DL96:DM96"/>
    <mergeCell ref="DP96:DU96"/>
    <mergeCell ref="DV96:EH96"/>
    <mergeCell ref="EI96:EJ96"/>
    <mergeCell ref="EN96:ES96"/>
    <mergeCell ref="ET96:FF96"/>
    <mergeCell ref="FG96:FH96"/>
    <mergeCell ref="FK96:FP96"/>
    <mergeCell ref="FQ96:GC96"/>
    <mergeCell ref="GD96:GE96"/>
    <mergeCell ref="GI96:GN96"/>
    <mergeCell ref="GO96:HA96"/>
    <mergeCell ref="HB96:HC96"/>
    <mergeCell ref="HF96:HK96"/>
    <mergeCell ref="HL96:HX96"/>
    <mergeCell ref="HY96:HZ96"/>
    <mergeCell ref="C97:H97"/>
    <mergeCell ref="I97:U97"/>
    <mergeCell ref="V97:W97"/>
    <mergeCell ref="Z97:AE97"/>
    <mergeCell ref="AF97:AR97"/>
    <mergeCell ref="AS97:AT97"/>
    <mergeCell ref="AX97:BC97"/>
    <mergeCell ref="BD97:BP97"/>
    <mergeCell ref="BQ97:BR97"/>
    <mergeCell ref="BU97:BZ97"/>
    <mergeCell ref="CA97:CM97"/>
    <mergeCell ref="CN97:CO97"/>
    <mergeCell ref="CS97:CX97"/>
    <mergeCell ref="CY97:DK97"/>
    <mergeCell ref="DL97:DM97"/>
    <mergeCell ref="DP97:DU97"/>
    <mergeCell ref="DV97:EH97"/>
    <mergeCell ref="EI97:EJ97"/>
    <mergeCell ref="EN97:ES97"/>
    <mergeCell ref="ET97:FF97"/>
    <mergeCell ref="FG97:FH97"/>
    <mergeCell ref="FK97:FP97"/>
    <mergeCell ref="FQ97:GC97"/>
    <mergeCell ref="GD97:GE97"/>
    <mergeCell ref="GI97:GN97"/>
    <mergeCell ref="GO97:HA97"/>
    <mergeCell ref="HB97:HC97"/>
    <mergeCell ref="HF97:HK97"/>
    <mergeCell ref="HL97:HX97"/>
    <mergeCell ref="HY97:HZ97"/>
    <mergeCell ref="C98:H98"/>
    <mergeCell ref="I98:U98"/>
    <mergeCell ref="V98:W98"/>
    <mergeCell ref="Z98:AE98"/>
    <mergeCell ref="AF98:AR98"/>
    <mergeCell ref="AS98:AT98"/>
    <mergeCell ref="AX98:BC98"/>
    <mergeCell ref="BD98:BP98"/>
    <mergeCell ref="BQ98:BR98"/>
    <mergeCell ref="BU98:BZ98"/>
    <mergeCell ref="CA98:CM98"/>
    <mergeCell ref="CN98:CO98"/>
    <mergeCell ref="CS98:CX98"/>
    <mergeCell ref="CY98:DK98"/>
    <mergeCell ref="DL98:DM98"/>
    <mergeCell ref="DP98:DU98"/>
    <mergeCell ref="DV98:EH98"/>
    <mergeCell ref="EI98:EJ98"/>
    <mergeCell ref="EN98:ES98"/>
    <mergeCell ref="ET98:FF98"/>
    <mergeCell ref="FG98:FH98"/>
    <mergeCell ref="FK98:FP98"/>
    <mergeCell ref="FQ98:GC98"/>
    <mergeCell ref="GD98:GE98"/>
    <mergeCell ref="GI98:GN98"/>
    <mergeCell ref="GO98:HA98"/>
    <mergeCell ref="HB98:HC98"/>
    <mergeCell ref="HF98:HK98"/>
    <mergeCell ref="HL98:HX98"/>
    <mergeCell ref="HY98:HZ98"/>
    <mergeCell ref="C99:H99"/>
    <mergeCell ref="I99:U99"/>
    <mergeCell ref="V99:W99"/>
    <mergeCell ref="Z99:AE99"/>
    <mergeCell ref="AF99:AR99"/>
    <mergeCell ref="AS99:AT99"/>
    <mergeCell ref="AX99:BC99"/>
    <mergeCell ref="BD99:BP99"/>
    <mergeCell ref="BQ99:BR99"/>
    <mergeCell ref="BU99:BZ99"/>
    <mergeCell ref="CA99:CM99"/>
    <mergeCell ref="CN99:CO99"/>
    <mergeCell ref="CS99:CX99"/>
    <mergeCell ref="CY99:DK99"/>
    <mergeCell ref="DL99:DM99"/>
    <mergeCell ref="DP99:DU99"/>
    <mergeCell ref="DV99:EH99"/>
    <mergeCell ref="EI99:EJ99"/>
    <mergeCell ref="EN99:ES99"/>
    <mergeCell ref="ET99:FF99"/>
    <mergeCell ref="FG99:FH99"/>
    <mergeCell ref="FK99:FP99"/>
    <mergeCell ref="FQ99:GC99"/>
    <mergeCell ref="GD99:GE99"/>
    <mergeCell ref="GI99:GN99"/>
    <mergeCell ref="GO99:HA99"/>
    <mergeCell ref="HB99:HC99"/>
    <mergeCell ref="HF99:HK99"/>
    <mergeCell ref="HL99:HX99"/>
    <mergeCell ref="HY99:HZ99"/>
    <mergeCell ref="C100:H100"/>
    <mergeCell ref="I100:U100"/>
    <mergeCell ref="V100:W100"/>
    <mergeCell ref="Z100:AE100"/>
    <mergeCell ref="AF100:AR100"/>
    <mergeCell ref="AS100:AT100"/>
    <mergeCell ref="AX100:BC100"/>
    <mergeCell ref="BD100:BP100"/>
    <mergeCell ref="BQ100:BR100"/>
    <mergeCell ref="BU100:BZ100"/>
    <mergeCell ref="CA100:CM100"/>
    <mergeCell ref="CN100:CO100"/>
    <mergeCell ref="CS100:CX100"/>
    <mergeCell ref="CY100:DK100"/>
    <mergeCell ref="DL100:DM100"/>
    <mergeCell ref="DP100:DU100"/>
    <mergeCell ref="DV100:EH100"/>
    <mergeCell ref="EI100:EJ100"/>
    <mergeCell ref="EN100:ES100"/>
    <mergeCell ref="ET100:FF100"/>
    <mergeCell ref="FG100:FH100"/>
    <mergeCell ref="FK100:FP100"/>
    <mergeCell ref="FQ100:GC100"/>
    <mergeCell ref="GD100:GE100"/>
    <mergeCell ref="GI100:GN100"/>
    <mergeCell ref="GO100:HA100"/>
    <mergeCell ref="HB100:HC100"/>
    <mergeCell ref="HF100:HK100"/>
    <mergeCell ref="HL100:HX100"/>
    <mergeCell ref="HY100:HZ100"/>
    <mergeCell ref="C101:H101"/>
    <mergeCell ref="I101:U101"/>
    <mergeCell ref="V101:W101"/>
    <mergeCell ref="Z101:AE101"/>
    <mergeCell ref="AF101:AR101"/>
    <mergeCell ref="AS101:AT101"/>
    <mergeCell ref="AX101:BC101"/>
    <mergeCell ref="BD101:BP101"/>
    <mergeCell ref="BQ101:BR101"/>
    <mergeCell ref="BU101:BZ101"/>
    <mergeCell ref="CA101:CM101"/>
    <mergeCell ref="CN101:CO101"/>
    <mergeCell ref="CS101:CX101"/>
    <mergeCell ref="CY101:DK101"/>
    <mergeCell ref="DL101:DM101"/>
    <mergeCell ref="DP101:DU101"/>
    <mergeCell ref="DV101:EH101"/>
    <mergeCell ref="EI101:EJ101"/>
    <mergeCell ref="EN101:ES101"/>
    <mergeCell ref="ET101:FF101"/>
    <mergeCell ref="FG101:FH101"/>
    <mergeCell ref="FK101:FP101"/>
    <mergeCell ref="FQ101:GC101"/>
    <mergeCell ref="GD101:GE101"/>
    <mergeCell ref="GI101:GN101"/>
    <mergeCell ref="GO101:HA101"/>
    <mergeCell ref="HB101:HC101"/>
    <mergeCell ref="HF101:HK101"/>
    <mergeCell ref="HL101:HX101"/>
    <mergeCell ref="HY101:HZ101"/>
    <mergeCell ref="C102:H102"/>
    <mergeCell ref="I102:U102"/>
    <mergeCell ref="V102:W102"/>
    <mergeCell ref="Z102:AE102"/>
    <mergeCell ref="AF102:AR102"/>
    <mergeCell ref="AS102:AT102"/>
    <mergeCell ref="AX102:BC102"/>
    <mergeCell ref="BD102:BP102"/>
    <mergeCell ref="BQ102:BR102"/>
    <mergeCell ref="BU102:BZ102"/>
    <mergeCell ref="CA102:CM102"/>
    <mergeCell ref="CN102:CO102"/>
    <mergeCell ref="CS102:CX102"/>
    <mergeCell ref="CY102:DK102"/>
    <mergeCell ref="DL102:DM102"/>
    <mergeCell ref="DP102:DU102"/>
    <mergeCell ref="DV102:EH102"/>
    <mergeCell ref="EI102:EJ102"/>
    <mergeCell ref="EN102:ES102"/>
    <mergeCell ref="ET102:FF102"/>
    <mergeCell ref="FG102:FH102"/>
    <mergeCell ref="FK102:FP102"/>
    <mergeCell ref="FQ102:GC102"/>
    <mergeCell ref="GD102:GE102"/>
    <mergeCell ref="GI102:GN102"/>
    <mergeCell ref="GO102:HA102"/>
    <mergeCell ref="HB102:HC102"/>
    <mergeCell ref="HF102:HK102"/>
    <mergeCell ref="HL102:HX102"/>
    <mergeCell ref="HY102:HZ102"/>
    <mergeCell ref="C103:H103"/>
    <mergeCell ref="I103:U103"/>
    <mergeCell ref="V103:W103"/>
    <mergeCell ref="Z103:AE103"/>
    <mergeCell ref="AF103:AR103"/>
    <mergeCell ref="AS103:AT103"/>
    <mergeCell ref="AX103:BC103"/>
    <mergeCell ref="BD103:BP103"/>
    <mergeCell ref="BQ103:BR103"/>
    <mergeCell ref="BU103:BZ103"/>
    <mergeCell ref="CA103:CM103"/>
    <mergeCell ref="CN103:CO103"/>
    <mergeCell ref="CS103:CX103"/>
    <mergeCell ref="CY103:DK103"/>
    <mergeCell ref="DL103:DM103"/>
    <mergeCell ref="DP103:DU103"/>
    <mergeCell ref="DV103:EH103"/>
    <mergeCell ref="EI103:EJ103"/>
    <mergeCell ref="EN103:ES103"/>
    <mergeCell ref="ET103:FF103"/>
    <mergeCell ref="FG103:FH103"/>
    <mergeCell ref="FK103:FP103"/>
    <mergeCell ref="FQ103:GC103"/>
    <mergeCell ref="GD103:GE103"/>
    <mergeCell ref="GI103:GN103"/>
    <mergeCell ref="GO103:HA103"/>
    <mergeCell ref="HB103:HC103"/>
    <mergeCell ref="HF103:HK103"/>
    <mergeCell ref="HL103:HX103"/>
    <mergeCell ref="HY103:HZ103"/>
    <mergeCell ref="C104:H104"/>
    <mergeCell ref="I104:U104"/>
    <mergeCell ref="V104:W104"/>
    <mergeCell ref="Z104:AE104"/>
    <mergeCell ref="AF104:AR104"/>
    <mergeCell ref="AS104:AT104"/>
    <mergeCell ref="AX104:BC104"/>
    <mergeCell ref="BD104:BP104"/>
    <mergeCell ref="BQ104:BR104"/>
    <mergeCell ref="BU104:BZ104"/>
    <mergeCell ref="CA104:CM104"/>
    <mergeCell ref="CN104:CO104"/>
    <mergeCell ref="CS104:CX104"/>
    <mergeCell ref="CY104:DK104"/>
    <mergeCell ref="DL104:DM104"/>
    <mergeCell ref="DP104:DU104"/>
    <mergeCell ref="DV104:EH104"/>
    <mergeCell ref="EI104:EJ104"/>
    <mergeCell ref="EN104:ES104"/>
    <mergeCell ref="ET104:FF104"/>
    <mergeCell ref="FG104:FH104"/>
    <mergeCell ref="FK104:FP104"/>
    <mergeCell ref="FQ104:GC104"/>
    <mergeCell ref="GD104:GE104"/>
    <mergeCell ref="GI104:GN104"/>
    <mergeCell ref="GO104:HA104"/>
    <mergeCell ref="HB104:HC104"/>
    <mergeCell ref="HF104:HK104"/>
    <mergeCell ref="HL104:HX104"/>
    <mergeCell ref="HY104:HZ104"/>
    <mergeCell ref="C105:H105"/>
    <mergeCell ref="I105:U105"/>
    <mergeCell ref="V105:W105"/>
    <mergeCell ref="Z105:AE105"/>
    <mergeCell ref="AF105:AR105"/>
    <mergeCell ref="AS105:AT105"/>
    <mergeCell ref="AX105:BC105"/>
    <mergeCell ref="BD105:BP105"/>
    <mergeCell ref="BQ105:BR105"/>
    <mergeCell ref="BU105:BZ105"/>
    <mergeCell ref="CA105:CM105"/>
    <mergeCell ref="CN105:CO105"/>
    <mergeCell ref="CS105:CX105"/>
    <mergeCell ref="CY105:DK105"/>
    <mergeCell ref="DL105:DM105"/>
    <mergeCell ref="DP105:DU105"/>
    <mergeCell ref="DV105:EH105"/>
    <mergeCell ref="EI105:EJ105"/>
    <mergeCell ref="EN105:ES105"/>
    <mergeCell ref="ET105:FF105"/>
    <mergeCell ref="FG105:FH105"/>
    <mergeCell ref="FK105:FP105"/>
    <mergeCell ref="FQ105:GC105"/>
    <mergeCell ref="GD105:GE105"/>
    <mergeCell ref="GI105:GN105"/>
    <mergeCell ref="GO105:HA105"/>
    <mergeCell ref="HB105:HC105"/>
    <mergeCell ref="HF105:HK105"/>
    <mergeCell ref="HL105:HX105"/>
    <mergeCell ref="HY105:HZ105"/>
    <mergeCell ref="C106:H106"/>
    <mergeCell ref="I106:U106"/>
    <mergeCell ref="V106:W106"/>
    <mergeCell ref="Z106:AE106"/>
    <mergeCell ref="AF106:AR106"/>
    <mergeCell ref="AS106:AT106"/>
    <mergeCell ref="AX106:BC106"/>
    <mergeCell ref="BD106:BP106"/>
    <mergeCell ref="BQ106:BR106"/>
    <mergeCell ref="BU106:BZ106"/>
    <mergeCell ref="CA106:CM106"/>
    <mergeCell ref="CN106:CO106"/>
    <mergeCell ref="CS106:CX106"/>
    <mergeCell ref="CY106:DK106"/>
    <mergeCell ref="DL106:DM106"/>
    <mergeCell ref="DP106:DU106"/>
    <mergeCell ref="DV106:EH106"/>
    <mergeCell ref="EI106:EJ106"/>
    <mergeCell ref="EN106:ES106"/>
    <mergeCell ref="ET106:FF106"/>
    <mergeCell ref="FG106:FH106"/>
    <mergeCell ref="FK106:FP106"/>
    <mergeCell ref="FQ106:GC106"/>
    <mergeCell ref="GD106:GE106"/>
    <mergeCell ref="GI106:GN106"/>
    <mergeCell ref="GO106:HA106"/>
    <mergeCell ref="HB106:HC106"/>
    <mergeCell ref="HF106:HK106"/>
    <mergeCell ref="HL106:HX106"/>
    <mergeCell ref="HY106:HZ106"/>
    <mergeCell ref="C107:H107"/>
    <mergeCell ref="I107:U107"/>
    <mergeCell ref="V107:W107"/>
    <mergeCell ref="Z107:AE107"/>
    <mergeCell ref="AF107:AR107"/>
    <mergeCell ref="AS107:AT107"/>
    <mergeCell ref="AX107:BC107"/>
    <mergeCell ref="BD107:BP107"/>
    <mergeCell ref="BQ107:BR107"/>
    <mergeCell ref="BU107:BZ107"/>
    <mergeCell ref="CA107:CM107"/>
    <mergeCell ref="CN107:CO107"/>
    <mergeCell ref="CS107:CX107"/>
    <mergeCell ref="CY107:DK107"/>
    <mergeCell ref="DL107:DM107"/>
    <mergeCell ref="DP107:DU107"/>
    <mergeCell ref="DV107:EH107"/>
    <mergeCell ref="EI107:EJ107"/>
    <mergeCell ref="EN107:ES107"/>
    <mergeCell ref="ET107:FF107"/>
    <mergeCell ref="FG107:FH107"/>
    <mergeCell ref="FK107:FP107"/>
    <mergeCell ref="FQ107:GC107"/>
    <mergeCell ref="GD107:GE107"/>
    <mergeCell ref="GI107:GN107"/>
    <mergeCell ref="GO107:HA107"/>
    <mergeCell ref="HB107:HC107"/>
    <mergeCell ref="HF107:HK107"/>
    <mergeCell ref="HL107:HX107"/>
    <mergeCell ref="HY107:HZ107"/>
    <mergeCell ref="C108:H108"/>
    <mergeCell ref="I108:U108"/>
    <mergeCell ref="V108:W108"/>
    <mergeCell ref="Z108:AE108"/>
    <mergeCell ref="AF108:AR108"/>
    <mergeCell ref="AS108:AT108"/>
    <mergeCell ref="AX108:BC108"/>
    <mergeCell ref="BD108:BP108"/>
    <mergeCell ref="BQ108:BR108"/>
    <mergeCell ref="BU108:BZ108"/>
    <mergeCell ref="CA108:CM108"/>
    <mergeCell ref="CN108:CO108"/>
    <mergeCell ref="CS108:CX108"/>
    <mergeCell ref="CY108:DK108"/>
    <mergeCell ref="DL108:DM108"/>
    <mergeCell ref="DP108:DU108"/>
    <mergeCell ref="DV108:EH108"/>
    <mergeCell ref="EI108:EJ108"/>
    <mergeCell ref="EN108:ES108"/>
    <mergeCell ref="ET108:FF108"/>
    <mergeCell ref="FG108:FH108"/>
    <mergeCell ref="FK108:FP108"/>
    <mergeCell ref="FQ108:GC108"/>
    <mergeCell ref="GD108:GE108"/>
    <mergeCell ref="GI108:GN108"/>
    <mergeCell ref="GO108:HA108"/>
    <mergeCell ref="HB108:HC108"/>
    <mergeCell ref="HF108:HK108"/>
    <mergeCell ref="HL108:HX108"/>
    <mergeCell ref="HY108:HZ108"/>
    <mergeCell ref="C109:H109"/>
    <mergeCell ref="I109:U109"/>
    <mergeCell ref="V109:W109"/>
    <mergeCell ref="Z109:AE109"/>
    <mergeCell ref="AF109:AR109"/>
    <mergeCell ref="AS109:AT109"/>
    <mergeCell ref="AX109:BC109"/>
    <mergeCell ref="BD109:BP109"/>
    <mergeCell ref="BQ109:BR109"/>
    <mergeCell ref="BU109:BZ109"/>
    <mergeCell ref="CA109:CM109"/>
    <mergeCell ref="CN109:CO109"/>
    <mergeCell ref="CS109:CX109"/>
    <mergeCell ref="CY109:DK109"/>
    <mergeCell ref="DL109:DM109"/>
    <mergeCell ref="DP109:DU109"/>
    <mergeCell ref="DV109:EH109"/>
    <mergeCell ref="EI109:EJ109"/>
    <mergeCell ref="EN109:ES109"/>
    <mergeCell ref="ET109:FF109"/>
    <mergeCell ref="FG109:FH109"/>
    <mergeCell ref="FK109:FP109"/>
    <mergeCell ref="FQ109:GC109"/>
    <mergeCell ref="GD109:GE109"/>
    <mergeCell ref="GI109:GN109"/>
    <mergeCell ref="GO109:HA109"/>
    <mergeCell ref="HB109:HC109"/>
    <mergeCell ref="HF109:HK109"/>
    <mergeCell ref="HL109:HX109"/>
    <mergeCell ref="HY109:HZ109"/>
    <mergeCell ref="C110:H110"/>
    <mergeCell ref="I110:U110"/>
    <mergeCell ref="V110:W110"/>
    <mergeCell ref="Z110:AE110"/>
    <mergeCell ref="AF110:AR110"/>
    <mergeCell ref="AS110:AT110"/>
    <mergeCell ref="AX110:BC110"/>
    <mergeCell ref="BD110:BP110"/>
    <mergeCell ref="BQ110:BR110"/>
    <mergeCell ref="BU110:BZ110"/>
    <mergeCell ref="CA110:CM110"/>
    <mergeCell ref="CN110:CO110"/>
    <mergeCell ref="CS110:CX110"/>
    <mergeCell ref="CY110:DK110"/>
    <mergeCell ref="DL110:DM110"/>
    <mergeCell ref="DP110:DU110"/>
    <mergeCell ref="DV110:EH110"/>
    <mergeCell ref="EI110:EJ110"/>
    <mergeCell ref="EN110:ES110"/>
    <mergeCell ref="ET110:FF110"/>
    <mergeCell ref="FG110:FH110"/>
    <mergeCell ref="FK110:FP110"/>
    <mergeCell ref="FQ110:GC110"/>
    <mergeCell ref="GD110:GE110"/>
    <mergeCell ref="GI110:GN110"/>
    <mergeCell ref="GO110:HA110"/>
    <mergeCell ref="HB110:HC110"/>
    <mergeCell ref="HF110:HK110"/>
    <mergeCell ref="HL110:HX110"/>
    <mergeCell ref="HY110:HZ110"/>
  </mergeCells>
  <pageMargins left="0.7" right="0.7" top="0.75" bottom="0.75" header="0.3" footer="0.3"/>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3" master="" otherUserPermission="visible"/>
  <rangeList sheetStid="8" master="" otherUserPermission="visible"/>
  <rangeList sheetStid="36" master="" otherUserPermission="visible"/>
  <rangeList sheetStid="23" master="" otherUserPermission="visible"/>
  <rangeList sheetStid="29" master="" otherUserPermission="visible"/>
  <rangeList sheetStid="31" master="" otherUserPermission="visible"/>
  <rangeList sheetStid="30" master="" otherUserPermission="visible"/>
  <rangeList sheetStid="32" master="" otherUserPermission="visible"/>
  <rangeList sheetStid="34" master="" otherUserPermission="visible"/>
  <rangeList sheetStid="39" master="" otherUserPermission="visible"/>
  <rangeList sheetStid="43" master="" otherUserPermission="visible"/>
  <rangeList sheetStid="42" master="" otherUserPermission="visible"/>
  <rangeList sheetStid="40" master="" otherUserPermission="visible"/>
  <rangeList sheetStid="4" master="" otherUserPermission="visible"/>
  <rangeList sheetStid="5" master="" otherUserPermission="visible"/>
  <rangeList sheetStid="21" master="" otherUserPermission="visible">
    <arrUserId title="区域3" rangeCreator="" othersAccessPermission="edit"/>
    <arrUserId title="区域2" rangeCreator="" othersAccessPermission="edit"/>
    <arrUserId title="区域1" rangeCreator="" othersAccessPermission="edit"/>
    <arrUserId title="区域1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背景</vt:lpstr>
      <vt:lpstr>主要</vt:lpstr>
      <vt:lpstr>背包</vt:lpstr>
      <vt:lpstr>法术书</vt:lpstr>
      <vt:lpstr>综合数据</vt:lpstr>
      <vt:lpstr>种族数据</vt:lpstr>
      <vt:lpstr>职业数据</vt:lpstr>
      <vt:lpstr>装备数据</vt:lpstr>
      <vt:lpstr>背景数据</vt:lpstr>
      <vt:lpstr>专长数据</vt:lpstr>
      <vt:lpstr>法术数据</vt:lpstr>
      <vt:lpstr>赠礼数据</vt:lpstr>
      <vt:lpstr>法术查询</vt:lpstr>
      <vt:lpstr>计算器</vt:lpstr>
      <vt:lpstr> </vt:lpstr>
      <vt:lpstr>额外法术</vt:lpstr>
      <vt:lpstr>盟友</vt:lpstr>
      <vt:lpstr>据点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WPS_1726061710</cp:lastModifiedBy>
  <dcterms:created xsi:type="dcterms:W3CDTF">2018-02-27T11:14:00Z</dcterms:created>
  <dcterms:modified xsi:type="dcterms:W3CDTF">2026-05-02T12:54:05Z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KSOReadingLayout">
    <vt:bool>false</vt:bool>
  </property>
  <property fmtid="{D5CDD505-2E9C-101B-9397-08002B2CF9AE}" pid="4" name="ICV">
    <vt:lpwstr>858CDF2A2FDD46F9AE30060E7C6B5676_12</vt:lpwstr>
  </property>
  <property fmtid="{D5CDD505-2E9C-101B-9397-08002B2CF9AE}" pid="5" name="CalculationRule">
    <vt:i4>0</vt:i4>
  </property>
</Properties>
</file>