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ntuedu-my.sharepoint.com/personal/karn001_e_ntu_edu_sg/Documents/CY1308/For Upload/Investigation-of-the-Slinky-Whistler-Effect/Preliminary Results/"/>
    </mc:Choice>
  </mc:AlternateContent>
  <xr:revisionPtr revIDLastSave="0" documentId="8_{D9981B5B-056A-4221-83D2-228E00BD0737}" xr6:coauthVersionLast="31" xr6:coauthVersionMax="31" xr10:uidLastSave="{00000000-0000-0000-0000-000000000000}"/>
  <bookViews>
    <workbookView xWindow="0" yWindow="0" windowWidth="23040" windowHeight="9072" xr2:uid="{568AF21D-A966-49F5-8AFC-A9F0CC371394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L9" i="1" l="1"/>
  <c r="BK9" i="1"/>
  <c r="BG9" i="1"/>
  <c r="BF9" i="1"/>
  <c r="BB9" i="1"/>
  <c r="BA9" i="1"/>
  <c r="AW9" i="1"/>
  <c r="AV9" i="1"/>
  <c r="AR9" i="1"/>
  <c r="AQ9" i="1"/>
  <c r="AM9" i="1"/>
  <c r="AL9" i="1"/>
  <c r="AH9" i="1"/>
  <c r="AG9" i="1"/>
  <c r="AC9" i="1"/>
  <c r="AB9" i="1"/>
  <c r="X9" i="1"/>
  <c r="W9" i="1"/>
  <c r="S9" i="1"/>
  <c r="R9" i="1"/>
  <c r="N9" i="1"/>
  <c r="M9" i="1"/>
  <c r="I9" i="1"/>
  <c r="H9" i="1"/>
  <c r="BL8" i="1"/>
  <c r="BL10" i="1" s="1"/>
  <c r="BK8" i="1"/>
  <c r="BK10" i="1" s="1"/>
  <c r="BG8" i="1"/>
  <c r="BG10" i="1" s="1"/>
  <c r="BF8" i="1"/>
  <c r="BF10" i="1" s="1"/>
  <c r="BB8" i="1"/>
  <c r="BB10" i="1" s="1"/>
  <c r="BA8" i="1"/>
  <c r="BA10" i="1" s="1"/>
  <c r="AW8" i="1"/>
  <c r="AW10" i="1" s="1"/>
  <c r="AV8" i="1"/>
  <c r="AV10" i="1" s="1"/>
  <c r="AR8" i="1"/>
  <c r="AR10" i="1" s="1"/>
  <c r="AQ8" i="1"/>
  <c r="AQ10" i="1" s="1"/>
  <c r="AM8" i="1"/>
  <c r="AM10" i="1" s="1"/>
  <c r="AL8" i="1"/>
  <c r="AL10" i="1" s="1"/>
  <c r="AH8" i="1"/>
  <c r="AH10" i="1" s="1"/>
  <c r="AG8" i="1"/>
  <c r="AG10" i="1" s="1"/>
  <c r="AC8" i="1"/>
  <c r="AC10" i="1" s="1"/>
  <c r="AB8" i="1"/>
  <c r="AB10" i="1" s="1"/>
  <c r="X8" i="1"/>
  <c r="X10" i="1" s="1"/>
  <c r="W8" i="1"/>
  <c r="W10" i="1" s="1"/>
  <c r="S8" i="1"/>
  <c r="S10" i="1" s="1"/>
  <c r="R8" i="1"/>
  <c r="R10" i="1" s="1"/>
  <c r="N8" i="1"/>
  <c r="N10" i="1" s="1"/>
  <c r="M8" i="1"/>
  <c r="M10" i="1" s="1"/>
  <c r="I8" i="1"/>
  <c r="I10" i="1" s="1"/>
  <c r="H8" i="1"/>
  <c r="H10" i="1" s="1"/>
  <c r="BL7" i="1"/>
  <c r="BK7" i="1"/>
  <c r="BG7" i="1"/>
  <c r="BF7" i="1"/>
  <c r="BB7" i="1"/>
  <c r="BA7" i="1"/>
  <c r="AW7" i="1"/>
  <c r="AV7" i="1"/>
  <c r="AR7" i="1"/>
  <c r="AQ7" i="1"/>
  <c r="AM7" i="1"/>
  <c r="AL7" i="1"/>
  <c r="AH7" i="1"/>
  <c r="AG7" i="1"/>
  <c r="AC7" i="1"/>
  <c r="AB7" i="1"/>
  <c r="X7" i="1"/>
  <c r="W7" i="1"/>
  <c r="S7" i="1"/>
  <c r="R7" i="1"/>
  <c r="N7" i="1"/>
  <c r="M7" i="1"/>
  <c r="I7" i="1"/>
  <c r="H7" i="1"/>
  <c r="BL6" i="1"/>
  <c r="BK6" i="1"/>
  <c r="BK12" i="1" s="1"/>
  <c r="BF6" i="1"/>
  <c r="BF12" i="1" s="1"/>
  <c r="BE6" i="1"/>
  <c r="BD6" i="1"/>
  <c r="BC6" i="1"/>
  <c r="BG6" i="1" s="1"/>
  <c r="AZ6" i="1"/>
  <c r="AY6" i="1"/>
  <c r="AX6" i="1"/>
  <c r="BB6" i="1" s="1"/>
  <c r="AU6" i="1"/>
  <c r="AT6" i="1"/>
  <c r="AS6" i="1"/>
  <c r="AW6" i="1" s="1"/>
  <c r="AP6" i="1"/>
  <c r="AO6" i="1"/>
  <c r="AN6" i="1"/>
  <c r="AR6" i="1" s="1"/>
  <c r="AM6" i="1"/>
  <c r="AK6" i="1"/>
  <c r="AJ6" i="1"/>
  <c r="AL6" i="1" s="1"/>
  <c r="AL12" i="1" s="1"/>
  <c r="AG6" i="1"/>
  <c r="AG12" i="1" s="1"/>
  <c r="AF6" i="1"/>
  <c r="AE6" i="1"/>
  <c r="AD6" i="1"/>
  <c r="AH6" i="1" s="1"/>
  <c r="AA6" i="1"/>
  <c r="Z6" i="1"/>
  <c r="Y6" i="1"/>
  <c r="AC6" i="1" s="1"/>
  <c r="V6" i="1"/>
  <c r="X6" i="1" s="1"/>
  <c r="U6" i="1"/>
  <c r="T6" i="1"/>
  <c r="W6" i="1" s="1"/>
  <c r="W12" i="1" s="1"/>
  <c r="Q6" i="1"/>
  <c r="P6" i="1"/>
  <c r="R6" i="1" s="1"/>
  <c r="R12" i="1" s="1"/>
  <c r="O6" i="1"/>
  <c r="S6" i="1" s="1"/>
  <c r="N6" i="1"/>
  <c r="L6" i="1"/>
  <c r="K6" i="1"/>
  <c r="J6" i="1"/>
  <c r="M6" i="1" s="1"/>
  <c r="M12" i="1" s="1"/>
  <c r="I6" i="1"/>
  <c r="G6" i="1"/>
  <c r="F6" i="1"/>
  <c r="H6" i="1" s="1"/>
  <c r="H12" i="1" s="1"/>
  <c r="E6" i="1"/>
  <c r="AN5" i="1"/>
  <c r="AG5" i="1"/>
  <c r="AB5" i="1"/>
  <c r="BK4" i="1"/>
  <c r="BK5" i="1" s="1"/>
  <c r="BH4" i="1"/>
  <c r="BF4" i="1"/>
  <c r="BF5" i="1" s="1"/>
  <c r="BC4" i="1"/>
  <c r="BC5" i="1" s="1"/>
  <c r="BG5" i="1" s="1"/>
  <c r="BA4" i="1"/>
  <c r="BA5" i="1" s="1"/>
  <c r="AX4" i="1"/>
  <c r="AX5" i="1" s="1"/>
  <c r="BB5" i="1" s="1"/>
  <c r="AV4" i="1"/>
  <c r="AV5" i="1" s="1"/>
  <c r="AS4" i="1"/>
  <c r="AQ4" i="1"/>
  <c r="AQ5" i="1" s="1"/>
  <c r="AN4" i="1"/>
  <c r="AR5" i="1" s="1"/>
  <c r="AL4" i="1"/>
  <c r="AL5" i="1" s="1"/>
  <c r="AI4" i="1"/>
  <c r="AG4" i="1"/>
  <c r="AD4" i="1"/>
  <c r="AD5" i="1" s="1"/>
  <c r="AB4" i="1"/>
  <c r="Y4" i="1"/>
  <c r="W4" i="1"/>
  <c r="W5" i="1" s="1"/>
  <c r="T4" i="1"/>
  <c r="R4" i="1"/>
  <c r="R5" i="1" s="1"/>
  <c r="O4" i="1"/>
  <c r="O5" i="1" s="1"/>
  <c r="S5" i="1" s="1"/>
  <c r="M4" i="1"/>
  <c r="M5" i="1" s="1"/>
  <c r="J4" i="1"/>
  <c r="J5" i="1" s="1"/>
  <c r="N5" i="1" s="1"/>
  <c r="H4" i="1"/>
  <c r="H5" i="1" s="1"/>
  <c r="E4" i="1"/>
  <c r="E5" i="1" s="1"/>
  <c r="AS5" i="1" l="1"/>
  <c r="AW5" i="1" s="1"/>
  <c r="T5" i="1"/>
  <c r="X5" i="1" s="1"/>
  <c r="AH5" i="1"/>
  <c r="BH5" i="1"/>
  <c r="BL5" i="1" s="1"/>
  <c r="AQ6" i="1"/>
  <c r="AQ12" i="1" s="1"/>
  <c r="I5" i="1"/>
  <c r="AI5" i="1"/>
  <c r="AM5" i="1" s="1"/>
  <c r="AB6" i="1"/>
  <c r="AB12" i="1" s="1"/>
  <c r="BA6" i="1"/>
  <c r="BA12" i="1" s="1"/>
  <c r="Y5" i="1"/>
  <c r="AC5" i="1" s="1"/>
  <c r="AV6" i="1"/>
  <c r="AV12" i="1" s="1"/>
</calcChain>
</file>

<file path=xl/sharedStrings.xml><?xml version="1.0" encoding="utf-8"?>
<sst xmlns="http://schemas.openxmlformats.org/spreadsheetml/2006/main" count="69" uniqueCount="43">
  <si>
    <t>MJ1</t>
  </si>
  <si>
    <t>MJ2</t>
  </si>
  <si>
    <t>MJ3</t>
  </si>
  <si>
    <t>MS1</t>
  </si>
  <si>
    <t>MS2</t>
  </si>
  <si>
    <t>MS3</t>
  </si>
  <si>
    <t>PJ1</t>
  </si>
  <si>
    <t>PJ2</t>
  </si>
  <si>
    <t>PJ3</t>
  </si>
  <si>
    <t>PS1</t>
  </si>
  <si>
    <t>PS2</t>
  </si>
  <si>
    <t>PS3</t>
  </si>
  <si>
    <t>Qty</t>
  </si>
  <si>
    <t>Unit</t>
  </si>
  <si>
    <t>Method/Instrument</t>
  </si>
  <si>
    <t>Precision</t>
  </si>
  <si>
    <t>AVG</t>
  </si>
  <si>
    <t>SD</t>
  </si>
  <si>
    <t>m</t>
  </si>
  <si>
    <t>g</t>
  </si>
  <si>
    <t>Electronic balance</t>
  </si>
  <si>
    <t>V</t>
  </si>
  <si>
    <t>cm3</t>
  </si>
  <si>
    <t>Fluid displacement</t>
  </si>
  <si>
    <t>rho</t>
  </si>
  <si>
    <t>g/cm3</t>
  </si>
  <si>
    <t>m/V</t>
  </si>
  <si>
    <t>d1</t>
  </si>
  <si>
    <t>mm</t>
  </si>
  <si>
    <t>Micrometer</t>
  </si>
  <si>
    <t xml:space="preserve"> </t>
  </si>
  <si>
    <t>d2</t>
  </si>
  <si>
    <t>(D2-D1)/4</t>
  </si>
  <si>
    <t>D1</t>
  </si>
  <si>
    <t>Vernier</t>
  </si>
  <si>
    <t>D2</t>
  </si>
  <si>
    <t>&lt;R&gt;</t>
  </si>
  <si>
    <t>cm</t>
  </si>
  <si>
    <t>(D1+D2)/4</t>
  </si>
  <si>
    <t>N</t>
  </si>
  <si>
    <t>-</t>
  </si>
  <si>
    <t>h0</t>
  </si>
  <si>
    <t>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</si>
</sst>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"/>
    <numFmt numFmtId="166" formatCode="0.00000000000000"/>
  </numFmts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5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right" vertical="center"/>
    </xf>
    <xf numFmtId="0" fontId="1" fillId="0" borderId="1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3" xfId="0" applyFont="1" applyBorder="1" applyAlignment="1">
      <alignment horizontal="right" vertical="center"/>
    </xf>
    <xf numFmtId="0" fontId="1" fillId="0" borderId="4" xfId="0" applyFont="1" applyBorder="1" applyAlignment="1">
      <alignment horizontal="right" vertical="center"/>
    </xf>
    <xf numFmtId="0" fontId="1" fillId="0" borderId="5" xfId="0" applyFont="1" applyBorder="1" applyAlignment="1">
      <alignment horizontal="right" vertical="center"/>
    </xf>
    <xf numFmtId="0" fontId="1" fillId="0" borderId="6" xfId="0" applyFont="1" applyBorder="1" applyAlignment="1">
      <alignment horizontal="center" vertical="center"/>
    </xf>
    <xf numFmtId="0" fontId="1" fillId="0" borderId="6" xfId="0" applyFont="1" applyBorder="1" applyAlignment="1">
      <alignment horizontal="center"/>
    </xf>
    <xf numFmtId="0" fontId="1" fillId="0" borderId="6" xfId="0" applyFont="1" applyBorder="1" applyAlignment="1">
      <alignment horizontal="right" vertical="center"/>
    </xf>
    <xf numFmtId="0" fontId="1" fillId="0" borderId="7" xfId="0" applyFont="1" applyBorder="1" applyAlignment="1">
      <alignment horizontal="right" vertical="center"/>
    </xf>
    <xf numFmtId="0" fontId="1" fillId="0" borderId="8" xfId="0" applyFont="1" applyBorder="1" applyAlignment="1">
      <alignment horizontal="right" vertical="center"/>
    </xf>
    <xf numFmtId="0" fontId="1" fillId="0" borderId="9" xfId="0" applyFont="1" applyBorder="1" applyAlignment="1">
      <alignment horizontal="right" vertical="center"/>
    </xf>
    <xf numFmtId="0" fontId="1" fillId="0" borderId="10" xfId="0" applyFont="1" applyBorder="1" applyAlignment="1">
      <alignment horizontal="right" vertical="center"/>
    </xf>
    <xf numFmtId="164" fontId="1" fillId="0" borderId="0" xfId="0" applyNumberFormat="1" applyFont="1" applyAlignment="1">
      <alignment horizontal="center" vertical="center"/>
    </xf>
    <xf numFmtId="164" fontId="1" fillId="0" borderId="0" xfId="0" applyNumberFormat="1" applyFont="1" applyAlignment="1">
      <alignment horizontal="center"/>
    </xf>
    <xf numFmtId="164" fontId="1" fillId="0" borderId="0" xfId="0" applyNumberFormat="1" applyFont="1" applyAlignment="1">
      <alignment horizontal="right" vertical="center"/>
    </xf>
    <xf numFmtId="164" fontId="1" fillId="0" borderId="11" xfId="0" applyNumberFormat="1" applyFont="1" applyBorder="1" applyAlignment="1">
      <alignment horizontal="right"/>
    </xf>
    <xf numFmtId="164" fontId="1" fillId="0" borderId="0" xfId="0" applyNumberFormat="1" applyFont="1" applyAlignment="1">
      <alignment horizontal="right"/>
    </xf>
    <xf numFmtId="164" fontId="1" fillId="0" borderId="12" xfId="0" applyNumberFormat="1" applyFont="1" applyBorder="1" applyAlignment="1">
      <alignment horizontal="right"/>
    </xf>
    <xf numFmtId="164" fontId="1" fillId="0" borderId="4" xfId="0" applyNumberFormat="1" applyFont="1" applyBorder="1" applyAlignment="1">
      <alignment horizontal="right"/>
    </xf>
    <xf numFmtId="164" fontId="1" fillId="0" borderId="2" xfId="0" applyNumberFormat="1" applyFont="1" applyBorder="1" applyAlignment="1">
      <alignment horizontal="right"/>
    </xf>
    <xf numFmtId="164" fontId="1" fillId="0" borderId="3" xfId="0" applyNumberFormat="1" applyFont="1" applyBorder="1" applyAlignment="1">
      <alignment horizontal="right"/>
    </xf>
    <xf numFmtId="0" fontId="1" fillId="0" borderId="0" xfId="0" applyFont="1" applyAlignment="1">
      <alignment horizontal="right"/>
    </xf>
    <xf numFmtId="165" fontId="1" fillId="0" borderId="0" xfId="0" applyNumberFormat="1" applyFont="1" applyAlignment="1">
      <alignment horizontal="center" vertical="center"/>
    </xf>
    <xf numFmtId="165" fontId="1" fillId="0" borderId="0" xfId="0" applyNumberFormat="1" applyFont="1" applyAlignment="1">
      <alignment horizontal="center"/>
    </xf>
    <xf numFmtId="165" fontId="1" fillId="0" borderId="0" xfId="0" applyNumberFormat="1" applyFont="1" applyAlignment="1">
      <alignment horizontal="right" vertical="center"/>
    </xf>
    <xf numFmtId="165" fontId="1" fillId="0" borderId="11" xfId="0" applyNumberFormat="1" applyFont="1" applyBorder="1" applyAlignment="1">
      <alignment horizontal="right"/>
    </xf>
    <xf numFmtId="165" fontId="1" fillId="0" borderId="0" xfId="0" applyNumberFormat="1" applyFont="1" applyAlignment="1">
      <alignment horizontal="right"/>
    </xf>
    <xf numFmtId="165" fontId="1" fillId="0" borderId="12" xfId="0" applyNumberFormat="1" applyFont="1" applyBorder="1" applyAlignment="1">
      <alignment horizontal="right"/>
    </xf>
    <xf numFmtId="165" fontId="1" fillId="0" borderId="13" xfId="0" applyNumberFormat="1" applyFont="1" applyBorder="1" applyAlignment="1">
      <alignment horizontal="right"/>
    </xf>
    <xf numFmtId="2" fontId="1" fillId="0" borderId="14" xfId="0" applyNumberFormat="1" applyFont="1" applyBorder="1" applyAlignment="1">
      <alignment horizontal="center" vertical="center"/>
    </xf>
    <xf numFmtId="2" fontId="1" fillId="0" borderId="14" xfId="0" applyNumberFormat="1" applyFont="1" applyBorder="1" applyAlignment="1">
      <alignment horizontal="center"/>
    </xf>
    <xf numFmtId="2" fontId="2" fillId="0" borderId="14" xfId="0" applyNumberFormat="1" applyFont="1" applyBorder="1" applyAlignment="1">
      <alignment horizontal="right" vertical="center"/>
    </xf>
    <xf numFmtId="2" fontId="1" fillId="0" borderId="15" xfId="0" applyNumberFormat="1" applyFont="1" applyBorder="1" applyAlignment="1">
      <alignment horizontal="right"/>
    </xf>
    <xf numFmtId="2" fontId="1" fillId="0" borderId="14" xfId="0" applyNumberFormat="1" applyFont="1" applyBorder="1" applyAlignment="1">
      <alignment horizontal="right"/>
    </xf>
    <xf numFmtId="2" fontId="1" fillId="0" borderId="16" xfId="0" applyNumberFormat="1" applyFont="1" applyBorder="1" applyAlignment="1">
      <alignment horizontal="right"/>
    </xf>
    <xf numFmtId="2" fontId="1" fillId="0" borderId="17" xfId="0" applyNumberFormat="1" applyFont="1" applyBorder="1" applyAlignment="1">
      <alignment horizontal="right"/>
    </xf>
    <xf numFmtId="2" fontId="1" fillId="0" borderId="0" xfId="0" applyNumberFormat="1" applyFont="1" applyAlignment="1">
      <alignment horizontal="right"/>
    </xf>
    <xf numFmtId="2" fontId="1" fillId="0" borderId="14" xfId="0" applyNumberFormat="1" applyFont="1" applyBorder="1" applyAlignment="1">
      <alignment horizontal="right" vertical="center"/>
    </xf>
    <xf numFmtId="2" fontId="1" fillId="0" borderId="0" xfId="0" applyNumberFormat="1" applyFont="1" applyAlignment="1">
      <alignment horizontal="center" vertical="center"/>
    </xf>
    <xf numFmtId="2" fontId="1" fillId="0" borderId="0" xfId="0" applyNumberFormat="1" applyFont="1" applyAlignment="1">
      <alignment horizontal="center"/>
    </xf>
    <xf numFmtId="2" fontId="1" fillId="0" borderId="0" xfId="0" applyNumberFormat="1" applyFont="1" applyAlignment="1">
      <alignment horizontal="right" vertical="center"/>
    </xf>
    <xf numFmtId="2" fontId="1" fillId="0" borderId="11" xfId="0" applyNumberFormat="1" applyFont="1" applyBorder="1" applyAlignment="1">
      <alignment horizontal="right"/>
    </xf>
    <xf numFmtId="2" fontId="1" fillId="0" borderId="13" xfId="0" applyNumberFormat="1" applyFont="1" applyBorder="1" applyAlignment="1">
      <alignment horizontal="right"/>
    </xf>
    <xf numFmtId="2" fontId="1" fillId="0" borderId="12" xfId="0" applyNumberFormat="1" applyFont="1" applyBorder="1" applyAlignment="1">
      <alignment horizontal="right"/>
    </xf>
    <xf numFmtId="2" fontId="1" fillId="0" borderId="14" xfId="0" quotePrefix="1" applyNumberFormat="1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11" xfId="0" applyFont="1" applyBorder="1" applyAlignment="1">
      <alignment horizontal="right"/>
    </xf>
    <xf numFmtId="0" fontId="1" fillId="0" borderId="0" xfId="0" quotePrefix="1" applyFont="1" applyAlignment="1">
      <alignment horizontal="center"/>
    </xf>
    <xf numFmtId="0" fontId="1" fillId="0" borderId="13" xfId="0" applyFont="1" applyBorder="1" applyAlignment="1">
      <alignment horizontal="right"/>
    </xf>
    <xf numFmtId="0" fontId="1" fillId="0" borderId="12" xfId="0" applyFont="1" applyBorder="1" applyAlignment="1">
      <alignment horizontal="right"/>
    </xf>
    <xf numFmtId="0" fontId="1" fillId="0" borderId="18" xfId="0" applyFont="1" applyBorder="1" applyAlignment="1">
      <alignment horizontal="right"/>
    </xf>
    <xf numFmtId="164" fontId="1" fillId="0" borderId="13" xfId="0" applyNumberFormat="1" applyFont="1" applyBorder="1" applyAlignment="1">
      <alignment horizontal="right"/>
    </xf>
    <xf numFmtId="166" fontId="1" fillId="0" borderId="1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458721-1493-46F2-94A3-6C2A882096D9}">
  <dimension ref="A1:BY19"/>
  <sheetViews>
    <sheetView tabSelected="1" workbookViewId="0">
      <selection activeCell="J21" sqref="J21"/>
    </sheetView>
  </sheetViews>
  <sheetFormatPr defaultColWidth="8.6640625" defaultRowHeight="13.8" x14ac:dyDescent="0.3"/>
  <cols>
    <col min="1" max="1" width="4.109375" style="48" bestFit="1" customWidth="1"/>
    <col min="2" max="2" width="6.44140625" style="48" bestFit="1" customWidth="1"/>
    <col min="3" max="3" width="18.109375" style="48" bestFit="1" customWidth="1"/>
    <col min="4" max="4" width="9.109375" style="24" bestFit="1" customWidth="1"/>
    <col min="5" max="5" width="7.109375" style="49" bestFit="1" customWidth="1"/>
    <col min="6" max="6" width="6.5546875" style="24" bestFit="1" customWidth="1"/>
    <col min="7" max="7" width="6" style="24" bestFit="1" customWidth="1"/>
    <col min="8" max="8" width="7.109375" style="51" bestFit="1" customWidth="1"/>
    <col min="9" max="9" width="6" style="52" bestFit="1" customWidth="1"/>
    <col min="10" max="10" width="7.109375" style="24" bestFit="1" customWidth="1"/>
    <col min="11" max="11" width="6" style="24" bestFit="1" customWidth="1"/>
    <col min="12" max="12" width="6" style="52" bestFit="1" customWidth="1"/>
    <col min="13" max="13" width="7.109375" style="24" bestFit="1" customWidth="1"/>
    <col min="14" max="14" width="6" style="52" bestFit="1" customWidth="1"/>
    <col min="15" max="15" width="7.109375" style="24" bestFit="1" customWidth="1"/>
    <col min="16" max="16" width="6" style="24" bestFit="1" customWidth="1"/>
    <col min="17" max="17" width="6" style="52" bestFit="1" customWidth="1"/>
    <col min="18" max="18" width="7.109375" style="24" bestFit="1" customWidth="1"/>
    <col min="19" max="19" width="6" style="53" bestFit="1" customWidth="1"/>
    <col min="20" max="20" width="8.109375" style="49" bestFit="1" customWidth="1"/>
    <col min="21" max="22" width="6" style="24" bestFit="1" customWidth="1"/>
    <col min="23" max="23" width="8.109375" style="51" bestFit="1" customWidth="1"/>
    <col min="24" max="24" width="6" style="52" bestFit="1" customWidth="1"/>
    <col min="25" max="25" width="8.109375" style="24" bestFit="1" customWidth="1"/>
    <col min="26" max="26" width="6" style="24" bestFit="1" customWidth="1"/>
    <col min="27" max="27" width="6" style="52" bestFit="1" customWidth="1"/>
    <col min="28" max="28" width="8.109375" style="24" bestFit="1" customWidth="1"/>
    <col min="29" max="29" width="6" style="52" bestFit="1" customWidth="1"/>
    <col min="30" max="30" width="8.109375" style="24" bestFit="1" customWidth="1"/>
    <col min="31" max="31" width="6" style="24" bestFit="1" customWidth="1"/>
    <col min="32" max="32" width="6" style="52" bestFit="1" customWidth="1"/>
    <col min="33" max="33" width="8.109375" style="24" bestFit="1" customWidth="1"/>
    <col min="34" max="34" width="6" style="53" bestFit="1" customWidth="1"/>
    <col min="35" max="35" width="7.6640625" style="49" bestFit="1" customWidth="1"/>
    <col min="36" max="37" width="6" style="24" bestFit="1" customWidth="1"/>
    <col min="38" max="38" width="7.6640625" style="51" bestFit="1" customWidth="1"/>
    <col min="39" max="39" width="6" style="52" bestFit="1" customWidth="1"/>
    <col min="40" max="40" width="7.6640625" style="24" bestFit="1" customWidth="1"/>
    <col min="41" max="41" width="6" style="24" bestFit="1" customWidth="1"/>
    <col min="42" max="42" width="6" style="52" bestFit="1" customWidth="1"/>
    <col min="43" max="43" width="7.6640625" style="24" bestFit="1" customWidth="1"/>
    <col min="44" max="44" width="6" style="52" bestFit="1" customWidth="1"/>
    <col min="45" max="45" width="7.109375" style="24" bestFit="1" customWidth="1"/>
    <col min="46" max="46" width="6" style="24" bestFit="1" customWidth="1"/>
    <col min="47" max="47" width="6" style="52" bestFit="1" customWidth="1"/>
    <col min="48" max="48" width="7.109375" style="24" bestFit="1" customWidth="1"/>
    <col min="49" max="49" width="6" style="53" bestFit="1" customWidth="1"/>
    <col min="50" max="50" width="7.6640625" style="49" bestFit="1" customWidth="1"/>
    <col min="51" max="52" width="6" style="24" bestFit="1" customWidth="1"/>
    <col min="53" max="53" width="7.6640625" style="51" bestFit="1" customWidth="1"/>
    <col min="54" max="54" width="6" style="52" bestFit="1" customWidth="1"/>
    <col min="55" max="55" width="7.6640625" style="24" bestFit="1" customWidth="1"/>
    <col min="56" max="56" width="6" style="24" bestFit="1" customWidth="1"/>
    <col min="57" max="57" width="6" style="52" bestFit="1" customWidth="1"/>
    <col min="58" max="58" width="7.6640625" style="24" bestFit="1" customWidth="1"/>
    <col min="59" max="59" width="5.5546875" style="52" bestFit="1" customWidth="1"/>
    <col min="60" max="60" width="7.6640625" style="24" bestFit="1" customWidth="1"/>
    <col min="61" max="61" width="6" style="24" bestFit="1" customWidth="1"/>
    <col min="62" max="62" width="6" style="52" bestFit="1" customWidth="1"/>
    <col min="63" max="63" width="7.6640625" style="24" bestFit="1" customWidth="1"/>
    <col min="64" max="64" width="6" style="53" bestFit="1" customWidth="1"/>
    <col min="65" max="16384" width="8.6640625" style="24"/>
  </cols>
  <sheetData>
    <row r="1" spans="1:77" s="2" customFormat="1" x14ac:dyDescent="0.3">
      <c r="A1" s="1"/>
      <c r="B1" s="1"/>
      <c r="C1" s="1"/>
      <c r="E1" s="3" t="s">
        <v>0</v>
      </c>
      <c r="F1" s="4"/>
      <c r="G1" s="4"/>
      <c r="H1" s="4"/>
      <c r="I1" s="5"/>
      <c r="J1" s="6" t="s">
        <v>1</v>
      </c>
      <c r="K1" s="4"/>
      <c r="L1" s="4"/>
      <c r="M1" s="4"/>
      <c r="N1" s="5"/>
      <c r="O1" s="6" t="s">
        <v>2</v>
      </c>
      <c r="P1" s="4"/>
      <c r="Q1" s="4"/>
      <c r="R1" s="4"/>
      <c r="S1" s="7"/>
      <c r="T1" s="3" t="s">
        <v>3</v>
      </c>
      <c r="U1" s="4"/>
      <c r="V1" s="4"/>
      <c r="W1" s="4"/>
      <c r="X1" s="5"/>
      <c r="Y1" s="6" t="s">
        <v>4</v>
      </c>
      <c r="Z1" s="4"/>
      <c r="AA1" s="4"/>
      <c r="AB1" s="4"/>
      <c r="AC1" s="5"/>
      <c r="AD1" s="6" t="s">
        <v>5</v>
      </c>
      <c r="AE1" s="4"/>
      <c r="AF1" s="4"/>
      <c r="AG1" s="4"/>
      <c r="AH1" s="7"/>
      <c r="AI1" s="3" t="s">
        <v>6</v>
      </c>
      <c r="AJ1" s="4"/>
      <c r="AK1" s="4"/>
      <c r="AL1" s="4"/>
      <c r="AM1" s="5"/>
      <c r="AN1" s="6" t="s">
        <v>7</v>
      </c>
      <c r="AO1" s="4"/>
      <c r="AP1" s="4"/>
      <c r="AQ1" s="4"/>
      <c r="AR1" s="5"/>
      <c r="AS1" s="6" t="s">
        <v>8</v>
      </c>
      <c r="AT1" s="4"/>
      <c r="AU1" s="4"/>
      <c r="AV1" s="4"/>
      <c r="AW1" s="7"/>
      <c r="AX1" s="3" t="s">
        <v>9</v>
      </c>
      <c r="AY1" s="4"/>
      <c r="AZ1" s="4"/>
      <c r="BA1" s="4"/>
      <c r="BB1" s="5"/>
      <c r="BC1" s="6" t="s">
        <v>10</v>
      </c>
      <c r="BD1" s="4"/>
      <c r="BE1" s="4"/>
      <c r="BF1" s="4"/>
      <c r="BG1" s="5"/>
      <c r="BH1" s="6" t="s">
        <v>11</v>
      </c>
      <c r="BI1" s="4"/>
      <c r="BJ1" s="4"/>
      <c r="BK1" s="4"/>
      <c r="BL1" s="7"/>
    </row>
    <row r="2" spans="1:77" s="10" customFormat="1" ht="14.4" thickBot="1" x14ac:dyDescent="0.35">
      <c r="A2" s="8" t="s">
        <v>12</v>
      </c>
      <c r="B2" s="8" t="s">
        <v>13</v>
      </c>
      <c r="C2" s="9" t="s">
        <v>14</v>
      </c>
      <c r="D2" s="10" t="s">
        <v>15</v>
      </c>
      <c r="E2" s="11"/>
      <c r="H2" s="12" t="s">
        <v>16</v>
      </c>
      <c r="I2" s="13" t="s">
        <v>17</v>
      </c>
      <c r="L2" s="13"/>
      <c r="M2" s="10" t="s">
        <v>16</v>
      </c>
      <c r="N2" s="13" t="s">
        <v>17</v>
      </c>
      <c r="Q2" s="13"/>
      <c r="R2" s="10" t="s">
        <v>16</v>
      </c>
      <c r="S2" s="14" t="s">
        <v>17</v>
      </c>
      <c r="T2" s="11"/>
      <c r="W2" s="12" t="s">
        <v>16</v>
      </c>
      <c r="X2" s="13" t="s">
        <v>17</v>
      </c>
      <c r="AA2" s="13"/>
      <c r="AB2" s="10" t="s">
        <v>16</v>
      </c>
      <c r="AC2" s="13" t="s">
        <v>17</v>
      </c>
      <c r="AF2" s="13"/>
      <c r="AG2" s="10" t="s">
        <v>16</v>
      </c>
      <c r="AH2" s="14" t="s">
        <v>17</v>
      </c>
      <c r="AI2" s="11"/>
      <c r="AL2" s="12" t="s">
        <v>16</v>
      </c>
      <c r="AM2" s="13" t="s">
        <v>17</v>
      </c>
      <c r="AP2" s="13"/>
      <c r="AQ2" s="10" t="s">
        <v>16</v>
      </c>
      <c r="AR2" s="13" t="s">
        <v>17</v>
      </c>
      <c r="AU2" s="13"/>
      <c r="AV2" s="10" t="s">
        <v>16</v>
      </c>
      <c r="AW2" s="14" t="s">
        <v>17</v>
      </c>
      <c r="AX2" s="11"/>
      <c r="BA2" s="12" t="s">
        <v>16</v>
      </c>
      <c r="BB2" s="13" t="s">
        <v>17</v>
      </c>
      <c r="BE2" s="13"/>
      <c r="BF2" s="10" t="s">
        <v>16</v>
      </c>
      <c r="BG2" s="13" t="s">
        <v>17</v>
      </c>
      <c r="BJ2" s="13"/>
      <c r="BK2" s="10" t="s">
        <v>16</v>
      </c>
      <c r="BL2" s="14" t="s">
        <v>17</v>
      </c>
    </row>
    <row r="3" spans="1:77" s="19" customFormat="1" x14ac:dyDescent="0.3">
      <c r="A3" s="15" t="s">
        <v>18</v>
      </c>
      <c r="B3" s="15" t="s">
        <v>19</v>
      </c>
      <c r="C3" s="16" t="s">
        <v>20</v>
      </c>
      <c r="D3" s="17">
        <v>1E-3</v>
      </c>
      <c r="E3" s="18">
        <v>44.75</v>
      </c>
      <c r="H3" s="18">
        <v>44.75</v>
      </c>
      <c r="I3" s="20">
        <v>1E-3</v>
      </c>
      <c r="J3" s="21">
        <v>44.031999999999996</v>
      </c>
      <c r="K3" s="22"/>
      <c r="L3" s="23"/>
      <c r="M3" s="21">
        <v>44.031999999999996</v>
      </c>
      <c r="N3" s="20">
        <v>1E-3</v>
      </c>
      <c r="O3" s="21">
        <v>47.72</v>
      </c>
      <c r="P3" s="22"/>
      <c r="Q3" s="23"/>
      <c r="R3" s="21">
        <v>47.72</v>
      </c>
      <c r="S3" s="20">
        <v>1E-3</v>
      </c>
      <c r="T3" s="18">
        <v>193.79</v>
      </c>
      <c r="W3" s="18">
        <v>193.79</v>
      </c>
      <c r="X3" s="20">
        <v>1E-3</v>
      </c>
      <c r="Y3" s="18">
        <v>207.411</v>
      </c>
      <c r="Z3" s="22"/>
      <c r="AA3" s="23"/>
      <c r="AB3" s="18">
        <v>207.411</v>
      </c>
      <c r="AC3" s="20">
        <v>1E-3</v>
      </c>
      <c r="AD3" s="21">
        <v>207.977</v>
      </c>
      <c r="AE3" s="22"/>
      <c r="AF3" s="23"/>
      <c r="AG3" s="21">
        <v>207.977</v>
      </c>
      <c r="AH3" s="20">
        <v>1E-3</v>
      </c>
      <c r="AI3" s="24">
        <v>45.387</v>
      </c>
      <c r="AL3" s="24">
        <v>45.387</v>
      </c>
      <c r="AM3" s="20">
        <v>1E-3</v>
      </c>
      <c r="AN3" s="24">
        <v>45.137999999999998</v>
      </c>
      <c r="AO3" s="22"/>
      <c r="AP3" s="23"/>
      <c r="AQ3" s="24">
        <v>45.137999999999998</v>
      </c>
      <c r="AR3" s="20">
        <v>1E-3</v>
      </c>
      <c r="AS3" s="19">
        <v>45.16</v>
      </c>
      <c r="AT3" s="22"/>
      <c r="AU3" s="23"/>
      <c r="AV3" s="19">
        <v>45.16</v>
      </c>
      <c r="AW3" s="20">
        <v>1E-3</v>
      </c>
      <c r="AX3" s="24">
        <v>78.894999999999996</v>
      </c>
      <c r="BA3" s="24">
        <v>78.894999999999996</v>
      </c>
      <c r="BB3" s="20">
        <v>1E-3</v>
      </c>
      <c r="BC3" s="24">
        <v>80.102000000000004</v>
      </c>
      <c r="BD3" s="22"/>
      <c r="BE3" s="23"/>
      <c r="BF3" s="24">
        <v>80.102000000000004</v>
      </c>
      <c r="BG3" s="20">
        <v>1E-3</v>
      </c>
      <c r="BH3" s="24">
        <v>80.668999999999997</v>
      </c>
      <c r="BI3" s="22"/>
      <c r="BJ3" s="23"/>
      <c r="BK3" s="24">
        <v>80.668999999999997</v>
      </c>
      <c r="BL3" s="20">
        <v>1E-3</v>
      </c>
    </row>
    <row r="4" spans="1:77" s="29" customFormat="1" x14ac:dyDescent="0.3">
      <c r="A4" s="25" t="s">
        <v>21</v>
      </c>
      <c r="B4" s="25" t="s">
        <v>22</v>
      </c>
      <c r="C4" s="26" t="s">
        <v>23</v>
      </c>
      <c r="D4" s="27">
        <v>1</v>
      </c>
      <c r="E4" s="28">
        <f>500-486.3</f>
        <v>13.699999999999989</v>
      </c>
      <c r="H4" s="28">
        <f>500-486.3</f>
        <v>13.699999999999989</v>
      </c>
      <c r="I4" s="30">
        <v>3</v>
      </c>
      <c r="J4" s="31">
        <f>500-486.7</f>
        <v>13.300000000000011</v>
      </c>
      <c r="L4" s="30"/>
      <c r="M4" s="31">
        <f>500-486.7</f>
        <v>13.300000000000011</v>
      </c>
      <c r="N4" s="30">
        <v>3</v>
      </c>
      <c r="O4" s="31">
        <f>500-485.8</f>
        <v>14.199999999999989</v>
      </c>
      <c r="Q4" s="30"/>
      <c r="R4" s="31">
        <f>500-485.8</f>
        <v>14.199999999999989</v>
      </c>
      <c r="S4" s="30">
        <v>3</v>
      </c>
      <c r="T4" s="28">
        <f>500-468.2</f>
        <v>31.800000000000011</v>
      </c>
      <c r="W4" s="28">
        <f>500-468.2</f>
        <v>31.800000000000011</v>
      </c>
      <c r="X4" s="30">
        <v>3</v>
      </c>
      <c r="Y4" s="31">
        <f>500-466</f>
        <v>34</v>
      </c>
      <c r="AA4" s="30"/>
      <c r="AB4" s="31">
        <f>500-466</f>
        <v>34</v>
      </c>
      <c r="AC4" s="30">
        <v>3</v>
      </c>
      <c r="AD4" s="31">
        <f>500-465.6</f>
        <v>34.399999999999977</v>
      </c>
      <c r="AF4" s="30"/>
      <c r="AG4" s="31">
        <f>500-465.6</f>
        <v>34.399999999999977</v>
      </c>
      <c r="AH4" s="30">
        <v>3</v>
      </c>
      <c r="AI4" s="28">
        <f>200-153.8</f>
        <v>46.199999999999989</v>
      </c>
      <c r="AL4" s="28">
        <f>200-153.8</f>
        <v>46.199999999999989</v>
      </c>
      <c r="AM4" s="30">
        <v>3</v>
      </c>
      <c r="AN4" s="31">
        <f>200-154</f>
        <v>46</v>
      </c>
      <c r="AP4" s="30"/>
      <c r="AQ4" s="31">
        <f>200-154</f>
        <v>46</v>
      </c>
      <c r="AR4" s="30">
        <v>3</v>
      </c>
      <c r="AS4" s="31">
        <f>200-154.3</f>
        <v>45.699999999999989</v>
      </c>
      <c r="AU4" s="30"/>
      <c r="AV4" s="31">
        <f>200-154.3</f>
        <v>45.699999999999989</v>
      </c>
      <c r="AW4" s="30">
        <v>3</v>
      </c>
      <c r="AX4" s="29">
        <f>500-400.1</f>
        <v>99.899999999999977</v>
      </c>
      <c r="BA4" s="29">
        <f>500-400.1</f>
        <v>99.899999999999977</v>
      </c>
      <c r="BB4" s="30">
        <v>3</v>
      </c>
      <c r="BC4" s="29">
        <f>500-401.7</f>
        <v>98.300000000000011</v>
      </c>
      <c r="BE4" s="30"/>
      <c r="BF4" s="29">
        <f>500-401.7</f>
        <v>98.300000000000011</v>
      </c>
      <c r="BG4" s="30">
        <v>3</v>
      </c>
      <c r="BH4" s="29">
        <f>500-402.1</f>
        <v>97.899999999999977</v>
      </c>
      <c r="BJ4" s="30"/>
      <c r="BK4" s="29">
        <f>500-402.1</f>
        <v>97.899999999999977</v>
      </c>
      <c r="BL4" s="30">
        <v>3</v>
      </c>
    </row>
    <row r="5" spans="1:77" s="40" customFormat="1" x14ac:dyDescent="0.3">
      <c r="A5" s="32" t="s">
        <v>24</v>
      </c>
      <c r="B5" s="32" t="s">
        <v>25</v>
      </c>
      <c r="C5" s="33" t="s">
        <v>26</v>
      </c>
      <c r="D5" s="34"/>
      <c r="E5" s="35">
        <f>E3/E4</f>
        <v>3.2664233576642361</v>
      </c>
      <c r="F5" s="36"/>
      <c r="G5" s="36"/>
      <c r="H5" s="35">
        <f>H3/H4</f>
        <v>3.2664233576642361</v>
      </c>
      <c r="I5" s="37">
        <f>(I3/E3+I4/E4)*E5</f>
        <v>0.71534818051041726</v>
      </c>
      <c r="J5" s="38">
        <f>J3/J4</f>
        <v>3.31067669172932</v>
      </c>
      <c r="K5" s="36"/>
      <c r="L5" s="37"/>
      <c r="M5" s="38">
        <f>M3/M4</f>
        <v>3.31067669172932</v>
      </c>
      <c r="N5" s="37">
        <f>(N3/J3+N4/J4)*J5</f>
        <v>0.74684436655548514</v>
      </c>
      <c r="O5" s="38">
        <f>O3/O4</f>
        <v>3.3605633802816928</v>
      </c>
      <c r="P5" s="36"/>
      <c r="Q5" s="37"/>
      <c r="R5" s="38">
        <f>R3/R4</f>
        <v>3.3605633802816928</v>
      </c>
      <c r="S5" s="37">
        <f>(S3/O3+S4/O4)*O5</f>
        <v>0.71004860146796389</v>
      </c>
      <c r="T5" s="35">
        <f>T3/T4</f>
        <v>6.0940251572327018</v>
      </c>
      <c r="U5" s="36"/>
      <c r="V5" s="36"/>
      <c r="W5" s="35">
        <f>W3/W4</f>
        <v>6.0940251572327018</v>
      </c>
      <c r="X5" s="37">
        <f>(X3/T3+X4/T4)*T5</f>
        <v>0.57493948024207864</v>
      </c>
      <c r="Y5" s="38">
        <f>Y3/Y4</f>
        <v>6.1003235294117646</v>
      </c>
      <c r="Z5" s="36"/>
      <c r="AA5" s="37"/>
      <c r="AB5" s="38">
        <f>AB3/AB4</f>
        <v>6.1003235294117646</v>
      </c>
      <c r="AC5" s="37">
        <f>(AC3/Y3+AC4/Y4)*Y5</f>
        <v>0.5382932525951557</v>
      </c>
      <c r="AD5" s="38">
        <f>AD3/AD4</f>
        <v>6.0458430232558182</v>
      </c>
      <c r="AE5" s="36"/>
      <c r="AF5" s="37"/>
      <c r="AG5" s="38">
        <f>AG3/AG4</f>
        <v>6.0458430232558182</v>
      </c>
      <c r="AH5" s="37">
        <f>(AH3/AD3+AH4/AD4)*AD5</f>
        <v>0.52728282179556596</v>
      </c>
      <c r="AI5" s="35">
        <f>AI3/AI4</f>
        <v>0.98240259740259761</v>
      </c>
      <c r="AJ5" s="36"/>
      <c r="AK5" s="36"/>
      <c r="AL5" s="35">
        <f>AL3/AL4</f>
        <v>0.98240259740259761</v>
      </c>
      <c r="AM5" s="37">
        <f>(AM3/AI3+AM4/AI4)*AI5</f>
        <v>6.3814021476359173E-2</v>
      </c>
      <c r="AN5" s="38">
        <f>AN3/AN4</f>
        <v>0.9812608695652173</v>
      </c>
      <c r="AO5" s="36"/>
      <c r="AP5" s="37"/>
      <c r="AQ5" s="38">
        <f>AQ3/AQ4</f>
        <v>0.9812608695652173</v>
      </c>
      <c r="AR5" s="37">
        <f>(AR3/AN3+AR4/AN4)*AN5</f>
        <v>6.4017013232514172E-2</v>
      </c>
      <c r="AS5" s="38">
        <f>AS3/AS4</f>
        <v>0.98818380743982515</v>
      </c>
      <c r="AT5" s="36"/>
      <c r="AU5" s="37"/>
      <c r="AV5" s="38">
        <f>AV3/AV4</f>
        <v>0.98818380743982515</v>
      </c>
      <c r="AW5" s="37">
        <f>(AW3/AS3+AW4/AS4)*AS5</f>
        <v>6.4891716024496199E-2</v>
      </c>
      <c r="AX5" s="39">
        <f>AX3/AX4</f>
        <v>0.78973973973973988</v>
      </c>
      <c r="AY5" s="36"/>
      <c r="AZ5" s="36"/>
      <c r="BA5" s="39">
        <f>BA3/BA4</f>
        <v>0.78973973973973988</v>
      </c>
      <c r="BB5" s="37">
        <f>(BB3/AX3+BB4/AX4)*AX5</f>
        <v>2.3725918110302505E-2</v>
      </c>
      <c r="BC5" s="39">
        <f>BC3/BC4</f>
        <v>0.81487283825025425</v>
      </c>
      <c r="BD5" s="36"/>
      <c r="BE5" s="37"/>
      <c r="BF5" s="39">
        <f>BF3/BF4</f>
        <v>0.81487283825025425</v>
      </c>
      <c r="BG5" s="37">
        <f>(BG3/BC3+BG4/BC4)*BC5</f>
        <v>2.4879130363690362E-2</v>
      </c>
      <c r="BH5" s="39">
        <f>BH3/BH4</f>
        <v>0.82399387129724222</v>
      </c>
      <c r="BI5" s="36"/>
      <c r="BJ5" s="37"/>
      <c r="BK5" s="39">
        <f>BK3/BK4</f>
        <v>0.82399387129724222</v>
      </c>
      <c r="BL5" s="37">
        <f>(BL3/BH3+BL4/BH4)*BH5</f>
        <v>2.5260282062223978E-2</v>
      </c>
    </row>
    <row r="6" spans="1:77" s="39" customFormat="1" x14ac:dyDescent="0.3">
      <c r="A6" s="41" t="s">
        <v>27</v>
      </c>
      <c r="B6" s="41" t="s">
        <v>28</v>
      </c>
      <c r="C6" s="42" t="s">
        <v>29</v>
      </c>
      <c r="D6" s="43">
        <v>0.01</v>
      </c>
      <c r="E6" s="44">
        <f>15.71/40</f>
        <v>0.39275000000000004</v>
      </c>
      <c r="F6" s="39">
        <f>15.82/40</f>
        <v>0.39550000000000002</v>
      </c>
      <c r="G6" s="39">
        <f>15.56/40</f>
        <v>0.38900000000000001</v>
      </c>
      <c r="H6" s="45">
        <f>AVERAGE(E6:G6)</f>
        <v>0.39241666666666669</v>
      </c>
      <c r="I6" s="46">
        <f>MAX(0.01,STDEV(E6:G6))</f>
        <v>0.01</v>
      </c>
      <c r="J6" s="39">
        <f>16.04/40</f>
        <v>0.40099999999999997</v>
      </c>
      <c r="K6" s="39">
        <f>15.8/40</f>
        <v>0.39500000000000002</v>
      </c>
      <c r="L6" s="46">
        <f>15.96/40</f>
        <v>0.39900000000000002</v>
      </c>
      <c r="M6" s="39">
        <f>AVERAGE(J6:L6)</f>
        <v>0.39833333333333337</v>
      </c>
      <c r="N6" s="46">
        <f>MAX(0.01,STDEV(J6:L6))</f>
        <v>0.01</v>
      </c>
      <c r="O6" s="39">
        <f>15.62/40</f>
        <v>0.39049999999999996</v>
      </c>
      <c r="P6" s="39">
        <f>15.98/40</f>
        <v>0.39950000000000002</v>
      </c>
      <c r="Q6" s="46">
        <f>15.64/40</f>
        <v>0.39100000000000001</v>
      </c>
      <c r="R6" s="39">
        <f>AVERAGE(O6:Q6)</f>
        <v>0.39366666666666666</v>
      </c>
      <c r="S6" s="46">
        <f>MAX(0.01,STDEV(O6:Q6))</f>
        <v>0.01</v>
      </c>
      <c r="T6" s="39">
        <f>20.13/30</f>
        <v>0.67099999999999993</v>
      </c>
      <c r="U6" s="39">
        <f>20.27/30</f>
        <v>0.67566666666666664</v>
      </c>
      <c r="V6" s="39">
        <f>20.2/30</f>
        <v>0.67333333333333334</v>
      </c>
      <c r="W6" s="45">
        <f>AVERAGE(T6:V6)</f>
        <v>0.67333333333333334</v>
      </c>
      <c r="X6" s="46">
        <f>MAX(0.01,STDEV(T6:V6))</f>
        <v>0.01</v>
      </c>
      <c r="Y6" s="39">
        <f>19.02/30</f>
        <v>0.63400000000000001</v>
      </c>
      <c r="Z6" s="39">
        <f>19.73/30</f>
        <v>0.65766666666666673</v>
      </c>
      <c r="AA6" s="39">
        <f>19.25/30</f>
        <v>0.64166666666666672</v>
      </c>
      <c r="AB6" s="39">
        <f>AVERAGE(Y6:AA6)</f>
        <v>0.64444444444444449</v>
      </c>
      <c r="AC6" s="46">
        <f>MAX(0.01,STDEV(Y6:AA6))</f>
        <v>1.2075380524638362E-2</v>
      </c>
      <c r="AD6" s="39">
        <f>18.51/30</f>
        <v>0.6170000000000001</v>
      </c>
      <c r="AE6" s="39">
        <f>18.63/30</f>
        <v>0.621</v>
      </c>
      <c r="AF6" s="39">
        <f>19.16/30</f>
        <v>0.63866666666666672</v>
      </c>
      <c r="AG6" s="39">
        <f>AVERAGE(AD6:AF6)</f>
        <v>0.62555555555555553</v>
      </c>
      <c r="AH6" s="46">
        <f>MAX(0.01,STDEV(AD6:AF6))</f>
        <v>1.1529350628978446E-2</v>
      </c>
      <c r="AI6" s="39" t="s">
        <v>30</v>
      </c>
      <c r="AJ6" s="39">
        <f>20.93/15</f>
        <v>1.3953333333333333</v>
      </c>
      <c r="AK6" s="39">
        <f>20.67/15</f>
        <v>1.3780000000000001</v>
      </c>
      <c r="AL6" s="39">
        <f>AVERAGE(AI6:AK6)</f>
        <v>1.3866666666666667</v>
      </c>
      <c r="AM6" s="46">
        <f>MAX(0.01,STDEV(AI6:AK6))</f>
        <v>1.225651754056673E-2</v>
      </c>
      <c r="AN6" s="39">
        <f>20.66/15</f>
        <v>1.3773333333333333</v>
      </c>
      <c r="AO6" s="39">
        <f>21.05/15</f>
        <v>1.4033333333333333</v>
      </c>
      <c r="AP6" s="39">
        <f>20.64/15</f>
        <v>1.3760000000000001</v>
      </c>
      <c r="AQ6" s="39">
        <f>AVERAGE(AN6:AP6)</f>
        <v>1.3855555555555557</v>
      </c>
      <c r="AR6" s="46">
        <f>MAX(0.01,STDEV(AN6:AP6))</f>
        <v>1.5410434175631798E-2</v>
      </c>
      <c r="AS6" s="39">
        <f>20.7/15</f>
        <v>1.38</v>
      </c>
      <c r="AT6" s="39">
        <f>20.92/15</f>
        <v>1.3946666666666667</v>
      </c>
      <c r="AU6" s="39">
        <f>20.85/15</f>
        <v>1.3900000000000001</v>
      </c>
      <c r="AV6" s="39">
        <f>AVERAGE(AS6:AU6)</f>
        <v>1.3882222222222225</v>
      </c>
      <c r="AW6" s="46">
        <f>MAX(0.01,STDEV(AS6:AU6))</f>
        <v>0.01</v>
      </c>
      <c r="AX6" s="39">
        <f>21.58/15</f>
        <v>1.4386666666666665</v>
      </c>
      <c r="AY6" s="39">
        <f>21.48/15</f>
        <v>1.4319999999999999</v>
      </c>
      <c r="AZ6" s="39">
        <f>21.61/15</f>
        <v>1.4406666666666665</v>
      </c>
      <c r="BA6" s="45">
        <f>AVERAGE(AX6:AZ6)</f>
        <v>1.4371111111111112</v>
      </c>
      <c r="BB6" s="46">
        <f>MAX(0.01,STDEV(AX6:AZ6))</f>
        <v>0.01</v>
      </c>
      <c r="BC6" s="39">
        <f>21.65/15</f>
        <v>1.4433333333333331</v>
      </c>
      <c r="BD6" s="39">
        <f>21.77/15</f>
        <v>1.4513333333333334</v>
      </c>
      <c r="BE6" s="39">
        <f>21.47/15</f>
        <v>1.4313333333333333</v>
      </c>
      <c r="BF6" s="39">
        <f>AVERAGE(BC6:BE6)</f>
        <v>1.4420000000000002</v>
      </c>
      <c r="BG6" s="46">
        <f>MAX(0.01,STDEV(BC6:BE6))</f>
        <v>1.0066445913694327E-2</v>
      </c>
      <c r="BH6" s="39">
        <v>1.48</v>
      </c>
      <c r="BI6" s="39">
        <v>1.49</v>
      </c>
      <c r="BJ6" s="46">
        <v>1.52</v>
      </c>
      <c r="BK6" s="39">
        <f>AVERAGE(BH6:BJ6)</f>
        <v>1.4966666666666668</v>
      </c>
      <c r="BL6" s="46">
        <f>MAX(0.01,STDEV(BH6:BJ6))</f>
        <v>2.0816659994661348E-2</v>
      </c>
    </row>
    <row r="7" spans="1:77" s="36" customFormat="1" x14ac:dyDescent="0.3">
      <c r="A7" s="32" t="s">
        <v>31</v>
      </c>
      <c r="B7" s="32" t="s">
        <v>28</v>
      </c>
      <c r="C7" s="47" t="s">
        <v>32</v>
      </c>
      <c r="D7" s="34"/>
      <c r="E7" s="35"/>
      <c r="H7" s="45">
        <f>(H9-H8)/4</f>
        <v>0.91666666666666785</v>
      </c>
      <c r="I7" s="46">
        <f>(I8+I9)/4</f>
        <v>1.90685840351753E-2</v>
      </c>
      <c r="J7" s="35"/>
      <c r="M7" s="45">
        <f t="shared" ref="M7" si="0">(M9-M8)/4</f>
        <v>0.92999999999999972</v>
      </c>
      <c r="N7" s="46">
        <f t="shared" ref="N7" si="1">(N8+N9)/4</f>
        <v>3.6457513110645129E-2</v>
      </c>
      <c r="O7" s="35"/>
      <c r="R7" s="45">
        <f t="shared" ref="R7" si="2">(R9-R8)/4</f>
        <v>0.93333333333333357</v>
      </c>
      <c r="S7" s="46">
        <f t="shared" ref="S7" si="3">(S8+S9)/4</f>
        <v>1.8356560084014251E-2</v>
      </c>
      <c r="T7" s="35"/>
      <c r="W7" s="45">
        <f t="shared" ref="W7" si="4">(W9-W8)/4</f>
        <v>1.2016666666666662</v>
      </c>
      <c r="X7" s="46">
        <f t="shared" ref="X7" si="5">(X8+X9)/4</f>
        <v>2.1072751268320315E-2</v>
      </c>
      <c r="Y7" s="35"/>
      <c r="AB7" s="45">
        <f t="shared" ref="AB7" si="6">(AB9-AB8)/4</f>
        <v>1.4066666666666681</v>
      </c>
      <c r="AC7" s="46">
        <f t="shared" ref="AC7" si="7">(AC8+AC9)/4</f>
        <v>2.1048755008415028E-2</v>
      </c>
      <c r="AD7" s="35"/>
      <c r="AG7" s="45">
        <f t="shared" ref="AG7" si="8">(AG9-AG8)/4</f>
        <v>1.3650000000000002</v>
      </c>
      <c r="AH7" s="46">
        <f t="shared" ref="AH7" si="9">(AH8+AH9)/4</f>
        <v>3.6280010689958994E-2</v>
      </c>
      <c r="AI7" s="35"/>
      <c r="AL7" s="45">
        <f t="shared" ref="AL7" si="10">(AL9-AL8)/4</f>
        <v>2.9649999999999999</v>
      </c>
      <c r="AM7" s="46">
        <f t="shared" ref="AM7" si="11">(AM8+AM9)/4</f>
        <v>2.5980762113533118E-2</v>
      </c>
      <c r="AN7" s="35"/>
      <c r="AQ7" s="45">
        <f t="shared" ref="AQ7" si="12">(AQ9-AQ8)/4</f>
        <v>2.9683333333333337</v>
      </c>
      <c r="AR7" s="46">
        <f t="shared" ref="AR7" si="13">(AR8+AR9)/4</f>
        <v>3.4879930997110703E-2</v>
      </c>
      <c r="AS7" s="35"/>
      <c r="AV7" s="45">
        <f t="shared" ref="AV7" si="14">(AV9-AV8)/4</f>
        <v>2.9733333333333345</v>
      </c>
      <c r="AW7" s="46">
        <f t="shared" ref="AW7" si="15">(AW8+AW9)/4</f>
        <v>1.2637626158259852E-2</v>
      </c>
      <c r="AX7" s="35"/>
      <c r="BA7" s="45">
        <f t="shared" ref="BA7" si="16">(BA9-BA8)/4</f>
        <v>3.3449999999999989</v>
      </c>
      <c r="BB7" s="46">
        <f t="shared" ref="BB7" si="17">(BB8+BB9)/4</f>
        <v>4.4520071335273359E-2</v>
      </c>
      <c r="BC7" s="35"/>
      <c r="BF7" s="45">
        <f t="shared" ref="BF7" si="18">(BF9-BF8)/4</f>
        <v>3.3333333333333286</v>
      </c>
      <c r="BG7" s="46">
        <f t="shared" ref="BG7" si="19">(BG8+BG9)/4</f>
        <v>4.4728559928761444E-2</v>
      </c>
      <c r="BH7" s="35"/>
      <c r="BK7" s="45">
        <f t="shared" ref="BK7" si="20">(BK9-BK8)/4</f>
        <v>3.2625000000000028</v>
      </c>
      <c r="BL7" s="46">
        <f t="shared" ref="BL7" si="21">(BL8+BL9)/4</f>
        <v>2.0466629756876541E-2</v>
      </c>
      <c r="BM7" s="35"/>
    </row>
    <row r="8" spans="1:77" x14ac:dyDescent="0.3">
      <c r="A8" s="1" t="s">
        <v>33</v>
      </c>
      <c r="B8" s="1" t="s">
        <v>28</v>
      </c>
      <c r="C8" s="48" t="s">
        <v>34</v>
      </c>
      <c r="D8" s="2"/>
      <c r="E8" s="49">
        <v>36.96</v>
      </c>
      <c r="F8" s="24">
        <v>36.880000000000003</v>
      </c>
      <c r="G8" s="24">
        <v>36.9</v>
      </c>
      <c r="H8" s="45">
        <f>AVERAGE(E8:G8)</f>
        <v>36.913333333333334</v>
      </c>
      <c r="I8" s="46">
        <f>STDEV(E8:G8)</f>
        <v>4.1633319989322334E-2</v>
      </c>
      <c r="J8" s="35">
        <v>35.700000000000003</v>
      </c>
      <c r="K8" s="36">
        <v>35.9</v>
      </c>
      <c r="L8" s="36">
        <v>35.86</v>
      </c>
      <c r="M8" s="45">
        <f>AVERAGE(J8:L8)</f>
        <v>35.82</v>
      </c>
      <c r="N8" s="46">
        <f>STDEV(J8:L8)</f>
        <v>0.10583005244258135</v>
      </c>
      <c r="O8" s="36">
        <v>35.9</v>
      </c>
      <c r="P8" s="36">
        <v>35.799999999999997</v>
      </c>
      <c r="Q8" s="37">
        <v>35.86</v>
      </c>
      <c r="R8" s="45">
        <f t="shared" ref="R8:R9" si="22">AVERAGE(O8:Q8)</f>
        <v>35.853333333333332</v>
      </c>
      <c r="S8" s="46">
        <f t="shared" ref="S8:S9" si="23">STDEV(O8:Q8)</f>
        <v>5.033222956847247E-2</v>
      </c>
      <c r="T8" s="36">
        <v>63.74</v>
      </c>
      <c r="U8" s="36">
        <v>63.72</v>
      </c>
      <c r="V8" s="37">
        <v>63.7</v>
      </c>
      <c r="W8" s="45">
        <f t="shared" ref="W8:W9" si="24">AVERAGE(T8:V8)</f>
        <v>63.720000000000006</v>
      </c>
      <c r="X8" s="46">
        <f t="shared" ref="X8:X9" si="25">STDEV(T8:V8)</f>
        <v>1.9999999999999574E-2</v>
      </c>
      <c r="Y8" s="36">
        <v>63.8</v>
      </c>
      <c r="Z8" s="36">
        <v>63.72</v>
      </c>
      <c r="AA8" s="37">
        <v>63.84</v>
      </c>
      <c r="AB8" s="45">
        <f t="shared" ref="AB8:AB9" si="26">AVERAGE(Y8:AA8)</f>
        <v>63.786666666666669</v>
      </c>
      <c r="AC8" s="46">
        <f t="shared" ref="AC8:AC9" si="27">STDEV(Y8:AA8)</f>
        <v>6.110100926607967E-2</v>
      </c>
      <c r="AD8" s="36">
        <v>63.9</v>
      </c>
      <c r="AE8" s="36">
        <v>64</v>
      </c>
      <c r="AF8" s="37">
        <v>63.84</v>
      </c>
      <c r="AG8" s="45">
        <f t="shared" ref="AG8:AG9" si="28">AVERAGE(AD8:AF8)</f>
        <v>63.913333333333334</v>
      </c>
      <c r="AH8" s="46">
        <f t="shared" ref="AH8:AH9" si="29">STDEV(AD8:AF8)</f>
        <v>8.0829037686546173E-2</v>
      </c>
      <c r="AI8" s="36">
        <v>51.08</v>
      </c>
      <c r="AJ8" s="36">
        <v>51.08</v>
      </c>
      <c r="AK8" s="37">
        <v>51.18</v>
      </c>
      <c r="AL8" s="45">
        <f t="shared" ref="AL8:AL9" si="30">AVERAGE(AI8:AK8)</f>
        <v>51.113333333333337</v>
      </c>
      <c r="AM8" s="46">
        <f t="shared" ref="AM8:AM9" si="31">STDEV(AI8:AK8)</f>
        <v>5.7735026918963393E-2</v>
      </c>
      <c r="AN8" s="36">
        <v>50.98</v>
      </c>
      <c r="AO8" s="36">
        <v>51.1</v>
      </c>
      <c r="AP8" s="37">
        <v>50.98</v>
      </c>
      <c r="AQ8" s="45">
        <f t="shared" ref="AQ8:AQ9" si="32">AVERAGE(AN8:AP8)</f>
        <v>51.02</v>
      </c>
      <c r="AR8" s="46">
        <f t="shared" ref="AR8:AR9" si="33">STDEV(AN8:AP8)</f>
        <v>6.9282032302757715E-2</v>
      </c>
      <c r="AS8" s="36">
        <v>51.1</v>
      </c>
      <c r="AT8" s="36">
        <v>51.04</v>
      </c>
      <c r="AU8" s="37">
        <v>51.06</v>
      </c>
      <c r="AV8" s="45">
        <f t="shared" ref="AV8:AV9" si="34">AVERAGE(AS8:AU8)</f>
        <v>51.066666666666663</v>
      </c>
      <c r="AW8" s="46">
        <f t="shared" ref="AW8:AW9" si="35">STDEV(AS8:AU8)</f>
        <v>3.0550504633039832E-2</v>
      </c>
      <c r="AX8" s="36">
        <v>67.599999999999994</v>
      </c>
      <c r="AY8" s="36">
        <v>67.599999999999994</v>
      </c>
      <c r="AZ8" s="37">
        <v>67.62</v>
      </c>
      <c r="BA8" s="45">
        <f t="shared" ref="BA8:BA9" si="36">AVERAGE(AX8:AZ8)</f>
        <v>67.606666666666669</v>
      </c>
      <c r="BB8" s="46">
        <f t="shared" ref="BB8:BB9" si="37">STDEV(AX8:AZ8)</f>
        <v>1.1547005383798423E-2</v>
      </c>
      <c r="BC8" s="36">
        <v>67.66</v>
      </c>
      <c r="BD8" s="36">
        <v>67.7</v>
      </c>
      <c r="BE8" s="37">
        <v>67.900000000000006</v>
      </c>
      <c r="BF8" s="45">
        <f t="shared" ref="BF8:BF9" si="38">AVERAGE(BC8:BE8)</f>
        <v>67.753333333333345</v>
      </c>
      <c r="BG8" s="46">
        <f t="shared" ref="BG8:BG9" si="39">STDEV(BC8:BE8)</f>
        <v>0.12858201014657661</v>
      </c>
      <c r="BH8" s="36">
        <v>67.900000000000006</v>
      </c>
      <c r="BI8" s="36">
        <v>67.86</v>
      </c>
      <c r="BJ8" s="37">
        <v>67.92</v>
      </c>
      <c r="BK8" s="45">
        <f t="shared" ref="BK8:BK9" si="40">AVERAGE(BH8:BJ8)</f>
        <v>67.893333333333331</v>
      </c>
      <c r="BL8" s="46">
        <f t="shared" ref="BL8:BL9" si="41">STDEV(BH8:BJ8)</f>
        <v>3.0550504633040605E-2</v>
      </c>
      <c r="BM8" s="36"/>
      <c r="BN8" s="36"/>
      <c r="BO8" s="36"/>
      <c r="BP8" s="36"/>
      <c r="BQ8" s="36"/>
      <c r="BR8" s="36"/>
      <c r="BS8" s="36"/>
      <c r="BT8" s="36"/>
      <c r="BU8" s="36"/>
      <c r="BV8" s="36"/>
      <c r="BW8" s="36"/>
      <c r="BX8" s="36"/>
      <c r="BY8" s="36"/>
    </row>
    <row r="9" spans="1:77" s="36" customFormat="1" x14ac:dyDescent="0.3">
      <c r="A9" s="32" t="s">
        <v>35</v>
      </c>
      <c r="B9" s="32" t="s">
        <v>28</v>
      </c>
      <c r="C9" s="33" t="s">
        <v>34</v>
      </c>
      <c r="D9" s="40"/>
      <c r="E9" s="35">
        <v>40.6</v>
      </c>
      <c r="F9" s="36">
        <v>40.6</v>
      </c>
      <c r="G9" s="36">
        <v>40.54</v>
      </c>
      <c r="H9" s="45">
        <f>AVERAGE(E9:G9)</f>
        <v>40.580000000000005</v>
      </c>
      <c r="I9" s="46">
        <f>STDEV(E9:G9)</f>
        <v>3.4641016151378858E-2</v>
      </c>
      <c r="J9" s="35">
        <v>39.54</v>
      </c>
      <c r="K9" s="36">
        <v>39.5</v>
      </c>
      <c r="L9" s="36">
        <v>39.58</v>
      </c>
      <c r="M9" s="45">
        <f>AVERAGE(J9:L9)</f>
        <v>39.54</v>
      </c>
      <c r="N9" s="46">
        <f>STDEV(J9:L9)</f>
        <v>3.9999999999999147E-2</v>
      </c>
      <c r="O9" s="36">
        <v>39.6</v>
      </c>
      <c r="P9" s="36">
        <v>39.6</v>
      </c>
      <c r="Q9" s="37">
        <v>39.56</v>
      </c>
      <c r="R9" s="45">
        <f t="shared" si="22"/>
        <v>39.586666666666666</v>
      </c>
      <c r="S9" s="46">
        <f t="shared" si="23"/>
        <v>2.3094010767584539E-2</v>
      </c>
      <c r="T9" s="36">
        <v>68.48</v>
      </c>
      <c r="U9" s="36">
        <v>68.5</v>
      </c>
      <c r="V9" s="37">
        <v>68.599999999999994</v>
      </c>
      <c r="W9" s="45">
        <f t="shared" si="24"/>
        <v>68.526666666666671</v>
      </c>
      <c r="X9" s="46">
        <f t="shared" si="25"/>
        <v>6.4291005073281685E-2</v>
      </c>
      <c r="Y9" s="36">
        <v>69.44</v>
      </c>
      <c r="Z9" s="36">
        <v>69.400000000000006</v>
      </c>
      <c r="AA9" s="37">
        <v>69.400000000000006</v>
      </c>
      <c r="AB9" s="45">
        <f t="shared" si="26"/>
        <v>69.413333333333341</v>
      </c>
      <c r="AC9" s="46">
        <f t="shared" si="27"/>
        <v>2.3094010767580435E-2</v>
      </c>
      <c r="AD9" s="36">
        <v>69.3</v>
      </c>
      <c r="AE9" s="36">
        <v>69.42</v>
      </c>
      <c r="AF9" s="37">
        <v>69.400000000000006</v>
      </c>
      <c r="AG9" s="45">
        <f t="shared" si="28"/>
        <v>69.373333333333335</v>
      </c>
      <c r="AH9" s="46">
        <f t="shared" si="29"/>
        <v>6.4291005073289789E-2</v>
      </c>
      <c r="AI9" s="36">
        <v>63</v>
      </c>
      <c r="AJ9" s="36">
        <v>63</v>
      </c>
      <c r="AK9" s="37">
        <v>62.92</v>
      </c>
      <c r="AL9" s="45">
        <f t="shared" si="30"/>
        <v>62.973333333333336</v>
      </c>
      <c r="AM9" s="46">
        <f t="shared" si="31"/>
        <v>4.6188021535169078E-2</v>
      </c>
      <c r="AN9" s="36">
        <v>62.9</v>
      </c>
      <c r="AO9" s="36">
        <v>62.96</v>
      </c>
      <c r="AP9" s="37">
        <v>62.82</v>
      </c>
      <c r="AQ9" s="45">
        <f t="shared" si="32"/>
        <v>62.893333333333338</v>
      </c>
      <c r="AR9" s="46">
        <f t="shared" si="33"/>
        <v>7.0237691685685111E-2</v>
      </c>
      <c r="AS9" s="36">
        <v>62.98</v>
      </c>
      <c r="AT9" s="36">
        <v>62.96</v>
      </c>
      <c r="AU9" s="37">
        <v>62.94</v>
      </c>
      <c r="AV9" s="45">
        <f t="shared" si="34"/>
        <v>62.96</v>
      </c>
      <c r="AW9" s="46">
        <f t="shared" si="35"/>
        <v>1.9999999999999574E-2</v>
      </c>
      <c r="AX9" s="36">
        <v>80.8</v>
      </c>
      <c r="AY9" s="36">
        <v>81.040000000000006</v>
      </c>
      <c r="AZ9" s="37">
        <v>81.12</v>
      </c>
      <c r="BA9" s="45">
        <f t="shared" si="36"/>
        <v>80.986666666666665</v>
      </c>
      <c r="BB9" s="46">
        <f t="shared" si="37"/>
        <v>0.16653327995729503</v>
      </c>
      <c r="BC9" s="36">
        <v>81.08</v>
      </c>
      <c r="BD9" s="36">
        <v>81.14</v>
      </c>
      <c r="BE9" s="37">
        <v>81.040000000000006</v>
      </c>
      <c r="BF9" s="45">
        <f t="shared" si="38"/>
        <v>81.086666666666659</v>
      </c>
      <c r="BG9" s="46">
        <f t="shared" si="39"/>
        <v>5.0332229568469181E-2</v>
      </c>
      <c r="BH9" s="36">
        <v>80.900000000000006</v>
      </c>
      <c r="BI9" s="36">
        <v>81</v>
      </c>
      <c r="BJ9" s="37">
        <v>80.930000000000007</v>
      </c>
      <c r="BK9" s="45">
        <f t="shared" si="40"/>
        <v>80.943333333333342</v>
      </c>
      <c r="BL9" s="46">
        <f t="shared" si="41"/>
        <v>5.1316014394465558E-2</v>
      </c>
    </row>
    <row r="10" spans="1:77" s="36" customFormat="1" x14ac:dyDescent="0.3">
      <c r="A10" s="32" t="s">
        <v>36</v>
      </c>
      <c r="B10" s="32" t="s">
        <v>37</v>
      </c>
      <c r="C10" s="33" t="s">
        <v>38</v>
      </c>
      <c r="D10" s="34"/>
      <c r="E10" s="35"/>
      <c r="H10" s="38">
        <f>(H8+H9)/40</f>
        <v>1.9373333333333336</v>
      </c>
      <c r="I10" s="37">
        <f>(I8+I9)/4</f>
        <v>1.90685840351753E-2</v>
      </c>
      <c r="J10" s="35"/>
      <c r="M10" s="38">
        <f>(M8+M9)/40</f>
        <v>1.8839999999999999</v>
      </c>
      <c r="N10" s="37">
        <f t="shared" ref="N10" si="42">(N8+N9)/4</f>
        <v>3.6457513110645129E-2</v>
      </c>
      <c r="O10" s="35"/>
      <c r="R10" s="38">
        <f>(R8+R9)/40</f>
        <v>1.8859999999999999</v>
      </c>
      <c r="S10" s="37">
        <f t="shared" ref="S10" si="43">(S8+S9)/4</f>
        <v>1.8356560084014251E-2</v>
      </c>
      <c r="T10" s="35"/>
      <c r="W10" s="38">
        <f>(W8+W9)/40</f>
        <v>3.3061666666666669</v>
      </c>
      <c r="X10" s="37">
        <f t="shared" ref="X10" si="44">(X8+X9)/4</f>
        <v>2.1072751268320315E-2</v>
      </c>
      <c r="Y10" s="35"/>
      <c r="AB10" s="38">
        <f>(AB8+AB9)/40</f>
        <v>3.3300000000000005</v>
      </c>
      <c r="AC10" s="37">
        <f t="shared" ref="AC10" si="45">(AC8+AC9)/4</f>
        <v>2.1048755008415028E-2</v>
      </c>
      <c r="AD10" s="35"/>
      <c r="AG10" s="38">
        <f>(AG8+AG9)/40</f>
        <v>3.3321666666666667</v>
      </c>
      <c r="AH10" s="37">
        <f t="shared" ref="AH10" si="46">(AH8+AH9)/4</f>
        <v>3.6280010689958994E-2</v>
      </c>
      <c r="AI10" s="35"/>
      <c r="AL10" s="38">
        <f>(AL8+AL9)/40</f>
        <v>2.8521666666666667</v>
      </c>
      <c r="AM10" s="37">
        <f t="shared" ref="AM10" si="47">(AM8+AM9)/4</f>
        <v>2.5980762113533118E-2</v>
      </c>
      <c r="AN10" s="35"/>
      <c r="AQ10" s="38">
        <f>(AQ8+AQ9)/40</f>
        <v>2.8478333333333334</v>
      </c>
      <c r="AR10" s="37">
        <f t="shared" ref="AR10" si="48">(AR8+AR9)/4</f>
        <v>3.4879930997110703E-2</v>
      </c>
      <c r="AS10" s="35"/>
      <c r="AV10" s="38">
        <f>(AV8+AV9)/40</f>
        <v>2.8506666666666667</v>
      </c>
      <c r="AW10" s="37">
        <f t="shared" ref="AW10" si="49">(AW8+AW9)/4</f>
        <v>1.2637626158259852E-2</v>
      </c>
      <c r="AX10" s="35"/>
      <c r="BA10" s="38">
        <f>(BA8+BA9)/40</f>
        <v>3.7148333333333334</v>
      </c>
      <c r="BB10" s="37">
        <f t="shared" ref="BB10" si="50">(BB8+BB9)/4</f>
        <v>4.4520071335273359E-2</v>
      </c>
      <c r="BC10" s="35"/>
      <c r="BF10" s="38">
        <f>(BF8+BF9)/40</f>
        <v>3.7210000000000001</v>
      </c>
      <c r="BG10" s="37">
        <f t="shared" ref="BG10" si="51">(BG8+BG9)/4</f>
        <v>4.4728559928761444E-2</v>
      </c>
      <c r="BH10" s="35"/>
      <c r="BK10" s="38">
        <f>(BK8+BK9)/40</f>
        <v>3.7209166666666667</v>
      </c>
      <c r="BL10" s="37">
        <f t="shared" ref="BL10" si="52">(BL8+BL9)/4</f>
        <v>2.0466629756876541E-2</v>
      </c>
    </row>
    <row r="11" spans="1:77" x14ac:dyDescent="0.3">
      <c r="A11" s="48" t="s">
        <v>39</v>
      </c>
      <c r="B11" s="50" t="s">
        <v>40</v>
      </c>
      <c r="H11" s="51">
        <v>76</v>
      </c>
      <c r="M11" s="24">
        <v>78</v>
      </c>
      <c r="R11" s="24">
        <v>76</v>
      </c>
      <c r="W11" s="24">
        <v>77</v>
      </c>
      <c r="X11" s="52">
        <v>1</v>
      </c>
      <c r="AB11" s="24">
        <v>80</v>
      </c>
      <c r="AC11" s="52">
        <v>1</v>
      </c>
      <c r="AG11" s="24">
        <v>81</v>
      </c>
      <c r="AH11" s="53">
        <v>1</v>
      </c>
      <c r="AL11" s="51">
        <v>32</v>
      </c>
      <c r="AM11" s="52">
        <v>1</v>
      </c>
      <c r="AQ11" s="24">
        <v>32</v>
      </c>
      <c r="AV11" s="24">
        <v>32</v>
      </c>
      <c r="AW11" s="53">
        <v>1</v>
      </c>
      <c r="BA11" s="51">
        <v>42</v>
      </c>
      <c r="BF11" s="51">
        <v>43</v>
      </c>
      <c r="BK11" s="51">
        <v>40</v>
      </c>
    </row>
    <row r="12" spans="1:77" s="29" customFormat="1" x14ac:dyDescent="0.3">
      <c r="A12" s="26" t="s">
        <v>41</v>
      </c>
      <c r="B12" s="26"/>
      <c r="C12" s="26"/>
      <c r="E12" s="28"/>
      <c r="H12" s="54">
        <f>H6*H11/10</f>
        <v>2.9823666666666666</v>
      </c>
      <c r="I12" s="30"/>
      <c r="L12" s="30"/>
      <c r="M12" s="54">
        <f t="shared" ref="M12" si="53">M6*M11/10</f>
        <v>3.1070000000000002</v>
      </c>
      <c r="N12" s="30"/>
      <c r="Q12" s="30"/>
      <c r="R12" s="54">
        <f t="shared" ref="R12" si="54">R6*R11/10</f>
        <v>2.9918666666666667</v>
      </c>
      <c r="S12" s="30"/>
      <c r="V12" s="30"/>
      <c r="W12" s="54">
        <f t="shared" ref="W12" si="55">W6*W11/10</f>
        <v>5.1846666666666668</v>
      </c>
      <c r="X12" s="30"/>
      <c r="AA12" s="30"/>
      <c r="AB12" s="54">
        <f t="shared" ref="AB12" si="56">AB6*AB11/10</f>
        <v>5.1555555555555559</v>
      </c>
      <c r="AC12" s="30"/>
      <c r="AF12" s="30"/>
      <c r="AG12" s="54">
        <f t="shared" ref="AG12" si="57">AG6*AG11/10</f>
        <v>5.0669999999999993</v>
      </c>
      <c r="AH12" s="30"/>
      <c r="AK12" s="30"/>
      <c r="AL12" s="54">
        <f t="shared" ref="AL12" si="58">AL6*AL11/10</f>
        <v>4.4373333333333331</v>
      </c>
      <c r="AM12" s="30"/>
      <c r="AP12" s="30"/>
      <c r="AQ12" s="54">
        <f t="shared" ref="AQ12" si="59">AQ6*AQ11/10</f>
        <v>4.4337777777777783</v>
      </c>
      <c r="AR12" s="30"/>
      <c r="AU12" s="30"/>
      <c r="AV12" s="54">
        <f t="shared" ref="AV12" si="60">AV6*AV11/10</f>
        <v>4.4423111111111115</v>
      </c>
      <c r="AW12" s="30"/>
      <c r="AZ12" s="30"/>
      <c r="BA12" s="54">
        <f t="shared" ref="BA12" si="61">BA6*BA11/10</f>
        <v>6.0358666666666672</v>
      </c>
      <c r="BB12" s="30"/>
      <c r="BE12" s="30"/>
      <c r="BF12" s="54">
        <f t="shared" ref="BF12" si="62">BF6*BF11/10</f>
        <v>6.2006000000000006</v>
      </c>
      <c r="BG12" s="30"/>
      <c r="BJ12" s="30"/>
      <c r="BK12" s="54">
        <f t="shared" ref="BK12" si="63">BK6*BK11/10</f>
        <v>5.9866666666666672</v>
      </c>
      <c r="BL12" s="30"/>
      <c r="BO12" s="30"/>
    </row>
    <row r="13" spans="1:77" x14ac:dyDescent="0.3">
      <c r="D13" s="39"/>
      <c r="E13" s="44"/>
      <c r="T13" s="44"/>
      <c r="AI13" s="44"/>
      <c r="AX13" s="44"/>
    </row>
    <row r="16" spans="1:77" x14ac:dyDescent="0.3">
      <c r="S16" s="53" t="s">
        <v>42</v>
      </c>
    </row>
    <row r="19" spans="59:59" x14ac:dyDescent="0.3">
      <c r="BG19" s="55"/>
    </row>
  </sheetData>
  <mergeCells count="12">
    <mergeCell ref="AI1:AM1"/>
    <mergeCell ref="AN1:AR1"/>
    <mergeCell ref="AS1:AW1"/>
    <mergeCell ref="AX1:BB1"/>
    <mergeCell ref="BC1:BG1"/>
    <mergeCell ref="BH1:BL1"/>
    <mergeCell ref="E1:I1"/>
    <mergeCell ref="J1:N1"/>
    <mergeCell ref="O1:S1"/>
    <mergeCell ref="T1:X1"/>
    <mergeCell ref="Y1:AC1"/>
    <mergeCell ref="AD1:A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2018-11-08T12:17:38Z</dcterms:created>
  <dcterms:modified xsi:type="dcterms:W3CDTF">2018-11-08T12:18:08Z</dcterms:modified>
</cp:coreProperties>
</file>