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1/"/>
    </mc:Choice>
  </mc:AlternateContent>
  <xr:revisionPtr revIDLastSave="1586" documentId="8_{EF30591B-542B-4162-8517-23253BD62C6A}" xr6:coauthVersionLast="47" xr6:coauthVersionMax="47" xr10:uidLastSave="{46B8D6E5-CF31-4704-91F2-18B61A98A96A}"/>
  <bookViews>
    <workbookView xWindow="15360" yWindow="192" windowWidth="30720" windowHeight="16272" firstSheet="2" activeTab="2" xr2:uid="{5CC80E2E-FD02-4252-B8A7-3FD409C7683D}"/>
  </bookViews>
  <sheets>
    <sheet name="Sheet1" sheetId="1" r:id="rId1"/>
    <sheet name="List2" sheetId="3" state="hidden" r:id="rId2"/>
    <sheet name="Karolína" sheetId="2" r:id="rId3"/>
    <sheet name="List1" sheetId="4" r:id="rId4"/>
  </sheets>
  <definedNames>
    <definedName name="FromArray_1">_xlfn.ANCHORARRAY(Karolína!$AA$5)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20" i="2" l="1" a="1"/>
  <c r="AK20" i="2" s="1"/>
  <c r="AK5" i="2" a="1"/>
  <c r="AK5" i="2" s="1"/>
  <c r="AJ20" i="2" a="1"/>
  <c r="AJ20" i="2" s="1"/>
  <c r="AI20" i="2" a="1"/>
  <c r="AI20" i="2" s="1"/>
  <c r="AF20" i="2" a="1"/>
  <c r="AF20" i="2" s="1"/>
  <c r="AJ5" i="2" a="1"/>
  <c r="AJ5" i="2" s="1"/>
  <c r="AI5" i="2" a="1"/>
  <c r="AI5" i="2" s="1"/>
  <c r="AF5" i="2" a="1"/>
  <c r="AF5" i="2" s="1"/>
  <c r="AL20" i="2" a="1"/>
  <c r="AL20" i="2" s="1"/>
  <c r="AH20" i="2" a="1"/>
  <c r="AH20" i="2" s="1"/>
  <c r="AG20" i="2" a="1"/>
  <c r="AG20" i="2" s="1"/>
  <c r="AE20" i="2" a="1"/>
  <c r="AE20" i="2" s="1"/>
  <c r="AD20" i="2" a="1"/>
  <c r="AD20" i="2" s="1"/>
  <c r="AC20" i="2" a="1"/>
  <c r="AC20" i="2" s="1"/>
  <c r="AB20" i="2" a="1"/>
  <c r="AB20" i="2" s="1"/>
  <c r="AA20" i="2" a="1"/>
  <c r="AA20" i="2" s="1"/>
  <c r="AL5" i="2" a="1"/>
  <c r="AL5" i="2" s="1"/>
  <c r="AH5" i="2" a="1"/>
  <c r="AH5" i="2" s="1"/>
  <c r="AG5" i="2" a="1"/>
  <c r="AG5" i="2" s="1"/>
  <c r="AE5" i="2" a="1"/>
  <c r="AE5" i="2" s="1"/>
  <c r="AD5" i="2" a="1"/>
  <c r="AD5" i="2" s="1"/>
  <c r="AC5" i="2" a="1"/>
  <c r="AC5" i="2" s="1"/>
  <c r="AB5" i="2" a="1"/>
  <c r="AB5" i="2" s="1"/>
  <c r="AA5" i="2" a="1"/>
  <c r="AA5" i="2" s="1"/>
  <c r="H27" i="4"/>
  <c r="F27" i="4"/>
  <c r="G8" i="4"/>
  <c r="L18" i="4"/>
  <c r="J18" i="4"/>
  <c r="J8" i="4"/>
  <c r="L8" i="4" s="1"/>
  <c r="G18" i="4"/>
  <c r="G9" i="4"/>
  <c r="G10" i="4"/>
  <c r="G11" i="4"/>
  <c r="G12" i="4"/>
  <c r="G13" i="4"/>
  <c r="G14" i="4"/>
  <c r="G15" i="4"/>
  <c r="G16" i="4"/>
  <c r="G17" i="4"/>
  <c r="F19" i="4"/>
  <c r="F20" i="4"/>
  <c r="F21" i="4"/>
  <c r="F22" i="4"/>
  <c r="F23" i="4"/>
  <c r="F24" i="4"/>
  <c r="F25" i="4"/>
  <c r="F26" i="4"/>
  <c r="F18" i="4"/>
  <c r="F9" i="4"/>
  <c r="F10" i="4"/>
  <c r="F11" i="4"/>
  <c r="F12" i="4"/>
  <c r="F13" i="4"/>
  <c r="F14" i="4"/>
  <c r="F15" i="4"/>
  <c r="F16" i="4"/>
  <c r="F17" i="4"/>
  <c r="F8" i="4"/>
  <c r="H8" i="4" s="1"/>
  <c r="J27" i="4"/>
  <c r="G27" i="4"/>
  <c r="J26" i="4"/>
  <c r="G26" i="4"/>
  <c r="J25" i="4"/>
  <c r="G25" i="4"/>
  <c r="J24" i="4"/>
  <c r="G24" i="4"/>
  <c r="J23" i="4"/>
  <c r="G23" i="4"/>
  <c r="J22" i="4"/>
  <c r="G22" i="4"/>
  <c r="J21" i="4"/>
  <c r="G21" i="4"/>
  <c r="J20" i="4"/>
  <c r="G20" i="4"/>
  <c r="J19" i="4"/>
  <c r="G19" i="4"/>
  <c r="S8" i="4"/>
  <c r="K8" i="4"/>
  <c r="L9" i="1"/>
  <c r="K9" i="1"/>
  <c r="J9" i="1"/>
  <c r="G8" i="1"/>
  <c r="F8" i="1" a="1"/>
  <c r="F8" i="1"/>
  <c r="N20" i="2" a="1"/>
  <c r="N20" i="2"/>
  <c r="N5" i="2" a="1"/>
  <c r="N5" i="2"/>
  <c r="M20" i="2" a="1"/>
  <c r="M20" i="2"/>
  <c r="P25" i="2" a="1"/>
  <c r="P25" i="2"/>
  <c r="P20" i="2" a="1"/>
  <c r="P20" i="2"/>
  <c r="L20" i="2" a="1"/>
  <c r="L20" i="2"/>
  <c r="L5" i="2" a="1"/>
  <c r="L5" i="2"/>
  <c r="K25" i="2" a="1"/>
  <c r="K25" i="2"/>
  <c r="K9" i="2" a="1"/>
  <c r="K9" i="2"/>
  <c r="K5" i="2" a="1"/>
  <c r="K5" i="2"/>
  <c r="K20" i="2" a="1"/>
  <c r="K20" i="2"/>
  <c r="J5" i="2" a="1"/>
  <c r="J5" i="2"/>
  <c r="J20" i="2" a="1"/>
  <c r="J20" i="2"/>
  <c r="I20" i="2" a="1"/>
  <c r="I20" i="2"/>
  <c r="H25" i="2" a="1"/>
  <c r="H25" i="2"/>
  <c r="H20" i="2" a="1"/>
  <c r="H20" i="2"/>
  <c r="H5" i="2" a="1"/>
  <c r="H5" i="2"/>
  <c r="I5" i="2" a="1"/>
  <c r="I5" i="2"/>
  <c r="G20" i="2" a="1"/>
  <c r="G20" i="2"/>
  <c r="G5" i="2" a="1"/>
  <c r="G5" i="2"/>
  <c r="P5" i="2" a="1"/>
  <c r="P5" i="2"/>
  <c r="P8" i="2" a="1"/>
  <c r="P8" i="2"/>
  <c r="M5" i="2" a="1"/>
  <c r="M5" i="2"/>
  <c r="S8" i="2"/>
  <c r="S12" i="2"/>
  <c r="S10" i="2"/>
  <c r="H8" i="2" a="1"/>
  <c r="H8" i="2"/>
  <c r="J8" i="1"/>
  <c r="L8" i="1"/>
  <c r="I4" i="1"/>
  <c r="H8" i="1"/>
  <c r="G18" i="1"/>
  <c r="E4" i="1"/>
  <c r="G12" i="1"/>
  <c r="G11" i="1"/>
  <c r="G10" i="1"/>
  <c r="G9" i="1"/>
  <c r="G13" i="1"/>
  <c r="G14" i="1"/>
  <c r="G15" i="1"/>
  <c r="G16" i="1"/>
  <c r="G17" i="1"/>
  <c r="J13" i="1"/>
  <c r="L13" i="1"/>
  <c r="M4" i="1"/>
  <c r="J10" i="1"/>
  <c r="L10" i="1"/>
  <c r="J11" i="1"/>
  <c r="L11" i="1"/>
  <c r="J12" i="1"/>
  <c r="L12" i="1"/>
  <c r="J14" i="1"/>
  <c r="L14" i="1"/>
  <c r="J15" i="1"/>
  <c r="L15" i="1"/>
  <c r="J16" i="1"/>
  <c r="L16" i="1"/>
  <c r="J17" i="1"/>
  <c r="L17" i="1"/>
  <c r="K10" i="1"/>
  <c r="K11" i="1"/>
  <c r="K12" i="1"/>
  <c r="K13" i="1"/>
  <c r="K14" i="1"/>
  <c r="K15" i="1"/>
  <c r="K16" i="1"/>
  <c r="K17" i="1"/>
  <c r="K8" i="1"/>
  <c r="K19" i="1"/>
  <c r="L19" i="1"/>
  <c r="K20" i="1"/>
  <c r="L20" i="1"/>
  <c r="K21" i="1"/>
  <c r="L21" i="1"/>
  <c r="K22" i="1"/>
  <c r="L22" i="1"/>
  <c r="K23" i="1"/>
  <c r="K24" i="1"/>
  <c r="K25" i="1"/>
  <c r="K26" i="1"/>
  <c r="K27" i="1"/>
  <c r="K18" i="1"/>
  <c r="S8" i="1"/>
  <c r="J21" i="1"/>
  <c r="J22" i="1"/>
  <c r="J23" i="1"/>
  <c r="L23" i="1" s="1"/>
  <c r="J24" i="1"/>
  <c r="L24" i="1" s="1"/>
  <c r="J25" i="1"/>
  <c r="L25" i="1" s="1"/>
  <c r="J26" i="1"/>
  <c r="L26" i="1" s="1"/>
  <c r="J27" i="1"/>
  <c r="L27" i="1" s="1"/>
  <c r="J19" i="1"/>
  <c r="J20" i="1"/>
  <c r="J18" i="1"/>
  <c r="L18" i="1" s="1"/>
  <c r="G24" i="1"/>
  <c r="G25" i="1"/>
  <c r="G26" i="1"/>
  <c r="G27" i="1"/>
  <c r="G23" i="1"/>
  <c r="G19" i="1"/>
  <c r="G20" i="1"/>
  <c r="G21" i="1"/>
  <c r="G22" i="1"/>
  <c r="H20" i="1"/>
  <c r="I20" i="1"/>
  <c r="H17" i="1"/>
  <c r="I17" i="1"/>
  <c r="H14" i="1"/>
  <c r="M14" i="1"/>
  <c r="H12" i="1"/>
  <c r="I12" i="1"/>
  <c r="H11" i="1"/>
  <c r="M11" i="1"/>
  <c r="H10" i="1"/>
  <c r="M10" i="1" s="1"/>
  <c r="H25" i="1"/>
  <c r="I25" i="1"/>
  <c r="H23" i="1"/>
  <c r="I23" i="1"/>
  <c r="H18" i="1"/>
  <c r="I18" i="1"/>
  <c r="H21" i="1"/>
  <c r="I21" i="1"/>
  <c r="H19" i="1"/>
  <c r="I19" i="1"/>
  <c r="H16" i="1"/>
  <c r="I16" i="1"/>
  <c r="H15" i="1"/>
  <c r="I15" i="1"/>
  <c r="H13" i="1"/>
  <c r="I13" i="1"/>
  <c r="H22" i="1"/>
  <c r="I22" i="1"/>
  <c r="H27" i="1"/>
  <c r="I27" i="1"/>
  <c r="H26" i="1"/>
  <c r="I26" i="1"/>
  <c r="H24" i="1"/>
  <c r="I24" i="1"/>
  <c r="I14" i="1"/>
  <c r="M17" i="1"/>
  <c r="M12" i="1"/>
  <c r="I10" i="1"/>
  <c r="M23" i="1"/>
  <c r="I8" i="1"/>
  <c r="M8" i="1"/>
  <c r="M25" i="1"/>
  <c r="M22" i="1"/>
  <c r="M13" i="1"/>
  <c r="M26" i="1"/>
  <c r="M16" i="1"/>
  <c r="M20" i="1"/>
  <c r="M27" i="1"/>
  <c r="M15" i="1"/>
  <c r="I11" i="1"/>
  <c r="M18" i="1"/>
  <c r="M19" i="1"/>
  <c r="M21" i="1"/>
  <c r="M24" i="1"/>
  <c r="M8" i="4" l="1"/>
  <c r="I8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K27" i="4"/>
  <c r="L27" i="4" s="1"/>
  <c r="M27" i="4" s="1"/>
  <c r="K26" i="4"/>
  <c r="L26" i="4" s="1"/>
  <c r="M26" i="4" s="1"/>
  <c r="K25" i="4"/>
  <c r="L25" i="4" s="1"/>
  <c r="M25" i="4" s="1"/>
  <c r="K24" i="4"/>
  <c r="L24" i="4" s="1"/>
  <c r="M24" i="4" s="1"/>
  <c r="K23" i="4"/>
  <c r="L23" i="4" s="1"/>
  <c r="M23" i="4" s="1"/>
  <c r="K22" i="4"/>
  <c r="L22" i="4" s="1"/>
  <c r="M22" i="4" s="1"/>
  <c r="K21" i="4"/>
  <c r="L21" i="4" s="1"/>
  <c r="M21" i="4" s="1"/>
  <c r="K20" i="4"/>
  <c r="L20" i="4" s="1"/>
  <c r="M20" i="4" s="1"/>
  <c r="K19" i="4"/>
  <c r="L19" i="4" s="1"/>
  <c r="M19" i="4" s="1"/>
  <c r="K18" i="4"/>
  <c r="M18" i="4" s="1"/>
  <c r="K17" i="4"/>
  <c r="J17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H9" i="1"/>
  <c r="L9" i="4" l="1"/>
  <c r="M9" i="4" s="1"/>
  <c r="L10" i="4"/>
  <c r="M10" i="4" s="1"/>
  <c r="L11" i="4"/>
  <c r="M11" i="4" s="1"/>
  <c r="L12" i="4"/>
  <c r="M12" i="4" s="1"/>
  <c r="L13" i="4"/>
  <c r="M13" i="4" s="1"/>
  <c r="L14" i="4"/>
  <c r="M14" i="4" s="1"/>
  <c r="L15" i="4"/>
  <c r="M15" i="4" s="1"/>
  <c r="L16" i="4"/>
  <c r="M16" i="4" s="1"/>
  <c r="L17" i="4"/>
  <c r="M17" i="4" s="1"/>
  <c r="M9" i="1"/>
  <c r="I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<sst xmlns="http://schemas.openxmlformats.org/spreadsheetml/2006/main" count="241" uniqueCount="78">
  <si>
    <r>
      <rPr>
        <sz val="11"/>
        <color rgb="FF000000"/>
        <rFont val="Aptos Narrow"/>
        <family val="2"/>
        <scheme val="minor"/>
      </rPr>
      <t>R</t>
    </r>
    <r>
      <rPr>
        <vertAlign val="subscript"/>
        <sz val="11"/>
        <color rgb="FF000000"/>
        <rFont val="Aptos Narrow"/>
        <family val="2"/>
        <scheme val="minor"/>
      </rPr>
      <t xml:space="preserve">V </t>
    </r>
    <r>
      <rPr>
        <sz val="11"/>
        <color rgb="FF000000"/>
        <rFont val="Aptos Narrow"/>
        <family val="2"/>
        <scheme val="minor"/>
      </rPr>
      <t>=</t>
    </r>
  </si>
  <si>
    <t>Ω</t>
  </si>
  <si>
    <r>
      <t>R</t>
    </r>
    <r>
      <rPr>
        <vertAlign val="subscript"/>
        <sz val="11"/>
        <color rgb="FF000000"/>
        <rFont val="Aptos Narrow"/>
        <family val="2"/>
        <scheme val="minor"/>
      </rPr>
      <t>A400mA</t>
    </r>
    <r>
      <rPr>
        <sz val="11"/>
        <color rgb="FF000000"/>
        <rFont val="Aptos Narrow"/>
        <family val="2"/>
        <scheme val="minor"/>
      </rPr>
      <t xml:space="preserve"> =</t>
    </r>
  </si>
  <si>
    <r>
      <rPr>
        <sz val="11"/>
        <color rgb="FF000000"/>
        <rFont val="Aptos Narrow"/>
        <family val="2"/>
        <scheme val="minor"/>
      </rPr>
      <t>R</t>
    </r>
    <r>
      <rPr>
        <vertAlign val="subscript"/>
        <sz val="11"/>
        <color rgb="FF000000"/>
        <rFont val="Aptos Narrow"/>
        <family val="2"/>
        <scheme val="minor"/>
      </rPr>
      <t>A10A</t>
    </r>
    <r>
      <rPr>
        <sz val="11"/>
        <color rgb="FF000000"/>
        <rFont val="Aptos Narrow"/>
        <family val="2"/>
        <scheme val="minor"/>
      </rPr>
      <t xml:space="preserve"> =</t>
    </r>
  </si>
  <si>
    <t>mΩ</t>
  </si>
  <si>
    <t>X_M - indikovaná hodnota</t>
  </si>
  <si>
    <r>
      <t>δ</t>
    </r>
    <r>
      <rPr>
        <vertAlign val="subscript"/>
        <sz val="11"/>
        <color rgb="FF000000"/>
        <rFont val="Aptos Narrow"/>
        <family val="2"/>
        <scheme val="minor"/>
      </rPr>
      <t>MV</t>
    </r>
    <r>
      <rPr>
        <sz val="11"/>
        <color rgb="FF000000"/>
        <rFont val="Aptos Narrow"/>
        <family val="2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</si>
  <si>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family val="2"/>
        <scheme val="minor"/>
      </rPr>
      <t>RV</t>
    </r>
    <r>
      <rPr>
        <sz val="11"/>
        <color rgb="FF000000"/>
        <rFont val="Aptos Narrow"/>
        <family val="2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</si>
  <si>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family val="2"/>
        <scheme val="minor"/>
      </rPr>
      <t>MA400mA</t>
    </r>
    <r>
      <rPr>
        <sz val="11"/>
        <color rgb="FF000000"/>
        <rFont val="Aptos Narrow"/>
        <family val="2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</si>
  <si>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family val="2"/>
        <scheme val="minor"/>
      </rPr>
      <t>RA400mA</t>
    </r>
    <r>
      <rPr>
        <sz val="11"/>
        <color rgb="FF000000"/>
        <rFont val="Aptos Narrow"/>
        <family val="2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</si>
  <si>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family val="2"/>
        <scheme val="minor"/>
      </rPr>
      <t>MA10A</t>
    </r>
    <r>
      <rPr>
        <sz val="11"/>
        <color rgb="FF000000"/>
        <rFont val="Aptos Narrow"/>
        <family val="2"/>
        <scheme val="minor"/>
      </rPr>
      <t xml:space="preserve"> (%)=</t>
    </r>
  </si>
  <si>
    <r>
      <t>δ</t>
    </r>
    <r>
      <rPr>
        <vertAlign val="subscript"/>
        <sz val="11"/>
        <color rgb="FF000000"/>
        <rFont val="Aptos Narrow"/>
        <family val="2"/>
        <scheme val="minor"/>
      </rPr>
      <t>RA10A</t>
    </r>
    <r>
      <rPr>
        <sz val="11"/>
        <color rgb="FF000000"/>
        <rFont val="Aptos Narrow"/>
        <family val="2"/>
        <scheme val="minor"/>
      </rPr>
      <t xml:space="preserve"> (%)=</t>
    </r>
  </si>
  <si>
    <t>X_R - rozsah</t>
  </si>
  <si>
    <t>I</t>
  </si>
  <si>
    <t>U</t>
  </si>
  <si>
    <t>P</t>
  </si>
  <si>
    <r>
      <rPr>
        <sz val="11"/>
        <color theme="1"/>
        <rFont val="Aptos Narrow"/>
        <family val="2"/>
      </rPr>
      <t>Δ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</si>
  <si>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P</t>
    </r>
    <r>
      <rPr>
        <vertAlign val="subscript"/>
        <sz val="11"/>
        <color theme="1"/>
        <rFont val="Aptos Narrow"/>
        <family val="2"/>
        <scheme val="minor"/>
      </rPr>
      <t>Z</t>
    </r>
  </si>
  <si>
    <r>
      <t>δ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</si>
  <si>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BI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</si>
  <si>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BU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</si>
  <si>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</si>
  <si>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rPr>
        <sz val="11"/>
        <color theme="1"/>
        <rFont val="Aptos Narrow"/>
        <family val="2"/>
      </rPr>
      <t>Ũ</t>
    </r>
    <r>
      <rPr>
        <vertAlign val="subscript"/>
        <sz val="11"/>
        <color theme="1"/>
        <rFont val="Aptos Narrow"/>
        <family val="2"/>
        <scheme val="minor"/>
      </rPr>
      <t>P</t>
    </r>
  </si>
  <si>
    <t>Ra2</t>
  </si>
  <si>
    <r>
      <t>X</t>
    </r>
    <r>
      <rPr>
        <vertAlign val="subscript"/>
        <sz val="11"/>
        <color theme="1"/>
        <rFont val="Aptos Narrow"/>
        <family val="2"/>
        <scheme val="minor"/>
      </rPr>
      <t>M</t>
    </r>
  </si>
  <si>
    <r>
      <t>X</t>
    </r>
    <r>
      <rPr>
        <vertAlign val="subscript"/>
        <sz val="11"/>
        <color theme="1"/>
        <rFont val="Aptos Narrow"/>
        <family val="2"/>
        <scheme val="minor"/>
      </rPr>
      <t>R</t>
    </r>
  </si>
  <si>
    <t>Ra1</t>
  </si>
  <si>
    <t>A</t>
  </si>
  <si>
    <t>V</t>
  </si>
  <si>
    <t xml:space="preserve">V </t>
  </si>
  <si>
    <t>W</t>
  </si>
  <si>
    <t>mW</t>
  </si>
  <si>
    <t>%</t>
  </si>
  <si>
    <t>mA</t>
  </si>
  <si>
    <t>mV</t>
  </si>
  <si>
    <t>AV</t>
  </si>
  <si>
    <t>X</t>
  </si>
  <si>
    <t>Mv</t>
  </si>
  <si>
    <t>Rv</t>
  </si>
  <si>
    <t>Rv2</t>
  </si>
  <si>
    <t>MA400</t>
  </si>
  <si>
    <t>RA400</t>
  </si>
  <si>
    <t>VA</t>
  </si>
  <si>
    <t>Voltmetr</t>
  </si>
  <si>
    <t>Ampérmetr 400mA</t>
  </si>
  <si>
    <t>d</t>
  </si>
  <si>
    <t>D</t>
  </si>
  <si>
    <t>Ampérmetr 10A</t>
  </si>
  <si>
    <t>Učitel vravel že 4 Xr</t>
  </si>
  <si>
    <t>delta_P</t>
  </si>
  <si>
    <t>U_P</t>
  </si>
  <si>
    <t>u_PAV</t>
  </si>
  <si>
    <t>R_V4V</t>
  </si>
  <si>
    <t>Ohm</t>
  </si>
  <si>
    <t>Mezní odchylka měřícího rozsahu</t>
  </si>
  <si>
    <t>R_V40V</t>
  </si>
  <si>
    <t>R_A400mA</t>
  </si>
  <si>
    <t>d_V</t>
  </si>
  <si>
    <t>R_A10A</t>
  </si>
  <si>
    <t>d_A400mA</t>
  </si>
  <si>
    <t>delta_MV</t>
  </si>
  <si>
    <t>d_A10A</t>
  </si>
  <si>
    <t>delta_RV</t>
  </si>
  <si>
    <t>delta_MA400mA</t>
  </si>
  <si>
    <t>delta_RA400mA</t>
  </si>
  <si>
    <t>delta_MA10A</t>
  </si>
  <si>
    <t>delta_RA10A</t>
  </si>
  <si>
    <t>u_PVA</t>
  </si>
  <si>
    <t> </t>
  </si>
  <si>
    <r>
      <t>R</t>
    </r>
    <r>
      <rPr>
        <i/>
        <vertAlign val="subscript"/>
        <sz val="12"/>
        <color rgb="FF000000"/>
        <rFont val="Calibri"/>
        <family val="2"/>
        <charset val="238"/>
      </rPr>
      <t>v</t>
    </r>
    <r>
      <rPr>
        <i/>
        <sz val="12"/>
        <color rgb="FF000000"/>
        <rFont val="Calibri"/>
        <family val="2"/>
        <charset val="238"/>
      </rPr>
      <t xml:space="preserve"> = 10 M</t>
    </r>
    <r>
      <rPr>
        <sz val="12"/>
        <color rgb="FF000000"/>
        <rFont val="Calibri"/>
        <family val="2"/>
        <charset val="238"/>
      </rPr>
      <t>Ω</t>
    </r>
    <r>
      <rPr>
        <i/>
        <sz val="20.05"/>
        <color rgb="FF000000"/>
        <rFont val="Calibri"/>
        <family val="2"/>
        <charset val="238"/>
      </rPr>
      <t xml:space="preserve">, </t>
    </r>
    <r>
      <rPr>
        <i/>
        <vertAlign val="subscript"/>
        <sz val="12"/>
        <color rgb="FF000000"/>
        <rFont val="Calibri"/>
        <family val="2"/>
        <charset val="238"/>
      </rPr>
      <t xml:space="preserve"> </t>
    </r>
    <r>
      <rPr>
        <i/>
        <sz val="12"/>
        <color rgb="FF000000"/>
        <rFont val="Calibri"/>
        <family val="2"/>
        <charset val="238"/>
      </rPr>
      <t>R</t>
    </r>
    <r>
      <rPr>
        <i/>
        <vertAlign val="subscript"/>
        <sz val="12"/>
        <color rgb="FF000000"/>
        <rFont val="Calibri"/>
        <family val="2"/>
        <charset val="238"/>
      </rPr>
      <t xml:space="preserve">A400mA </t>
    </r>
    <r>
      <rPr>
        <i/>
        <sz val="12"/>
        <color rgb="FF000000"/>
        <rFont val="Calibri"/>
        <family val="2"/>
        <charset val="238"/>
      </rPr>
      <t>= 1,5Ω,  R</t>
    </r>
    <r>
      <rPr>
        <i/>
        <vertAlign val="subscript"/>
        <sz val="12"/>
        <color rgb="FF000000"/>
        <rFont val="Calibri"/>
        <family val="2"/>
        <charset val="238"/>
      </rPr>
      <t>A10A</t>
    </r>
    <r>
      <rPr>
        <i/>
        <sz val="12"/>
        <color rgb="FF000000"/>
        <rFont val="Calibri"/>
        <family val="2"/>
        <charset val="238"/>
      </rPr>
      <t xml:space="preserve"> = 60mΩ, δ</t>
    </r>
    <r>
      <rPr>
        <i/>
        <vertAlign val="subscript"/>
        <sz val="12"/>
        <color rgb="FF000000"/>
        <rFont val="Calibri"/>
        <family val="2"/>
        <charset val="238"/>
      </rPr>
      <t>MV</t>
    </r>
    <r>
      <rPr>
        <i/>
        <sz val="12"/>
        <color rgb="FF000000"/>
        <rFont val="Calibri"/>
        <family val="2"/>
        <charset val="238"/>
      </rPr>
      <t xml:space="preserve"> = 2,0%, δ</t>
    </r>
    <r>
      <rPr>
        <i/>
        <vertAlign val="subscript"/>
        <sz val="12"/>
        <color rgb="FF000000"/>
        <rFont val="Calibri"/>
        <family val="2"/>
        <charset val="238"/>
      </rPr>
      <t xml:space="preserve">RV </t>
    </r>
    <r>
      <rPr>
        <i/>
        <sz val="12"/>
        <color rgb="FF000000"/>
        <rFont val="Calibri"/>
        <family val="2"/>
        <charset val="238"/>
      </rPr>
      <t xml:space="preserve"> = 0,1%, δ</t>
    </r>
    <r>
      <rPr>
        <i/>
        <vertAlign val="subscript"/>
        <sz val="12"/>
        <color rgb="FF000000"/>
        <rFont val="Calibri"/>
        <family val="2"/>
        <charset val="238"/>
      </rPr>
      <t>MA400mA</t>
    </r>
    <r>
      <rPr>
        <i/>
        <sz val="12"/>
        <color rgb="FF000000"/>
        <rFont val="Calibri"/>
        <family val="2"/>
        <charset val="238"/>
      </rPr>
      <t xml:space="preserve"> = 1%, δ</t>
    </r>
    <r>
      <rPr>
        <i/>
        <vertAlign val="subscript"/>
        <sz val="12"/>
        <color rgb="FF000000"/>
        <rFont val="Calibri"/>
        <family val="2"/>
        <charset val="238"/>
      </rPr>
      <t>RA400mA</t>
    </r>
    <r>
      <rPr>
        <i/>
        <sz val="12"/>
        <color rgb="FF000000"/>
        <rFont val="Calibri"/>
        <family val="2"/>
        <charset val="238"/>
      </rPr>
      <t xml:space="preserve"> = 0,15%, δ</t>
    </r>
    <r>
      <rPr>
        <i/>
        <vertAlign val="subscript"/>
        <sz val="12"/>
        <color rgb="FF000000"/>
        <rFont val="Calibri"/>
        <family val="2"/>
        <charset val="238"/>
      </rPr>
      <t>MA10A</t>
    </r>
    <r>
      <rPr>
        <i/>
        <sz val="12"/>
        <color rgb="FF000000"/>
        <rFont val="Calibri"/>
        <family val="2"/>
        <charset val="238"/>
      </rPr>
      <t xml:space="preserve"> = 1,5%,             δ</t>
    </r>
    <r>
      <rPr>
        <i/>
        <vertAlign val="subscript"/>
        <sz val="12"/>
        <color rgb="FF000000"/>
        <rFont val="Calibri"/>
        <family val="2"/>
        <charset val="238"/>
      </rPr>
      <t>RA10A</t>
    </r>
    <r>
      <rPr>
        <i/>
        <sz val="12"/>
        <color rgb="FF000000"/>
        <rFont val="Calibri"/>
        <family val="2"/>
        <charset val="238"/>
      </rPr>
      <t xml:space="preserve"> = 0,03%, k</t>
    </r>
    <r>
      <rPr>
        <i/>
        <vertAlign val="subscript"/>
        <sz val="12"/>
        <color rgb="FF000000"/>
        <rFont val="Calibri"/>
        <family val="2"/>
        <charset val="238"/>
      </rPr>
      <t>r</t>
    </r>
    <r>
      <rPr>
        <i/>
        <sz val="12"/>
        <color rgb="FF000000"/>
        <rFont val="Calibri"/>
        <family val="2"/>
        <charset val="238"/>
      </rPr>
      <t xml:space="preserve"> = 2,  χ = </t>
    </r>
    <r>
      <rPr>
        <sz val="12"/>
        <color rgb="FF000000"/>
        <rFont val="Calibri"/>
        <family val="2"/>
        <charset val="238"/>
      </rPr>
      <t>√3</t>
    </r>
  </si>
  <si>
    <t>Výpočetní tabulky:</t>
  </si>
  <si>
    <t>Výsledkové tabulky:</t>
  </si>
  <si>
    <r>
      <t>I</t>
    </r>
    <r>
      <rPr>
        <vertAlign val="subscript"/>
        <sz val="11"/>
        <color theme="1"/>
        <rFont val="Aptos Narrow"/>
        <family val="2"/>
        <scheme val="minor"/>
      </rPr>
      <t>M</t>
    </r>
  </si>
  <si>
    <r>
      <t>I</t>
    </r>
    <r>
      <rPr>
        <vertAlign val="subscript"/>
        <sz val="11"/>
        <color theme="1"/>
        <rFont val="Aptos Narrow"/>
        <family val="2"/>
        <scheme val="minor"/>
      </rPr>
      <t>R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</si>
  <si>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M</t>
    </r>
  </si>
  <si>
    <r>
      <t>U</t>
    </r>
    <r>
      <rPr>
        <vertAlign val="subscript"/>
        <sz val="11"/>
        <color theme="1"/>
        <rFont val="Aptos Narrow"/>
        <family val="2"/>
        <scheme val="minor"/>
      </rPr>
      <t>R</t>
    </r>
  </si>
  <si>
    <r>
      <rPr>
        <sz val="11"/>
        <color theme="1"/>
        <rFont val="Aptos Narrow"/>
        <family val="2"/>
      </rPr>
      <t>δ</t>
    </r>
    <r>
      <rPr>
        <vertAlign val="subscript"/>
        <sz val="11"/>
        <color theme="1"/>
        <rFont val="Aptos Narrow"/>
        <family val="2"/>
        <scheme val="minor"/>
      </rPr>
      <t>P</t>
    </r>
  </si>
  <si>
    <r>
      <rPr>
        <sz val="11"/>
        <color theme="1"/>
        <rFont val="Aptos Narrow"/>
        <family val="2"/>
      </rPr>
      <t>μ</t>
    </r>
    <r>
      <rPr>
        <sz val="11"/>
        <color theme="1"/>
        <rFont val="Aptos Narrow"/>
        <family val="2"/>
        <charset val="238"/>
        <scheme val="minor"/>
      </rPr>
      <t>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</si>
</sst>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0"/>
    <numFmt numFmtId="167" formatCode="0.0"/>
  </numFmts>
  <fonts count="12" x14ac:knownFonts="1">
    <font>
      <sz val="11"/>
      <color theme="1"/>
      <name val="Aptos Narrow"/>
      <family val="2"/>
      <charset val="238"/>
      <scheme val="minor"/>
    </font>
    <font>
      <vertAlign val="subscript"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vertAlign val="subscript"/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i/>
      <vertAlign val="subscript"/>
      <sz val="12"/>
      <color rgb="FF000000"/>
      <name val="Calibri"/>
      <family val="2"/>
      <charset val="238"/>
    </font>
    <font>
      <i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i/>
      <sz val="20.05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lightDown">
        <fgColor rgb="FF000000"/>
        <bgColor rgb="FF7B7B7B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2" fontId="0" fillId="0" borderId="21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164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4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164" fontId="0" fillId="0" borderId="37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2" fontId="0" fillId="0" borderId="39" xfId="0" applyNumberFormat="1" applyBorder="1" applyAlignment="1">
      <alignment horizontal="center"/>
    </xf>
    <xf numFmtId="164" fontId="0" fillId="0" borderId="39" xfId="0" applyNumberFormat="1" applyBorder="1" applyAlignment="1">
      <alignment horizontal="center"/>
    </xf>
    <xf numFmtId="164" fontId="0" fillId="0" borderId="42" xfId="0" applyNumberFormat="1" applyBorder="1" applyAlignment="1">
      <alignment horizontal="center"/>
    </xf>
    <xf numFmtId="0" fontId="4" fillId="0" borderId="26" xfId="0" applyFont="1" applyBorder="1" applyAlignment="1">
      <alignment horizontal="right"/>
    </xf>
    <xf numFmtId="0" fontId="6" fillId="0" borderId="29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27" xfId="0" applyFont="1" applyBorder="1" applyAlignment="1">
      <alignment horizontal="right"/>
    </xf>
    <xf numFmtId="0" fontId="0" fillId="0" borderId="27" xfId="0" applyBorder="1" applyAlignment="1">
      <alignment horizontal="left"/>
    </xf>
    <xf numFmtId="2" fontId="0" fillId="0" borderId="9" xfId="0" applyNumberFormat="1" applyBorder="1" applyAlignment="1">
      <alignment horizontal="left"/>
    </xf>
    <xf numFmtId="2" fontId="0" fillId="0" borderId="9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2" fontId="0" fillId="0" borderId="70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166" fontId="0" fillId="0" borderId="70" xfId="0" applyNumberFormat="1" applyBorder="1" applyAlignment="1">
      <alignment horizontal="center"/>
    </xf>
    <xf numFmtId="167" fontId="0" fillId="0" borderId="66" xfId="0" applyNumberFormat="1" applyBorder="1" applyAlignment="1">
      <alignment horizontal="center"/>
    </xf>
    <xf numFmtId="167" fontId="0" fillId="0" borderId="67" xfId="0" applyNumberFormat="1" applyBorder="1" applyAlignment="1">
      <alignment horizontal="center"/>
    </xf>
    <xf numFmtId="167" fontId="0" fillId="0" borderId="71" xfId="0" applyNumberFormat="1" applyBorder="1" applyAlignment="1">
      <alignment horizontal="center"/>
    </xf>
    <xf numFmtId="167" fontId="0" fillId="0" borderId="68" xfId="0" applyNumberFormat="1" applyBorder="1" applyAlignment="1">
      <alignment horizontal="center"/>
    </xf>
    <xf numFmtId="167" fontId="0" fillId="0" borderId="16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67" fontId="0" fillId="0" borderId="70" xfId="0" applyNumberFormat="1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70" xfId="0" applyNumberFormat="1" applyBorder="1" applyAlignment="1">
      <alignment horizontal="center"/>
    </xf>
    <xf numFmtId="1" fontId="0" fillId="0" borderId="19" xfId="0" applyNumberFormat="1" applyBorder="1" applyAlignment="1">
      <alignment horizontal="center"/>
    </xf>
    <xf numFmtId="164" fontId="0" fillId="0" borderId="62" xfId="0" applyNumberFormat="1" applyBorder="1" applyAlignment="1">
      <alignment horizontal="center"/>
    </xf>
    <xf numFmtId="165" fontId="0" fillId="0" borderId="64" xfId="0" applyNumberFormat="1" applyBorder="1" applyAlignment="1">
      <alignment horizontal="center"/>
    </xf>
    <xf numFmtId="165" fontId="0" fillId="0" borderId="62" xfId="0" applyNumberFormat="1" applyBorder="1" applyAlignment="1">
      <alignment horizontal="center"/>
    </xf>
    <xf numFmtId="164" fontId="0" fillId="0" borderId="65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2" borderId="46" xfId="0" applyFont="1" applyFill="1" applyBorder="1" applyAlignment="1">
      <alignment wrapText="1"/>
    </xf>
    <xf numFmtId="0" fontId="8" fillId="2" borderId="47" xfId="0" applyFont="1" applyFill="1" applyBorder="1" applyAlignment="1">
      <alignment wrapText="1"/>
    </xf>
    <xf numFmtId="0" fontId="8" fillId="2" borderId="48" xfId="0" applyFont="1" applyFill="1" applyBorder="1" applyAlignment="1">
      <alignment wrapText="1"/>
    </xf>
    <xf numFmtId="0" fontId="8" fillId="2" borderId="49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8" fillId="2" borderId="43" xfId="0" applyFont="1" applyFill="1" applyBorder="1" applyAlignment="1">
      <alignment wrapText="1"/>
    </xf>
    <xf numFmtId="0" fontId="8" fillId="2" borderId="50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44" xfId="0" applyFont="1" applyFill="1" applyBorder="1" applyAlignment="1">
      <alignment wrapText="1"/>
    </xf>
    <xf numFmtId="0" fontId="11" fillId="3" borderId="56" xfId="0" applyFont="1" applyFill="1" applyBorder="1"/>
    <xf numFmtId="0" fontId="11" fillId="3" borderId="57" xfId="0" applyFont="1" applyFill="1" applyBorder="1"/>
    <xf numFmtId="0" fontId="0" fillId="0" borderId="45" xfId="0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72" xfId="0" applyFont="1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2" xfId="0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3" fillId="0" borderId="74" xfId="0" applyFont="1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9" xfId="0" applyBorder="1" applyAlignment="1">
      <alignment horizontal="center"/>
    </xf>
    <xf numFmtId="0" fontId="0" fillId="0" borderId="74" xfId="0" applyBorder="1" applyAlignment="1">
      <alignment horizontal="center"/>
    </xf>
    <xf numFmtId="0" fontId="3" fillId="0" borderId="76" xfId="0" applyFont="1" applyBorder="1" applyAlignment="1">
      <alignment horizontal="center"/>
    </xf>
    <xf numFmtId="164" fontId="0" fillId="0" borderId="78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73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7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76" xfId="0" applyNumberFormat="1" applyBorder="1" applyAlignment="1">
      <alignment horizontal="center"/>
    </xf>
    <xf numFmtId="166" fontId="0" fillId="0" borderId="73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76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75" xfId="0" applyNumberFormat="1" applyBorder="1" applyAlignment="1">
      <alignment horizontal="center"/>
    </xf>
    <xf numFmtId="2" fontId="0" fillId="0" borderId="73" xfId="0" applyNumberFormat="1" applyBorder="1" applyAlignment="1">
      <alignment horizontal="center"/>
    </xf>
    <xf numFmtId="164" fontId="0" fillId="0" borderId="74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77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>
                <a:latin typeface="Aptos Narrow" panose="020B0004020202020204" pitchFamily="34" charset="0"/>
              </a:rPr>
              <a:t>δ</a:t>
            </a:r>
            <a:r>
              <a:rPr lang="en-US" baseline="-25000">
                <a:latin typeface="Aptos Narrow" panose="020B0004020202020204" pitchFamily="34" charset="0"/>
              </a:rPr>
              <a:t>P</a:t>
            </a:r>
            <a:r>
              <a:rPr lang="en-US">
                <a:latin typeface="Aptos Narrow" panose="020B0004020202020204" pitchFamily="34" charset="0"/>
              </a:rPr>
              <a:t> = f(P</a:t>
            </a:r>
            <a:r>
              <a:rPr lang="en-US" baseline="-25000">
                <a:latin typeface="Aptos Narrow" panose="020B0004020202020204" pitchFamily="34" charset="0"/>
              </a:rPr>
              <a:t>Z</a:t>
            </a:r>
            <a:r>
              <a:rPr lang="en-US">
                <a:latin typeface="Aptos Narrow" panose="020B0004020202020204" pitchFamily="34" charset="0"/>
              </a:rPr>
              <a:t>)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Karolína!$AG$5:$AG$7</c:f>
              <c:numCache>
                <c:formatCode>0.000</c:formatCode>
                <c:ptCount val="3"/>
                <c:pt idx="0">
                  <c:v>0.22599989010989011</c:v>
                </c:pt>
                <c:pt idx="1">
                  <c:v>0.57199956043956035</c:v>
                </c:pt>
                <c:pt idx="2">
                  <c:v>1.0079990109890109</c:v>
                </c:pt>
              </c:numCache>
            </c:numRef>
          </c:xVal>
          <c:yVal>
            <c:numRef>
              <c:f>Karolína!$AH$5:$AH$7</c:f>
              <c:numCache>
                <c:formatCode>0.0000000</c:formatCode>
                <c:ptCount val="3"/>
                <c:pt idx="0">
                  <c:v>4.8623966072141431E-5</c:v>
                </c:pt>
                <c:pt idx="1">
                  <c:v>7.6846289745861651E-5</c:v>
                </c:pt>
                <c:pt idx="2">
                  <c:v>9.8116265812662714E-5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F7-42AC-BF88-1CADB8B6989F}"/>
            </c:ext>
          </c:extLst>
        </c:ser>
        <c:ser>
          <c:idx val="1"/>
          <c:order val="1"/>
          <c:tx>
            <c:v>Series2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Karolína!$AG$9:$AG$14</c:f>
              <c:numCache>
                <c:formatCode>0.000</c:formatCode>
                <c:ptCount val="6"/>
                <c:pt idx="0">
                  <c:v>2.0799970238095238</c:v>
                </c:pt>
                <c:pt idx="1">
                  <c:v>2.6759957142857145</c:v>
                </c:pt>
                <c:pt idx="2">
                  <c:v>3.4019941666666669</c:v>
                </c:pt>
                <c:pt idx="3">
                  <c:v>4.1279923809523806</c:v>
                </c:pt>
                <c:pt idx="4">
                  <c:v>4.9049903571428572</c:v>
                </c:pt>
                <c:pt idx="5">
                  <c:v>5.7399880952380942</c:v>
                </c:pt>
              </c:numCache>
            </c:numRef>
          </c:xVal>
          <c:yVal>
            <c:numRef>
              <c:f>Karolína!$AH$9:$AH$14</c:f>
              <c:numCache>
                <c:formatCode>0.0000000</c:formatCode>
                <c:ptCount val="6"/>
                <c:pt idx="0">
                  <c:v>1.4308628532263811E-4</c:v>
                </c:pt>
                <c:pt idx="1">
                  <c:v>1.6015400409033324E-4</c:v>
                </c:pt>
                <c:pt idx="2">
                  <c:v>1.7146805807280189E-4</c:v>
                </c:pt>
                <c:pt idx="3">
                  <c:v>1.845702926731131E-4</c:v>
                </c:pt>
                <c:pt idx="4">
                  <c:v>1.9659278491373179E-4</c:v>
                </c:pt>
                <c:pt idx="5">
                  <c:v>2.0740046333263514E-4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F7-42AC-BF88-1CADB8B6989F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Karolína!$AG$8</c:f>
              <c:numCache>
                <c:formatCode>0.000</c:formatCode>
                <c:ptCount val="1"/>
                <c:pt idx="0">
                  <c:v>1.5039980952380951</c:v>
                </c:pt>
              </c:numCache>
            </c:numRef>
          </c:xVal>
          <c:yVal>
            <c:numRef>
              <c:f>Karolína!$AH$8</c:f>
              <c:numCache>
                <c:formatCode>0.0000000</c:formatCode>
                <c:ptCount val="1"/>
                <c:pt idx="0">
                  <c:v>1.2664656363546559E-4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F7-42AC-BF88-1CADB8B69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9550272"/>
        <c:axId val="1209551232"/>
      </c:scatterChart>
      <c:valAx>
        <c:axId val="1209550272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</a:t>
                </a:r>
                <a:r>
                  <a:rPr lang="en-US" baseline="-25000"/>
                  <a:t>Z</a:t>
                </a:r>
                <a:r>
                  <a:rPr lang="en-US" baseline="0"/>
                  <a:t> (W)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09551232"/>
        <c:crosses val="autoZero"/>
        <c:crossBetween val="midCat"/>
      </c:valAx>
      <c:valAx>
        <c:axId val="120955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Aptos Narrow" panose="020B0004020202020204" pitchFamily="34" charset="0"/>
                  </a:rPr>
                  <a:t>δ</a:t>
                </a:r>
                <a:r>
                  <a:rPr lang="en-US" baseline="-25000">
                    <a:latin typeface="Aptos Narrow" panose="020B0004020202020204" pitchFamily="34" charset="0"/>
                  </a:rPr>
                  <a:t>P</a:t>
                </a:r>
                <a:r>
                  <a:rPr lang="en-US">
                    <a:latin typeface="Aptos Narrow" panose="020B0004020202020204" pitchFamily="34" charset="0"/>
                  </a:rPr>
                  <a:t> (%)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20955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δ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P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 = f(P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Z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)</a:t>
            </a:r>
            <a:endParaRPr lang="cs-CZ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Karolína!$AG$20:$AG$22</c:f>
              <c:numCache>
                <c:formatCode>0.000</c:formatCode>
                <c:ptCount val="3"/>
                <c:pt idx="0">
                  <c:v>0.17399999999999999</c:v>
                </c:pt>
                <c:pt idx="1">
                  <c:v>0.28559999999999997</c:v>
                </c:pt>
                <c:pt idx="2">
                  <c:v>0.747</c:v>
                </c:pt>
              </c:numCache>
            </c:numRef>
          </c:xVal>
          <c:yVal>
            <c:numRef>
              <c:f>Karolína!$AH$20:$AH$22</c:f>
              <c:numCache>
                <c:formatCode>0.00</c:formatCode>
                <c:ptCount val="3"/>
                <c:pt idx="0">
                  <c:v>34.482758620689665</c:v>
                </c:pt>
                <c:pt idx="1">
                  <c:v>30.252100840336137</c:v>
                </c:pt>
                <c:pt idx="2">
                  <c:v>18.072289156626507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1-4EAB-9372-8BA4847FD8B5}"/>
            </c:ext>
          </c:extLst>
        </c:ser>
        <c:ser>
          <c:idx val="1"/>
          <c:order val="1"/>
          <c:tx>
            <c:v>Series3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Karolína!$AG$25:$AG$29</c:f>
              <c:numCache>
                <c:formatCode>0.000</c:formatCode>
                <c:ptCount val="5"/>
                <c:pt idx="0">
                  <c:v>1.9743999999999999</c:v>
                </c:pt>
                <c:pt idx="1">
                  <c:v>2.6503839999999999</c:v>
                </c:pt>
                <c:pt idx="2">
                  <c:v>3.86</c:v>
                </c:pt>
                <c:pt idx="3">
                  <c:v>4.8587039999999995</c:v>
                </c:pt>
                <c:pt idx="4">
                  <c:v>6.6143999999999998</c:v>
                </c:pt>
              </c:numCache>
            </c:numRef>
          </c:xVal>
          <c:yVal>
            <c:numRef>
              <c:f>Karolína!$AH$25:$AH$29</c:f>
              <c:numCache>
                <c:formatCode>0.00</c:formatCode>
                <c:ptCount val="5"/>
                <c:pt idx="0">
                  <c:v>0.48622366288492713</c:v>
                </c:pt>
                <c:pt idx="1">
                  <c:v>0.43827611395178961</c:v>
                </c:pt>
                <c:pt idx="2">
                  <c:v>0.38860103626943004</c:v>
                </c:pt>
                <c:pt idx="3">
                  <c:v>0.36009602560682852</c:v>
                </c:pt>
                <c:pt idx="4">
                  <c:v>0.32656023222060954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41-4EAB-9372-8BA4847FD8B5}"/>
            </c:ext>
          </c:extLst>
        </c:ser>
        <c:ser>
          <c:idx val="2"/>
          <c:order val="2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Karolína!$AG$23:$AG$24</c:f>
              <c:numCache>
                <c:formatCode>0.000</c:formatCode>
                <c:ptCount val="2"/>
                <c:pt idx="0">
                  <c:v>1.1662000000000001</c:v>
                </c:pt>
                <c:pt idx="1">
                  <c:v>1.8720000000000001</c:v>
                </c:pt>
              </c:numCache>
            </c:numRef>
          </c:xVal>
          <c:yVal>
            <c:numRef>
              <c:f>Karolína!$AH$23:$AH$24</c:f>
              <c:numCache>
                <c:formatCode>0.00</c:formatCode>
                <c:ptCount val="2"/>
                <c:pt idx="0">
                  <c:v>14.868804664723031</c:v>
                </c:pt>
                <c:pt idx="1">
                  <c:v>12.820512820512823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41-4EAB-9372-8BA4847FD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3027440"/>
        <c:axId val="517953040"/>
      </c:scatterChart>
      <c:valAx>
        <c:axId val="116302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Z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(W)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517953040"/>
        <c:crosses val="autoZero"/>
        <c:crossBetween val="midCat"/>
      </c:valAx>
      <c:valAx>
        <c:axId val="5179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δ</a:t>
                </a:r>
                <a:r>
                  <a:rPr lang="en-US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P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 (%)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3027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>
                <a:latin typeface="Aptos Narrow" panose="020B0004020202020204" pitchFamily="34" charset="0"/>
              </a:rPr>
              <a:t>Ũ</a:t>
            </a:r>
            <a:r>
              <a:rPr lang="en-US" baseline="-25000">
                <a:latin typeface="Aptos Narrow" panose="020B0004020202020204" pitchFamily="34" charset="0"/>
              </a:rPr>
              <a:t>P</a:t>
            </a:r>
            <a:r>
              <a:rPr lang="en-US">
                <a:latin typeface="Aptos Narrow" panose="020B0004020202020204" pitchFamily="34" charset="0"/>
              </a:rPr>
              <a:t> = f(P</a:t>
            </a:r>
            <a:r>
              <a:rPr lang="en-US" baseline="-25000">
                <a:latin typeface="Aptos Narrow" panose="020B0004020202020204" pitchFamily="34" charset="0"/>
              </a:rPr>
              <a:t>Z</a:t>
            </a:r>
            <a:r>
              <a:rPr lang="en-US">
                <a:latin typeface="Aptos Narrow" panose="020B0004020202020204" pitchFamily="34" charset="0"/>
              </a:rPr>
              <a:t>)</a:t>
            </a:r>
            <a:endParaRPr lang="cs-C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Karolína!$AG$5:$AG$7</c:f>
              <c:numCache>
                <c:formatCode>0.000</c:formatCode>
                <c:ptCount val="3"/>
                <c:pt idx="0">
                  <c:v>0.22599989010989011</c:v>
                </c:pt>
                <c:pt idx="1">
                  <c:v>0.57199956043956035</c:v>
                </c:pt>
                <c:pt idx="2">
                  <c:v>1.0079990109890109</c:v>
                </c:pt>
              </c:numCache>
            </c:numRef>
          </c:xVal>
          <c:yVal>
            <c:numRef>
              <c:f>Karolína!$AL$5:$AL$7</c:f>
              <c:numCache>
                <c:formatCode>0.000</c:formatCode>
                <c:ptCount val="3"/>
                <c:pt idx="0">
                  <c:v>1.4943552870618326</c:v>
                </c:pt>
                <c:pt idx="1">
                  <c:v>1.4164516985032312</c:v>
                </c:pt>
                <c:pt idx="2">
                  <c:v>1.3874212947402533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2F-46D2-BC58-A14ED12AF21D}"/>
            </c:ext>
          </c:extLst>
        </c:ser>
        <c:ser>
          <c:idx val="1"/>
          <c:order val="1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Karolína!$AG$9:$AG$14</c:f>
              <c:numCache>
                <c:formatCode>0.000</c:formatCode>
                <c:ptCount val="6"/>
                <c:pt idx="0">
                  <c:v>2.0799970238095238</c:v>
                </c:pt>
                <c:pt idx="1">
                  <c:v>2.6759957142857145</c:v>
                </c:pt>
                <c:pt idx="2">
                  <c:v>3.4019941666666669</c:v>
                </c:pt>
                <c:pt idx="3">
                  <c:v>4.1279923809523806</c:v>
                </c:pt>
                <c:pt idx="4">
                  <c:v>4.9049903571428572</c:v>
                </c:pt>
                <c:pt idx="5">
                  <c:v>5.7399880952380942</c:v>
                </c:pt>
              </c:numCache>
            </c:numRef>
          </c:xVal>
          <c:yVal>
            <c:numRef>
              <c:f>Karolína!$AL$9:$AL$14</c:f>
              <c:numCache>
                <c:formatCode>0.000</c:formatCode>
                <c:ptCount val="6"/>
                <c:pt idx="0">
                  <c:v>5.3045072784763354</c:v>
                </c:pt>
                <c:pt idx="1">
                  <c:v>5.0606518383718297</c:v>
                </c:pt>
                <c:pt idx="2">
                  <c:v>4.7886977691132611</c:v>
                </c:pt>
                <c:pt idx="3">
                  <c:v>4.6113496122158875</c:v>
                </c:pt>
                <c:pt idx="4">
                  <c:v>4.4591319595602981</c:v>
                </c:pt>
                <c:pt idx="5">
                  <c:v>4.3228900709608276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2F-46D2-BC58-A14ED12AF21D}"/>
            </c:ext>
          </c:extLst>
        </c:ser>
        <c:ser>
          <c:idx val="2"/>
          <c:order val="2"/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Karolína!$AG$8</c:f>
              <c:numCache>
                <c:formatCode>0.000</c:formatCode>
                <c:ptCount val="1"/>
                <c:pt idx="0">
                  <c:v>1.5039980952380951</c:v>
                </c:pt>
              </c:numCache>
            </c:numRef>
          </c:xVal>
          <c:yVal>
            <c:numRef>
              <c:f>Karolína!$AL$8</c:f>
              <c:numCache>
                <c:formatCode>0.000</c:formatCode>
                <c:ptCount val="1"/>
                <c:pt idx="0">
                  <c:v>1.6769864200979039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2F-46D2-BC58-A14ED12AF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3289280"/>
        <c:axId val="1023289760"/>
      </c:scatterChart>
      <c:valAx>
        <c:axId val="1023289280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Z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(W)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23289760"/>
        <c:crosses val="autoZero"/>
        <c:crossBetween val="midCat"/>
      </c:valAx>
      <c:valAx>
        <c:axId val="102328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>
                    <a:latin typeface="Aptos Narrow" panose="020B0004020202020204" pitchFamily="34" charset="0"/>
                  </a:rPr>
                  <a:t>Ũ</a:t>
                </a:r>
                <a:r>
                  <a:rPr lang="en-US" baseline="-25000">
                    <a:latin typeface="Aptos Narrow" panose="020B0004020202020204" pitchFamily="34" charset="0"/>
                  </a:rPr>
                  <a:t>P</a:t>
                </a:r>
                <a:r>
                  <a:rPr lang="en-US">
                    <a:latin typeface="Aptos Narrow" panose="020B0004020202020204" pitchFamily="34" charset="0"/>
                  </a:rPr>
                  <a:t> (%)</a:t>
                </a:r>
                <a:endParaRPr lang="cs-C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02328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Ũ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P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 = f(P</a:t>
            </a:r>
            <a:r>
              <a:rPr lang="en-US" sz="1400" b="0" i="0" u="none" strike="noStrike" kern="1200" spc="0" baseline="-25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Z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0B0004020202020204" pitchFamily="34" charset="0"/>
              </a:rPr>
              <a:t>)</a:t>
            </a:r>
            <a:endParaRPr lang="cs-CZ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Karolína!$AG$20:$AG$22</c:f>
              <c:numCache>
                <c:formatCode>0.000</c:formatCode>
                <c:ptCount val="3"/>
                <c:pt idx="0">
                  <c:v>0.17399999999999999</c:v>
                </c:pt>
                <c:pt idx="1">
                  <c:v>0.28559999999999997</c:v>
                </c:pt>
                <c:pt idx="2">
                  <c:v>0.747</c:v>
                </c:pt>
              </c:numCache>
            </c:numRef>
          </c:xVal>
          <c:yVal>
            <c:numRef>
              <c:f>Karolína!$AL$20:$AL$22</c:f>
              <c:numCache>
                <c:formatCode>0.000</c:formatCode>
                <c:ptCount val="3"/>
                <c:pt idx="0">
                  <c:v>1.3334350601965239</c:v>
                </c:pt>
                <c:pt idx="1">
                  <c:v>1.2869771701599475</c:v>
                </c:pt>
                <c:pt idx="2">
                  <c:v>1.2720109089542493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18-415C-A193-942D8CEE9F60}"/>
            </c:ext>
          </c:extLst>
        </c:ser>
        <c:ser>
          <c:idx val="1"/>
          <c:order val="1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Karolína!$AG$25:$AG$29</c:f>
              <c:numCache>
                <c:formatCode>0.000</c:formatCode>
                <c:ptCount val="5"/>
                <c:pt idx="0">
                  <c:v>1.9743999999999999</c:v>
                </c:pt>
                <c:pt idx="1">
                  <c:v>2.6503839999999999</c:v>
                </c:pt>
                <c:pt idx="2">
                  <c:v>3.86</c:v>
                </c:pt>
                <c:pt idx="3">
                  <c:v>4.8587039999999995</c:v>
                </c:pt>
                <c:pt idx="4">
                  <c:v>6.6143999999999998</c:v>
                </c:pt>
              </c:numCache>
            </c:numRef>
          </c:xVal>
          <c:yVal>
            <c:numRef>
              <c:f>Karolína!$AL$25:$AL$29</c:f>
              <c:numCache>
                <c:formatCode>0.000</c:formatCode>
                <c:ptCount val="5"/>
                <c:pt idx="0">
                  <c:v>5.4168733510552638</c:v>
                </c:pt>
                <c:pt idx="1">
                  <c:v>5.0825979644875359</c:v>
                </c:pt>
                <c:pt idx="2">
                  <c:v>4.6840190801983326</c:v>
                </c:pt>
                <c:pt idx="3">
                  <c:v>4.4680327200618537</c:v>
                </c:pt>
                <c:pt idx="4">
                  <c:v>4.1989072495735229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18-415C-A193-942D8CEE9F60}"/>
            </c:ext>
          </c:extLst>
        </c:ser>
        <c:ser>
          <c:idx val="2"/>
          <c:order val="2"/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x"/>
            <c:size val="10"/>
            <c:spPr>
              <a:noFill/>
              <a:ln w="19050">
                <a:solidFill>
                  <a:srgbClr val="C00000"/>
                </a:solidFill>
              </a:ln>
              <a:effectLst/>
            </c:spPr>
          </c:marker>
          <c:xVal>
            <c:numRef>
              <c:f>Karolína!$AG$23:$AG$24</c:f>
              <c:numCache>
                <c:formatCode>0.000</c:formatCode>
                <c:ptCount val="2"/>
                <c:pt idx="0">
                  <c:v>1.1662000000000001</c:v>
                </c:pt>
                <c:pt idx="1">
                  <c:v>1.8720000000000001</c:v>
                </c:pt>
              </c:numCache>
            </c:numRef>
          </c:xVal>
          <c:yVal>
            <c:numRef>
              <c:f>Karolína!$AL$23:$AL$24</c:f>
              <c:numCache>
                <c:formatCode>0.000</c:formatCode>
                <c:ptCount val="2"/>
                <c:pt idx="0">
                  <c:v>1.693972354799782</c:v>
                </c:pt>
                <c:pt idx="1">
                  <c:v>1.5581647445393041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18-415C-A193-942D8CEE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599008"/>
        <c:axId val="1165638240"/>
      </c:scatterChart>
      <c:valAx>
        <c:axId val="116059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</a:t>
                </a:r>
                <a:r>
                  <a:rPr lang="en-US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Z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 (W)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5638240"/>
        <c:crosses val="autoZero"/>
        <c:crossBetween val="midCat"/>
      </c:valAx>
      <c:valAx>
        <c:axId val="116563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Ũ</a:t>
                </a:r>
                <a:r>
                  <a:rPr lang="en-US" sz="1000" b="0" i="0" u="none" strike="noStrike" kern="1200" baseline="-25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P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Aptos Narrow" panose="020B0004020202020204" pitchFamily="34" charset="0"/>
                  </a:rPr>
                  <a:t> (%)</a:t>
                </a:r>
                <a:endParaRPr lang="cs-CZ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6059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List1!$H$18:$H$27</c:f>
              <c:numCache>
                <c:formatCode>0.00</c:formatCode>
                <c:ptCount val="10"/>
                <c:pt idx="0">
                  <c:v>0.17399999999999999</c:v>
                </c:pt>
                <c:pt idx="1">
                  <c:v>0.28559999999999997</c:v>
                </c:pt>
                <c:pt idx="2">
                  <c:v>0.747</c:v>
                </c:pt>
                <c:pt idx="3">
                  <c:v>1.1662000000000001</c:v>
                </c:pt>
                <c:pt idx="4">
                  <c:v>1.8720000000000001</c:v>
                </c:pt>
                <c:pt idx="5">
                  <c:v>1.9743999999999999</c:v>
                </c:pt>
                <c:pt idx="6">
                  <c:v>2.6503839999999999</c:v>
                </c:pt>
                <c:pt idx="7">
                  <c:v>3.86</c:v>
                </c:pt>
                <c:pt idx="8">
                  <c:v>4.8587039999999995</c:v>
                </c:pt>
                <c:pt idx="9">
                  <c:v>6.6143999999999998</c:v>
                </c:pt>
              </c:numCache>
            </c:numRef>
          </c:xVal>
          <c:yVal>
            <c:numRef>
              <c:f>List1!$I$18:$I$27</c:f>
              <c:numCache>
                <c:formatCode>0.000</c:formatCode>
                <c:ptCount val="10"/>
                <c:pt idx="0">
                  <c:v>34.482758620689665</c:v>
                </c:pt>
                <c:pt idx="1">
                  <c:v>30.252100840336137</c:v>
                </c:pt>
                <c:pt idx="2">
                  <c:v>18.072289156626507</c:v>
                </c:pt>
                <c:pt idx="3">
                  <c:v>14.868804664723031</c:v>
                </c:pt>
                <c:pt idx="4">
                  <c:v>12.820512820512823</c:v>
                </c:pt>
                <c:pt idx="5">
                  <c:v>0.48622366288492713</c:v>
                </c:pt>
                <c:pt idx="6">
                  <c:v>0.43827611395178961</c:v>
                </c:pt>
                <c:pt idx="7">
                  <c:v>0.38860103626943004</c:v>
                </c:pt>
                <c:pt idx="8">
                  <c:v>0.36009602560682852</c:v>
                </c:pt>
                <c:pt idx="9">
                  <c:v>0.32656023222060954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8-64EB-48F3-9D3F-0EC4A8FABC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010823"/>
        <c:axId val="1943441927"/>
      </c:scatterChart>
      <c:valAx>
        <c:axId val="1935010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PZ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43441927"/>
        <c:crosses val="autoZero"/>
        <c:crossBetween val="midCat"/>
      </c:valAx>
      <c:valAx>
        <c:axId val="1943441927"/>
        <c:scaling>
          <c:orientation val="minMax"/>
          <c:max val="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en-US"/>
                  <a:t>P [%]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935010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144780</xdr:colOff>
      <xdr:row>2</xdr:row>
      <xdr:rowOff>72390</xdr:rowOff>
    </xdr:from>
    <xdr:to>
      <xdr:col>50</xdr:col>
      <xdr:colOff>297180</xdr:colOff>
      <xdr:row>24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606A4B-D8EC-6093-0AE0-92000CFC19A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297180</xdr:colOff>
      <xdr:row>26</xdr:row>
      <xdr:rowOff>38446</xdr:rowOff>
    </xdr:from>
    <xdr:to>
      <xdr:col>50</xdr:col>
      <xdr:colOff>449580</xdr:colOff>
      <xdr:row>48</xdr:row>
      <xdr:rowOff>116032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D0EFCE-93B8-7F90-2656-B31B7182E1C7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51</xdr:col>
      <xdr:colOff>160020</xdr:colOff>
      <xdr:row>2</xdr:row>
      <xdr:rowOff>102870</xdr:rowOff>
    </xdr:from>
    <xdr:to>
      <xdr:col>62</xdr:col>
      <xdr:colOff>312420</xdr:colOff>
      <xdr:row>24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1A22BF-2D8C-0BC7-05E7-7D6BA0E40B9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51</xdr:col>
      <xdr:colOff>83820</xdr:colOff>
      <xdr:row>26</xdr:row>
      <xdr:rowOff>3810</xdr:rowOff>
    </xdr:from>
    <xdr:to>
      <xdr:col>62</xdr:col>
      <xdr:colOff>236220</xdr:colOff>
      <xdr:row>48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696FE7-7FEF-5821-DF7F-70D6FDDF042A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33</xdr:row>
      <xdr:rowOff>0</xdr:rowOff>
    </xdr:from>
    <xdr:to>
      <xdr:col>7</xdr:col>
      <xdr:colOff>619125</xdr:colOff>
      <xdr:row>47</xdr:row>
      <xdr:rowOff>76200</xdr:rowOff>
    </xdr:to>
    <xdr:graphicFrame macro="">
      <xdr:nvGraphicFramePr>
        <xdr:cNvPr id="5" name="Graf 4">
          <a:extLst>
            <a:ext uri="{FF2B5EF4-FFF2-40B4-BE49-F238E27FC236}">
              <a16:creationId xmlns:a16="http://schemas.microsoft.com/office/drawing/2014/main" id="{B33DA102-F732-8234-378E-1FD9A5901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8D60-3171-4493-BC9E-10F56581FBCC}">
  <dimension ref="A1:AE456"/>
  <sheetViews>
    <sheetView workbookViewId="0">
      <selection sqref="A1:S30"/>
    </sheetView>
  </sheetViews>
  <sheetFormatPr defaultRowHeight="14.4" x14ac:dyDescent="0.3"/>
  <cols>
    <col min="3" max="3" width="12.5546875" bestFit="1" customWidth="1"/>
    <col min="6" max="6" width="13" customWidth="1"/>
    <col min="7" max="7" width="11" customWidth="1"/>
    <col min="8" max="8" width="12.33203125" customWidth="1"/>
    <col min="9" max="9" width="12" bestFit="1" customWidth="1"/>
    <col min="19" max="19" width="9.88671875" bestFit="1" customWidth="1"/>
  </cols>
  <sheetData>
    <row r="1" spans="1:3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.6" x14ac:dyDescent="0.35">
      <c r="A3" s="1"/>
      <c r="B3" s="47" t="s">
        <v>0</v>
      </c>
      <c r="C3" s="29">
        <v>10000000</v>
      </c>
      <c r="D3" s="30" t="s">
        <v>1</v>
      </c>
      <c r="E3" s="50" t="s">
        <v>2</v>
      </c>
      <c r="F3" s="29">
        <v>1.5</v>
      </c>
      <c r="G3" s="30" t="s">
        <v>1</v>
      </c>
      <c r="H3" s="50" t="s">
        <v>3</v>
      </c>
      <c r="I3" s="29">
        <v>60</v>
      </c>
      <c r="J3" s="51" t="s">
        <v>4</v>
      </c>
      <c r="K3" s="29"/>
      <c r="L3" s="29"/>
      <c r="M3" s="31"/>
      <c r="N3" s="1"/>
      <c r="O3" s="5" t="s">
        <v>5</v>
      </c>
      <c r="P3" s="1"/>
      <c r="Q3" s="1"/>
      <c r="R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6.2" thickBot="1" x14ac:dyDescent="0.4">
      <c r="A4" s="1"/>
      <c r="B4" s="48" t="s">
        <v>6</v>
      </c>
      <c r="C4" s="53">
        <v>0.5</v>
      </c>
      <c r="D4" s="49" t="s">
        <v>7</v>
      </c>
      <c r="E4" s="52">
        <f>P19/P20*100</f>
        <v>0.05</v>
      </c>
      <c r="F4" s="49" t="s">
        <v>8</v>
      </c>
      <c r="G4" s="52">
        <v>1</v>
      </c>
      <c r="H4" s="49" t="s">
        <v>9</v>
      </c>
      <c r="I4" s="52">
        <f>S19/S20*100</f>
        <v>0.05</v>
      </c>
      <c r="J4" s="49" t="s">
        <v>10</v>
      </c>
      <c r="K4">
        <v>1.5</v>
      </c>
      <c r="L4" s="49" t="s">
        <v>11</v>
      </c>
      <c r="M4" s="52">
        <f>S23/S24*100</f>
        <v>0.125</v>
      </c>
      <c r="N4" s="1"/>
      <c r="O4" s="5" t="s">
        <v>12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3">
      <c r="A5" s="1"/>
      <c r="B5" s="87" t="s">
        <v>13</v>
      </c>
      <c r="C5" s="88"/>
      <c r="D5" s="88" t="s">
        <v>14</v>
      </c>
      <c r="E5" s="89"/>
      <c r="F5" s="90" t="s">
        <v>15</v>
      </c>
      <c r="G5" s="92" t="s">
        <v>16</v>
      </c>
      <c r="H5" s="85" t="s">
        <v>17</v>
      </c>
      <c r="I5" s="85" t="s">
        <v>18</v>
      </c>
      <c r="J5" s="85" t="s">
        <v>19</v>
      </c>
      <c r="K5" s="85" t="s">
        <v>20</v>
      </c>
      <c r="L5" s="85" t="s">
        <v>21</v>
      </c>
      <c r="M5" s="94" t="s">
        <v>22</v>
      </c>
      <c r="N5" s="1"/>
      <c r="O5" s="1"/>
      <c r="P5" s="1"/>
      <c r="Q5" s="1"/>
      <c r="R5" s="1" t="s">
        <v>23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.6" x14ac:dyDescent="0.35">
      <c r="A6" s="1"/>
      <c r="B6" s="3" t="s">
        <v>24</v>
      </c>
      <c r="C6" s="2" t="s">
        <v>25</v>
      </c>
      <c r="D6" s="2" t="s">
        <v>24</v>
      </c>
      <c r="E6" s="4" t="s">
        <v>25</v>
      </c>
      <c r="F6" s="91"/>
      <c r="G6" s="86"/>
      <c r="H6" s="86"/>
      <c r="I6" s="86"/>
      <c r="J6" s="86"/>
      <c r="K6" s="86"/>
      <c r="L6" s="86"/>
      <c r="M6" s="95"/>
      <c r="N6" s="1"/>
      <c r="O6" s="1"/>
      <c r="P6" s="1"/>
      <c r="Q6" s="1"/>
      <c r="R6" s="1" t="s">
        <v>26</v>
      </c>
      <c r="S6">
        <v>0.03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thickBot="1" x14ac:dyDescent="0.35">
      <c r="A7" s="1"/>
      <c r="B7" s="6" t="s">
        <v>27</v>
      </c>
      <c r="C7" s="7" t="s">
        <v>27</v>
      </c>
      <c r="D7" s="7" t="s">
        <v>28</v>
      </c>
      <c r="E7" s="8" t="s">
        <v>29</v>
      </c>
      <c r="F7" s="9" t="s">
        <v>30</v>
      </c>
      <c r="G7" s="7" t="s">
        <v>31</v>
      </c>
      <c r="H7" s="7" t="s">
        <v>30</v>
      </c>
      <c r="I7" s="7" t="s">
        <v>32</v>
      </c>
      <c r="J7" s="7" t="s">
        <v>33</v>
      </c>
      <c r="K7" s="7" t="s">
        <v>34</v>
      </c>
      <c r="L7" s="7" t="s">
        <v>31</v>
      </c>
      <c r="M7" s="8" t="s">
        <v>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thickBot="1" x14ac:dyDescent="0.35">
      <c r="A8" s="84" t="s">
        <v>35</v>
      </c>
      <c r="B8" s="32">
        <v>0.22600000000000001</v>
      </c>
      <c r="C8" s="12">
        <v>0.4</v>
      </c>
      <c r="D8" s="12">
        <v>1</v>
      </c>
      <c r="E8" s="21">
        <v>4</v>
      </c>
      <c r="F8" s="11" cm="1">
        <f t="array" ref="F8:F27">B8:B27*D8:D27</f>
        <v>0.22600000000000001</v>
      </c>
      <c r="G8" s="12">
        <f>((D8^2)/$C$3)*1000</f>
        <v>9.9999999999999991E-5</v>
      </c>
      <c r="H8" s="12">
        <f>F8-(G8/1000)</f>
        <v>0.2259999</v>
      </c>
      <c r="I8" s="12">
        <f>((G8/1000)/H8)*1000</f>
        <v>4.4247807189295215E-4</v>
      </c>
      <c r="J8" s="16">
        <f>((((ABS($S$12*B8))+(ABS($S$13*C8)))*1000)/(100*$S$8))</f>
        <v>1.6512217698823302</v>
      </c>
      <c r="K8" s="16">
        <f>((((ABS($S$9*D8))+(ABS($S$10*E8)))*100)/(100*$S$8))</f>
        <v>3.4641016151377548</v>
      </c>
      <c r="L8" s="16">
        <f>2*(SQRT((((B8-((2*D8)/$S$11))*(K8/1000))^2)+(D8*(J8/1000))^2)*1000)</f>
        <v>3.6548292701760037</v>
      </c>
      <c r="M8" s="33">
        <f>((L8/1000)/H8)*100</f>
        <v>1.6171818085654037</v>
      </c>
      <c r="N8" s="1"/>
      <c r="O8" s="1"/>
      <c r="P8" s="1"/>
      <c r="Q8" s="1"/>
      <c r="R8" s="1" t="s">
        <v>36</v>
      </c>
      <c r="S8" s="1">
        <f>SQRT(3)</f>
        <v>1.7320508075688772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thickBot="1" x14ac:dyDescent="0.35">
      <c r="A9" s="84"/>
      <c r="B9" s="34">
        <v>0.28599999999999998</v>
      </c>
      <c r="C9" s="10">
        <v>0.4</v>
      </c>
      <c r="D9" s="10">
        <v>2</v>
      </c>
      <c r="E9" s="22">
        <v>4</v>
      </c>
      <c r="F9" s="13">
        <v>0.57199999999999995</v>
      </c>
      <c r="G9" s="12">
        <f>((D9^2)/$C$3)*1000</f>
        <v>3.9999999999999996E-4</v>
      </c>
      <c r="H9" s="24">
        <f>F9-(G9/1000)</f>
        <v>0.57199959999999994</v>
      </c>
      <c r="I9" s="10">
        <f>((G9/1000)/H9)*1000</f>
        <v>6.9930118832250933E-4</v>
      </c>
      <c r="J9" s="17">
        <f>((((ABS($S$12*B9))+(ABS($S$13*C9)))*1000)/(100*$S$8))</f>
        <v>1.9976319313961053</v>
      </c>
      <c r="K9" s="17">
        <f>((((ABS($S$9*D9))+(ABS($S$10*E9)))*100)/(100*$S$8))</f>
        <v>4.6188021535170058</v>
      </c>
      <c r="L9" s="17">
        <f>2*(SQRT((((B9-((2*D9)/$S$11))*(K9/1000))^2)+(D9*(J9/1000))^2)*1000)</f>
        <v>8.4159633520122732</v>
      </c>
      <c r="M9" s="35">
        <f t="shared" ref="M9:M17" si="0">((L9/1000)/H9)*100</f>
        <v>1.471323293235218</v>
      </c>
      <c r="N9" s="1"/>
      <c r="O9" s="1"/>
      <c r="P9" s="1"/>
      <c r="Q9" s="1"/>
      <c r="R9" s="1" t="s">
        <v>37</v>
      </c>
      <c r="S9" s="1">
        <v>2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thickBot="1" x14ac:dyDescent="0.35">
      <c r="A10" s="84"/>
      <c r="B10" s="34">
        <v>0.33600000000000002</v>
      </c>
      <c r="C10" s="10">
        <v>0.4</v>
      </c>
      <c r="D10" s="10">
        <v>3</v>
      </c>
      <c r="E10" s="22">
        <v>4</v>
      </c>
      <c r="F10" s="13">
        <v>1.008</v>
      </c>
      <c r="G10" s="12">
        <f>((D10^2)/$C$3)*1000</f>
        <v>8.9999999999999998E-4</v>
      </c>
      <c r="H10" s="24">
        <f t="shared" ref="H10:H17" si="1">F10-(G10/1000)</f>
        <v>1.0079990999999999</v>
      </c>
      <c r="I10" s="10">
        <f t="shared" ref="I10:I17" si="2">((G10/1000)/H10)*1000</f>
        <v>8.9285794005173214E-4</v>
      </c>
      <c r="J10" s="17">
        <f t="shared" ref="J10:J17" si="3">((((ABS($S$12*B10))+(ABS($S$13*C10)))*1000)/(100*$S$8))</f>
        <v>2.2863070659909179</v>
      </c>
      <c r="K10" s="17">
        <f t="shared" ref="K10:K17" si="4">((((ABS($S$9*D10))+(ABS($S$10*E10)))*100)/(100*$S$8))</f>
        <v>5.7735026918962582</v>
      </c>
      <c r="L10" s="17">
        <f t="shared" ref="L10:L17" si="5">2*(SQRT((((B10-((2*D10)/$S$11))*(K10/1000))^2)+(D10*(J10/1000))^2)*1000)</f>
        <v>14.255944242316886</v>
      </c>
      <c r="M10" s="35">
        <f>((L10/1000)/H10)*100</f>
        <v>1.4142814455208232</v>
      </c>
      <c r="N10" s="1"/>
      <c r="O10" s="1"/>
      <c r="P10" s="1"/>
      <c r="Q10" s="1"/>
      <c r="R10" s="1" t="s">
        <v>38</v>
      </c>
      <c r="S10" s="1">
        <v>1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thickBot="1" x14ac:dyDescent="0.35">
      <c r="A11" s="84"/>
      <c r="B11" s="34">
        <v>0.376</v>
      </c>
      <c r="C11" s="10">
        <v>0.4</v>
      </c>
      <c r="D11" s="10">
        <v>4</v>
      </c>
      <c r="E11" s="22">
        <v>40</v>
      </c>
      <c r="F11" s="13">
        <v>1.504</v>
      </c>
      <c r="G11" s="12">
        <f>((D11^2)/$C$3)*1000</f>
        <v>1.5999999999999999E-3</v>
      </c>
      <c r="H11" s="24">
        <f t="shared" si="1"/>
        <v>1.5039984</v>
      </c>
      <c r="I11" s="10">
        <f t="shared" si="2"/>
        <v>1.0638309189690627E-3</v>
      </c>
      <c r="J11" s="17">
        <f t="shared" si="3"/>
        <v>2.5172471736667683</v>
      </c>
      <c r="K11" s="17">
        <f t="shared" si="4"/>
        <v>27.712812921102039</v>
      </c>
      <c r="L11" s="17">
        <f t="shared" si="5"/>
        <v>28.980051021695932</v>
      </c>
      <c r="M11" s="35">
        <f t="shared" si="0"/>
        <v>1.9268671443863195</v>
      </c>
      <c r="N11" s="1"/>
      <c r="O11" s="1"/>
      <c r="P11" s="1"/>
      <c r="Q11" s="1"/>
      <c r="R11" s="1" t="s">
        <v>39</v>
      </c>
      <c r="S11" s="1">
        <v>10000000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thickBot="1" x14ac:dyDescent="0.35">
      <c r="A12" s="84"/>
      <c r="B12" s="34">
        <v>0.41599999999999998</v>
      </c>
      <c r="C12" s="10">
        <v>4</v>
      </c>
      <c r="D12" s="10">
        <v>5</v>
      </c>
      <c r="E12" s="22">
        <v>40</v>
      </c>
      <c r="F12" s="13">
        <v>2.08</v>
      </c>
      <c r="G12" s="12">
        <f>((D12^2)/$C$3)*1000</f>
        <v>2.5000000000000001E-3</v>
      </c>
      <c r="H12" s="24">
        <f t="shared" si="1"/>
        <v>2.0799975000000002</v>
      </c>
      <c r="I12" s="10">
        <f t="shared" si="2"/>
        <v>1.2019245215438962E-3</v>
      </c>
      <c r="J12" s="17">
        <f t="shared" si="3"/>
        <v>5.8658787349665982</v>
      </c>
      <c r="K12" s="17">
        <f t="shared" si="4"/>
        <v>28.867513459481287</v>
      </c>
      <c r="L12" s="17">
        <f t="shared" si="5"/>
        <v>63.385360244591709</v>
      </c>
      <c r="M12" s="35">
        <f t="shared" si="0"/>
        <v>3.0473767513947352</v>
      </c>
      <c r="N12" s="1"/>
      <c r="O12" s="1"/>
      <c r="P12" s="1"/>
      <c r="Q12" s="1"/>
      <c r="R12" s="1" t="s">
        <v>40</v>
      </c>
      <c r="S12" s="1">
        <v>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thickBot="1" x14ac:dyDescent="0.35">
      <c r="A13" s="84"/>
      <c r="B13" s="34">
        <v>0.44600000000000001</v>
      </c>
      <c r="C13" s="10">
        <v>4</v>
      </c>
      <c r="D13" s="10">
        <v>6</v>
      </c>
      <c r="E13" s="22">
        <v>40</v>
      </c>
      <c r="F13" s="13">
        <v>2.6760000000000002</v>
      </c>
      <c r="G13" s="12">
        <f t="shared" ref="G13:G17" si="6">((D13^2)/$C$3)*1000</f>
        <v>3.5999999999999999E-3</v>
      </c>
      <c r="H13" s="24">
        <f t="shared" si="1"/>
        <v>2.6759964000000003</v>
      </c>
      <c r="I13" s="10">
        <f t="shared" si="2"/>
        <v>1.3452932896322281E-3</v>
      </c>
      <c r="J13" s="17">
        <f t="shared" si="3"/>
        <v>6.0390838157234858</v>
      </c>
      <c r="K13" s="17">
        <f t="shared" si="4"/>
        <v>30.02221399786054</v>
      </c>
      <c r="L13" s="17">
        <f t="shared" si="5"/>
        <v>77.258730420514453</v>
      </c>
      <c r="M13" s="35">
        <f t="shared" si="0"/>
        <v>2.8871014333395384</v>
      </c>
      <c r="N13" s="1"/>
      <c r="O13" s="1"/>
      <c r="P13" s="1"/>
      <c r="Q13" s="1"/>
      <c r="R13" s="1" t="s">
        <v>41</v>
      </c>
      <c r="S13" s="1">
        <v>0.15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thickBot="1" x14ac:dyDescent="0.35">
      <c r="A14" s="84"/>
      <c r="B14" s="34">
        <v>0.48599999999999999</v>
      </c>
      <c r="C14" s="10">
        <v>4</v>
      </c>
      <c r="D14" s="10">
        <v>7</v>
      </c>
      <c r="E14" s="22">
        <v>40</v>
      </c>
      <c r="F14" s="13">
        <v>3.4020000000000001</v>
      </c>
      <c r="G14" s="12">
        <f t="shared" si="6"/>
        <v>4.8999999999999998E-3</v>
      </c>
      <c r="H14" s="24">
        <f t="shared" si="1"/>
        <v>3.4019951000000002</v>
      </c>
      <c r="I14" s="10">
        <f t="shared" si="2"/>
        <v>1.4403312926582403E-3</v>
      </c>
      <c r="J14" s="17">
        <f t="shared" si="3"/>
        <v>6.2700239233993349</v>
      </c>
      <c r="K14" s="17">
        <f t="shared" si="4"/>
        <v>31.176914536239792</v>
      </c>
      <c r="L14" s="17">
        <f t="shared" si="5"/>
        <v>92.863943256881015</v>
      </c>
      <c r="M14" s="35">
        <f t="shared" si="0"/>
        <v>2.7296906822964271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thickBot="1" x14ac:dyDescent="0.35">
      <c r="A15" s="84"/>
      <c r="B15" s="34">
        <v>0.51600000000000001</v>
      </c>
      <c r="C15" s="10">
        <v>4</v>
      </c>
      <c r="D15" s="10">
        <v>8</v>
      </c>
      <c r="E15" s="22">
        <v>40</v>
      </c>
      <c r="F15" s="13">
        <v>4.1280000000000001</v>
      </c>
      <c r="G15" s="12">
        <f t="shared" si="6"/>
        <v>6.3999999999999994E-3</v>
      </c>
      <c r="H15" s="24">
        <f t="shared" si="1"/>
        <v>4.1279935999999999</v>
      </c>
      <c r="I15" s="10">
        <f t="shared" si="2"/>
        <v>1.5503900006046522E-3</v>
      </c>
      <c r="J15" s="17">
        <f t="shared" si="3"/>
        <v>6.4432290041562235</v>
      </c>
      <c r="K15" s="17">
        <f t="shared" si="4"/>
        <v>32.331615074619044</v>
      </c>
      <c r="L15" s="17">
        <f t="shared" si="5"/>
        <v>108.35676898003697</v>
      </c>
      <c r="M15" s="35">
        <f t="shared" si="0"/>
        <v>2.6249257988199637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thickBot="1" x14ac:dyDescent="0.35">
      <c r="A16" s="84"/>
      <c r="B16" s="34">
        <v>0.54500000000000004</v>
      </c>
      <c r="C16" s="10">
        <v>4</v>
      </c>
      <c r="D16" s="10">
        <v>9</v>
      </c>
      <c r="E16" s="22">
        <v>40</v>
      </c>
      <c r="F16" s="13">
        <v>4.9050000000000002</v>
      </c>
      <c r="G16" s="12">
        <f t="shared" si="6"/>
        <v>8.0999999999999996E-3</v>
      </c>
      <c r="H16" s="24">
        <f t="shared" si="1"/>
        <v>4.9049919000000006</v>
      </c>
      <c r="I16" s="10">
        <f t="shared" si="2"/>
        <v>1.6513788738366723E-3</v>
      </c>
      <c r="J16" s="17">
        <f t="shared" si="3"/>
        <v>6.6106605822212154</v>
      </c>
      <c r="K16" s="17">
        <f t="shared" si="4"/>
        <v>33.486315612998297</v>
      </c>
      <c r="L16" s="17">
        <f t="shared" si="5"/>
        <v>124.46412066585241</v>
      </c>
      <c r="M16" s="35">
        <f t="shared" si="0"/>
        <v>2.5374990051635438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thickBot="1" x14ac:dyDescent="0.35">
      <c r="A17" s="84"/>
      <c r="B17" s="36">
        <v>0.57399999999999995</v>
      </c>
      <c r="C17" s="15">
        <v>4</v>
      </c>
      <c r="D17" s="15">
        <v>10</v>
      </c>
      <c r="E17" s="27">
        <v>40</v>
      </c>
      <c r="F17" s="14">
        <v>5.7399999999999993</v>
      </c>
      <c r="G17" s="12">
        <f t="shared" si="6"/>
        <v>0.01</v>
      </c>
      <c r="H17" s="25">
        <f t="shared" si="1"/>
        <v>5.7399899999999997</v>
      </c>
      <c r="I17" s="15">
        <f t="shared" si="2"/>
        <v>1.7421633138733693E-3</v>
      </c>
      <c r="J17" s="18">
        <f t="shared" si="3"/>
        <v>6.7780921602862065</v>
      </c>
      <c r="K17" s="18">
        <f t="shared" si="4"/>
        <v>34.641016151377549</v>
      </c>
      <c r="L17" s="18">
        <f t="shared" si="5"/>
        <v>141.27450977636599</v>
      </c>
      <c r="M17" s="37">
        <f t="shared" si="0"/>
        <v>2.4612326811782945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3">
      <c r="A18" s="84" t="s">
        <v>42</v>
      </c>
      <c r="B18" s="38">
        <v>0.2</v>
      </c>
      <c r="C18" s="20">
        <v>0.4</v>
      </c>
      <c r="D18" s="20">
        <v>1.17</v>
      </c>
      <c r="E18" s="28">
        <v>4</v>
      </c>
      <c r="F18" s="19">
        <v>0.23399999999999999</v>
      </c>
      <c r="G18" s="20">
        <f>1.5*((B18)^2)*1000</f>
        <v>60.000000000000014</v>
      </c>
      <c r="H18" s="23">
        <f>F18-(G18/1000)</f>
        <v>0.17399999999999999</v>
      </c>
      <c r="I18" s="23">
        <f>((G18/1000)/H18)*100</f>
        <v>34.482758620689665</v>
      </c>
      <c r="J18" s="23">
        <f>((ABS(1*B18)+ABS(0.15*C18))/(100*SQRT(3)))*1000</f>
        <v>1.5011106998930273</v>
      </c>
      <c r="K18" s="23">
        <f>((((ABS($S$9*D18))+(ABS($S$10*E18)))*100)/(100*$S$8))</f>
        <v>3.6604007066622275</v>
      </c>
      <c r="L18" s="26">
        <f>2*((SQRT((B18*(K18/1000))^2)+((D18-2*$S$6*B18)*(J18/1000))^2)*1000)</f>
        <v>1.4702035604248909</v>
      </c>
      <c r="M18" s="39">
        <f>((L18/1000)/H18)*100</f>
        <v>0.84494457495683395</v>
      </c>
      <c r="N18" s="1"/>
      <c r="O18" s="1" t="s">
        <v>43</v>
      </c>
      <c r="P18" s="1"/>
      <c r="Q18" s="1"/>
      <c r="R18" s="93" t="s">
        <v>44</v>
      </c>
      <c r="S18" s="9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3">
      <c r="A19" s="84"/>
      <c r="B19" s="34">
        <v>0.24</v>
      </c>
      <c r="C19" s="10">
        <v>0.4</v>
      </c>
      <c r="D19" s="10">
        <v>1.55</v>
      </c>
      <c r="E19" s="22">
        <v>4</v>
      </c>
      <c r="F19" s="13">
        <v>0.372</v>
      </c>
      <c r="G19" s="10">
        <f t="shared" ref="G19:G22" si="7">1.5*((B19)^2)*1000</f>
        <v>86.4</v>
      </c>
      <c r="H19" s="17">
        <f t="shared" ref="H19:H21" si="8">F19-(G19/1000)</f>
        <v>0.28559999999999997</v>
      </c>
      <c r="I19" s="17">
        <f t="shared" ref="I19:I22" si="9">((G19/1000)/H19)*100</f>
        <v>30.252100840336137</v>
      </c>
      <c r="J19" s="17">
        <f t="shared" ref="J19:J27" si="10">((ABS(1*B19)+ABS(0.15*C19))/(100*SQRT(3)))*1000</f>
        <v>1.7320508075688772</v>
      </c>
      <c r="K19" s="17">
        <f t="shared" ref="K19:K27" si="11">((((ABS($S$9*D19))+(ABS($S$10*E19)))*100)/(100*$S$8))</f>
        <v>4.0991869112463428</v>
      </c>
      <c r="L19" s="24">
        <f t="shared" ref="L19:L27" si="12">2*((SQRT((B19*(K19/1000))^2)+((D19-2*$S$6*B19)*(J19/1000))^2)*1000)</f>
        <v>1.9817581215582445</v>
      </c>
      <c r="M19" s="35">
        <f t="shared" ref="M19:M27" si="13">((L19/1000)/H19)*100</f>
        <v>0.6938928997052678</v>
      </c>
      <c r="N19" s="1"/>
      <c r="O19" s="1" t="s">
        <v>45</v>
      </c>
      <c r="P19" s="1">
        <v>2</v>
      </c>
      <c r="Q19" s="1"/>
      <c r="R19" s="1" t="s">
        <v>45</v>
      </c>
      <c r="S19" s="1">
        <v>2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3">
      <c r="A20" s="84"/>
      <c r="B20" s="34">
        <v>0.3</v>
      </c>
      <c r="C20" s="10">
        <v>0.4</v>
      </c>
      <c r="D20" s="10">
        <v>2.94</v>
      </c>
      <c r="E20" s="22">
        <v>4</v>
      </c>
      <c r="F20" s="13">
        <v>0.88200000000000001</v>
      </c>
      <c r="G20" s="10">
        <f t="shared" si="7"/>
        <v>135</v>
      </c>
      <c r="H20" s="17">
        <f t="shared" si="8"/>
        <v>0.747</v>
      </c>
      <c r="I20" s="17">
        <f t="shared" si="9"/>
        <v>18.072289156626507</v>
      </c>
      <c r="J20" s="17">
        <f t="shared" si="10"/>
        <v>2.0784609690826525</v>
      </c>
      <c r="K20" s="17">
        <f t="shared" si="11"/>
        <v>5.7042206595935019</v>
      </c>
      <c r="L20" s="24">
        <f t="shared" si="12"/>
        <v>3.4963014415161009</v>
      </c>
      <c r="M20" s="35">
        <f t="shared" si="13"/>
        <v>0.46804570836895593</v>
      </c>
      <c r="N20" s="1"/>
      <c r="O20" s="1" t="s">
        <v>46</v>
      </c>
      <c r="P20" s="1">
        <v>4000</v>
      </c>
      <c r="Q20" s="1"/>
      <c r="R20" s="1" t="s">
        <v>46</v>
      </c>
      <c r="S20" s="1">
        <v>4000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3">
      <c r="A21" s="84"/>
      <c r="B21" s="34">
        <v>0.34</v>
      </c>
      <c r="C21" s="10">
        <v>0.4</v>
      </c>
      <c r="D21" s="10">
        <v>3.94</v>
      </c>
      <c r="E21" s="22">
        <v>40</v>
      </c>
      <c r="F21" s="13">
        <v>1.3396000000000001</v>
      </c>
      <c r="G21" s="10">
        <f t="shared" si="7"/>
        <v>173.40000000000003</v>
      </c>
      <c r="H21" s="17">
        <f t="shared" si="8"/>
        <v>1.1662000000000001</v>
      </c>
      <c r="I21" s="17">
        <f t="shared" si="9"/>
        <v>14.868804664723031</v>
      </c>
      <c r="J21" s="17">
        <f t="shared" si="10"/>
        <v>2.3094010767585034</v>
      </c>
      <c r="K21" s="17">
        <f t="shared" si="11"/>
        <v>27.643530888799283</v>
      </c>
      <c r="L21" s="24">
        <f t="shared" si="12"/>
        <v>18.961475822090183</v>
      </c>
      <c r="M21" s="35">
        <f t="shared" si="13"/>
        <v>1.6259197240687857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3">
      <c r="A22" s="84"/>
      <c r="B22" s="34">
        <v>0.4</v>
      </c>
      <c r="C22" s="10">
        <v>0.4</v>
      </c>
      <c r="D22" s="10">
        <v>5.28</v>
      </c>
      <c r="E22" s="22">
        <v>40</v>
      </c>
      <c r="F22" s="13">
        <v>2.1120000000000001</v>
      </c>
      <c r="G22" s="10">
        <f t="shared" si="7"/>
        <v>240.00000000000006</v>
      </c>
      <c r="H22" s="17">
        <f>F22-(G22/1000)</f>
        <v>1.8720000000000001</v>
      </c>
      <c r="I22" s="17">
        <f t="shared" si="9"/>
        <v>12.820512820512823</v>
      </c>
      <c r="J22" s="17">
        <f t="shared" si="10"/>
        <v>2.6558112382722787</v>
      </c>
      <c r="K22" s="17">
        <f t="shared" si="11"/>
        <v>29.190829610227478</v>
      </c>
      <c r="L22" s="24">
        <f t="shared" si="12"/>
        <v>23.742367916021983</v>
      </c>
      <c r="M22" s="35">
        <f t="shared" si="13"/>
        <v>1.2682888844028837</v>
      </c>
      <c r="N22" s="1"/>
      <c r="O22" s="1"/>
      <c r="P22" s="1"/>
      <c r="Q22" s="1"/>
      <c r="R22" s="93" t="s">
        <v>47</v>
      </c>
      <c r="S22" s="9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3">
      <c r="A23" s="84"/>
      <c r="B23" s="34">
        <v>0.4</v>
      </c>
      <c r="C23" s="10">
        <v>4</v>
      </c>
      <c r="D23" s="10">
        <v>4.96</v>
      </c>
      <c r="E23" s="22">
        <v>40</v>
      </c>
      <c r="F23" s="13">
        <v>1.984</v>
      </c>
      <c r="G23" s="10">
        <f>60*((B23)^2)</f>
        <v>9.6000000000000014</v>
      </c>
      <c r="H23" s="17">
        <f t="shared" ref="H23:H27" si="14">F23-(G23/1000)</f>
        <v>1.9743999999999999</v>
      </c>
      <c r="I23" s="17">
        <f>((G23/1000)/H23)*100</f>
        <v>0.48622366288492713</v>
      </c>
      <c r="J23" s="17">
        <f t="shared" si="10"/>
        <v>5.7735026918962582</v>
      </c>
      <c r="K23" s="17">
        <f t="shared" si="11"/>
        <v>28.821325437946118</v>
      </c>
      <c r="L23" s="24">
        <f t="shared" si="12"/>
        <v>24.681333417023566</v>
      </c>
      <c r="M23" s="35">
        <f t="shared" si="13"/>
        <v>1.2500675353030575</v>
      </c>
      <c r="N23" s="1"/>
      <c r="O23" s="1"/>
      <c r="P23" s="1"/>
      <c r="Q23" s="1"/>
      <c r="R23" s="1" t="s">
        <v>45</v>
      </c>
      <c r="S23" s="1">
        <v>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">
      <c r="A24" s="84"/>
      <c r="B24" s="34">
        <v>0.44</v>
      </c>
      <c r="C24" s="10">
        <v>4</v>
      </c>
      <c r="D24" s="10">
        <v>6.05</v>
      </c>
      <c r="E24" s="22">
        <v>40</v>
      </c>
      <c r="F24" s="13">
        <v>2.6619999999999999</v>
      </c>
      <c r="G24" s="10">
        <f t="shared" ref="G24:G27" si="15">60*((B24)^2)</f>
        <v>11.616</v>
      </c>
      <c r="H24" s="17">
        <f t="shared" si="14"/>
        <v>2.6503839999999999</v>
      </c>
      <c r="I24" s="17">
        <f t="shared" ref="I24:I27" si="16">((G24/1000)/H24)*100</f>
        <v>0.43827611395178961</v>
      </c>
      <c r="J24" s="17">
        <f t="shared" si="10"/>
        <v>6.004442799572109</v>
      </c>
      <c r="K24" s="17">
        <f t="shared" si="11"/>
        <v>30.079949024779502</v>
      </c>
      <c r="L24" s="24">
        <f t="shared" si="12"/>
        <v>29.086655910335033</v>
      </c>
      <c r="M24" s="35">
        <f t="shared" si="13"/>
        <v>1.0974506301854763</v>
      </c>
      <c r="N24" s="1"/>
      <c r="O24" s="1"/>
      <c r="P24" s="1"/>
      <c r="Q24" s="1"/>
      <c r="R24" s="1" t="s">
        <v>46</v>
      </c>
      <c r="S24" s="1">
        <v>4000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">
      <c r="A25" s="84"/>
      <c r="B25" s="34">
        <v>0.5</v>
      </c>
      <c r="C25" s="10">
        <v>4</v>
      </c>
      <c r="D25" s="10">
        <v>7.75</v>
      </c>
      <c r="E25" s="22">
        <v>40</v>
      </c>
      <c r="F25" s="13">
        <v>3.875</v>
      </c>
      <c r="G25" s="10">
        <f t="shared" si="15"/>
        <v>15</v>
      </c>
      <c r="H25" s="17">
        <f t="shared" si="14"/>
        <v>3.86</v>
      </c>
      <c r="I25" s="17">
        <f t="shared" si="16"/>
        <v>0.38860103626943004</v>
      </c>
      <c r="J25" s="17">
        <f t="shared" si="10"/>
        <v>6.3508529610858844</v>
      </c>
      <c r="K25" s="17">
        <f t="shared" si="11"/>
        <v>32.042939940024233</v>
      </c>
      <c r="L25" s="24">
        <f t="shared" si="12"/>
        <v>36.850544206690898</v>
      </c>
      <c r="M25" s="35">
        <f t="shared" si="13"/>
        <v>0.95467731105416853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3">
      <c r="A26" s="84"/>
      <c r="B26" s="34">
        <v>0.54</v>
      </c>
      <c r="C26" s="10">
        <v>4</v>
      </c>
      <c r="D26" s="10">
        <v>9.0299999999999994</v>
      </c>
      <c r="E26" s="22">
        <v>40</v>
      </c>
      <c r="F26" s="13">
        <v>4.8761999999999999</v>
      </c>
      <c r="G26" s="10">
        <f t="shared" si="15"/>
        <v>17.496000000000002</v>
      </c>
      <c r="H26" s="17">
        <f t="shared" si="14"/>
        <v>4.8587039999999995</v>
      </c>
      <c r="I26" s="17">
        <f t="shared" si="16"/>
        <v>0.36009602560682852</v>
      </c>
      <c r="J26" s="17">
        <f t="shared" si="10"/>
        <v>6.5817930687617352</v>
      </c>
      <c r="K26" s="17">
        <f t="shared" si="11"/>
        <v>33.520956629149673</v>
      </c>
      <c r="L26" s="24">
        <f t="shared" si="12"/>
        <v>43.216730810528048</v>
      </c>
      <c r="M26" s="35">
        <f t="shared" si="13"/>
        <v>0.88947033633923889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thickBot="1" x14ac:dyDescent="0.35">
      <c r="A27" s="84"/>
      <c r="B27" s="40">
        <v>0.6</v>
      </c>
      <c r="C27" s="41">
        <v>4</v>
      </c>
      <c r="D27" s="41">
        <v>11.06</v>
      </c>
      <c r="E27" s="42">
        <v>40</v>
      </c>
      <c r="F27" s="43">
        <v>6.6360000000000001</v>
      </c>
      <c r="G27" s="41">
        <f t="shared" si="15"/>
        <v>21.599999999999998</v>
      </c>
      <c r="H27" s="44">
        <f t="shared" si="14"/>
        <v>6.6143999999999998</v>
      </c>
      <c r="I27" s="44">
        <f t="shared" si="16"/>
        <v>0.32656023222060954</v>
      </c>
      <c r="J27" s="44">
        <f t="shared" si="10"/>
        <v>6.9282032302755088</v>
      </c>
      <c r="K27" s="44">
        <f t="shared" si="11"/>
        <v>35.864998722059553</v>
      </c>
      <c r="L27" s="45">
        <f t="shared" si="12"/>
        <v>54.704741762471464</v>
      </c>
      <c r="M27" s="46">
        <f t="shared" si="13"/>
        <v>0.82705523951486848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3">
      <c r="A30" s="1"/>
      <c r="B30" s="1"/>
      <c r="C30" s="1" t="s">
        <v>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</sheetData>
  <mergeCells count="14">
    <mergeCell ref="R18:S18"/>
    <mergeCell ref="R22:S22"/>
    <mergeCell ref="J5:J6"/>
    <mergeCell ref="K5:K6"/>
    <mergeCell ref="L5:L6"/>
    <mergeCell ref="M5:M6"/>
    <mergeCell ref="A8:A17"/>
    <mergeCell ref="H5:H6"/>
    <mergeCell ref="I5:I6"/>
    <mergeCell ref="A18:A27"/>
    <mergeCell ref="B5:C5"/>
    <mergeCell ref="D5:E5"/>
    <mergeCell ref="F5:F6"/>
    <mergeCell ref="G5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3178-EBBB-0D4C-B995-4A305BB09225}">
  <dimension ref="A1"/>
  <sheetViews>
    <sheetView zoomScaleNormal="80" zoomScaleSheetLayoutView="100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33F6-9AD8-8141-85FC-780248630359}">
  <dimension ref="B1:AL29"/>
  <sheetViews>
    <sheetView tabSelected="1" topLeftCell="AF6" zoomScaleNormal="100" zoomScaleSheetLayoutView="100" workbookViewId="0">
      <selection activeCell="AY22" sqref="AY22"/>
    </sheetView>
  </sheetViews>
  <sheetFormatPr defaultRowHeight="14.4" x14ac:dyDescent="0.3"/>
  <cols>
    <col min="8" max="8" width="9.44140625" bestFit="1" customWidth="1"/>
    <col min="9" max="9" width="9.6640625" bestFit="1" customWidth="1"/>
    <col min="10" max="13" width="11.88671875" bestFit="1" customWidth="1"/>
    <col min="14" max="14" width="8.6640625" bestFit="1" customWidth="1"/>
    <col min="16" max="16" width="11.88671875" bestFit="1" customWidth="1"/>
    <col min="19" max="19" width="11.5546875" bestFit="1" customWidth="1"/>
    <col min="34" max="34" width="9.5546875" bestFit="1" customWidth="1"/>
  </cols>
  <sheetData>
    <row r="1" spans="2:38" x14ac:dyDescent="0.3">
      <c r="C1" t="s">
        <v>70</v>
      </c>
      <c r="AA1" t="s">
        <v>71</v>
      </c>
    </row>
    <row r="2" spans="2:38" ht="15" thickBot="1" x14ac:dyDescent="0.35">
      <c r="B2" t="s">
        <v>35</v>
      </c>
    </row>
    <row r="3" spans="2:38" ht="15.6" x14ac:dyDescent="0.35">
      <c r="C3" s="1" t="s">
        <v>72</v>
      </c>
      <c r="D3" s="1" t="s">
        <v>73</v>
      </c>
      <c r="E3" s="1" t="s">
        <v>74</v>
      </c>
      <c r="F3" s="1" t="s">
        <v>75</v>
      </c>
      <c r="G3" s="1" t="s">
        <v>15</v>
      </c>
      <c r="H3" s="120" t="s">
        <v>16</v>
      </c>
      <c r="I3" s="1" t="s">
        <v>17</v>
      </c>
      <c r="J3" s="120" t="s">
        <v>76</v>
      </c>
      <c r="K3" s="1" t="s">
        <v>19</v>
      </c>
      <c r="L3" s="1" t="s">
        <v>20</v>
      </c>
      <c r="M3" s="1" t="s">
        <v>21</v>
      </c>
      <c r="N3" s="120" t="s">
        <v>22</v>
      </c>
      <c r="P3" t="s">
        <v>51</v>
      </c>
      <c r="R3" t="s">
        <v>52</v>
      </c>
      <c r="S3" s="156">
        <v>9100000</v>
      </c>
      <c r="T3" t="s">
        <v>53</v>
      </c>
      <c r="V3" t="s">
        <v>54</v>
      </c>
      <c r="AA3" s="127" t="s">
        <v>72</v>
      </c>
      <c r="AB3" s="123" t="s">
        <v>73</v>
      </c>
      <c r="AC3" s="123" t="s">
        <v>74</v>
      </c>
      <c r="AD3" s="132" t="s">
        <v>75</v>
      </c>
      <c r="AE3" s="130" t="s">
        <v>15</v>
      </c>
      <c r="AF3" s="128" t="s">
        <v>16</v>
      </c>
      <c r="AG3" s="123" t="s">
        <v>17</v>
      </c>
      <c r="AH3" s="128" t="s">
        <v>76</v>
      </c>
      <c r="AI3" s="123" t="s">
        <v>19</v>
      </c>
      <c r="AJ3" s="123" t="s">
        <v>20</v>
      </c>
      <c r="AK3" s="123" t="s">
        <v>21</v>
      </c>
      <c r="AL3" s="129" t="s">
        <v>22</v>
      </c>
    </row>
    <row r="4" spans="2:38" ht="15" thickBot="1" x14ac:dyDescent="0.35">
      <c r="C4" s="1" t="s">
        <v>27</v>
      </c>
      <c r="D4" s="1" t="s">
        <v>27</v>
      </c>
      <c r="E4" s="1" t="s">
        <v>28</v>
      </c>
      <c r="F4" s="1" t="s">
        <v>28</v>
      </c>
      <c r="G4" s="1" t="s">
        <v>30</v>
      </c>
      <c r="H4" s="1" t="s">
        <v>30</v>
      </c>
      <c r="I4" s="1" t="s">
        <v>30</v>
      </c>
      <c r="J4" s="1" t="s">
        <v>32</v>
      </c>
      <c r="K4" s="1" t="s">
        <v>27</v>
      </c>
      <c r="L4" s="1" t="s">
        <v>28</v>
      </c>
      <c r="M4" s="1" t="s">
        <v>30</v>
      </c>
      <c r="N4" s="1" t="s">
        <v>32</v>
      </c>
      <c r="P4" t="s">
        <v>30</v>
      </c>
      <c r="R4" t="s">
        <v>55</v>
      </c>
      <c r="S4" s="156">
        <v>8400000</v>
      </c>
      <c r="T4" t="s">
        <v>53</v>
      </c>
      <c r="V4" t="s">
        <v>46</v>
      </c>
      <c r="W4">
        <v>4000</v>
      </c>
      <c r="AA4" s="124" t="s">
        <v>27</v>
      </c>
      <c r="AB4" s="125" t="s">
        <v>27</v>
      </c>
      <c r="AC4" s="125" t="s">
        <v>28</v>
      </c>
      <c r="AD4" s="126" t="s">
        <v>28</v>
      </c>
      <c r="AE4" s="131" t="s">
        <v>30</v>
      </c>
      <c r="AF4" s="133" t="s">
        <v>77</v>
      </c>
      <c r="AG4" s="125" t="s">
        <v>30</v>
      </c>
      <c r="AH4" s="125" t="s">
        <v>32</v>
      </c>
      <c r="AI4" s="125" t="s">
        <v>33</v>
      </c>
      <c r="AJ4" s="125" t="s">
        <v>34</v>
      </c>
      <c r="AK4" s="125" t="s">
        <v>31</v>
      </c>
      <c r="AL4" s="126" t="s">
        <v>32</v>
      </c>
    </row>
    <row r="5" spans="2:38" x14ac:dyDescent="0.3">
      <c r="C5" s="32">
        <v>0.22600000000000001</v>
      </c>
      <c r="D5" s="1">
        <v>0.4</v>
      </c>
      <c r="E5" s="1">
        <v>1</v>
      </c>
      <c r="F5" s="1">
        <v>4</v>
      </c>
      <c r="G5" s="1" cm="1">
        <f t="array" ref="G5:G14">C5:C14*E5:E14</f>
        <v>0.22600000000000001</v>
      </c>
      <c r="H5" s="121" cm="1">
        <f t="array" ref="H5:H7">POWER(E5:E7,2)/S3</f>
        <v>1.0989010989010989E-7</v>
      </c>
      <c r="I5" s="121" cm="1">
        <f t="array" ref="I5:I14">_xlfn.ANCHORARRAY(G5)-H5:H14</f>
        <v>0.22599989010989011</v>
      </c>
      <c r="J5" s="121" cm="1">
        <f t="array" ref="J5:J14">(H5:H14/_xlfn.ANCHORARRAY(I5))*100</f>
        <v>4.8623966072141431E-5</v>
      </c>
      <c r="K5" s="1" cm="1">
        <f t="array" ref="K5:K8">(ABS(S9*C5:C8)+ABS(S10*D5:D8))/(100*SQRT(3))</f>
        <v>1.4202816622064793E-3</v>
      </c>
      <c r="L5" s="1" cm="1">
        <f t="array" ref="L5:L14">(ABS(S7*E5:E14)+ABS(S8*F5:F14))/(100*SQRT(3))</f>
        <v>4.0414518843273801E-3</v>
      </c>
      <c r="M5" s="1" cm="1">
        <f t="array" ref="M5:M14">P5:P14*2</f>
        <v>3.3772413066110746E-3</v>
      </c>
      <c r="N5" s="121" cm="1">
        <f t="array" ref="N5:N14">(_xlfn.ANCHORARRAY(M5)/_xlfn.ANCHORARRAY(I5))*100</f>
        <v>1.4943552870618326</v>
      </c>
      <c r="P5" cm="1">
        <f t="array" ref="P5:P7">SQRT(POWER((C5:C7-((2*E5:E7)/S3))*L5:L7,2)+POWER(E5:E7*K5:K7,2))</f>
        <v>1.6886206533055373E-3</v>
      </c>
      <c r="R5" t="s">
        <v>56</v>
      </c>
      <c r="S5" s="156">
        <v>1.5</v>
      </c>
      <c r="T5" t="s">
        <v>53</v>
      </c>
      <c r="V5" t="s">
        <v>57</v>
      </c>
      <c r="W5">
        <v>2</v>
      </c>
      <c r="AA5" s="122" cm="1">
        <f t="array" ref="AA5:AA14">C5:C14</f>
        <v>0.22600000000000001</v>
      </c>
      <c r="AB5" s="123" cm="1">
        <f t="array" ref="AB5:AB14">D5:D14</f>
        <v>0.4</v>
      </c>
      <c r="AC5" s="123" cm="1">
        <f t="array" ref="AC5:AC14">E5:E14</f>
        <v>1</v>
      </c>
      <c r="AD5" s="132" cm="1">
        <f t="array" ref="AD5:AD14">F5:F14</f>
        <v>4</v>
      </c>
      <c r="AE5" s="134" cm="1">
        <f t="array" ref="AE5:AE14">G5:G14</f>
        <v>0.22600000000000001</v>
      </c>
      <c r="AF5" s="138" cm="1">
        <f t="array" ref="AF5:AF14">H5:H14*1000000</f>
        <v>0.10989010989010989</v>
      </c>
      <c r="AG5" s="138" cm="1">
        <f t="array" ref="AG5:AG14">I5:I14</f>
        <v>0.22599989010989011</v>
      </c>
      <c r="AH5" s="145" cm="1">
        <f t="array" ref="AH5:AH14">J5:J14</f>
        <v>4.8623966072141431E-5</v>
      </c>
      <c r="AI5" s="138" cm="1">
        <f t="array" ref="AI5:AI14">K5:K14*1000</f>
        <v>1.4202816622064793</v>
      </c>
      <c r="AJ5" s="138" cm="1">
        <f t="array" ref="AJ5:AJ14">L5:L14*1000</f>
        <v>4.0414518843273806</v>
      </c>
      <c r="AK5" s="151" cm="1">
        <f t="array" ref="AK5:AK14">M5:M14*1000</f>
        <v>3.3772413066110745</v>
      </c>
      <c r="AL5" s="152" cm="1">
        <f t="array" ref="AL5:AL14">N5:N14</f>
        <v>1.4943552870618326</v>
      </c>
    </row>
    <row r="6" spans="2:38" x14ac:dyDescent="0.3">
      <c r="C6" s="34">
        <v>0.28599999999999998</v>
      </c>
      <c r="D6" s="1">
        <v>0.4</v>
      </c>
      <c r="E6" s="1">
        <v>2</v>
      </c>
      <c r="F6" s="1">
        <v>4</v>
      </c>
      <c r="G6" s="1">
        <v>0.57199999999999995</v>
      </c>
      <c r="H6" s="121">
        <v>4.3956043956043957E-7</v>
      </c>
      <c r="I6" s="1">
        <v>0.57199956043956035</v>
      </c>
      <c r="J6" s="1">
        <v>7.6846289745861651E-5</v>
      </c>
      <c r="K6" s="1">
        <v>1.7666918237202549E-3</v>
      </c>
      <c r="L6" s="1">
        <v>6.9282032302755087E-3</v>
      </c>
      <c r="M6" s="1">
        <v>8.1020974892771682E-3</v>
      </c>
      <c r="N6" s="1">
        <v>1.4164516985032312</v>
      </c>
      <c r="P6">
        <v>4.0510487446385841E-3</v>
      </c>
      <c r="R6" t="s">
        <v>58</v>
      </c>
      <c r="S6" s="156">
        <v>0.06</v>
      </c>
      <c r="T6" t="s">
        <v>53</v>
      </c>
      <c r="V6" t="s">
        <v>59</v>
      </c>
      <c r="W6">
        <v>2</v>
      </c>
      <c r="AA6" s="3">
        <v>0.28599999999999998</v>
      </c>
      <c r="AB6" s="2">
        <v>0.4</v>
      </c>
      <c r="AC6" s="2">
        <v>2</v>
      </c>
      <c r="AD6" s="4">
        <v>4</v>
      </c>
      <c r="AE6" s="135">
        <v>0.57199999999999995</v>
      </c>
      <c r="AF6" s="139">
        <v>0.43956043956043955</v>
      </c>
      <c r="AG6" s="139">
        <v>0.57199956043956035</v>
      </c>
      <c r="AH6" s="146">
        <v>7.6846289745861651E-5</v>
      </c>
      <c r="AI6" s="139">
        <v>1.7666918237202549</v>
      </c>
      <c r="AJ6" s="139">
        <v>6.9282032302755088</v>
      </c>
      <c r="AK6" s="143">
        <v>8.1020974892771687</v>
      </c>
      <c r="AL6" s="153">
        <v>1.4164516985032312</v>
      </c>
    </row>
    <row r="7" spans="2:38" x14ac:dyDescent="0.3">
      <c r="C7" s="34">
        <v>0.33600000000000002</v>
      </c>
      <c r="D7" s="1">
        <v>0.4</v>
      </c>
      <c r="E7" s="1">
        <v>3</v>
      </c>
      <c r="F7" s="1">
        <v>4</v>
      </c>
      <c r="G7" s="1">
        <v>1.008</v>
      </c>
      <c r="H7" s="121">
        <v>9.8901098901098912E-7</v>
      </c>
      <c r="I7" s="1">
        <v>1.0079990109890109</v>
      </c>
      <c r="J7" s="1">
        <v>9.8116265812662714E-5</v>
      </c>
      <c r="K7" s="1">
        <v>2.0553669583150678E-3</v>
      </c>
      <c r="L7" s="1">
        <v>9.8149545762236372E-3</v>
      </c>
      <c r="M7" s="1">
        <v>1.3985192929232684E-2</v>
      </c>
      <c r="N7" s="1">
        <v>1.3874212947402533</v>
      </c>
      <c r="P7">
        <v>6.9925964646163422E-3</v>
      </c>
      <c r="R7" t="s">
        <v>60</v>
      </c>
      <c r="S7" s="156">
        <v>0.5</v>
      </c>
      <c r="T7" t="s">
        <v>32</v>
      </c>
      <c r="V7" t="s">
        <v>61</v>
      </c>
      <c r="W7">
        <v>5</v>
      </c>
      <c r="AA7" s="3">
        <v>0.33600000000000002</v>
      </c>
      <c r="AB7" s="2">
        <v>0.4</v>
      </c>
      <c r="AC7" s="2">
        <v>3</v>
      </c>
      <c r="AD7" s="4">
        <v>4</v>
      </c>
      <c r="AE7" s="135">
        <v>1.008</v>
      </c>
      <c r="AF7" s="139">
        <v>0.98901098901098916</v>
      </c>
      <c r="AG7" s="139">
        <v>1.0079990109890109</v>
      </c>
      <c r="AH7" s="146">
        <v>9.8116265812662714E-5</v>
      </c>
      <c r="AI7" s="139">
        <v>2.055366958315068</v>
      </c>
      <c r="AJ7" s="139">
        <v>9.8149545762236379</v>
      </c>
      <c r="AK7" s="143">
        <v>13.985192929232685</v>
      </c>
      <c r="AL7" s="153">
        <v>1.3874212947402533</v>
      </c>
    </row>
    <row r="8" spans="2:38" x14ac:dyDescent="0.3">
      <c r="C8" s="34">
        <v>0.376</v>
      </c>
      <c r="D8" s="1">
        <v>0.4</v>
      </c>
      <c r="E8" s="1">
        <v>4</v>
      </c>
      <c r="F8" s="1">
        <v>40</v>
      </c>
      <c r="G8" s="1">
        <v>1.504</v>
      </c>
      <c r="H8" s="121" cm="1">
        <f t="array" ref="H8:H14">POWER(E8:E14,2)/S4</f>
        <v>1.9047619047619047E-6</v>
      </c>
      <c r="I8" s="1">
        <v>1.5039980952380951</v>
      </c>
      <c r="J8" s="1">
        <v>1.2664656363546559E-4</v>
      </c>
      <c r="K8" s="1">
        <v>2.286307065990918E-3</v>
      </c>
      <c r="L8" s="1">
        <v>2.3094010767585032E-2</v>
      </c>
      <c r="M8" s="1">
        <v>2.5221843815673994E-2</v>
      </c>
      <c r="N8" s="1">
        <v>1.6769864200979039</v>
      </c>
      <c r="P8" cm="1">
        <f t="array" ref="P8:P14">SQRT(POWER((C8:C14-((2*E8:E14)/S4))*L8:L14,2)+POWER(E8:E14*K8:K14,2))</f>
        <v>1.2610921907836997E-2</v>
      </c>
      <c r="R8" t="s">
        <v>62</v>
      </c>
      <c r="S8" s="156">
        <f>(W5/W4)*100</f>
        <v>0.05</v>
      </c>
      <c r="T8" t="s">
        <v>32</v>
      </c>
      <c r="AA8" s="3">
        <v>0.376</v>
      </c>
      <c r="AB8" s="2">
        <v>0.4</v>
      </c>
      <c r="AC8" s="2">
        <v>4</v>
      </c>
      <c r="AD8" s="4">
        <v>40</v>
      </c>
      <c r="AE8" s="135">
        <v>1.504</v>
      </c>
      <c r="AF8" s="139">
        <v>1.9047619047619047</v>
      </c>
      <c r="AG8" s="139">
        <v>1.5039980952380951</v>
      </c>
      <c r="AH8" s="146">
        <v>1.2664656363546559E-4</v>
      </c>
      <c r="AI8" s="139">
        <v>2.2863070659909179</v>
      </c>
      <c r="AJ8" s="139">
        <v>23.094010767585033</v>
      </c>
      <c r="AK8" s="143">
        <v>25.221843815673996</v>
      </c>
      <c r="AL8" s="153">
        <v>1.6769864200979039</v>
      </c>
    </row>
    <row r="9" spans="2:38" x14ac:dyDescent="0.3">
      <c r="C9" s="34">
        <v>0.41599999999999998</v>
      </c>
      <c r="D9" s="1">
        <v>10</v>
      </c>
      <c r="E9" s="1">
        <v>5</v>
      </c>
      <c r="F9" s="1">
        <v>40</v>
      </c>
      <c r="G9" s="1">
        <v>2.08</v>
      </c>
      <c r="H9" s="121">
        <v>2.9761904761904763E-6</v>
      </c>
      <c r="I9" s="1">
        <v>2.0799970238095238</v>
      </c>
      <c r="J9" s="1">
        <v>1.4308628532263811E-4</v>
      </c>
      <c r="K9" s="1" cm="1">
        <f t="array" ref="K9:K14">(ABS(S11*C9:C14)+ABS(S12*D9:D14))/(100*SQRT(3))</f>
        <v>1.0819544044613588E-2</v>
      </c>
      <c r="L9" s="1">
        <v>2.598076211353316E-2</v>
      </c>
      <c r="M9" s="1">
        <v>0.11033359352006734</v>
      </c>
      <c r="N9" s="1">
        <v>5.3045072784763354</v>
      </c>
      <c r="P9">
        <v>5.5166796760033672E-2</v>
      </c>
      <c r="R9" t="s">
        <v>63</v>
      </c>
      <c r="S9" s="156">
        <v>1</v>
      </c>
      <c r="T9" t="s">
        <v>32</v>
      </c>
      <c r="AA9" s="3">
        <v>0.41599999999999998</v>
      </c>
      <c r="AB9" s="2">
        <v>10</v>
      </c>
      <c r="AC9" s="2">
        <v>5</v>
      </c>
      <c r="AD9" s="4">
        <v>40</v>
      </c>
      <c r="AE9" s="135">
        <v>2.08</v>
      </c>
      <c r="AF9" s="139">
        <v>2.9761904761904763</v>
      </c>
      <c r="AG9" s="139">
        <v>2.0799970238095238</v>
      </c>
      <c r="AH9" s="146">
        <v>1.4308628532263811E-4</v>
      </c>
      <c r="AI9" s="139">
        <v>10.819544044613588</v>
      </c>
      <c r="AJ9" s="139">
        <v>25.98076211353316</v>
      </c>
      <c r="AK9" s="143">
        <v>110.33359352006734</v>
      </c>
      <c r="AL9" s="153">
        <v>5.3045072784763354</v>
      </c>
    </row>
    <row r="10" spans="2:38" x14ac:dyDescent="0.3">
      <c r="C10" s="34">
        <v>0.44600000000000001</v>
      </c>
      <c r="D10" s="1">
        <v>10</v>
      </c>
      <c r="E10" s="1">
        <v>6</v>
      </c>
      <c r="F10" s="1">
        <v>40</v>
      </c>
      <c r="G10" s="1">
        <v>2.6760000000000002</v>
      </c>
      <c r="H10" s="121">
        <v>4.2857142857142855E-6</v>
      </c>
      <c r="I10" s="1">
        <v>2.6759957142857145</v>
      </c>
      <c r="J10" s="1">
        <v>1.6015400409033324E-4</v>
      </c>
      <c r="K10" s="1">
        <v>1.1079351665748919E-2</v>
      </c>
      <c r="L10" s="1">
        <v>2.8867513459481291E-2</v>
      </c>
      <c r="M10" s="1">
        <v>0.13542282630975139</v>
      </c>
      <c r="N10" s="1">
        <v>5.0606518383718297</v>
      </c>
      <c r="P10">
        <v>6.7711413154875694E-2</v>
      </c>
      <c r="R10" t="s">
        <v>64</v>
      </c>
      <c r="S10" s="156">
        <f>(W6/W4)*100</f>
        <v>0.05</v>
      </c>
      <c r="T10" t="s">
        <v>32</v>
      </c>
      <c r="AA10" s="3">
        <v>0.44600000000000001</v>
      </c>
      <c r="AB10" s="2">
        <v>10</v>
      </c>
      <c r="AC10" s="2">
        <v>6</v>
      </c>
      <c r="AD10" s="4">
        <v>40</v>
      </c>
      <c r="AE10" s="135">
        <v>2.6760000000000002</v>
      </c>
      <c r="AF10" s="139">
        <v>4.2857142857142856</v>
      </c>
      <c r="AG10" s="139">
        <v>2.6759957142857145</v>
      </c>
      <c r="AH10" s="146">
        <v>1.6015400409033324E-4</v>
      </c>
      <c r="AI10" s="139">
        <v>11.079351665748918</v>
      </c>
      <c r="AJ10" s="139">
        <v>28.867513459481291</v>
      </c>
      <c r="AK10" s="143">
        <v>135.4228263097514</v>
      </c>
      <c r="AL10" s="153">
        <v>5.0606518383718297</v>
      </c>
    </row>
    <row r="11" spans="2:38" x14ac:dyDescent="0.3">
      <c r="C11" s="34">
        <v>0.48599999999999999</v>
      </c>
      <c r="D11" s="1">
        <v>10</v>
      </c>
      <c r="E11" s="1">
        <v>7</v>
      </c>
      <c r="F11" s="1">
        <v>40</v>
      </c>
      <c r="G11" s="1">
        <v>3.4020000000000001</v>
      </c>
      <c r="H11" s="121">
        <v>5.8333333333333331E-6</v>
      </c>
      <c r="I11" s="1">
        <v>3.4019941666666669</v>
      </c>
      <c r="J11" s="1">
        <v>1.7146805807280189E-4</v>
      </c>
      <c r="K11" s="1">
        <v>1.1425761827262695E-2</v>
      </c>
      <c r="L11" s="1">
        <v>3.1754264805429415E-2</v>
      </c>
      <c r="M11" s="1">
        <v>0.16291121876452996</v>
      </c>
      <c r="N11" s="1">
        <v>4.7886977691132611</v>
      </c>
      <c r="P11">
        <v>8.1455609382264982E-2</v>
      </c>
      <c r="R11" t="s">
        <v>65</v>
      </c>
      <c r="S11" s="156">
        <v>1.5</v>
      </c>
      <c r="T11" t="s">
        <v>32</v>
      </c>
      <c r="AA11" s="3">
        <v>0.48599999999999999</v>
      </c>
      <c r="AB11" s="2">
        <v>10</v>
      </c>
      <c r="AC11" s="2">
        <v>7</v>
      </c>
      <c r="AD11" s="4">
        <v>40</v>
      </c>
      <c r="AE11" s="135">
        <v>3.4020000000000001</v>
      </c>
      <c r="AF11" s="139">
        <v>5.833333333333333</v>
      </c>
      <c r="AG11" s="139">
        <v>3.4019941666666669</v>
      </c>
      <c r="AH11" s="146">
        <v>1.7146805807280189E-4</v>
      </c>
      <c r="AI11" s="139">
        <v>11.425761827262695</v>
      </c>
      <c r="AJ11" s="139">
        <v>31.754264805429415</v>
      </c>
      <c r="AK11" s="143">
        <v>162.91121876452996</v>
      </c>
      <c r="AL11" s="153">
        <v>4.7886977691132611</v>
      </c>
    </row>
    <row r="12" spans="2:38" x14ac:dyDescent="0.3">
      <c r="C12" s="34">
        <v>0.51600000000000001</v>
      </c>
      <c r="D12" s="1">
        <v>10</v>
      </c>
      <c r="E12" s="1">
        <v>8</v>
      </c>
      <c r="F12" s="1">
        <v>40</v>
      </c>
      <c r="G12" s="1">
        <v>4.1280000000000001</v>
      </c>
      <c r="H12" s="121">
        <v>7.6190476190476188E-6</v>
      </c>
      <c r="I12" s="1">
        <v>4.1279923809523806</v>
      </c>
      <c r="J12" s="1">
        <v>1.845702926731131E-4</v>
      </c>
      <c r="K12" s="1">
        <v>1.1685569448398025E-2</v>
      </c>
      <c r="L12" s="1">
        <v>3.4641016151377546E-2</v>
      </c>
      <c r="M12" s="1">
        <v>0.19035616065134897</v>
      </c>
      <c r="N12" s="1">
        <v>4.6113496122158875</v>
      </c>
      <c r="P12">
        <v>9.5178080325674486E-2</v>
      </c>
      <c r="R12" t="s">
        <v>66</v>
      </c>
      <c r="S12" s="156">
        <f>(W7/W4)*100</f>
        <v>0.125</v>
      </c>
      <c r="T12" t="s">
        <v>32</v>
      </c>
      <c r="AA12" s="3">
        <v>0.51600000000000001</v>
      </c>
      <c r="AB12" s="2">
        <v>10</v>
      </c>
      <c r="AC12" s="2">
        <v>8</v>
      </c>
      <c r="AD12" s="4">
        <v>40</v>
      </c>
      <c r="AE12" s="135">
        <v>4.1280000000000001</v>
      </c>
      <c r="AF12" s="139">
        <v>7.6190476190476186</v>
      </c>
      <c r="AG12" s="139">
        <v>4.1279923809523806</v>
      </c>
      <c r="AH12" s="146">
        <v>1.845702926731131E-4</v>
      </c>
      <c r="AI12" s="139">
        <v>11.685569448398025</v>
      </c>
      <c r="AJ12" s="139">
        <v>34.641016151377549</v>
      </c>
      <c r="AK12" s="143">
        <v>190.35616065134897</v>
      </c>
      <c r="AL12" s="153">
        <v>4.6113496122158875</v>
      </c>
    </row>
    <row r="13" spans="2:38" x14ac:dyDescent="0.3">
      <c r="C13" s="34">
        <v>0.54500000000000004</v>
      </c>
      <c r="D13" s="1">
        <v>10</v>
      </c>
      <c r="E13" s="1">
        <v>9</v>
      </c>
      <c r="F13" s="1">
        <v>40</v>
      </c>
      <c r="G13" s="1">
        <v>4.9050000000000002</v>
      </c>
      <c r="H13" s="121">
        <v>9.6428571428571425E-6</v>
      </c>
      <c r="I13" s="1">
        <v>4.9049903571428572</v>
      </c>
      <c r="J13" s="1">
        <v>1.9659278491373179E-4</v>
      </c>
      <c r="K13" s="1">
        <v>1.1936716815495513E-2</v>
      </c>
      <c r="L13" s="1">
        <v>3.7527767497325677E-2</v>
      </c>
      <c r="M13" s="1">
        <v>0.21871999262870795</v>
      </c>
      <c r="N13" s="1">
        <v>4.4591319595602981</v>
      </c>
      <c r="P13">
        <v>0.10935999631435397</v>
      </c>
      <c r="AA13" s="3">
        <v>0.54500000000000004</v>
      </c>
      <c r="AB13" s="2">
        <v>10</v>
      </c>
      <c r="AC13" s="2">
        <v>9</v>
      </c>
      <c r="AD13" s="4">
        <v>40</v>
      </c>
      <c r="AE13" s="135">
        <v>4.9050000000000002</v>
      </c>
      <c r="AF13" s="139">
        <v>9.6428571428571423</v>
      </c>
      <c r="AG13" s="139">
        <v>4.9049903571428572</v>
      </c>
      <c r="AH13" s="146">
        <v>1.9659278491373179E-4</v>
      </c>
      <c r="AI13" s="139">
        <v>11.936716815495513</v>
      </c>
      <c r="AJ13" s="139">
        <v>37.527767497325677</v>
      </c>
      <c r="AK13" s="143">
        <v>218.71999262870796</v>
      </c>
      <c r="AL13" s="153">
        <v>4.4591319595602981</v>
      </c>
    </row>
    <row r="14" spans="2:38" ht="15" thickBot="1" x14ac:dyDescent="0.35">
      <c r="C14" s="36">
        <v>0.57399999999999995</v>
      </c>
      <c r="D14" s="1">
        <v>10</v>
      </c>
      <c r="E14" s="1">
        <v>10</v>
      </c>
      <c r="F14" s="1">
        <v>40</v>
      </c>
      <c r="G14" s="1">
        <v>5.7399999999999993</v>
      </c>
      <c r="H14" s="121">
        <v>1.1904761904761905E-5</v>
      </c>
      <c r="I14" s="1">
        <v>5.7399880952380942</v>
      </c>
      <c r="J14" s="1">
        <v>2.0740046333263514E-4</v>
      </c>
      <c r="K14" s="1">
        <v>1.2187864182592999E-2</v>
      </c>
      <c r="L14" s="1">
        <v>4.0414518843273801E-2</v>
      </c>
      <c r="M14" s="1">
        <v>0.2481333754433811</v>
      </c>
      <c r="N14" s="1">
        <v>4.3228900709608276</v>
      </c>
      <c r="P14">
        <v>0.12406668772169055</v>
      </c>
      <c r="AA14" s="124">
        <v>0.57399999999999995</v>
      </c>
      <c r="AB14" s="125">
        <v>10</v>
      </c>
      <c r="AC14" s="125">
        <v>10</v>
      </c>
      <c r="AD14" s="126">
        <v>40</v>
      </c>
      <c r="AE14" s="136">
        <v>5.7399999999999993</v>
      </c>
      <c r="AF14" s="140">
        <v>11.904761904761905</v>
      </c>
      <c r="AG14" s="140">
        <v>5.7399880952380942</v>
      </c>
      <c r="AH14" s="147">
        <v>2.0740046333263514E-4</v>
      </c>
      <c r="AI14" s="140">
        <v>12.187864182593</v>
      </c>
      <c r="AJ14" s="140">
        <v>40.414518843273804</v>
      </c>
      <c r="AK14" s="144">
        <v>248.13337544338111</v>
      </c>
      <c r="AL14" s="154">
        <v>4.3228900709608276</v>
      </c>
    </row>
    <row r="15" spans="2:38" x14ac:dyDescent="0.3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2:38" x14ac:dyDescent="0.3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2:38" ht="15" thickBot="1" x14ac:dyDescent="0.35">
      <c r="B17" t="s">
        <v>42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6" x14ac:dyDescent="0.35">
      <c r="C18" s="1" t="s">
        <v>72</v>
      </c>
      <c r="D18" s="1" t="s">
        <v>73</v>
      </c>
      <c r="E18" s="1" t="s">
        <v>74</v>
      </c>
      <c r="F18" s="1" t="s">
        <v>75</v>
      </c>
      <c r="G18" s="1" t="s">
        <v>15</v>
      </c>
      <c r="H18" s="120" t="s">
        <v>16</v>
      </c>
      <c r="I18" s="1" t="s">
        <v>17</v>
      </c>
      <c r="J18" s="120" t="s">
        <v>76</v>
      </c>
      <c r="K18" s="1" t="s">
        <v>19</v>
      </c>
      <c r="L18" s="1" t="s">
        <v>20</v>
      </c>
      <c r="M18" s="1" t="s">
        <v>21</v>
      </c>
      <c r="N18" s="120" t="s">
        <v>22</v>
      </c>
      <c r="P18" t="s">
        <v>67</v>
      </c>
      <c r="AA18" s="127" t="s">
        <v>72</v>
      </c>
      <c r="AB18" s="123" t="s">
        <v>73</v>
      </c>
      <c r="AC18" s="123" t="s">
        <v>74</v>
      </c>
      <c r="AD18" s="132" t="s">
        <v>75</v>
      </c>
      <c r="AE18" s="130" t="s">
        <v>15</v>
      </c>
      <c r="AF18" s="128" t="s">
        <v>16</v>
      </c>
      <c r="AG18" s="123" t="s">
        <v>17</v>
      </c>
      <c r="AH18" s="128" t="s">
        <v>76</v>
      </c>
      <c r="AI18" s="123" t="s">
        <v>19</v>
      </c>
      <c r="AJ18" s="123" t="s">
        <v>20</v>
      </c>
      <c r="AK18" s="123" t="s">
        <v>21</v>
      </c>
      <c r="AL18" s="129" t="s">
        <v>22</v>
      </c>
    </row>
    <row r="19" spans="2:38" ht="15" thickBot="1" x14ac:dyDescent="0.35">
      <c r="C19" s="1" t="s">
        <v>27</v>
      </c>
      <c r="D19" s="1" t="s">
        <v>27</v>
      </c>
      <c r="E19" s="1" t="s">
        <v>28</v>
      </c>
      <c r="F19" s="1" t="s">
        <v>28</v>
      </c>
      <c r="G19" s="1" t="s">
        <v>30</v>
      </c>
      <c r="H19" s="1" t="s">
        <v>30</v>
      </c>
      <c r="I19" s="1" t="s">
        <v>30</v>
      </c>
      <c r="J19" s="1" t="s">
        <v>32</v>
      </c>
      <c r="K19" s="1" t="s">
        <v>27</v>
      </c>
      <c r="L19" s="1" t="s">
        <v>28</v>
      </c>
      <c r="M19" s="1" t="s">
        <v>30</v>
      </c>
      <c r="N19" s="1" t="s">
        <v>32</v>
      </c>
      <c r="P19" t="s">
        <v>30</v>
      </c>
      <c r="AA19" s="124" t="s">
        <v>27</v>
      </c>
      <c r="AB19" s="125" t="s">
        <v>27</v>
      </c>
      <c r="AC19" s="125" t="s">
        <v>28</v>
      </c>
      <c r="AD19" s="126" t="s">
        <v>28</v>
      </c>
      <c r="AE19" s="131" t="s">
        <v>30</v>
      </c>
      <c r="AF19" s="125" t="s">
        <v>31</v>
      </c>
      <c r="AG19" s="125" t="s">
        <v>30</v>
      </c>
      <c r="AH19" s="125" t="s">
        <v>32</v>
      </c>
      <c r="AI19" s="125" t="s">
        <v>33</v>
      </c>
      <c r="AJ19" s="125" t="s">
        <v>34</v>
      </c>
      <c r="AK19" s="125" t="s">
        <v>31</v>
      </c>
      <c r="AL19" s="126" t="s">
        <v>32</v>
      </c>
    </row>
    <row r="20" spans="2:38" x14ac:dyDescent="0.3">
      <c r="C20" s="38">
        <v>0.2</v>
      </c>
      <c r="D20" s="20">
        <v>0.4</v>
      </c>
      <c r="E20" s="20">
        <v>1.17</v>
      </c>
      <c r="F20" s="28">
        <v>4</v>
      </c>
      <c r="G20" s="1" cm="1">
        <f t="array" ref="G20:G29">C20:C29*E20:E29</f>
        <v>0.23399999999999999</v>
      </c>
      <c r="H20" s="121" cm="1">
        <f t="array" ref="H20:H24">S5*POWER(C20:C24,2)</f>
        <v>6.0000000000000012E-2</v>
      </c>
      <c r="I20" s="121" cm="1">
        <f t="array" ref="I20:I29">_xlfn.ANCHORARRAY(G20)-H20:H29</f>
        <v>0.17399999999999999</v>
      </c>
      <c r="J20" s="121" cm="1">
        <f t="array" ref="J20:J29">(H20:H29/_xlfn.ANCHORARRAY(I20))*100</f>
        <v>34.482758620689665</v>
      </c>
      <c r="K20" s="1" cm="1">
        <f t="array" ref="K20:K24">(ABS(S9*C20:C24)+ABS(S10*D20:D24))/(100*SQRT(3))</f>
        <v>1.2701705922171769E-3</v>
      </c>
      <c r="L20" s="1" cm="1">
        <f t="array" ref="L20:L29">(ABS(S7*E20:E29)+ABS(S8*F20:F29))/(100*SQRT(3))</f>
        <v>4.5321996131385623E-3</v>
      </c>
      <c r="M20" s="1" cm="1">
        <f t="array" ref="M20:M29">P20:P29*2</f>
        <v>2.3201770047419513E-3</v>
      </c>
      <c r="N20" s="121" cm="1">
        <f t="array" ref="N20:N29">(_xlfn.ANCHORARRAY(M20)/_xlfn.ANCHORARRAY(I20))*100</f>
        <v>1.3334350601965239</v>
      </c>
      <c r="P20" cm="1">
        <f t="array" ref="P20:P24">SQRT(POWER(C20:C24*L20:L24,2)+POWER((E20:E24-2*S5*C20:C24)*_xlfn.ANCHORARRAY(K20),2))</f>
        <v>1.1600885023709756E-3</v>
      </c>
      <c r="AA20" s="148" cm="1">
        <f t="array" ref="AA20:AA29">C20:C29</f>
        <v>0.2</v>
      </c>
      <c r="AB20" s="54" cm="1">
        <f t="array" ref="AB20:AB29">D20:D29</f>
        <v>0.4</v>
      </c>
      <c r="AC20" s="54" cm="1">
        <f t="array" ref="AC20:AC29">E20:E29</f>
        <v>1.17</v>
      </c>
      <c r="AD20" s="55" cm="1">
        <f t="array" ref="AD20:AD29">F20:F29</f>
        <v>4</v>
      </c>
      <c r="AE20" s="137" cm="1">
        <f t="array" ref="AE20:AE29">G20:G29</f>
        <v>0.23399999999999999</v>
      </c>
      <c r="AF20" s="142" cm="1">
        <f t="array" ref="AF20:AF29">H20:H29*1000</f>
        <v>60.000000000000014</v>
      </c>
      <c r="AG20" s="141" cm="1">
        <f t="array" ref="AG20:AG29">I20:I29</f>
        <v>0.17399999999999999</v>
      </c>
      <c r="AH20" s="142" cm="1">
        <f t="array" ref="AH20:AH29">J20:J29</f>
        <v>34.482758620689665</v>
      </c>
      <c r="AI20" s="141" cm="1">
        <f t="array" ref="AI20:AI29">L20:L29*1000</f>
        <v>4.5321996131385625</v>
      </c>
      <c r="AJ20" s="141" cm="1">
        <f t="array" ref="AJ20:AJ29">L20:L29*1000</f>
        <v>4.5321996131385625</v>
      </c>
      <c r="AK20" s="142" cm="1">
        <f t="array" ref="AK20:AK29">M20:M29*1000</f>
        <v>2.3201770047419514</v>
      </c>
      <c r="AL20" s="155" cm="1">
        <f t="array" ref="AL20:AL29">N20:N29</f>
        <v>1.3334350601965239</v>
      </c>
    </row>
    <row r="21" spans="2:38" x14ac:dyDescent="0.3">
      <c r="C21" s="34">
        <v>0.24</v>
      </c>
      <c r="D21" s="10">
        <v>0.4</v>
      </c>
      <c r="E21" s="10">
        <v>1.55</v>
      </c>
      <c r="F21" s="22">
        <v>4</v>
      </c>
      <c r="G21" s="1">
        <v>0.372</v>
      </c>
      <c r="H21" s="1">
        <v>8.6400000000000005E-2</v>
      </c>
      <c r="I21" s="1">
        <v>0.28559999999999997</v>
      </c>
      <c r="J21" s="1">
        <v>30.252100840336137</v>
      </c>
      <c r="K21" s="1">
        <v>1.5011106998930272E-3</v>
      </c>
      <c r="L21" s="1">
        <v>5.6291651245988523E-3</v>
      </c>
      <c r="M21" s="1">
        <v>3.6756067979768097E-3</v>
      </c>
      <c r="N21" s="1">
        <v>1.2869771701599475</v>
      </c>
      <c r="P21">
        <v>1.8378033989884049E-3</v>
      </c>
      <c r="AA21" s="149">
        <v>0.24</v>
      </c>
      <c r="AB21" s="2">
        <v>0.4</v>
      </c>
      <c r="AC21" s="2">
        <v>1.55</v>
      </c>
      <c r="AD21" s="4">
        <v>4</v>
      </c>
      <c r="AE21" s="135">
        <v>0.372</v>
      </c>
      <c r="AF21" s="143">
        <v>86.4</v>
      </c>
      <c r="AG21" s="139">
        <v>0.28559999999999997</v>
      </c>
      <c r="AH21" s="143">
        <v>30.252100840336137</v>
      </c>
      <c r="AI21" s="139">
        <v>5.6291651245988525</v>
      </c>
      <c r="AJ21" s="139">
        <v>5.6291651245988525</v>
      </c>
      <c r="AK21" s="143">
        <v>3.6756067979768097</v>
      </c>
      <c r="AL21" s="153">
        <v>1.2869771701599475</v>
      </c>
    </row>
    <row r="22" spans="2:38" x14ac:dyDescent="0.3">
      <c r="C22" s="34">
        <v>0.3</v>
      </c>
      <c r="D22" s="10">
        <v>0.4</v>
      </c>
      <c r="E22" s="10">
        <v>2.94</v>
      </c>
      <c r="F22" s="22">
        <v>4</v>
      </c>
      <c r="G22" s="1">
        <v>0.88200000000000001</v>
      </c>
      <c r="H22" s="1">
        <v>0.13500000000000001</v>
      </c>
      <c r="I22" s="1">
        <v>0.747</v>
      </c>
      <c r="J22" s="1">
        <v>18.072289156626507</v>
      </c>
      <c r="K22" s="1">
        <v>1.8475208614068025E-3</v>
      </c>
      <c r="L22" s="1">
        <v>9.6417494954667508E-3</v>
      </c>
      <c r="M22" s="1">
        <v>9.5019214898882428E-3</v>
      </c>
      <c r="N22" s="1">
        <v>1.2720109089542493</v>
      </c>
      <c r="P22">
        <v>4.7509607449441214E-3</v>
      </c>
      <c r="AA22" s="149">
        <v>0.3</v>
      </c>
      <c r="AB22" s="2">
        <v>0.4</v>
      </c>
      <c r="AC22" s="2">
        <v>2.94</v>
      </c>
      <c r="AD22" s="4">
        <v>4</v>
      </c>
      <c r="AE22" s="135">
        <v>0.88200000000000001</v>
      </c>
      <c r="AF22" s="143">
        <v>135</v>
      </c>
      <c r="AG22" s="139">
        <v>0.747</v>
      </c>
      <c r="AH22" s="143">
        <v>18.072289156626507</v>
      </c>
      <c r="AI22" s="139">
        <v>9.6417494954667511</v>
      </c>
      <c r="AJ22" s="139">
        <v>9.6417494954667511</v>
      </c>
      <c r="AK22" s="143">
        <v>9.5019214898882431</v>
      </c>
      <c r="AL22" s="153">
        <v>1.2720109089542493</v>
      </c>
    </row>
    <row r="23" spans="2:38" x14ac:dyDescent="0.3">
      <c r="C23" s="34">
        <v>0.34</v>
      </c>
      <c r="D23" s="10">
        <v>0.4</v>
      </c>
      <c r="E23" s="10">
        <v>3.94</v>
      </c>
      <c r="F23" s="22">
        <v>40</v>
      </c>
      <c r="G23" s="1">
        <v>1.3396000000000001</v>
      </c>
      <c r="H23" s="1">
        <v>0.17340000000000003</v>
      </c>
      <c r="I23" s="1">
        <v>1.1662000000000001</v>
      </c>
      <c r="J23" s="1">
        <v>14.868804664723031</v>
      </c>
      <c r="K23" s="1">
        <v>2.078460969082653E-3</v>
      </c>
      <c r="L23" s="1">
        <v>2.2920805686828142E-2</v>
      </c>
      <c r="M23" s="1">
        <v>1.9755105601675059E-2</v>
      </c>
      <c r="N23" s="1">
        <v>1.693972354799782</v>
      </c>
      <c r="P23">
        <v>9.8775528008375295E-3</v>
      </c>
      <c r="AA23" s="149">
        <v>0.34</v>
      </c>
      <c r="AB23" s="2">
        <v>0.4</v>
      </c>
      <c r="AC23" s="2">
        <v>3.94</v>
      </c>
      <c r="AD23" s="4">
        <v>40</v>
      </c>
      <c r="AE23" s="135">
        <v>1.3396000000000001</v>
      </c>
      <c r="AF23" s="143">
        <v>173.40000000000003</v>
      </c>
      <c r="AG23" s="139">
        <v>1.1662000000000001</v>
      </c>
      <c r="AH23" s="143">
        <v>14.868804664723031</v>
      </c>
      <c r="AI23" s="139">
        <v>22.920805686828142</v>
      </c>
      <c r="AJ23" s="139">
        <v>22.920805686828142</v>
      </c>
      <c r="AK23" s="143">
        <v>19.755105601675059</v>
      </c>
      <c r="AL23" s="153">
        <v>1.693972354799782</v>
      </c>
    </row>
    <row r="24" spans="2:38" x14ac:dyDescent="0.3">
      <c r="C24" s="34">
        <v>0.4</v>
      </c>
      <c r="D24" s="10">
        <v>0.4</v>
      </c>
      <c r="E24" s="10">
        <v>5.28</v>
      </c>
      <c r="F24" s="22">
        <v>40</v>
      </c>
      <c r="G24" s="1">
        <v>2.1120000000000001</v>
      </c>
      <c r="H24" s="1">
        <v>0.24000000000000005</v>
      </c>
      <c r="I24" s="1">
        <v>1.8720000000000001</v>
      </c>
      <c r="J24" s="1">
        <v>12.820512820512823</v>
      </c>
      <c r="K24" s="1">
        <v>2.4248711305964285E-3</v>
      </c>
      <c r="L24" s="1">
        <v>2.6789052490398639E-2</v>
      </c>
      <c r="M24" s="1">
        <v>2.9168844017775773E-2</v>
      </c>
      <c r="N24" s="1">
        <v>1.5581647445393041</v>
      </c>
      <c r="P24">
        <v>1.4584422008887887E-2</v>
      </c>
      <c r="AA24" s="149">
        <v>0.4</v>
      </c>
      <c r="AB24" s="2">
        <v>0.4</v>
      </c>
      <c r="AC24" s="2">
        <v>5.28</v>
      </c>
      <c r="AD24" s="4">
        <v>40</v>
      </c>
      <c r="AE24" s="135">
        <v>2.1120000000000001</v>
      </c>
      <c r="AF24" s="143">
        <v>240.00000000000006</v>
      </c>
      <c r="AG24" s="139">
        <v>1.8720000000000001</v>
      </c>
      <c r="AH24" s="143">
        <v>12.820512820512823</v>
      </c>
      <c r="AI24" s="139">
        <v>26.789052490398639</v>
      </c>
      <c r="AJ24" s="139">
        <v>26.789052490398639</v>
      </c>
      <c r="AK24" s="143">
        <v>29.168844017775772</v>
      </c>
      <c r="AL24" s="153">
        <v>1.5581647445393041</v>
      </c>
    </row>
    <row r="25" spans="2:38" x14ac:dyDescent="0.3">
      <c r="C25" s="34">
        <v>0.4</v>
      </c>
      <c r="D25" s="10">
        <v>10</v>
      </c>
      <c r="E25" s="10">
        <v>4.96</v>
      </c>
      <c r="F25" s="22">
        <v>40</v>
      </c>
      <c r="G25" s="1">
        <v>1.984</v>
      </c>
      <c r="H25" s="121" cm="1">
        <f t="array" ref="H25:H29">S6*POWER(C25:C29,2)</f>
        <v>9.6000000000000009E-3</v>
      </c>
      <c r="I25" s="1">
        <v>1.9743999999999999</v>
      </c>
      <c r="J25" s="1">
        <v>0.48622366288492713</v>
      </c>
      <c r="K25" s="1" cm="1">
        <f t="array" ref="K25:K29">(ABS(S11*C25:C29)+ABS(S12*D25:D29))/(100*SQRT(3))</f>
        <v>1.0680979980008077E-2</v>
      </c>
      <c r="L25" s="1">
        <v>2.5865292059695236E-2</v>
      </c>
      <c r="M25" s="1">
        <v>0.10695074744323513</v>
      </c>
      <c r="N25" s="1">
        <v>5.4168733510552638</v>
      </c>
      <c r="P25" cm="1">
        <f t="array" ref="P25:P29">SQRT(POWER(C25:C29*L25:L29,2)+POWER((E25:E29-2*S6*C25:C29)*_xlfn.ANCHORARRAY(K25),2))</f>
        <v>5.3475373721617564E-2</v>
      </c>
      <c r="AA25" s="149">
        <v>0.4</v>
      </c>
      <c r="AB25" s="2">
        <v>10</v>
      </c>
      <c r="AC25" s="2">
        <v>4.96</v>
      </c>
      <c r="AD25" s="4">
        <v>40</v>
      </c>
      <c r="AE25" s="135">
        <v>1.984</v>
      </c>
      <c r="AF25" s="143">
        <v>9.6000000000000014</v>
      </c>
      <c r="AG25" s="139">
        <v>1.9743999999999999</v>
      </c>
      <c r="AH25" s="143">
        <v>0.48622366288492713</v>
      </c>
      <c r="AI25" s="139">
        <v>25.865292059695236</v>
      </c>
      <c r="AJ25" s="139">
        <v>25.865292059695236</v>
      </c>
      <c r="AK25" s="143">
        <v>106.95074744323513</v>
      </c>
      <c r="AL25" s="153">
        <v>5.4168733510552638</v>
      </c>
    </row>
    <row r="26" spans="2:38" x14ac:dyDescent="0.3">
      <c r="C26" s="34">
        <v>0.44</v>
      </c>
      <c r="D26" s="10">
        <v>10</v>
      </c>
      <c r="E26" s="10">
        <v>6.05</v>
      </c>
      <c r="F26" s="22">
        <v>40</v>
      </c>
      <c r="G26" s="1">
        <v>2.6619999999999999</v>
      </c>
      <c r="H26" s="1">
        <v>1.1616E-2</v>
      </c>
      <c r="I26" s="1">
        <v>2.6503839999999999</v>
      </c>
      <c r="J26" s="1">
        <v>0.43827611395178961</v>
      </c>
      <c r="K26" s="1">
        <v>1.1027390141521853E-2</v>
      </c>
      <c r="L26" s="1">
        <v>2.9011851026778699E-2</v>
      </c>
      <c r="M26" s="1">
        <v>0.13470836323510332</v>
      </c>
      <c r="N26" s="1">
        <v>5.0825979644875359</v>
      </c>
      <c r="P26">
        <v>6.7354181617551662E-2</v>
      </c>
      <c r="AA26" s="149">
        <v>0.44</v>
      </c>
      <c r="AB26" s="2">
        <v>10</v>
      </c>
      <c r="AC26" s="2">
        <v>6.05</v>
      </c>
      <c r="AD26" s="4">
        <v>40</v>
      </c>
      <c r="AE26" s="135">
        <v>2.6619999999999999</v>
      </c>
      <c r="AF26" s="143">
        <v>11.616</v>
      </c>
      <c r="AG26" s="139">
        <v>2.6503839999999999</v>
      </c>
      <c r="AH26" s="143">
        <v>0.43827611395178961</v>
      </c>
      <c r="AI26" s="139">
        <v>29.0118510267787</v>
      </c>
      <c r="AJ26" s="139">
        <v>29.0118510267787</v>
      </c>
      <c r="AK26" s="143">
        <v>134.70836323510332</v>
      </c>
      <c r="AL26" s="153">
        <v>5.0825979644875359</v>
      </c>
    </row>
    <row r="27" spans="2:38" x14ac:dyDescent="0.3">
      <c r="C27" s="34">
        <v>0.5</v>
      </c>
      <c r="D27" s="10">
        <v>10</v>
      </c>
      <c r="E27" s="10">
        <v>7.75</v>
      </c>
      <c r="F27" s="22">
        <v>40</v>
      </c>
      <c r="G27" s="1">
        <v>3.875</v>
      </c>
      <c r="H27" s="1">
        <v>1.4999999999999999E-2</v>
      </c>
      <c r="I27" s="1">
        <v>3.86</v>
      </c>
      <c r="J27" s="1">
        <v>0.38860103626943004</v>
      </c>
      <c r="K27" s="1">
        <v>1.1547005383792516E-2</v>
      </c>
      <c r="L27" s="1">
        <v>3.3919328314890515E-2</v>
      </c>
      <c r="M27" s="1">
        <v>0.18080313649565563</v>
      </c>
      <c r="N27" s="1">
        <v>4.6840190801983326</v>
      </c>
      <c r="P27">
        <v>9.0401568247827815E-2</v>
      </c>
      <c r="AA27" s="149">
        <v>0.5</v>
      </c>
      <c r="AB27" s="2">
        <v>10</v>
      </c>
      <c r="AC27" s="2">
        <v>7.75</v>
      </c>
      <c r="AD27" s="4">
        <v>40</v>
      </c>
      <c r="AE27" s="135">
        <v>3.875</v>
      </c>
      <c r="AF27" s="143">
        <v>15</v>
      </c>
      <c r="AG27" s="139">
        <v>3.86</v>
      </c>
      <c r="AH27" s="143">
        <v>0.38860103626943004</v>
      </c>
      <c r="AI27" s="139">
        <v>33.919328314890514</v>
      </c>
      <c r="AJ27" s="139">
        <v>33.919328314890514</v>
      </c>
      <c r="AK27" s="143">
        <v>180.80313649565562</v>
      </c>
      <c r="AL27" s="153">
        <v>4.6840190801983326</v>
      </c>
    </row>
    <row r="28" spans="2:38" x14ac:dyDescent="0.3">
      <c r="C28" s="34">
        <v>0.54</v>
      </c>
      <c r="D28" s="10">
        <v>10</v>
      </c>
      <c r="E28" s="10">
        <v>9.0299999999999994</v>
      </c>
      <c r="F28" s="22">
        <v>40</v>
      </c>
      <c r="G28" s="1">
        <v>4.8761999999999999</v>
      </c>
      <c r="H28" s="1">
        <v>1.7496000000000001E-2</v>
      </c>
      <c r="I28" s="1">
        <v>4.8587039999999995</v>
      </c>
      <c r="J28" s="1">
        <v>0.36009602560682852</v>
      </c>
      <c r="K28" s="1">
        <v>1.1893415545306291E-2</v>
      </c>
      <c r="L28" s="1">
        <v>3.7614370037704119E-2</v>
      </c>
      <c r="M28" s="1">
        <v>0.21708848449095405</v>
      </c>
      <c r="N28" s="1">
        <v>4.4680327200618537</v>
      </c>
      <c r="P28">
        <v>0.10854424224547703</v>
      </c>
      <c r="AA28" s="149">
        <v>0.54</v>
      </c>
      <c r="AB28" s="2">
        <v>10</v>
      </c>
      <c r="AC28" s="2">
        <v>9.0299999999999994</v>
      </c>
      <c r="AD28" s="4">
        <v>40</v>
      </c>
      <c r="AE28" s="135">
        <v>4.8761999999999999</v>
      </c>
      <c r="AF28" s="143">
        <v>17.496000000000002</v>
      </c>
      <c r="AG28" s="139">
        <v>4.8587039999999995</v>
      </c>
      <c r="AH28" s="143">
        <v>0.36009602560682852</v>
      </c>
      <c r="AI28" s="139">
        <v>37.61437003770412</v>
      </c>
      <c r="AJ28" s="139">
        <v>37.61437003770412</v>
      </c>
      <c r="AK28" s="143">
        <v>217.08848449095404</v>
      </c>
      <c r="AL28" s="153">
        <v>4.4680327200618537</v>
      </c>
    </row>
    <row r="29" spans="2:38" ht="15" thickBot="1" x14ac:dyDescent="0.35">
      <c r="C29" s="40">
        <v>0.6</v>
      </c>
      <c r="D29" s="41">
        <v>10</v>
      </c>
      <c r="E29" s="41">
        <v>11.06</v>
      </c>
      <c r="F29" s="42">
        <v>40</v>
      </c>
      <c r="G29" s="1">
        <v>6.6360000000000001</v>
      </c>
      <c r="H29" s="1">
        <v>2.1599999999999998E-2</v>
      </c>
      <c r="I29" s="1">
        <v>6.6143999999999998</v>
      </c>
      <c r="J29" s="1">
        <v>0.32656023222060954</v>
      </c>
      <c r="K29" s="1">
        <v>1.2413030787576954E-2</v>
      </c>
      <c r="L29" s="1">
        <v>4.3474475269978823E-2</v>
      </c>
      <c r="M29" s="1">
        <v>0.27773252111579111</v>
      </c>
      <c r="N29" s="1">
        <v>4.1989072495735229</v>
      </c>
      <c r="P29">
        <v>0.13886626055789555</v>
      </c>
      <c r="AA29" s="150">
        <v>0.6</v>
      </c>
      <c r="AB29" s="125">
        <v>10</v>
      </c>
      <c r="AC29" s="125">
        <v>11.06</v>
      </c>
      <c r="AD29" s="126">
        <v>40</v>
      </c>
      <c r="AE29" s="136">
        <v>6.6360000000000001</v>
      </c>
      <c r="AF29" s="144">
        <v>21.599999999999998</v>
      </c>
      <c r="AG29" s="140">
        <v>6.6143999999999998</v>
      </c>
      <c r="AH29" s="144">
        <v>0.32656023222060954</v>
      </c>
      <c r="AI29" s="140">
        <v>43.474475269978825</v>
      </c>
      <c r="AJ29" s="140">
        <v>43.474475269978825</v>
      </c>
      <c r="AK29" s="144">
        <v>277.73252111579109</v>
      </c>
      <c r="AL29" s="154">
        <v>4.1989072495735229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C8E2-8E42-45BD-B9BC-D0921851237C}">
  <dimension ref="A1:S30"/>
  <sheetViews>
    <sheetView workbookViewId="0">
      <selection activeCell="B9" sqref="B9"/>
    </sheetView>
  </sheetViews>
  <sheetFormatPr defaultRowHeight="14.4" x14ac:dyDescent="0.3"/>
  <cols>
    <col min="7" max="7" width="14.44140625" customWidth="1"/>
    <col min="8" max="8" width="10.33203125" customWidth="1"/>
  </cols>
  <sheetData>
    <row r="1" spans="1:19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">
      <c r="A2" s="105" t="s">
        <v>68</v>
      </c>
      <c r="B2" s="96" t="s">
        <v>69</v>
      </c>
      <c r="C2" s="97"/>
      <c r="D2" s="97"/>
      <c r="E2" s="97"/>
      <c r="F2" s="97"/>
      <c r="G2" s="97"/>
      <c r="H2" s="97"/>
      <c r="I2" s="97"/>
      <c r="J2" s="97"/>
      <c r="K2" s="97"/>
      <c r="L2" s="97"/>
      <c r="M2" s="98"/>
      <c r="N2" s="1"/>
      <c r="O2" s="1"/>
      <c r="P2" s="1"/>
      <c r="Q2" s="1"/>
      <c r="R2" s="1"/>
      <c r="S2" s="1"/>
    </row>
    <row r="3" spans="1:19" x14ac:dyDescent="0.3">
      <c r="A3" s="106"/>
      <c r="B3" s="99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1"/>
      <c r="N3" s="1"/>
      <c r="O3" s="5" t="s">
        <v>5</v>
      </c>
      <c r="P3" s="1"/>
      <c r="Q3" s="1"/>
      <c r="R3" s="1"/>
    </row>
    <row r="4" spans="1:19" x14ac:dyDescent="0.3">
      <c r="A4" s="106"/>
      <c r="B4" s="102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/>
      <c r="N4" s="1"/>
      <c r="O4" s="5" t="s">
        <v>12</v>
      </c>
      <c r="P4" s="1"/>
      <c r="Q4" s="1"/>
      <c r="R4" s="1"/>
      <c r="S4" s="1"/>
    </row>
    <row r="5" spans="1:19" x14ac:dyDescent="0.3">
      <c r="A5" s="106"/>
      <c r="B5" s="113" t="s">
        <v>13</v>
      </c>
      <c r="C5" s="114"/>
      <c r="D5" s="115" t="s">
        <v>14</v>
      </c>
      <c r="E5" s="116"/>
      <c r="F5" s="117" t="s">
        <v>15</v>
      </c>
      <c r="G5" s="119" t="s">
        <v>16</v>
      </c>
      <c r="H5" s="107" t="s">
        <v>17</v>
      </c>
      <c r="I5" s="107" t="s">
        <v>18</v>
      </c>
      <c r="J5" s="107" t="s">
        <v>19</v>
      </c>
      <c r="K5" s="107" t="s">
        <v>20</v>
      </c>
      <c r="L5" s="107" t="s">
        <v>21</v>
      </c>
      <c r="M5" s="108" t="s">
        <v>22</v>
      </c>
      <c r="N5" s="1"/>
      <c r="O5" s="1"/>
      <c r="P5" s="1"/>
      <c r="Q5" s="1"/>
      <c r="R5" s="1" t="s">
        <v>23</v>
      </c>
      <c r="S5" s="1"/>
    </row>
    <row r="6" spans="1:19" ht="15.6" x14ac:dyDescent="0.35">
      <c r="A6" s="106"/>
      <c r="B6" s="3" t="s">
        <v>24</v>
      </c>
      <c r="C6" s="2" t="s">
        <v>25</v>
      </c>
      <c r="D6" s="2" t="s">
        <v>24</v>
      </c>
      <c r="E6" s="4" t="s">
        <v>25</v>
      </c>
      <c r="F6" s="118"/>
      <c r="G6" s="85"/>
      <c r="H6" s="85"/>
      <c r="I6" s="85"/>
      <c r="J6" s="85"/>
      <c r="K6" s="85"/>
      <c r="L6" s="85"/>
      <c r="M6" s="109"/>
      <c r="N6" s="1"/>
      <c r="O6" s="1"/>
      <c r="P6" s="1"/>
      <c r="Q6" s="1"/>
      <c r="R6" s="1" t="s">
        <v>26</v>
      </c>
      <c r="S6">
        <v>0.03</v>
      </c>
    </row>
    <row r="7" spans="1:19" x14ac:dyDescent="0.3">
      <c r="A7" s="106"/>
      <c r="B7" s="6" t="s">
        <v>27</v>
      </c>
      <c r="C7" s="7" t="s">
        <v>27</v>
      </c>
      <c r="D7" s="7" t="s">
        <v>28</v>
      </c>
      <c r="E7" s="8" t="s">
        <v>29</v>
      </c>
      <c r="F7" s="9" t="s">
        <v>30</v>
      </c>
      <c r="G7" s="7" t="s">
        <v>31</v>
      </c>
      <c r="H7" s="7" t="s">
        <v>30</v>
      </c>
      <c r="I7" s="7" t="s">
        <v>32</v>
      </c>
      <c r="J7" s="7" t="s">
        <v>33</v>
      </c>
      <c r="K7" s="7" t="s">
        <v>34</v>
      </c>
      <c r="L7" s="7" t="s">
        <v>31</v>
      </c>
      <c r="M7" s="8" t="s">
        <v>32</v>
      </c>
      <c r="N7" s="1"/>
      <c r="O7" s="1"/>
      <c r="P7" s="1"/>
      <c r="Q7" s="1"/>
      <c r="R7" s="1"/>
      <c r="S7" s="1"/>
    </row>
    <row r="8" spans="1:19" x14ac:dyDescent="0.3">
      <c r="A8" s="110" t="s">
        <v>35</v>
      </c>
      <c r="B8" s="56">
        <v>0.22600000000000001</v>
      </c>
      <c r="C8" s="12">
        <v>0.4</v>
      </c>
      <c r="D8" s="62">
        <v>1</v>
      </c>
      <c r="E8" s="21">
        <v>4</v>
      </c>
      <c r="F8" s="11">
        <f>D8*B8</f>
        <v>0.22600000000000001</v>
      </c>
      <c r="G8" s="65">
        <f>((D8^2)/$S$11)*1000</f>
        <v>9.9999999999999991E-5</v>
      </c>
      <c r="H8" s="63">
        <f>F8-(G8/1000)</f>
        <v>0.2259999</v>
      </c>
      <c r="I8" s="12">
        <f>((G8/1000)/H8)*1000</f>
        <v>4.4247807189295215E-4</v>
      </c>
      <c r="J8" s="72">
        <f>((((ABS($S$12*B8))+(ABS($S$13*C8)))*1000)/(100*$S$8))</f>
        <v>1.6512217698823302</v>
      </c>
      <c r="K8" s="76">
        <f>((((ABS($S$9*D8))+(ABS($S$10*E8)))*100)/(100*$S$8))</f>
        <v>3.4641016151377548</v>
      </c>
      <c r="L8" s="76">
        <f>2*(SQRT((((B8-((2*D8)/$S$11))*(K8/1000))^2)+(D8*(J8/1000))^2)*1000)</f>
        <v>3.6548292701760037</v>
      </c>
      <c r="M8" s="68">
        <f>((L8/1000)/H8)*100</f>
        <v>1.6171818085654037</v>
      </c>
      <c r="N8" s="1"/>
      <c r="O8" s="1"/>
      <c r="P8" s="1"/>
      <c r="Q8" s="1"/>
      <c r="R8" s="1" t="s">
        <v>36</v>
      </c>
      <c r="S8" s="1">
        <f>SQRT(3)</f>
        <v>1.7320508075688772</v>
      </c>
    </row>
    <row r="9" spans="1:19" x14ac:dyDescent="0.3">
      <c r="A9" s="111"/>
      <c r="B9" s="57">
        <v>0.28599999999999998</v>
      </c>
      <c r="C9" s="10">
        <v>0.4</v>
      </c>
      <c r="D9" s="24">
        <v>2</v>
      </c>
      <c r="E9" s="22">
        <v>4</v>
      </c>
      <c r="F9" s="13">
        <f t="shared" ref="F9:F17" si="0">D9*B9</f>
        <v>0.57199999999999995</v>
      </c>
      <c r="G9" s="66">
        <f t="shared" ref="G9:G17" si="1">((D9^2)/$S$11)*1000</f>
        <v>3.9999999999999996E-4</v>
      </c>
      <c r="H9" s="64">
        <f>F9-(G9/1000)</f>
        <v>0.57199959999999994</v>
      </c>
      <c r="I9" s="10">
        <f>((G9/1000)/H9)*1000</f>
        <v>6.9930118832250933E-4</v>
      </c>
      <c r="J9" s="73">
        <f>((((ABS($S$12*B9))+(ABS($S$13*C9)))*1000)/(100*$S$8))</f>
        <v>1.9976319313961053</v>
      </c>
      <c r="K9" s="77">
        <f>((((ABS($S$9*D9))+(ABS($S$10*E9)))*100)/(100*$S$8))</f>
        <v>4.6188021535170058</v>
      </c>
      <c r="L9" s="77">
        <f>2*(SQRT((((B9-((2*D9)/$S$11))*(K9/1000))^2)+(D9*(J9/1000))^2)*1000)</f>
        <v>8.4159633520122732</v>
      </c>
      <c r="M9" s="69">
        <f t="shared" ref="M9:M17" si="2">((L9/1000)/H9)*100</f>
        <v>1.471323293235218</v>
      </c>
      <c r="N9" s="1"/>
      <c r="O9" s="1"/>
      <c r="P9" s="1"/>
      <c r="Q9" s="1"/>
      <c r="R9" s="1" t="s">
        <v>37</v>
      </c>
      <c r="S9" s="1">
        <v>2</v>
      </c>
    </row>
    <row r="10" spans="1:19" x14ac:dyDescent="0.3">
      <c r="A10" s="111"/>
      <c r="B10" s="57">
        <v>0.33600000000000002</v>
      </c>
      <c r="C10" s="10">
        <v>0.4</v>
      </c>
      <c r="D10" s="24">
        <v>3</v>
      </c>
      <c r="E10" s="22">
        <v>4</v>
      </c>
      <c r="F10" s="13">
        <f t="shared" si="0"/>
        <v>1.008</v>
      </c>
      <c r="G10" s="66">
        <f t="shared" si="1"/>
        <v>8.9999999999999998E-4</v>
      </c>
      <c r="H10" s="64">
        <f t="shared" ref="H10:H17" si="3">F10-(G10/1000)</f>
        <v>1.0079990999999999</v>
      </c>
      <c r="I10" s="10">
        <f t="shared" ref="I10:I17" si="4">((G10/1000)/H10)*1000</f>
        <v>8.9285794005173214E-4</v>
      </c>
      <c r="J10" s="73">
        <f t="shared" ref="J10:J17" si="5">((((ABS($S$12*B10))+(ABS($S$13*C10)))*1000)/(100*$S$8))</f>
        <v>2.2863070659909179</v>
      </c>
      <c r="K10" s="77">
        <f t="shared" ref="K10:K17" si="6">((((ABS($S$9*D10))+(ABS($S$10*E10)))*100)/(100*$S$8))</f>
        <v>5.7735026918962582</v>
      </c>
      <c r="L10" s="77">
        <f t="shared" ref="L10:L17" si="7">2*(SQRT((((B10-((2*D10)/$S$11))*(K10/1000))^2)+(D10*(J10/1000))^2)*1000)</f>
        <v>14.255944242316886</v>
      </c>
      <c r="M10" s="69">
        <f>((L10/1000)/H10)*100</f>
        <v>1.4142814455208232</v>
      </c>
      <c r="N10" s="1"/>
      <c r="O10" s="1"/>
      <c r="P10" s="1"/>
      <c r="Q10" s="1"/>
      <c r="R10" s="1" t="s">
        <v>38</v>
      </c>
      <c r="S10" s="1">
        <v>1</v>
      </c>
    </row>
    <row r="11" spans="1:19" x14ac:dyDescent="0.3">
      <c r="A11" s="111"/>
      <c r="B11" s="57">
        <v>0.376</v>
      </c>
      <c r="C11" s="10">
        <v>0.4</v>
      </c>
      <c r="D11" s="24">
        <v>4</v>
      </c>
      <c r="E11" s="22">
        <v>40</v>
      </c>
      <c r="F11" s="13">
        <f t="shared" si="0"/>
        <v>1.504</v>
      </c>
      <c r="G11" s="66">
        <f t="shared" si="1"/>
        <v>1.5999999999999999E-3</v>
      </c>
      <c r="H11" s="24">
        <f t="shared" si="3"/>
        <v>1.5039984</v>
      </c>
      <c r="I11" s="10">
        <f t="shared" si="4"/>
        <v>1.0638309189690627E-3</v>
      </c>
      <c r="J11" s="73">
        <f t="shared" si="5"/>
        <v>2.5172471736667683</v>
      </c>
      <c r="K11" s="77">
        <f t="shared" si="6"/>
        <v>27.712812921102039</v>
      </c>
      <c r="L11" s="77">
        <f t="shared" si="7"/>
        <v>28.980051021695932</v>
      </c>
      <c r="M11" s="69">
        <f t="shared" si="2"/>
        <v>1.9268671443863195</v>
      </c>
      <c r="N11" s="1"/>
      <c r="O11" s="1"/>
      <c r="P11" s="1"/>
      <c r="Q11" s="1"/>
      <c r="R11" s="1" t="s">
        <v>39</v>
      </c>
      <c r="S11" s="1">
        <v>10000000</v>
      </c>
    </row>
    <row r="12" spans="1:19" x14ac:dyDescent="0.3">
      <c r="A12" s="111"/>
      <c r="B12" s="57">
        <v>0.41599999999999998</v>
      </c>
      <c r="C12" s="10">
        <v>4</v>
      </c>
      <c r="D12" s="17">
        <v>5</v>
      </c>
      <c r="E12" s="22">
        <v>40</v>
      </c>
      <c r="F12" s="13">
        <f t="shared" si="0"/>
        <v>2.08</v>
      </c>
      <c r="G12" s="66">
        <f t="shared" si="1"/>
        <v>2.5000000000000001E-3</v>
      </c>
      <c r="H12" s="17">
        <f t="shared" si="3"/>
        <v>2.0799975000000002</v>
      </c>
      <c r="I12" s="10">
        <f t="shared" si="4"/>
        <v>1.2019245215438962E-3</v>
      </c>
      <c r="J12" s="73">
        <f t="shared" si="5"/>
        <v>5.8658787349665982</v>
      </c>
      <c r="K12" s="77">
        <f t="shared" si="6"/>
        <v>28.867513459481287</v>
      </c>
      <c r="L12" s="77">
        <f t="shared" si="7"/>
        <v>63.385360244591709</v>
      </c>
      <c r="M12" s="69">
        <f t="shared" si="2"/>
        <v>3.0473767513947352</v>
      </c>
      <c r="N12" s="1"/>
      <c r="O12" s="1"/>
      <c r="P12" s="1"/>
      <c r="Q12" s="1"/>
      <c r="R12" s="1" t="s">
        <v>40</v>
      </c>
      <c r="S12" s="1">
        <v>1</v>
      </c>
    </row>
    <row r="13" spans="1:19" x14ac:dyDescent="0.3">
      <c r="A13" s="111"/>
      <c r="B13" s="57">
        <v>0.44600000000000001</v>
      </c>
      <c r="C13" s="10">
        <v>4</v>
      </c>
      <c r="D13" s="17">
        <v>6</v>
      </c>
      <c r="E13" s="22">
        <v>40</v>
      </c>
      <c r="F13" s="13">
        <f t="shared" si="0"/>
        <v>2.6760000000000002</v>
      </c>
      <c r="G13" s="66">
        <f t="shared" si="1"/>
        <v>3.5999999999999999E-3</v>
      </c>
      <c r="H13" s="17">
        <f t="shared" si="3"/>
        <v>2.6759964000000003</v>
      </c>
      <c r="I13" s="10">
        <f t="shared" si="4"/>
        <v>1.3452932896322281E-3</v>
      </c>
      <c r="J13" s="73">
        <f t="shared" si="5"/>
        <v>6.0390838157234858</v>
      </c>
      <c r="K13" s="77">
        <f t="shared" si="6"/>
        <v>30.02221399786054</v>
      </c>
      <c r="L13" s="77">
        <f t="shared" si="7"/>
        <v>77.258730420514453</v>
      </c>
      <c r="M13" s="69">
        <f t="shared" si="2"/>
        <v>2.8871014333395384</v>
      </c>
      <c r="N13" s="1"/>
      <c r="O13" s="1"/>
      <c r="P13" s="1"/>
      <c r="Q13" s="1"/>
      <c r="R13" s="1" t="s">
        <v>41</v>
      </c>
      <c r="S13" s="1">
        <v>0.15</v>
      </c>
    </row>
    <row r="14" spans="1:19" x14ac:dyDescent="0.3">
      <c r="A14" s="111"/>
      <c r="B14" s="57">
        <v>0.48599999999999999</v>
      </c>
      <c r="C14" s="10">
        <v>4</v>
      </c>
      <c r="D14" s="17">
        <v>7</v>
      </c>
      <c r="E14" s="22">
        <v>40</v>
      </c>
      <c r="F14" s="13">
        <f t="shared" si="0"/>
        <v>3.4020000000000001</v>
      </c>
      <c r="G14" s="66">
        <f t="shared" si="1"/>
        <v>4.8999999999999998E-3</v>
      </c>
      <c r="H14" s="17">
        <f t="shared" si="3"/>
        <v>3.4019951000000002</v>
      </c>
      <c r="I14" s="10">
        <f t="shared" si="4"/>
        <v>1.4403312926582403E-3</v>
      </c>
      <c r="J14" s="73">
        <f t="shared" si="5"/>
        <v>6.2700239233993349</v>
      </c>
      <c r="K14" s="77">
        <f t="shared" si="6"/>
        <v>31.176914536239792</v>
      </c>
      <c r="L14" s="77">
        <f t="shared" si="7"/>
        <v>92.863943256881015</v>
      </c>
      <c r="M14" s="69">
        <f t="shared" si="2"/>
        <v>2.7296906822964271</v>
      </c>
      <c r="N14" s="1"/>
      <c r="O14" s="1"/>
      <c r="P14" s="1"/>
      <c r="Q14" s="1"/>
      <c r="R14" s="1"/>
      <c r="S14" s="1"/>
    </row>
    <row r="15" spans="1:19" x14ac:dyDescent="0.3">
      <c r="A15" s="111"/>
      <c r="B15" s="57">
        <v>0.51600000000000001</v>
      </c>
      <c r="C15" s="10">
        <v>4</v>
      </c>
      <c r="D15" s="17">
        <v>8</v>
      </c>
      <c r="E15" s="22">
        <v>40</v>
      </c>
      <c r="F15" s="13">
        <f t="shared" si="0"/>
        <v>4.1280000000000001</v>
      </c>
      <c r="G15" s="66">
        <f t="shared" si="1"/>
        <v>6.3999999999999994E-3</v>
      </c>
      <c r="H15" s="17">
        <f t="shared" si="3"/>
        <v>4.1279935999999999</v>
      </c>
      <c r="I15" s="10">
        <f t="shared" si="4"/>
        <v>1.5503900006046522E-3</v>
      </c>
      <c r="J15" s="73">
        <f t="shared" si="5"/>
        <v>6.4432290041562235</v>
      </c>
      <c r="K15" s="77">
        <f t="shared" si="6"/>
        <v>32.331615074619044</v>
      </c>
      <c r="L15" s="77">
        <f t="shared" si="7"/>
        <v>108.35676898003697</v>
      </c>
      <c r="M15" s="69">
        <f t="shared" si="2"/>
        <v>2.6249257988199637</v>
      </c>
      <c r="N15" s="1"/>
      <c r="O15" s="1"/>
      <c r="P15" s="1"/>
      <c r="Q15" s="1"/>
      <c r="R15" s="1"/>
      <c r="S15" s="1"/>
    </row>
    <row r="16" spans="1:19" x14ac:dyDescent="0.3">
      <c r="A16" s="111"/>
      <c r="B16" s="57">
        <v>0.54500000000000004</v>
      </c>
      <c r="C16" s="10">
        <v>4</v>
      </c>
      <c r="D16" s="17">
        <v>9</v>
      </c>
      <c r="E16" s="22">
        <v>40</v>
      </c>
      <c r="F16" s="13">
        <f t="shared" si="0"/>
        <v>4.9050000000000002</v>
      </c>
      <c r="G16" s="66">
        <f t="shared" si="1"/>
        <v>8.0999999999999996E-3</v>
      </c>
      <c r="H16" s="17">
        <f t="shared" si="3"/>
        <v>4.9049919000000006</v>
      </c>
      <c r="I16" s="10">
        <f t="shared" si="4"/>
        <v>1.6513788738366723E-3</v>
      </c>
      <c r="J16" s="73">
        <f t="shared" si="5"/>
        <v>6.6106605822212154</v>
      </c>
      <c r="K16" s="77">
        <f t="shared" si="6"/>
        <v>33.486315612998297</v>
      </c>
      <c r="L16" s="77">
        <f t="shared" si="7"/>
        <v>124.46412066585241</v>
      </c>
      <c r="M16" s="69">
        <f t="shared" si="2"/>
        <v>2.5374990051635438</v>
      </c>
      <c r="N16" s="1"/>
      <c r="O16" s="1"/>
      <c r="P16" s="1"/>
      <c r="Q16" s="1"/>
      <c r="R16" s="1"/>
      <c r="S16" s="1"/>
    </row>
    <row r="17" spans="1:19" x14ac:dyDescent="0.3">
      <c r="A17" s="111"/>
      <c r="B17" s="58">
        <v>0.57399999999999995</v>
      </c>
      <c r="C17" s="15">
        <v>4</v>
      </c>
      <c r="D17" s="18">
        <v>10</v>
      </c>
      <c r="E17" s="27">
        <v>40</v>
      </c>
      <c r="F17" s="59">
        <f t="shared" si="0"/>
        <v>5.7399999999999993</v>
      </c>
      <c r="G17" s="67">
        <f t="shared" si="1"/>
        <v>0.01</v>
      </c>
      <c r="H17" s="61">
        <f t="shared" si="3"/>
        <v>5.7399899999999997</v>
      </c>
      <c r="I17" s="60">
        <f t="shared" si="4"/>
        <v>1.7421633138733693E-3</v>
      </c>
      <c r="J17" s="74">
        <f t="shared" si="5"/>
        <v>6.7780921602862065</v>
      </c>
      <c r="K17" s="78">
        <f t="shared" si="6"/>
        <v>34.641016151377549</v>
      </c>
      <c r="L17" s="78">
        <f t="shared" si="7"/>
        <v>141.27450977636599</v>
      </c>
      <c r="M17" s="70">
        <f t="shared" si="2"/>
        <v>2.4612326811782945</v>
      </c>
      <c r="N17" s="1"/>
      <c r="O17" s="1"/>
      <c r="P17" s="1"/>
      <c r="Q17" s="1"/>
      <c r="R17" s="1"/>
      <c r="S17" s="1"/>
    </row>
    <row r="18" spans="1:19" x14ac:dyDescent="0.3">
      <c r="A18" s="110" t="s">
        <v>42</v>
      </c>
      <c r="B18" s="81">
        <v>0.2</v>
      </c>
      <c r="C18" s="20">
        <v>0.4</v>
      </c>
      <c r="D18" s="20">
        <v>1.17</v>
      </c>
      <c r="E18" s="28">
        <v>4</v>
      </c>
      <c r="F18" s="11">
        <f>B18*D18</f>
        <v>0.23399999999999999</v>
      </c>
      <c r="G18" s="12">
        <f>1.5*((B18)^2)*1000</f>
        <v>60.000000000000014</v>
      </c>
      <c r="H18" s="16">
        <f>F18-(G18/1000)</f>
        <v>0.17399999999999999</v>
      </c>
      <c r="I18" s="62">
        <f>((G18/1000)/H18)*100</f>
        <v>34.482758620689665</v>
      </c>
      <c r="J18" s="72">
        <f>((ABS(1*B18)+ABS(0.15*C18))/(100*SQRT(3)))*1000</f>
        <v>1.5011106998930273</v>
      </c>
      <c r="K18" s="76">
        <f>((((ABS($S$9*D18))+(ABS($S$10*E18)))*100)/(100*$S$8))</f>
        <v>3.6604007066622275</v>
      </c>
      <c r="L18" s="76">
        <f>2*((SQRT((B18*(K18/1000))^2)+((D18-2*$S$6*B18)*(J18/1000))^2)*1000)</f>
        <v>1.4702035604248909</v>
      </c>
      <c r="M18" s="68">
        <f>((L18/1000)/H18)*100</f>
        <v>0.84494457495683395</v>
      </c>
      <c r="N18" s="1"/>
      <c r="O18" s="1" t="s">
        <v>43</v>
      </c>
      <c r="P18" s="1"/>
      <c r="Q18" s="1"/>
      <c r="R18" s="93" t="s">
        <v>44</v>
      </c>
      <c r="S18" s="93"/>
    </row>
    <row r="19" spans="1:19" x14ac:dyDescent="0.3">
      <c r="A19" s="111"/>
      <c r="B19" s="82">
        <v>0.24</v>
      </c>
      <c r="C19" s="10">
        <v>0.4</v>
      </c>
      <c r="D19" s="10">
        <v>1.55</v>
      </c>
      <c r="E19" s="22">
        <v>4</v>
      </c>
      <c r="F19" s="13">
        <f t="shared" ref="F19:F26" si="8">B19*D19</f>
        <v>0.372</v>
      </c>
      <c r="G19" s="10">
        <f t="shared" ref="G19:G22" si="9">1.5*((B19)^2)*1000</f>
        <v>86.4</v>
      </c>
      <c r="H19" s="17">
        <f t="shared" ref="H19:H21" si="10">F19-(G19/1000)</f>
        <v>0.28559999999999997</v>
      </c>
      <c r="I19" s="24">
        <f t="shared" ref="I19:I22" si="11">((G19/1000)/H19)*100</f>
        <v>30.252100840336137</v>
      </c>
      <c r="J19" s="73">
        <f t="shared" ref="J19:J27" si="12">((ABS(1*B19)+ABS(0.15*C19))/(100*SQRT(3)))*1000</f>
        <v>1.7320508075688772</v>
      </c>
      <c r="K19" s="77">
        <f t="shared" ref="K19:K27" si="13">((((ABS($S$9*D19))+(ABS($S$10*E19)))*100)/(100*$S$8))</f>
        <v>4.0991869112463428</v>
      </c>
      <c r="L19" s="77">
        <f t="shared" ref="L19:L27" si="14">2*((SQRT((B19*(K19/1000))^2)+((D19-2*$S$6*B19)*(J19/1000))^2)*1000)</f>
        <v>1.9817581215582445</v>
      </c>
      <c r="M19" s="69">
        <f t="shared" ref="M19:M27" si="15">((L19/1000)/H19)*100</f>
        <v>0.6938928997052678</v>
      </c>
      <c r="N19" s="1"/>
      <c r="O19" s="1" t="s">
        <v>45</v>
      </c>
      <c r="P19" s="1">
        <v>2</v>
      </c>
      <c r="Q19" s="1"/>
      <c r="R19" s="1" t="s">
        <v>45</v>
      </c>
      <c r="S19" s="1">
        <v>2</v>
      </c>
    </row>
    <row r="20" spans="1:19" x14ac:dyDescent="0.3">
      <c r="A20" s="111"/>
      <c r="B20" s="82">
        <v>0.3</v>
      </c>
      <c r="C20" s="10">
        <v>0.4</v>
      </c>
      <c r="D20" s="10">
        <v>2.94</v>
      </c>
      <c r="E20" s="22">
        <v>4</v>
      </c>
      <c r="F20" s="13">
        <f t="shared" si="8"/>
        <v>0.88200000000000001</v>
      </c>
      <c r="G20" s="10">
        <f t="shared" si="9"/>
        <v>135</v>
      </c>
      <c r="H20" s="17">
        <f t="shared" si="10"/>
        <v>0.747</v>
      </c>
      <c r="I20" s="24">
        <f t="shared" si="11"/>
        <v>18.072289156626507</v>
      </c>
      <c r="J20" s="73">
        <f t="shared" si="12"/>
        <v>2.0784609690826525</v>
      </c>
      <c r="K20" s="77">
        <f t="shared" si="13"/>
        <v>5.7042206595935019</v>
      </c>
      <c r="L20" s="77">
        <f t="shared" si="14"/>
        <v>3.4963014415161009</v>
      </c>
      <c r="M20" s="69">
        <f t="shared" si="15"/>
        <v>0.46804570836895593</v>
      </c>
      <c r="N20" s="1"/>
      <c r="O20" s="1" t="s">
        <v>46</v>
      </c>
      <c r="P20" s="1">
        <v>4000</v>
      </c>
      <c r="Q20" s="1"/>
      <c r="R20" s="1" t="s">
        <v>46</v>
      </c>
      <c r="S20" s="1">
        <v>4000</v>
      </c>
    </row>
    <row r="21" spans="1:19" x14ac:dyDescent="0.3">
      <c r="A21" s="111"/>
      <c r="B21" s="82">
        <v>0.34</v>
      </c>
      <c r="C21" s="10">
        <v>0.4</v>
      </c>
      <c r="D21" s="10">
        <v>3.94</v>
      </c>
      <c r="E21" s="22">
        <v>40</v>
      </c>
      <c r="F21" s="13">
        <f t="shared" si="8"/>
        <v>1.3396000000000001</v>
      </c>
      <c r="G21" s="10">
        <f t="shared" si="9"/>
        <v>173.40000000000003</v>
      </c>
      <c r="H21" s="17">
        <f t="shared" si="10"/>
        <v>1.1662000000000001</v>
      </c>
      <c r="I21" s="24">
        <f t="shared" si="11"/>
        <v>14.868804664723031</v>
      </c>
      <c r="J21" s="73">
        <f t="shared" si="12"/>
        <v>2.3094010767585034</v>
      </c>
      <c r="K21" s="77">
        <f t="shared" si="13"/>
        <v>27.643530888799283</v>
      </c>
      <c r="L21" s="77">
        <f t="shared" si="14"/>
        <v>18.961475822090183</v>
      </c>
      <c r="M21" s="69">
        <f t="shared" si="15"/>
        <v>1.6259197240687857</v>
      </c>
      <c r="N21" s="1"/>
      <c r="O21" s="1"/>
      <c r="P21" s="1"/>
      <c r="Q21" s="1"/>
      <c r="R21" s="1"/>
      <c r="S21" s="1"/>
    </row>
    <row r="22" spans="1:19" x14ac:dyDescent="0.3">
      <c r="A22" s="111"/>
      <c r="B22" s="82">
        <v>0.4</v>
      </c>
      <c r="C22" s="10">
        <v>0.4</v>
      </c>
      <c r="D22" s="10">
        <v>5.28</v>
      </c>
      <c r="E22" s="22">
        <v>40</v>
      </c>
      <c r="F22" s="13">
        <f t="shared" si="8"/>
        <v>2.1120000000000001</v>
      </c>
      <c r="G22" s="10">
        <f t="shared" si="9"/>
        <v>240.00000000000006</v>
      </c>
      <c r="H22" s="17">
        <f>F22-(G22/1000)</f>
        <v>1.8720000000000001</v>
      </c>
      <c r="I22" s="24">
        <f t="shared" si="11"/>
        <v>12.820512820512823</v>
      </c>
      <c r="J22" s="73">
        <f t="shared" si="12"/>
        <v>2.6558112382722787</v>
      </c>
      <c r="K22" s="77">
        <f t="shared" si="13"/>
        <v>29.190829610227478</v>
      </c>
      <c r="L22" s="77">
        <f t="shared" si="14"/>
        <v>23.742367916021983</v>
      </c>
      <c r="M22" s="69">
        <f t="shared" si="15"/>
        <v>1.2682888844028837</v>
      </c>
      <c r="N22" s="1"/>
      <c r="O22" s="1"/>
      <c r="P22" s="1"/>
      <c r="Q22" s="1"/>
      <c r="R22" s="93" t="s">
        <v>47</v>
      </c>
      <c r="S22" s="93"/>
    </row>
    <row r="23" spans="1:19" x14ac:dyDescent="0.3">
      <c r="A23" s="111"/>
      <c r="B23" s="80">
        <v>0.4</v>
      </c>
      <c r="C23" s="10">
        <v>4</v>
      </c>
      <c r="D23" s="10">
        <v>4.96</v>
      </c>
      <c r="E23" s="22">
        <v>40</v>
      </c>
      <c r="F23" s="13">
        <f t="shared" si="8"/>
        <v>1.984</v>
      </c>
      <c r="G23" s="10">
        <f>60*((B23)^2)</f>
        <v>9.6000000000000014</v>
      </c>
      <c r="H23" s="17">
        <f t="shared" ref="H23:H26" si="16">F23-(G23/1000)</f>
        <v>1.9743999999999999</v>
      </c>
      <c r="I23" s="24">
        <f>((G23/1000)/H23)*100</f>
        <v>0.48622366288492713</v>
      </c>
      <c r="J23" s="73">
        <f t="shared" si="12"/>
        <v>5.7735026918962582</v>
      </c>
      <c r="K23" s="77">
        <f t="shared" si="13"/>
        <v>28.821325437946118</v>
      </c>
      <c r="L23" s="77">
        <f t="shared" si="14"/>
        <v>24.681333417023566</v>
      </c>
      <c r="M23" s="69">
        <f t="shared" si="15"/>
        <v>1.2500675353030575</v>
      </c>
      <c r="N23" s="1"/>
      <c r="O23" s="1"/>
      <c r="P23" s="1"/>
      <c r="Q23" s="1"/>
      <c r="R23" s="1" t="s">
        <v>45</v>
      </c>
      <c r="S23" s="1">
        <v>5</v>
      </c>
    </row>
    <row r="24" spans="1:19" x14ac:dyDescent="0.3">
      <c r="A24" s="111"/>
      <c r="B24" s="80">
        <v>0.44</v>
      </c>
      <c r="C24" s="10">
        <v>4</v>
      </c>
      <c r="D24" s="10">
        <v>6.05</v>
      </c>
      <c r="E24" s="22">
        <v>40</v>
      </c>
      <c r="F24" s="13">
        <f t="shared" si="8"/>
        <v>2.6619999999999999</v>
      </c>
      <c r="G24" s="10">
        <f t="shared" ref="G24:G27" si="17">60*((B24)^2)</f>
        <v>11.616</v>
      </c>
      <c r="H24" s="17">
        <f t="shared" si="16"/>
        <v>2.6503839999999999</v>
      </c>
      <c r="I24" s="24">
        <f t="shared" ref="I24:I27" si="18">((G24/1000)/H24)*100</f>
        <v>0.43827611395178961</v>
      </c>
      <c r="J24" s="73">
        <f t="shared" si="12"/>
        <v>6.004442799572109</v>
      </c>
      <c r="K24" s="77">
        <f t="shared" si="13"/>
        <v>30.079949024779502</v>
      </c>
      <c r="L24" s="77">
        <f t="shared" si="14"/>
        <v>29.086655910335033</v>
      </c>
      <c r="M24" s="69">
        <f t="shared" si="15"/>
        <v>1.0974506301854763</v>
      </c>
      <c r="N24" s="1"/>
      <c r="O24" s="1"/>
      <c r="P24" s="1"/>
      <c r="Q24" s="1"/>
      <c r="R24" s="1" t="s">
        <v>46</v>
      </c>
      <c r="S24" s="1">
        <v>4000</v>
      </c>
    </row>
    <row r="25" spans="1:19" x14ac:dyDescent="0.3">
      <c r="A25" s="111"/>
      <c r="B25" s="80">
        <v>0.5</v>
      </c>
      <c r="C25" s="10">
        <v>4</v>
      </c>
      <c r="D25" s="10">
        <v>7.75</v>
      </c>
      <c r="E25" s="22">
        <v>40</v>
      </c>
      <c r="F25" s="13">
        <f t="shared" si="8"/>
        <v>3.875</v>
      </c>
      <c r="G25" s="10">
        <f t="shared" si="17"/>
        <v>15</v>
      </c>
      <c r="H25" s="17">
        <f t="shared" si="16"/>
        <v>3.86</v>
      </c>
      <c r="I25" s="24">
        <f t="shared" si="18"/>
        <v>0.38860103626943004</v>
      </c>
      <c r="J25" s="73">
        <f t="shared" si="12"/>
        <v>6.3508529610858844</v>
      </c>
      <c r="K25" s="77">
        <f t="shared" si="13"/>
        <v>32.042939940024233</v>
      </c>
      <c r="L25" s="77">
        <f t="shared" si="14"/>
        <v>36.850544206690898</v>
      </c>
      <c r="M25" s="69">
        <f t="shared" si="15"/>
        <v>0.95467731105416853</v>
      </c>
      <c r="N25" s="1"/>
      <c r="O25" s="1"/>
      <c r="P25" s="1"/>
      <c r="Q25" s="1"/>
      <c r="R25" s="1"/>
      <c r="S25" s="1"/>
    </row>
    <row r="26" spans="1:19" x14ac:dyDescent="0.3">
      <c r="A26" s="111"/>
      <c r="B26" s="80">
        <v>0.54</v>
      </c>
      <c r="C26" s="10">
        <v>4</v>
      </c>
      <c r="D26" s="10">
        <v>9.0299999999999994</v>
      </c>
      <c r="E26" s="22">
        <v>40</v>
      </c>
      <c r="F26" s="13">
        <f t="shared" si="8"/>
        <v>4.8761999999999999</v>
      </c>
      <c r="G26" s="10">
        <f t="shared" si="17"/>
        <v>17.496000000000002</v>
      </c>
      <c r="H26" s="17">
        <f t="shared" si="16"/>
        <v>4.8587039999999995</v>
      </c>
      <c r="I26" s="24">
        <f t="shared" si="18"/>
        <v>0.36009602560682852</v>
      </c>
      <c r="J26" s="73">
        <f t="shared" si="12"/>
        <v>6.5817930687617352</v>
      </c>
      <c r="K26" s="77">
        <f t="shared" si="13"/>
        <v>33.520956629149673</v>
      </c>
      <c r="L26" s="77">
        <f t="shared" si="14"/>
        <v>43.216730810528048</v>
      </c>
      <c r="M26" s="69">
        <f t="shared" si="15"/>
        <v>0.88947033633923889</v>
      </c>
      <c r="N26" s="1"/>
      <c r="O26" s="1"/>
      <c r="P26" s="1"/>
      <c r="Q26" s="1"/>
      <c r="R26" s="1"/>
      <c r="S26" s="1"/>
    </row>
    <row r="27" spans="1:19" x14ac:dyDescent="0.3">
      <c r="A27" s="112"/>
      <c r="B27" s="83">
        <v>0.6</v>
      </c>
      <c r="C27" s="41">
        <v>4</v>
      </c>
      <c r="D27" s="41">
        <v>11.06</v>
      </c>
      <c r="E27" s="42">
        <v>40</v>
      </c>
      <c r="F27" s="14">
        <f>B27*D27</f>
        <v>6.6360000000000001</v>
      </c>
      <c r="G27" s="15">
        <f t="shared" si="17"/>
        <v>21.599999999999998</v>
      </c>
      <c r="H27" s="18">
        <f>F27-(G27/1000)</f>
        <v>6.6143999999999998</v>
      </c>
      <c r="I27" s="25">
        <f t="shared" si="18"/>
        <v>0.32656023222060954</v>
      </c>
      <c r="J27" s="75">
        <f t="shared" si="12"/>
        <v>6.9282032302755088</v>
      </c>
      <c r="K27" s="79">
        <f t="shared" si="13"/>
        <v>35.864998722059553</v>
      </c>
      <c r="L27" s="79">
        <f t="shared" si="14"/>
        <v>54.704741762471464</v>
      </c>
      <c r="M27" s="71">
        <f t="shared" si="15"/>
        <v>0.82705523951486848</v>
      </c>
      <c r="N27" s="1"/>
      <c r="O27" s="1"/>
      <c r="P27" s="1"/>
      <c r="Q27" s="1"/>
      <c r="R27" s="1"/>
      <c r="S27" s="1"/>
    </row>
    <row r="28" spans="1:1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1"/>
      <c r="B30" s="1"/>
      <c r="C30" s="1" t="s">
        <v>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6">
    <mergeCell ref="R18:S18"/>
    <mergeCell ref="R22:S22"/>
    <mergeCell ref="B2:M4"/>
    <mergeCell ref="A2:A7"/>
    <mergeCell ref="J5:J6"/>
    <mergeCell ref="K5:K6"/>
    <mergeCell ref="L5:L6"/>
    <mergeCell ref="M5:M6"/>
    <mergeCell ref="A8:A17"/>
    <mergeCell ref="A18:A27"/>
    <mergeCell ref="B5:C5"/>
    <mergeCell ref="D5:E5"/>
    <mergeCell ref="F5:F6"/>
    <mergeCell ref="G5:G6"/>
    <mergeCell ref="H5:H6"/>
    <mergeCell ref="I5:I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60849F-35BB-40AB-964B-888135594F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List2</vt:lpstr>
      <vt:lpstr>Karolína</vt:lpstr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Šebestová Karolína Andrea (247759)</dc:creator>
  <cp:keywords/>
  <dc:description/>
  <cp:lastModifiedBy>Šebestová Karolína Andrea (247759)</cp:lastModifiedBy>
  <cp:revision/>
  <dcterms:created xsi:type="dcterms:W3CDTF">2024-10-02T09:24:48Z</dcterms:created>
  <dcterms:modified xsi:type="dcterms:W3CDTF">2024-10-15T21:26:21Z</dcterms:modified>
  <cp:category/>
  <cp:contentStatus/>
</cp:coreProperties>
</file>