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2/"/>
    </mc:Choice>
  </mc:AlternateContent>
  <xr:revisionPtr revIDLastSave="517" documentId="8_{7FD9983D-7558-45AD-865D-2EA0F32723F4}" xr6:coauthVersionLast="47" xr6:coauthVersionMax="47" xr10:uidLastSave="{235A6F4B-4243-41EC-9297-95E16DE45F68}"/>
  <bookViews>
    <workbookView xWindow="45984" yWindow="0" windowWidth="15480" windowHeight="16656" xr2:uid="{AAF956C0-527D-41B1-ACDA-E3985CCA73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6" i="1" l="1"/>
  <c r="J31" i="1" s="1"/>
  <c r="K31" i="1"/>
  <c r="I31" i="1"/>
  <c r="G31" i="1"/>
  <c r="E31" i="1"/>
  <c r="C31" i="1"/>
  <c r="L30" i="1"/>
  <c r="K30" i="1"/>
  <c r="J30" i="1"/>
  <c r="I30" i="1"/>
  <c r="H30" i="1"/>
  <c r="G30" i="1"/>
  <c r="F30" i="1"/>
  <c r="E30" i="1"/>
  <c r="D30" i="1"/>
  <c r="C30" i="1"/>
  <c r="L29" i="1"/>
  <c r="K29" i="1"/>
  <c r="J29" i="1"/>
  <c r="I29" i="1"/>
  <c r="H29" i="1"/>
  <c r="G29" i="1"/>
  <c r="F29" i="1"/>
  <c r="E29" i="1"/>
  <c r="D29" i="1"/>
  <c r="C29" i="1"/>
  <c r="L28" i="1"/>
  <c r="K28" i="1"/>
  <c r="J28" i="1"/>
  <c r="I28" i="1"/>
  <c r="H28" i="1"/>
  <c r="G28" i="1"/>
  <c r="F28" i="1"/>
  <c r="E28" i="1"/>
  <c r="D28" i="1"/>
  <c r="C28" i="1"/>
  <c r="AI8" i="1" a="1"/>
  <c r="AI8" i="1" s="1"/>
  <c r="AI23" i="1" a="1"/>
  <c r="AI23" i="1" s="1"/>
  <c r="AI22" i="1" a="1"/>
  <c r="AI22" i="1" s="1"/>
  <c r="AI21" i="1" a="1"/>
  <c r="AI21" i="1" s="1"/>
  <c r="AI20" i="1" a="1"/>
  <c r="AI20" i="1" s="1"/>
  <c r="AI19" i="1" a="1"/>
  <c r="AI19" i="1" s="1"/>
  <c r="AI18" i="1" a="1"/>
  <c r="AI18" i="1" s="1"/>
  <c r="AI15" i="1"/>
  <c r="AI14" i="1" a="1"/>
  <c r="AI14" i="1" s="1"/>
  <c r="AI13" i="1"/>
  <c r="AI7" i="1" a="1"/>
  <c r="AI7" i="1" s="1"/>
  <c r="AC8" i="1" a="1"/>
  <c r="AC8" i="1" s="1"/>
  <c r="Z8" i="1" a="1"/>
  <c r="Z8" i="1" s="1"/>
  <c r="Y8" i="1" a="1"/>
  <c r="Y8" i="1" s="1"/>
  <c r="X8" i="1" a="1"/>
  <c r="X8" i="1" s="1"/>
  <c r="L31" i="1" l="1"/>
  <c r="D31" i="1"/>
  <c r="F31" i="1"/>
  <c r="H31" i="1"/>
  <c r="AD15" i="1" a="1"/>
  <c r="AD15" i="1" s="1"/>
  <c r="AD8" i="1" s="1" a="1"/>
  <c r="AD8" i="1" s="1"/>
  <c r="AC15" i="1" a="1"/>
  <c r="AC15" i="1" s="1"/>
  <c r="AB15" i="1" a="1"/>
  <c r="AB15" i="1" s="1"/>
  <c r="U15" i="1" a="1"/>
  <c r="U15" i="1" s="1"/>
  <c r="U8" i="1" a="1"/>
  <c r="U8" i="1" s="1"/>
  <c r="O7" i="1" a="1"/>
  <c r="O7" i="1" s="1"/>
  <c r="N14" i="1" a="1"/>
  <c r="N14" i="1" s="1"/>
  <c r="O14" i="1" s="1" a="1"/>
  <c r="O14" i="1" s="1"/>
  <c r="M14" i="1" a="1"/>
  <c r="M14" i="1" s="1"/>
  <c r="M7" i="1" a="1"/>
  <c r="M7" i="1" s="1"/>
  <c r="L7" i="1" a="1"/>
  <c r="L7" i="1" s="1"/>
  <c r="N7" i="1" a="1"/>
  <c r="N7" i="1" s="1"/>
  <c r="J7" i="1" a="1"/>
  <c r="J7" i="1" s="1"/>
  <c r="I7" i="1" a="1"/>
  <c r="I7" i="1" s="1"/>
  <c r="F7" i="1" a="1"/>
  <c r="F7" i="1" s="1"/>
  <c r="AA8" i="1" l="1" a="1"/>
  <c r="AA8" i="1" s="1"/>
  <c r="AB8" i="1" s="1" a="1"/>
  <c r="A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<sst xmlns="http://schemas.openxmlformats.org/spreadsheetml/2006/main" count="158" uniqueCount="74">
  <si>
    <r>
      <t>a</t>
    </r>
    <r>
      <rPr>
        <vertAlign val="subscript"/>
        <sz val="12"/>
        <color theme="1"/>
        <rFont val="Symbol"/>
        <family val="1"/>
        <charset val="2"/>
      </rPr>
      <t>A</t>
    </r>
  </si>
  <si>
    <r>
      <t>k</t>
    </r>
    <r>
      <rPr>
        <vertAlign val="subscript"/>
        <sz val="12"/>
        <color theme="1"/>
        <rFont val="Times New Roman"/>
        <family val="1"/>
      </rPr>
      <t>A</t>
    </r>
  </si>
  <si>
    <t>mA</t>
  </si>
  <si>
    <r>
      <t>a</t>
    </r>
    <r>
      <rPr>
        <vertAlign val="subscript"/>
        <sz val="12"/>
        <color theme="1"/>
        <rFont val="Times New Roman"/>
        <family val="1"/>
      </rPr>
      <t>V</t>
    </r>
  </si>
  <si>
    <r>
      <t>k</t>
    </r>
    <r>
      <rPr>
        <vertAlign val="subscript"/>
        <sz val="12"/>
        <color theme="1"/>
        <rFont val="Times New Roman"/>
        <family val="1"/>
      </rPr>
      <t>V</t>
    </r>
  </si>
  <si>
    <t>V</t>
  </si>
  <si>
    <t>W</t>
  </si>
  <si>
    <t>%</t>
  </si>
  <si>
    <t xml:space="preserve">………., </t>
  </si>
  <si>
    <t>……….</t>
  </si>
  <si>
    <t>R3</t>
  </si>
  <si>
    <t>R4</t>
  </si>
  <si>
    <t>R5</t>
  </si>
  <si>
    <r>
      <t>X</t>
    </r>
    <r>
      <rPr>
        <vertAlign val="subscript"/>
        <sz val="12"/>
        <color theme="1"/>
        <rFont val="Times New Roman"/>
        <family val="1"/>
      </rPr>
      <t>R</t>
    </r>
  </si>
  <si>
    <t>Poznámka</t>
  </si>
  <si>
    <t xml:space="preserve">,  </t>
  </si>
  <si>
    <t>...........</t>
  </si>
  <si>
    <t>Ohmova metoda VA</t>
  </si>
  <si>
    <t>Ohmova metoda AV</t>
  </si>
  <si>
    <t>Substituční metoda</t>
  </si>
  <si>
    <t>120/120</t>
  </si>
  <si>
    <t>2,4/120</t>
  </si>
  <si>
    <t>6/120</t>
  </si>
  <si>
    <t>12/120</t>
  </si>
  <si>
    <t>0,6/120</t>
  </si>
  <si>
    <t>1,2/120</t>
  </si>
  <si>
    <t>24/120</t>
  </si>
  <si>
    <t xml:space="preserve">delta_TP_V = </t>
  </si>
  <si>
    <t xml:space="preserve">delta_TP_A = </t>
  </si>
  <si>
    <t>počet dílků</t>
  </si>
  <si>
    <t>rozsah</t>
  </si>
  <si>
    <t>I_A</t>
  </si>
  <si>
    <t>U_V</t>
  </si>
  <si>
    <t>R'_X_VA</t>
  </si>
  <si>
    <t>R_A</t>
  </si>
  <si>
    <t>R_X_VA</t>
  </si>
  <si>
    <t>u_BU</t>
  </si>
  <si>
    <t>u_BI</t>
  </si>
  <si>
    <t>u_R_X_VA</t>
  </si>
  <si>
    <t>Delta_R_X_VA</t>
  </si>
  <si>
    <t>delta_R_X_VA</t>
  </si>
  <si>
    <t>U_R_X_VA</t>
  </si>
  <si>
    <t>Ohmova metoda - uspořádání VA</t>
  </si>
  <si>
    <t>Ohmova metoda - uspořádání AV</t>
  </si>
  <si>
    <t>A</t>
  </si>
  <si>
    <t>u_R_X_AV</t>
  </si>
  <si>
    <t>R_V</t>
  </si>
  <si>
    <t>Delta_R_X_AV</t>
  </si>
  <si>
    <t>delta_R_X_AV</t>
  </si>
  <si>
    <t>R_X_AV</t>
  </si>
  <si>
    <t>U_R_X_AV</t>
  </si>
  <si>
    <t>R1</t>
  </si>
  <si>
    <t>R2</t>
  </si>
  <si>
    <t>u_BU_ref</t>
  </si>
  <si>
    <t>u_BR_ref</t>
  </si>
  <si>
    <t>u_BU_ofs</t>
  </si>
  <si>
    <t>delta_M</t>
  </si>
  <si>
    <t>delta_R</t>
  </si>
  <si>
    <t>B</t>
  </si>
  <si>
    <t>C</t>
  </si>
  <si>
    <t>D</t>
  </si>
  <si>
    <t xml:space="preserve">U_ref = </t>
  </si>
  <si>
    <t>u_R_X</t>
  </si>
  <si>
    <t>R_ref</t>
  </si>
  <si>
    <t>R_X</t>
  </si>
  <si>
    <t>U_R_X</t>
  </si>
  <si>
    <t>R_X = R_D</t>
  </si>
  <si>
    <t>U_R1</t>
  </si>
  <si>
    <t>U_R2</t>
  </si>
  <si>
    <t>U_R3</t>
  </si>
  <si>
    <t>U_R4</t>
  </si>
  <si>
    <t>U_R5</t>
  </si>
  <si>
    <t>Převodník s OZ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</si>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</sst>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3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Symbol"/>
      <family val="1"/>
      <charset val="2"/>
    </font>
    <font>
      <sz val="12"/>
      <color theme="1"/>
      <name val="Symbol"/>
      <family val="1"/>
      <charset val="2"/>
    </font>
    <font>
      <vertAlign val="subscript"/>
      <sz val="12"/>
      <color theme="1"/>
      <name val="Symbol"/>
      <family val="1"/>
      <charset val="2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Sitka Banner"/>
    </font>
    <font>
      <b/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/>
      <right style="medium">
        <color rgb="FF000000"/>
      </right>
      <top style="thick">
        <color rgb="FF000000"/>
      </top>
      <bottom style="thick">
        <color indexed="64"/>
      </bottom>
      <diagonal/>
    </border>
    <border>
      <left/>
      <right style="medium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37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6" fillId="0" borderId="0" xfId="0" applyNumberFormat="1" applyFont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12" xfId="0" applyNumberFormat="1" applyFont="1" applyBorder="1" applyAlignment="1">
      <alignment horizontal="center" vertical="center" wrapText="1"/>
    </xf>
    <xf numFmtId="2" fontId="1" fillId="0" borderId="34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34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6" fontId="1" fillId="0" borderId="34" xfId="0" applyNumberFormat="1" applyFont="1" applyBorder="1" applyAlignment="1">
      <alignment horizontal="center" vertical="center" wrapText="1"/>
    </xf>
    <xf numFmtId="1" fontId="1" fillId="0" borderId="34" xfId="0" applyNumberFormat="1" applyFont="1" applyBorder="1" applyAlignment="1">
      <alignment horizontal="center" vertical="center" wrapText="1"/>
    </xf>
    <xf numFmtId="165" fontId="1" fillId="0" borderId="34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96A0-C9F1-4E6E-985F-DA4CF9E17DA9}">
  <dimension ref="B2:AW32"/>
  <sheetViews>
    <sheetView tabSelected="1" zoomScale="85" zoomScaleNormal="85" workbookViewId="0">
      <selection activeCell="B26" sqref="B26:L31"/>
    </sheetView>
  </sheetViews>
  <sheetFormatPr defaultRowHeight="14.4" x14ac:dyDescent="0.3"/>
  <cols>
    <col min="2" max="2" width="25.33203125" customWidth="1"/>
    <col min="3" max="3" width="11" customWidth="1"/>
    <col min="6" max="6" width="9.77734375" bestFit="1" customWidth="1"/>
    <col min="9" max="9" width="11.5546875" customWidth="1"/>
    <col min="10" max="10" width="12.6640625" bestFit="1" customWidth="1"/>
    <col min="12" max="12" width="15.21875" customWidth="1"/>
    <col min="13" max="13" width="16.33203125" customWidth="1"/>
    <col min="14" max="14" width="13.5546875" bestFit="1" customWidth="1"/>
    <col min="15" max="15" width="12.6640625" bestFit="1" customWidth="1"/>
    <col min="27" max="27" width="13.5546875" bestFit="1" customWidth="1"/>
    <col min="28" max="28" width="15.109375" customWidth="1"/>
    <col min="29" max="30" width="12.6640625" bestFit="1" customWidth="1"/>
    <col min="35" max="35" width="12.6640625" bestFit="1" customWidth="1"/>
    <col min="37" max="37" width="9.77734375" bestFit="1" customWidth="1"/>
  </cols>
  <sheetData>
    <row r="2" spans="2:49" ht="36.6" thickBot="1" x14ac:dyDescent="0.35">
      <c r="B2" s="15"/>
      <c r="C2" s="9" t="s">
        <v>42</v>
      </c>
      <c r="D2" s="9"/>
      <c r="E2" s="9"/>
      <c r="F2" s="9"/>
      <c r="G2" s="9"/>
      <c r="H2" s="9"/>
      <c r="I2" s="9"/>
      <c r="J2" s="9"/>
      <c r="K2" s="10"/>
      <c r="L2" s="9"/>
      <c r="M2" s="9"/>
      <c r="N2" s="11"/>
      <c r="R2" t="s">
        <v>43</v>
      </c>
    </row>
    <row r="3" spans="2:49" ht="19.2" thickTop="1" thickBot="1" x14ac:dyDescent="0.35">
      <c r="B3" s="15"/>
      <c r="C3" s="98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R3" s="98" t="s">
        <v>8</v>
      </c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100"/>
      <c r="AG3" s="84"/>
      <c r="AH3" s="85"/>
      <c r="AI3" s="59" t="s">
        <v>51</v>
      </c>
      <c r="AJ3" s="59" t="s">
        <v>52</v>
      </c>
      <c r="AK3" s="18" t="s">
        <v>10</v>
      </c>
      <c r="AL3" s="19" t="s">
        <v>11</v>
      </c>
      <c r="AM3" s="60" t="s">
        <v>12</v>
      </c>
      <c r="AP3" s="78" t="s">
        <v>16</v>
      </c>
      <c r="AQ3" s="79"/>
      <c r="AR3" s="59" t="s">
        <v>51</v>
      </c>
      <c r="AS3" s="59" t="s">
        <v>52</v>
      </c>
      <c r="AT3" s="18" t="s">
        <v>10</v>
      </c>
      <c r="AU3" s="19" t="s">
        <v>11</v>
      </c>
      <c r="AV3" s="60" t="s">
        <v>12</v>
      </c>
      <c r="AW3" s="9"/>
    </row>
    <row r="4" spans="2:49" ht="19.2" thickTop="1" thickBot="1" x14ac:dyDescent="0.35">
      <c r="B4" s="9"/>
      <c r="C4" s="70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2"/>
      <c r="R4" s="101" t="s">
        <v>8</v>
      </c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3"/>
      <c r="AG4" s="20" t="s">
        <v>63</v>
      </c>
      <c r="AH4" s="21" t="s">
        <v>6</v>
      </c>
      <c r="AI4" s="5">
        <v>500</v>
      </c>
      <c r="AJ4" s="5">
        <v>500</v>
      </c>
      <c r="AK4" s="22">
        <v>500</v>
      </c>
      <c r="AL4" s="5">
        <v>5000</v>
      </c>
      <c r="AM4" s="6">
        <v>50000</v>
      </c>
      <c r="AP4" s="20" t="s">
        <v>73</v>
      </c>
      <c r="AQ4" s="6" t="s">
        <v>2</v>
      </c>
      <c r="AR4" s="5">
        <v>106</v>
      </c>
      <c r="AS4" s="5">
        <v>103</v>
      </c>
      <c r="AT4" s="22">
        <v>101</v>
      </c>
      <c r="AU4" s="5">
        <v>5</v>
      </c>
      <c r="AV4" s="6">
        <v>0.5</v>
      </c>
      <c r="AW4" s="14"/>
    </row>
    <row r="5" spans="2:49" ht="24.6" customHeight="1" thickBot="1" x14ac:dyDescent="0.35">
      <c r="B5" s="15"/>
      <c r="C5" s="73"/>
      <c r="D5" s="75" t="s">
        <v>31</v>
      </c>
      <c r="E5" s="76"/>
      <c r="F5" s="77"/>
      <c r="G5" s="75" t="s">
        <v>32</v>
      </c>
      <c r="H5" s="76"/>
      <c r="I5" s="77"/>
      <c r="J5" s="45" t="s">
        <v>33</v>
      </c>
      <c r="K5" s="45" t="s">
        <v>34</v>
      </c>
      <c r="L5" s="45" t="s">
        <v>39</v>
      </c>
      <c r="M5" s="45" t="s">
        <v>40</v>
      </c>
      <c r="N5" s="46" t="s">
        <v>35</v>
      </c>
      <c r="O5" s="33" t="s">
        <v>41</v>
      </c>
      <c r="R5" s="70" t="s">
        <v>9</v>
      </c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2"/>
      <c r="AG5" s="86" t="s">
        <v>32</v>
      </c>
      <c r="AH5" s="23" t="s">
        <v>13</v>
      </c>
      <c r="AI5" s="5">
        <v>0.1</v>
      </c>
      <c r="AJ5" s="5">
        <v>10</v>
      </c>
      <c r="AK5" s="22">
        <v>0.1</v>
      </c>
      <c r="AL5" s="5">
        <v>10</v>
      </c>
      <c r="AM5" s="6">
        <v>10</v>
      </c>
      <c r="AP5" t="s">
        <v>66</v>
      </c>
      <c r="AQ5" s="21" t="s">
        <v>6</v>
      </c>
      <c r="AR5" s="5">
        <v>9.1</v>
      </c>
      <c r="AS5" s="5">
        <v>218</v>
      </c>
      <c r="AT5" s="22">
        <v>57.2</v>
      </c>
      <c r="AU5" s="5">
        <v>4680</v>
      </c>
      <c r="AV5" s="6">
        <v>30400</v>
      </c>
      <c r="AW5" s="14"/>
    </row>
    <row r="6" spans="2:49" ht="20.399999999999999" thickBot="1" x14ac:dyDescent="0.35">
      <c r="C6" s="74"/>
      <c r="D6" s="1" t="s">
        <v>0</v>
      </c>
      <c r="E6" s="2" t="s">
        <v>1</v>
      </c>
      <c r="F6" s="3" t="s">
        <v>2</v>
      </c>
      <c r="G6" s="1" t="s">
        <v>3</v>
      </c>
      <c r="H6" s="2" t="s">
        <v>4</v>
      </c>
      <c r="I6" s="3" t="s">
        <v>5</v>
      </c>
      <c r="J6" s="4" t="s">
        <v>6</v>
      </c>
      <c r="K6" s="4" t="s">
        <v>6</v>
      </c>
      <c r="L6" s="4" t="s">
        <v>6</v>
      </c>
      <c r="M6" s="3" t="s">
        <v>7</v>
      </c>
      <c r="N6" s="4" t="s">
        <v>6</v>
      </c>
      <c r="O6" s="3" t="s">
        <v>7</v>
      </c>
      <c r="R6" s="73"/>
      <c r="S6" s="75" t="s">
        <v>31</v>
      </c>
      <c r="T6" s="76"/>
      <c r="U6" s="77"/>
      <c r="V6" s="75" t="s">
        <v>32</v>
      </c>
      <c r="W6" s="76"/>
      <c r="X6" s="77"/>
      <c r="Y6" s="45" t="s">
        <v>33</v>
      </c>
      <c r="Z6" s="45" t="s">
        <v>46</v>
      </c>
      <c r="AA6" s="47" t="s">
        <v>47</v>
      </c>
      <c r="AB6" s="45" t="s">
        <v>48</v>
      </c>
      <c r="AC6" s="46" t="s">
        <v>49</v>
      </c>
      <c r="AD6" s="35" t="s">
        <v>50</v>
      </c>
      <c r="AG6" s="87"/>
      <c r="AH6" s="6" t="s">
        <v>5</v>
      </c>
      <c r="AI6" s="32">
        <v>-0.100942</v>
      </c>
      <c r="AJ6" s="32">
        <v>-2.1903000000000001</v>
      </c>
      <c r="AK6" s="56">
        <v>-9.9193000000000003E-2</v>
      </c>
      <c r="AL6" s="32">
        <v>-4.6669999999999998</v>
      </c>
      <c r="AM6" s="41">
        <v>-3.0312000000000001</v>
      </c>
      <c r="AP6" s="24" t="s">
        <v>65</v>
      </c>
      <c r="AQ6" s="3" t="s">
        <v>7</v>
      </c>
      <c r="AR6" s="80">
        <f>2*(0.1/SQRT(3))</f>
        <v>0.11547005383792516</v>
      </c>
      <c r="AS6" s="81"/>
      <c r="AT6" s="81"/>
      <c r="AU6" s="81"/>
      <c r="AV6" s="82"/>
      <c r="AW6" s="16"/>
    </row>
    <row r="7" spans="2:49" ht="19.8" thickTop="1" thickBot="1" x14ac:dyDescent="0.35">
      <c r="C7" s="49" t="s">
        <v>51</v>
      </c>
      <c r="D7" s="5">
        <v>109</v>
      </c>
      <c r="E7" s="32" t="s">
        <v>20</v>
      </c>
      <c r="F7" s="6" cm="1">
        <f t="array" ref="F7:F11">D7:D11*(C17:C21/D17)</f>
        <v>109</v>
      </c>
      <c r="G7" s="5">
        <v>75</v>
      </c>
      <c r="H7" s="5" t="s">
        <v>21</v>
      </c>
      <c r="I7" s="6" cm="1">
        <f t="array" ref="I7:I11">G7:G11*(H14:H18/I14)</f>
        <v>1.5</v>
      </c>
      <c r="J7" s="44" cm="1">
        <f t="array" ref="J7:J11">I7:I11/(F7:F11*0.001)</f>
        <v>13.761467889908257</v>
      </c>
      <c r="K7" s="6">
        <v>4.0999999999999996</v>
      </c>
      <c r="L7" s="6" cm="1">
        <f t="array" ref="L7:L11">J7:J11-N7:N11</f>
        <v>4.0999999999999996</v>
      </c>
      <c r="M7" s="41" cm="1">
        <f t="array" ref="M7:M11">(K7:K11/N7:N11)*100</f>
        <v>42.436615706010819</v>
      </c>
      <c r="N7" s="44" cm="1">
        <f t="array" ref="N7:N11">(I7:I11/(F7:F11*0.001))-K7:K11</f>
        <v>9.6614678899082573</v>
      </c>
      <c r="O7" s="37" cm="1">
        <f t="array" ref="O7:O11">((O14:O18*2)/N7:N11)*100</f>
        <v>1.5971583109496468</v>
      </c>
      <c r="R7" s="74"/>
      <c r="S7" s="1" t="s">
        <v>0</v>
      </c>
      <c r="T7" s="2" t="s">
        <v>1</v>
      </c>
      <c r="U7" s="3" t="s">
        <v>2</v>
      </c>
      <c r="V7" s="1" t="s">
        <v>3</v>
      </c>
      <c r="W7" s="2" t="s">
        <v>4</v>
      </c>
      <c r="X7" s="3" t="s">
        <v>5</v>
      </c>
      <c r="Y7" s="4" t="s">
        <v>6</v>
      </c>
      <c r="Z7" s="4" t="s">
        <v>6</v>
      </c>
      <c r="AA7" s="4" t="s">
        <v>6</v>
      </c>
      <c r="AB7" s="3" t="s">
        <v>7</v>
      </c>
      <c r="AC7" s="4" t="s">
        <v>6</v>
      </c>
      <c r="AD7" s="3" t="s">
        <v>7</v>
      </c>
      <c r="AG7" s="61" t="s">
        <v>64</v>
      </c>
      <c r="AH7" s="21" t="s">
        <v>6</v>
      </c>
      <c r="AI7" s="32" cm="1">
        <f t="array" ref="AI7:AM7">-(AI4:AM4/AH12)*AI6:AM6</f>
        <v>10.094200000000001</v>
      </c>
      <c r="AJ7" s="5">
        <v>219.03</v>
      </c>
      <c r="AK7" s="58">
        <v>9.9192999999999998</v>
      </c>
      <c r="AL7" s="5">
        <v>4667</v>
      </c>
      <c r="AM7" s="6">
        <v>30312</v>
      </c>
    </row>
    <row r="8" spans="2:49" ht="19.2" thickBot="1" x14ac:dyDescent="0.35">
      <c r="C8" s="34" t="s">
        <v>52</v>
      </c>
      <c r="D8" s="7">
        <v>111</v>
      </c>
      <c r="E8" s="7" t="s">
        <v>22</v>
      </c>
      <c r="F8" s="8">
        <v>5.5500000000000007</v>
      </c>
      <c r="G8" s="7">
        <v>75</v>
      </c>
      <c r="H8" s="7" t="s">
        <v>21</v>
      </c>
      <c r="I8" s="8">
        <v>1.5</v>
      </c>
      <c r="J8" s="40">
        <v>270.2702702702702</v>
      </c>
      <c r="K8" s="8">
        <v>72</v>
      </c>
      <c r="L8" s="8">
        <v>72</v>
      </c>
      <c r="M8" s="40">
        <v>36.314067611777546</v>
      </c>
      <c r="N8" s="40">
        <v>198.2702702702702</v>
      </c>
      <c r="O8" s="38">
        <v>1.5197105750376381</v>
      </c>
      <c r="P8" s="10"/>
      <c r="Q8" s="9"/>
      <c r="R8" s="49" t="s">
        <v>51</v>
      </c>
      <c r="S8" s="5">
        <v>108</v>
      </c>
      <c r="T8" s="5" t="s">
        <v>20</v>
      </c>
      <c r="U8" s="6" cm="1">
        <f t="array" ref="U8:U12">S8:S12*(R18:R22/S18)</f>
        <v>108</v>
      </c>
      <c r="V8" s="5">
        <v>108</v>
      </c>
      <c r="W8" s="5" t="s">
        <v>25</v>
      </c>
      <c r="X8" s="6" cm="1">
        <f t="array" ref="X8:X12">V8:V12*(W15:W19/X15)</f>
        <v>1.08</v>
      </c>
      <c r="Y8" s="37" cm="1">
        <f t="array" ref="Y8:Y12">X8:X12/U15:U19</f>
        <v>10</v>
      </c>
      <c r="Z8" s="6" cm="1">
        <f t="array" ref="Z8:Z12">1000*W15:W19</f>
        <v>1200</v>
      </c>
      <c r="AA8" s="44" cm="1">
        <f t="array" ref="AA8:AA12">Y8:Y12-AC8:AC12</f>
        <v>-8.4033613445379629E-2</v>
      </c>
      <c r="AB8" s="37" cm="1">
        <f t="array" ref="AB8:AB12">(AA8:AA12/AC8:AC12)*100</f>
        <v>-0.83333333333334791</v>
      </c>
      <c r="AC8" s="37" cm="1">
        <f t="array" ref="AC8:AC12">X8:X12/(U15:U19-(X8:X12/Z8:Z12))</f>
        <v>10.08403361344538</v>
      </c>
      <c r="AD8" s="37" cm="1">
        <f t="array" ref="AD8:AD12">((AD15:AD19*2)/AC8:AC12)*100</f>
        <v>0.91484210748204575</v>
      </c>
      <c r="AG8" s="20" t="s">
        <v>65</v>
      </c>
      <c r="AH8" s="6" t="s">
        <v>7</v>
      </c>
      <c r="AI8" s="57" cm="1">
        <f t="array" ref="AI8:AM8">2*(AI23:AM23/AI7:AM7)*100</f>
        <v>0.14050595630023399</v>
      </c>
      <c r="AJ8" s="57">
        <v>0.13632240643155355</v>
      </c>
      <c r="AK8" s="58">
        <v>0.14081046053809554</v>
      </c>
      <c r="AL8" s="57">
        <v>0.1324836143535939</v>
      </c>
      <c r="AM8" s="37">
        <v>0.13414636368225674</v>
      </c>
    </row>
    <row r="9" spans="2:49" ht="15.6" customHeight="1" x14ac:dyDescent="0.3">
      <c r="C9" s="35" t="s">
        <v>10</v>
      </c>
      <c r="D9" s="35">
        <v>111</v>
      </c>
      <c r="E9" s="14" t="s">
        <v>20</v>
      </c>
      <c r="F9" s="12">
        <v>111</v>
      </c>
      <c r="G9" s="13">
        <v>76</v>
      </c>
      <c r="H9" s="14" t="s">
        <v>23</v>
      </c>
      <c r="I9" s="12">
        <v>7.6000000000000005</v>
      </c>
      <c r="J9" s="36">
        <v>68.468468468468473</v>
      </c>
      <c r="K9" s="12">
        <v>4.0999999999999996</v>
      </c>
      <c r="L9" s="12">
        <v>4.0999999999999943</v>
      </c>
      <c r="M9" s="36">
        <v>6.3695783006060251</v>
      </c>
      <c r="N9" s="39">
        <v>64.368468468468478</v>
      </c>
      <c r="O9" s="39">
        <v>1.1751810460707448</v>
      </c>
      <c r="P9" s="17"/>
      <c r="Q9" s="17"/>
      <c r="R9" s="34" t="s">
        <v>52</v>
      </c>
      <c r="S9" s="7">
        <v>103</v>
      </c>
      <c r="T9" s="7" t="s">
        <v>20</v>
      </c>
      <c r="U9" s="8">
        <v>103</v>
      </c>
      <c r="V9" s="7">
        <v>111</v>
      </c>
      <c r="W9" s="7" t="s">
        <v>26</v>
      </c>
      <c r="X9" s="8">
        <v>22.200000000000003</v>
      </c>
      <c r="Y9" s="40">
        <v>215.53398058252429</v>
      </c>
      <c r="Z9" s="8">
        <v>24000</v>
      </c>
      <c r="AA9" s="55">
        <v>-1.953161224970188</v>
      </c>
      <c r="AB9" s="38">
        <v>-0.89805825242717086</v>
      </c>
      <c r="AC9" s="40">
        <v>217.48714180749448</v>
      </c>
      <c r="AD9" s="38">
        <v>0.92593452688450339</v>
      </c>
      <c r="AG9" s="88" t="s">
        <v>14</v>
      </c>
      <c r="AH9" s="89"/>
      <c r="AI9" s="92" t="s">
        <v>15</v>
      </c>
      <c r="AJ9" s="93"/>
      <c r="AK9" s="93"/>
      <c r="AL9" s="93"/>
      <c r="AM9" s="94"/>
    </row>
    <row r="10" spans="2:49" ht="16.2" thickBot="1" x14ac:dyDescent="0.35">
      <c r="C10" s="35" t="s">
        <v>11</v>
      </c>
      <c r="D10" s="35">
        <v>108</v>
      </c>
      <c r="E10" s="14" t="s">
        <v>21</v>
      </c>
      <c r="F10" s="14">
        <v>2.16</v>
      </c>
      <c r="G10" s="14">
        <v>102</v>
      </c>
      <c r="H10" s="14" t="s">
        <v>23</v>
      </c>
      <c r="I10" s="14">
        <v>10.200000000000001</v>
      </c>
      <c r="J10" s="43">
        <v>4722.2222222222226</v>
      </c>
      <c r="K10" s="14">
        <v>156</v>
      </c>
      <c r="L10" s="14">
        <v>156</v>
      </c>
      <c r="M10" s="39">
        <v>3.416390889624294</v>
      </c>
      <c r="N10" s="43">
        <v>4566.2222222222226</v>
      </c>
      <c r="O10" s="39">
        <v>0.96620116413923163</v>
      </c>
      <c r="P10" s="16"/>
      <c r="Q10" s="16"/>
      <c r="R10" s="14" t="s">
        <v>10</v>
      </c>
      <c r="S10" s="14">
        <v>115</v>
      </c>
      <c r="T10" s="48" t="s">
        <v>20</v>
      </c>
      <c r="U10" s="48">
        <v>115</v>
      </c>
      <c r="V10" s="35">
        <v>73</v>
      </c>
      <c r="W10" s="35" t="s">
        <v>23</v>
      </c>
      <c r="X10" s="35">
        <v>7.3000000000000007</v>
      </c>
      <c r="Y10" s="53">
        <v>63.478260869565219</v>
      </c>
      <c r="Z10" s="35">
        <v>12000</v>
      </c>
      <c r="AA10" s="54">
        <v>-0.33757653117784514</v>
      </c>
      <c r="AB10" s="53">
        <v>-0.52898550724637894</v>
      </c>
      <c r="AC10" s="53">
        <v>63.815837400743064</v>
      </c>
      <c r="AD10" s="53">
        <v>1.1301137189916943</v>
      </c>
      <c r="AG10" s="90"/>
      <c r="AH10" s="91"/>
      <c r="AI10" s="95"/>
      <c r="AJ10" s="96"/>
      <c r="AK10" s="96"/>
      <c r="AL10" s="96"/>
      <c r="AM10" s="97"/>
    </row>
    <row r="11" spans="2:49" ht="16.2" thickTop="1" x14ac:dyDescent="0.3">
      <c r="C11" s="35" t="s">
        <v>12</v>
      </c>
      <c r="D11" s="35">
        <v>77</v>
      </c>
      <c r="E11" s="14" t="s">
        <v>24</v>
      </c>
      <c r="F11" s="14">
        <v>0.38500000000000001</v>
      </c>
      <c r="G11" s="14">
        <v>115</v>
      </c>
      <c r="H11" s="14" t="s">
        <v>23</v>
      </c>
      <c r="I11" s="14">
        <v>11.5</v>
      </c>
      <c r="J11" s="42">
        <v>29870.129870129869</v>
      </c>
      <c r="K11" s="14">
        <v>250</v>
      </c>
      <c r="L11" s="14">
        <v>250</v>
      </c>
      <c r="M11" s="39">
        <v>0.84402060725638495</v>
      </c>
      <c r="N11" s="42">
        <v>29620.129870129869</v>
      </c>
      <c r="O11" s="39">
        <v>1.0919731181746166</v>
      </c>
      <c r="P11" s="16"/>
      <c r="Q11" s="16"/>
      <c r="R11" s="14" t="s">
        <v>11</v>
      </c>
      <c r="S11" s="14">
        <v>109</v>
      </c>
      <c r="T11" s="48" t="s">
        <v>22</v>
      </c>
      <c r="U11" s="48">
        <v>5.45</v>
      </c>
      <c r="V11" s="35">
        <v>105</v>
      </c>
      <c r="W11" s="35" t="s">
        <v>26</v>
      </c>
      <c r="X11" s="35">
        <v>21</v>
      </c>
      <c r="Y11" s="52">
        <v>3853.211009174312</v>
      </c>
      <c r="Z11" s="35">
        <v>24000</v>
      </c>
      <c r="AA11" s="51">
        <v>-736.95292525191735</v>
      </c>
      <c r="AB11" s="51">
        <v>-16.055045871559628</v>
      </c>
      <c r="AC11" s="52">
        <v>4590.1639344262294</v>
      </c>
      <c r="AD11" s="53">
        <v>1.0914022725349037</v>
      </c>
    </row>
    <row r="12" spans="2:49" x14ac:dyDescent="0.3">
      <c r="R12" s="35" t="s">
        <v>12</v>
      </c>
      <c r="S12" s="35">
        <v>69</v>
      </c>
      <c r="T12" s="35" t="s">
        <v>21</v>
      </c>
      <c r="U12" s="35">
        <v>1.3800000000000001</v>
      </c>
      <c r="V12" s="35">
        <v>117</v>
      </c>
      <c r="W12" s="35" t="s">
        <v>23</v>
      </c>
      <c r="X12" s="35">
        <v>11.700000000000001</v>
      </c>
      <c r="Y12" s="52">
        <v>8478.2608695652179</v>
      </c>
      <c r="Z12" s="35">
        <v>12000</v>
      </c>
      <c r="AA12" s="50">
        <v>-20410.628019323667</v>
      </c>
      <c r="AB12" s="51">
        <v>-70.65217391304347</v>
      </c>
      <c r="AC12" s="50">
        <v>28888.888888888887</v>
      </c>
      <c r="AD12" s="53">
        <v>3.971987880052704</v>
      </c>
      <c r="AG12" t="s">
        <v>61</v>
      </c>
      <c r="AH12">
        <v>5</v>
      </c>
    </row>
    <row r="13" spans="2:49" ht="15.6" x14ac:dyDescent="0.3">
      <c r="C13" t="s">
        <v>27</v>
      </c>
      <c r="D13">
        <v>0.5</v>
      </c>
      <c r="H13" s="14" t="s">
        <v>30</v>
      </c>
      <c r="I13" t="s">
        <v>29</v>
      </c>
      <c r="M13" t="s">
        <v>36</v>
      </c>
      <c r="N13" t="s">
        <v>37</v>
      </c>
      <c r="O13" t="s">
        <v>38</v>
      </c>
      <c r="AH13" t="s">
        <v>53</v>
      </c>
      <c r="AI13">
        <f>(0.05*AH12)/(100*SQRT(3))</f>
        <v>1.4433756729740645E-3</v>
      </c>
    </row>
    <row r="14" spans="2:49" x14ac:dyDescent="0.3">
      <c r="C14" t="s">
        <v>28</v>
      </c>
      <c r="D14">
        <v>0.5</v>
      </c>
      <c r="H14">
        <v>2.4</v>
      </c>
      <c r="I14">
        <v>120</v>
      </c>
      <c r="M14" cm="1">
        <f t="array" ref="M14:M18">((D13*H14:H18)/(100*SQRT(3)))</f>
        <v>6.9282032302755087E-3</v>
      </c>
      <c r="N14" cm="1">
        <f t="array" ref="N14:N18">((D14*(C17:C21*0.001))/(100*SQRT(3)))</f>
        <v>3.4641016151377546E-4</v>
      </c>
      <c r="O14" cm="1">
        <f t="array" ref="O14:O18">SQRT(POWER((1/(F7:F11*0.001))*M14:M18,2)+POWER((I7:I11/POWER(F7:F11*0.001,2))*N14:N18,2))</f>
        <v>7.7154468681700603E-2</v>
      </c>
      <c r="R14" t="s">
        <v>27</v>
      </c>
      <c r="S14">
        <v>0.5</v>
      </c>
      <c r="U14" t="s">
        <v>44</v>
      </c>
      <c r="W14" t="s">
        <v>30</v>
      </c>
      <c r="X14" t="s">
        <v>29</v>
      </c>
      <c r="AB14" t="s">
        <v>36</v>
      </c>
      <c r="AC14" t="s">
        <v>37</v>
      </c>
      <c r="AD14" t="s">
        <v>45</v>
      </c>
      <c r="AH14" t="s">
        <v>54</v>
      </c>
      <c r="AI14" cm="1">
        <f t="array" ref="AI14:AM14">(0.1*AI4:AM4)/(100*SQRT(3))</f>
        <v>0.28867513459481287</v>
      </c>
      <c r="AJ14">
        <v>0.28867513459481287</v>
      </c>
      <c r="AK14">
        <v>0.28867513459481287</v>
      </c>
      <c r="AL14">
        <v>2.8867513459481291</v>
      </c>
      <c r="AM14">
        <v>28.867513459481287</v>
      </c>
    </row>
    <row r="15" spans="2:49" x14ac:dyDescent="0.3">
      <c r="H15">
        <v>2.4</v>
      </c>
      <c r="M15">
        <v>6.9282032302755087E-3</v>
      </c>
      <c r="N15">
        <v>1.7320508075688774E-5</v>
      </c>
      <c r="O15">
        <v>1.5065671322265011</v>
      </c>
      <c r="R15" t="s">
        <v>28</v>
      </c>
      <c r="S15">
        <v>0.5</v>
      </c>
      <c r="U15" cm="1">
        <f t="array" ref="U15:U19">U8:U12*0.001</f>
        <v>0.108</v>
      </c>
      <c r="W15">
        <v>1.2</v>
      </c>
      <c r="X15">
        <v>120</v>
      </c>
      <c r="AB15" cm="1">
        <f t="array" ref="AB15:AB19">(S14*W15:W19)/(100*SQRT(3))</f>
        <v>3.4641016151377543E-3</v>
      </c>
      <c r="AC15" cm="1">
        <f t="array" ref="AC15:AC19">(S15*R18:R22*0.001)/(100*SQRT(3))</f>
        <v>3.4641016151377546E-4</v>
      </c>
      <c r="AD15" cm="1">
        <f t="array" ref="AD15:AD19">SQRT(POWER((U15:U19*AB15:AB19)/(POWER(U15:U19-(X8:X12/Z8:Z12),2)),2)+POWER((X8:X12*AC15:AC19)/(POWER(U15:U19-(X8:X12/Z8:Z12),2)),2))</f>
        <v>4.61264928142208E-2</v>
      </c>
      <c r="AH15" t="s">
        <v>55</v>
      </c>
      <c r="AI15">
        <f>0.00004/SQRT(3)</f>
        <v>2.3094010767585035E-5</v>
      </c>
    </row>
    <row r="16" spans="2:49" x14ac:dyDescent="0.3">
      <c r="C16" t="s">
        <v>30</v>
      </c>
      <c r="D16" t="s">
        <v>29</v>
      </c>
      <c r="H16">
        <v>12</v>
      </c>
      <c r="M16">
        <v>3.4641016151377546E-2</v>
      </c>
      <c r="N16">
        <v>3.4641016151377546E-4</v>
      </c>
      <c r="O16">
        <v>0.37822302054373269</v>
      </c>
      <c r="U16">
        <v>0.10300000000000001</v>
      </c>
      <c r="W16">
        <v>24</v>
      </c>
      <c r="AB16">
        <v>6.9282032302755092E-2</v>
      </c>
      <c r="AC16">
        <v>3.4641016151377546E-4</v>
      </c>
      <c r="AD16">
        <v>1.0068942687649265</v>
      </c>
      <c r="AH16" t="s">
        <v>56</v>
      </c>
      <c r="AI16">
        <v>1.7999999999999999E-2</v>
      </c>
      <c r="AJ16">
        <v>1.4999999999999999E-2</v>
      </c>
      <c r="AK16">
        <v>1.7999999999999999E-2</v>
      </c>
      <c r="AL16">
        <v>1.4999999999999999E-2</v>
      </c>
      <c r="AM16">
        <v>1.4999999999999999E-2</v>
      </c>
    </row>
    <row r="17" spans="2:39" x14ac:dyDescent="0.3">
      <c r="C17">
        <v>120</v>
      </c>
      <c r="D17">
        <v>120</v>
      </c>
      <c r="H17">
        <v>12</v>
      </c>
      <c r="M17">
        <v>3.4641016151377546E-2</v>
      </c>
      <c r="N17">
        <v>6.9282032302755086E-6</v>
      </c>
      <c r="O17">
        <v>22.059446134147702</v>
      </c>
      <c r="R17" t="s">
        <v>30</v>
      </c>
      <c r="S17" t="s">
        <v>29</v>
      </c>
      <c r="U17">
        <v>0.115</v>
      </c>
      <c r="W17">
        <v>12</v>
      </c>
      <c r="AB17">
        <v>3.4641016151377546E-2</v>
      </c>
      <c r="AC17">
        <v>3.4641016151377546E-4</v>
      </c>
      <c r="AD17">
        <v>0.36059576667761506</v>
      </c>
      <c r="AH17" t="s">
        <v>57</v>
      </c>
      <c r="AI17">
        <v>8.0000000000000002E-3</v>
      </c>
      <c r="AJ17">
        <v>5.0000000000000001E-3</v>
      </c>
      <c r="AK17">
        <v>8.0000000000000002E-3</v>
      </c>
      <c r="AL17">
        <v>5.0000000000000001E-3</v>
      </c>
      <c r="AM17">
        <v>5.0000000000000001E-3</v>
      </c>
    </row>
    <row r="18" spans="2:39" x14ac:dyDescent="0.3">
      <c r="C18">
        <v>6</v>
      </c>
      <c r="H18">
        <v>12</v>
      </c>
      <c r="M18">
        <v>3.4641016151377546E-2</v>
      </c>
      <c r="N18">
        <v>1.7320508075688771E-6</v>
      </c>
      <c r="O18">
        <v>161.72192787511409</v>
      </c>
      <c r="R18">
        <v>120</v>
      </c>
      <c r="S18">
        <v>120</v>
      </c>
      <c r="U18">
        <v>5.45E-3</v>
      </c>
      <c r="W18">
        <v>24</v>
      </c>
      <c r="AB18">
        <v>6.9282032302755092E-2</v>
      </c>
      <c r="AC18">
        <v>1.7320508075688774E-5</v>
      </c>
      <c r="AD18">
        <v>25.048576746702711</v>
      </c>
      <c r="AH18" t="s">
        <v>36</v>
      </c>
      <c r="AI18" cm="1">
        <f t="array" ref="AI18:AM18">(ABS(AI16:AM16*AI6:AM6)+ABS(AI17:AM17*AI5:AM5))/(100*SQRT(3))</f>
        <v>1.5109002510574064E-5</v>
      </c>
      <c r="AJ18">
        <v>4.7836067878571849E-4</v>
      </c>
      <c r="AK18">
        <v>1.4927241098827785E-5</v>
      </c>
      <c r="AL18">
        <v>6.9284919054101043E-4</v>
      </c>
      <c r="AM18">
        <v>5.5118475498995188E-4</v>
      </c>
    </row>
    <row r="19" spans="2:39" x14ac:dyDescent="0.3">
      <c r="C19">
        <v>120</v>
      </c>
      <c r="R19">
        <v>120</v>
      </c>
      <c r="U19">
        <v>1.3800000000000002E-3</v>
      </c>
      <c r="W19">
        <v>12</v>
      </c>
      <c r="AB19">
        <v>3.4641016151377546E-2</v>
      </c>
      <c r="AC19">
        <v>6.9282032302755086E-6</v>
      </c>
      <c r="AD19">
        <v>573.73158267427948</v>
      </c>
      <c r="AH19" t="s">
        <v>44</v>
      </c>
      <c r="AI19" cm="1">
        <f t="array" ref="AI19:AM19">POWER(((-AI4:AM4)/AH12)*AI18:AM18,2)</f>
        <v>2.2828195686453335E-6</v>
      </c>
      <c r="AJ19">
        <v>2.2882893900833335E-3</v>
      </c>
      <c r="AK19">
        <v>2.2282252682253331E-6</v>
      </c>
      <c r="AL19">
        <v>0.48004000083333342</v>
      </c>
      <c r="AM19">
        <v>30.380463413333334</v>
      </c>
    </row>
    <row r="20" spans="2:39" x14ac:dyDescent="0.3">
      <c r="C20">
        <v>2.4</v>
      </c>
      <c r="R20">
        <v>120</v>
      </c>
      <c r="AH20" t="s">
        <v>58</v>
      </c>
      <c r="AI20" cm="1">
        <f t="array" ref="AI20:AM20">POWER(((-AI4:AM4*AI6:AM6)/POWER(AH12,2))*AI13,2)</f>
        <v>8.4910728033333342E-6</v>
      </c>
      <c r="AJ20">
        <v>3.9978450750000009E-3</v>
      </c>
      <c r="AK20">
        <v>8.1993760408333349E-6</v>
      </c>
      <c r="AL20">
        <v>1.8150740833333336</v>
      </c>
      <c r="AM20">
        <v>76.568111999999985</v>
      </c>
    </row>
    <row r="21" spans="2:39" x14ac:dyDescent="0.3">
      <c r="C21">
        <v>0.6</v>
      </c>
      <c r="R21">
        <v>6</v>
      </c>
      <c r="AH21" t="s">
        <v>59</v>
      </c>
      <c r="AI21" cm="1">
        <f t="array" ref="AI21:AM21">POWER((-AI6:AM6/AH12)*AI14:AM14,2)</f>
        <v>3.3964291213333337E-5</v>
      </c>
      <c r="AJ21">
        <v>1.5991380299999997E-2</v>
      </c>
      <c r="AK21">
        <v>3.2797504163333326E-5</v>
      </c>
      <c r="AL21">
        <v>7.2602963333333346</v>
      </c>
      <c r="AM21">
        <v>306.27244799999994</v>
      </c>
    </row>
    <row r="22" spans="2:39" x14ac:dyDescent="0.3">
      <c r="R22">
        <v>2.4</v>
      </c>
      <c r="AH22" t="s">
        <v>60</v>
      </c>
      <c r="AI22" cm="1">
        <f t="array" ref="AI22:AM22">POWER(((AI4:AM4*(AH12-AI6:AM6))/POWER(AH12,2))*AI15,2)</f>
        <v>5.5508499813043214E-6</v>
      </c>
      <c r="AJ22">
        <v>1.1029421672533339E-5</v>
      </c>
      <c r="AK22">
        <v>5.5470441069331213E-6</v>
      </c>
      <c r="AL22">
        <v>1.9936189653333345E-3</v>
      </c>
      <c r="AM22">
        <v>0.13760037000533337</v>
      </c>
    </row>
    <row r="23" spans="2:39" x14ac:dyDescent="0.3">
      <c r="AH23" t="s">
        <v>62</v>
      </c>
      <c r="AI23" cm="1">
        <f t="array" ref="AI23:AM23">SQRT(AI19:AM19+AI20:AM20+AI21:AM21+AI22:AM22)</f>
        <v>7.0914761204291113E-3</v>
      </c>
      <c r="AJ23">
        <v>0.14929348340351586</v>
      </c>
      <c r="AK23">
        <v>6.983706006077655E-3</v>
      </c>
      <c r="AL23">
        <v>3.0915051409411136</v>
      </c>
      <c r="AM23">
        <v>20.33122287968283</v>
      </c>
    </row>
    <row r="25" spans="2:39" ht="15" thickBot="1" x14ac:dyDescent="0.35"/>
    <row r="26" spans="2:39" ht="17.399999999999999" thickTop="1" thickBot="1" x14ac:dyDescent="0.35">
      <c r="B26" s="83"/>
      <c r="C26" s="62" t="s">
        <v>51</v>
      </c>
      <c r="D26" s="63" t="s">
        <v>67</v>
      </c>
      <c r="E26" s="62" t="s">
        <v>52</v>
      </c>
      <c r="F26" s="63" t="s">
        <v>68</v>
      </c>
      <c r="G26" s="25" t="s">
        <v>10</v>
      </c>
      <c r="H26" s="26" t="s">
        <v>69</v>
      </c>
      <c r="I26" s="25" t="s">
        <v>11</v>
      </c>
      <c r="J26" s="26" t="s">
        <v>70</v>
      </c>
      <c r="K26" s="62" t="s">
        <v>12</v>
      </c>
      <c r="L26" s="64" t="s">
        <v>71</v>
      </c>
    </row>
    <row r="27" spans="2:39" ht="16.2" thickBot="1" x14ac:dyDescent="0.35">
      <c r="B27" s="74"/>
      <c r="C27" s="27" t="s">
        <v>6</v>
      </c>
      <c r="D27" s="28" t="s">
        <v>7</v>
      </c>
      <c r="E27" s="27" t="s">
        <v>6</v>
      </c>
      <c r="F27" s="28" t="s">
        <v>7</v>
      </c>
      <c r="G27" s="27" t="s">
        <v>6</v>
      </c>
      <c r="H27" s="28" t="s">
        <v>7</v>
      </c>
      <c r="I27" s="27" t="s">
        <v>6</v>
      </c>
      <c r="J27" s="28" t="s">
        <v>7</v>
      </c>
      <c r="K27" s="27" t="s">
        <v>6</v>
      </c>
      <c r="L27" s="3" t="s">
        <v>7</v>
      </c>
    </row>
    <row r="28" spans="2:39" ht="16.8" thickTop="1" thickBot="1" x14ac:dyDescent="0.35">
      <c r="B28" s="29" t="s">
        <v>17</v>
      </c>
      <c r="C28" s="65">
        <f>N7</f>
        <v>9.6614678899082573</v>
      </c>
      <c r="D28" s="57">
        <f>O7</f>
        <v>1.5971583109496468</v>
      </c>
      <c r="E28" s="58">
        <f>N8</f>
        <v>198.2702702702702</v>
      </c>
      <c r="F28" s="57">
        <f>O8</f>
        <v>1.5197105750376381</v>
      </c>
      <c r="G28" s="58">
        <f>N9</f>
        <v>64.368468468468478</v>
      </c>
      <c r="H28" s="57">
        <f>O9</f>
        <v>1.1751810460707448</v>
      </c>
      <c r="I28" s="58">
        <f>N10</f>
        <v>4566.2222222222226</v>
      </c>
      <c r="J28" s="57">
        <f>O10</f>
        <v>0.96620116413923163</v>
      </c>
      <c r="K28" s="66">
        <f>N11</f>
        <v>29620.129870129869</v>
      </c>
      <c r="L28" s="37">
        <f>O11</f>
        <v>1.0919731181746166</v>
      </c>
    </row>
    <row r="29" spans="2:39" ht="16.2" thickBot="1" x14ac:dyDescent="0.35">
      <c r="B29" s="29" t="s">
        <v>18</v>
      </c>
      <c r="C29" s="58">
        <f>AC8</f>
        <v>10.08403361344538</v>
      </c>
      <c r="D29" s="57">
        <f>AD8</f>
        <v>0.91484210748204575</v>
      </c>
      <c r="E29" s="56">
        <f>AC9</f>
        <v>217.48714180749448</v>
      </c>
      <c r="F29" s="57">
        <f>AD9</f>
        <v>0.92593452688450339</v>
      </c>
      <c r="G29" s="58">
        <f>AC10</f>
        <v>63.815837400743064</v>
      </c>
      <c r="H29" s="57">
        <f>AD10</f>
        <v>1.1301137189916943</v>
      </c>
      <c r="I29" s="67">
        <f>AC11</f>
        <v>4590.1639344262294</v>
      </c>
      <c r="J29" s="57">
        <f>AD11</f>
        <v>1.0914022725349037</v>
      </c>
      <c r="K29" s="66">
        <f>AC12</f>
        <v>28888.888888888887</v>
      </c>
      <c r="L29" s="37">
        <f>AD12</f>
        <v>3.971987880052704</v>
      </c>
    </row>
    <row r="30" spans="2:39" ht="16.2" thickBot="1" x14ac:dyDescent="0.35">
      <c r="B30" s="29" t="s">
        <v>72</v>
      </c>
      <c r="C30" s="56">
        <f>AI7</f>
        <v>10.094200000000001</v>
      </c>
      <c r="D30" s="57">
        <f>AI8</f>
        <v>0.14050595630023399</v>
      </c>
      <c r="E30" s="22">
        <f>AJ7</f>
        <v>219.03</v>
      </c>
      <c r="F30" s="57">
        <f>AJ8</f>
        <v>0.13632240643155355</v>
      </c>
      <c r="G30" s="58">
        <f>AK7</f>
        <v>9.9192999999999998</v>
      </c>
      <c r="H30" s="57">
        <f>AK8</f>
        <v>0.14081046053809554</v>
      </c>
      <c r="I30" s="22">
        <f>AL7</f>
        <v>4667</v>
      </c>
      <c r="J30" s="57">
        <f>AL8</f>
        <v>0.1324836143535939</v>
      </c>
      <c r="K30" s="22">
        <f>AM7</f>
        <v>30312</v>
      </c>
      <c r="L30" s="37">
        <f>AM8</f>
        <v>0.13414636368225674</v>
      </c>
    </row>
    <row r="31" spans="2:39" ht="16.2" thickBot="1" x14ac:dyDescent="0.35">
      <c r="B31" s="30" t="s">
        <v>19</v>
      </c>
      <c r="C31" s="31">
        <f>AR5</f>
        <v>9.1</v>
      </c>
      <c r="D31" s="69">
        <f>AR6</f>
        <v>0.11547005383792516</v>
      </c>
      <c r="E31" s="31">
        <f>AS5</f>
        <v>218</v>
      </c>
      <c r="F31" s="69">
        <f>AR6</f>
        <v>0.11547005383792516</v>
      </c>
      <c r="G31" s="31">
        <f>AT5</f>
        <v>57.2</v>
      </c>
      <c r="H31" s="69">
        <f>AR6</f>
        <v>0.11547005383792516</v>
      </c>
      <c r="I31" s="31">
        <f>AU5</f>
        <v>4680</v>
      </c>
      <c r="J31" s="69">
        <f>AR6</f>
        <v>0.11547005383792516</v>
      </c>
      <c r="K31" s="31">
        <f>AV5</f>
        <v>30400</v>
      </c>
      <c r="L31" s="68">
        <f>AR6</f>
        <v>0.11547005383792516</v>
      </c>
    </row>
    <row r="32" spans="2:39" ht="15" thickTop="1" x14ac:dyDescent="0.3"/>
  </sheetData>
  <mergeCells count="18">
    <mergeCell ref="AR6:AV6"/>
    <mergeCell ref="B26:B27"/>
    <mergeCell ref="AG3:AH3"/>
    <mergeCell ref="AG5:AG6"/>
    <mergeCell ref="AG9:AH10"/>
    <mergeCell ref="AI9:AM10"/>
    <mergeCell ref="R3:AD3"/>
    <mergeCell ref="R4:AD4"/>
    <mergeCell ref="R5:AD5"/>
    <mergeCell ref="R6:R7"/>
    <mergeCell ref="S6:U6"/>
    <mergeCell ref="V6:X6"/>
    <mergeCell ref="C3:O3"/>
    <mergeCell ref="C4:O4"/>
    <mergeCell ref="C5:C6"/>
    <mergeCell ref="D5:F5"/>
    <mergeCell ref="G5:I5"/>
    <mergeCell ref="AP3:A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2024-10-23T07:55:11Z</dcterms:created>
  <dcterms:modified xsi:type="dcterms:W3CDTF">2024-10-29T20:54:53Z</dcterms:modified>
</cp:coreProperties>
</file>