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0" yWindow="2400" windowWidth="21600" windowHeight="96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H68" i="1"/>
  <c r="E66" i="1"/>
  <c r="I52" i="1"/>
  <c r="I50" i="1"/>
  <c r="E53" i="1"/>
  <c r="F103" i="1"/>
  <c r="G101" i="1"/>
  <c r="H101" i="1"/>
  <c r="I103" i="1"/>
  <c r="E70" i="1"/>
  <c r="E69" i="1"/>
  <c r="E68" i="1"/>
  <c r="D68" i="1"/>
  <c r="H67" i="1"/>
  <c r="H113" i="1"/>
  <c r="E124" i="1"/>
  <c r="F119" i="1" s="1"/>
  <c r="I101" i="1"/>
  <c r="D131" i="1"/>
  <c r="E130" i="1"/>
  <c r="E131" i="1" s="1"/>
  <c r="F129" i="1"/>
  <c r="G128" i="1"/>
  <c r="F128" i="1"/>
  <c r="H128" i="1" s="1"/>
  <c r="H130" i="1" s="1"/>
  <c r="E117" i="1"/>
  <c r="C123" i="1"/>
  <c r="D123" i="1"/>
  <c r="E119" i="1"/>
  <c r="F118" i="1" l="1"/>
  <c r="F120" i="1"/>
  <c r="F117" i="1"/>
  <c r="E118" i="1"/>
  <c r="E120" i="1"/>
  <c r="E123" i="1"/>
  <c r="G65" i="1"/>
  <c r="F68" i="1"/>
  <c r="I111" i="1"/>
  <c r="F123" i="1" l="1"/>
  <c r="C111" i="1"/>
  <c r="E112" i="1" l="1"/>
  <c r="D112" i="1"/>
  <c r="G111" i="1" l="1"/>
  <c r="E104" i="1" l="1"/>
  <c r="F104" i="1"/>
  <c r="G102" i="1"/>
  <c r="G50" i="1" l="1"/>
  <c r="G95" i="1"/>
  <c r="G94" i="1"/>
  <c r="G93" i="1"/>
  <c r="G92" i="1"/>
  <c r="G91" i="1"/>
  <c r="D54" i="1"/>
  <c r="G90" i="1"/>
  <c r="E22" i="1"/>
  <c r="E25" i="1"/>
  <c r="G96" i="1" l="1"/>
  <c r="H96" i="1" s="1"/>
  <c r="D66" i="1"/>
  <c r="E54" i="1"/>
  <c r="G51" i="1"/>
  <c r="E26" i="1"/>
  <c r="E24" i="1"/>
  <c r="E23" i="1"/>
  <c r="E27" i="1" l="1"/>
  <c r="E28" i="1" s="1"/>
  <c r="E30" i="1" s="1"/>
</calcChain>
</file>

<file path=xl/sharedStrings.xml><?xml version="1.0" encoding="utf-8"?>
<sst xmlns="http://schemas.openxmlformats.org/spreadsheetml/2006/main" count="143" uniqueCount="114">
  <si>
    <t>flete integral</t>
  </si>
  <si>
    <t xml:space="preserve">all in todo incluido </t>
  </si>
  <si>
    <t>SPRBUN</t>
  </si>
  <si>
    <t>ANCONA</t>
  </si>
  <si>
    <t>20´</t>
  </si>
  <si>
    <t>40´</t>
  </si>
  <si>
    <t xml:space="preserve">FLETE DESAGREGADO </t>
  </si>
  <si>
    <t xml:space="preserve">TARIFA BASICA </t>
  </si>
  <si>
    <t xml:space="preserve">VALOR ABSOLUTO </t>
  </si>
  <si>
    <t xml:space="preserve">VALORES ADICIONALES QUE COBRA EL TRANSPORTISTA Y SE DEBEN SUMAR A LA TARIFA BASICA </t>
  </si>
  <si>
    <t xml:space="preserve">RECARGOS </t>
  </si>
  <si>
    <t>DESCUENTOS</t>
  </si>
  <si>
    <t xml:space="preserve">VALORES PROMOCIONALES QUE TE OFRECEN LAS NAVIERAS PARA REDUCIR EL FLETE </t>
  </si>
  <si>
    <t>YAN SAN</t>
  </si>
  <si>
    <t>MARFRET</t>
  </si>
  <si>
    <t>4 CONT DE 40´REF</t>
  </si>
  <si>
    <t xml:space="preserve">X CONTENEDOR </t>
  </si>
  <si>
    <t xml:space="preserve">RECARGOS: </t>
  </si>
  <si>
    <t>BAF</t>
  </si>
  <si>
    <t>POC</t>
  </si>
  <si>
    <t>COM</t>
  </si>
  <si>
    <t>HAN</t>
  </si>
  <si>
    <t>IMO</t>
  </si>
  <si>
    <t>POR COMBUSTIBLE</t>
  </si>
  <si>
    <t xml:space="preserve">ENTRE MAS LEJOS EL PUERTO DE DESTINO ES MAS CARO </t>
  </si>
  <si>
    <t xml:space="preserve">CONJESTIÓN PORTUARIA </t>
  </si>
  <si>
    <t>CUANDO LA LINEA DE ATRAQUE SE LLENA Y NO PUEDEN INGRESAR Y DEBEN ESTACIONAR EL BUQUE POR FUERA DEL PUERTO</t>
  </si>
  <si>
    <t>CORRECCION MONETARIA</t>
  </si>
  <si>
    <t xml:space="preserve">TE LO COBRA LA LINEA NAVIERA POR LA FLUCTUACIÓN DE DIVISAS OSEA EL AUMENTO O DISMINUCION </t>
  </si>
  <si>
    <t>MANIPULACION</t>
  </si>
  <si>
    <t xml:space="preserve">LO COBRA LA NAVIERA CUANDO LA MERCANCIA TIENE UNA MANIPULACION ESPECIAL DEVIDO A LA NATURALEZA DE LA MERCANCIA </t>
  </si>
  <si>
    <t>CARACTERIZA MERCANCIA PELIGROSA</t>
  </si>
  <si>
    <t xml:space="preserve">LA MERCANCIA QUE VA A TRANSPORTAR HACE PARTE DEL LIBRO NARANJA OSEA MERCANCIA PELIGROSA </t>
  </si>
  <si>
    <t xml:space="preserve">TOTAL </t>
  </si>
  <si>
    <t>TOTAL + RECAR</t>
  </si>
  <si>
    <t>TARIFA BASICA+RECARGOS-DESCUENTOS</t>
  </si>
  <si>
    <t xml:space="preserve">DESCUENTO </t>
  </si>
  <si>
    <t>DESCUENTO 6%</t>
  </si>
  <si>
    <t xml:space="preserve">CGN/NY </t>
  </si>
  <si>
    <t>DESPUES DEL SEGUNDO ENVIO DESCUENTA 15%</t>
  </si>
  <si>
    <t>4350 X CONTENEDOR DE 20´</t>
  </si>
  <si>
    <t>averigua como restar el %</t>
  </si>
  <si>
    <t xml:space="preserve">del taller </t>
  </si>
  <si>
    <t>DOC FEE</t>
  </si>
  <si>
    <t>SE USAN EN VALOR ABSOLUTO Y SE SUMAN AL ULTIMO VALOIR</t>
  </si>
  <si>
    <t>SEGP</t>
  </si>
  <si>
    <t>te entrega 2 doc en transporte 1 en origen y otro en destino si necesitas documentos originales BL te cobran los originales</t>
  </si>
  <si>
    <t xml:space="preserve">si el usuario lleva su carga a la aerolinea, es l aerolinia quien determina el flete, pero su el usuario contrata un agente de carga es el agente quien determina el flte </t>
  </si>
  <si>
    <t xml:space="preserve">el flete se puede determinar por el peso bruto del embarque o por su volumen </t>
  </si>
  <si>
    <t>cuando se calcula por medio del peso, el valor debe ser redondeado al valor superior</t>
  </si>
  <si>
    <t>si se calcula por volumen el factor utilizado es 6000 cm cubicos por kilo, si la carga sobrepasa el valor se debe calcular según el volumen (alto*ancho*largo) de embarque en cm y se divide en 6000 cm3</t>
  </si>
  <si>
    <t xml:space="preserve">peso bruto vs peso volumen </t>
  </si>
  <si>
    <t xml:space="preserve">supongamos que el embarque pesa 30.7kg y se debe calcular el peso volumen : 60cm*45cm*112cm/6000cm3 da como resultado 50.4kg este valor se debe redondear dando como resultado 50.5kg el peso volumen es mayor que el peso bruto y se tendra en cuenta al calcuar el flete </t>
  </si>
  <si>
    <t xml:space="preserve">el ejercicio aereo se tiene que hacer por caja con la relacion peso volumen </t>
  </si>
  <si>
    <t>prima basica de seguro</t>
  </si>
  <si>
    <t xml:space="preserve">es el valos que te da una aseguradora por cobijar la mercancia </t>
  </si>
  <si>
    <t>es el cobro de la aseguradora por emitir el seguro</t>
  </si>
  <si>
    <t>derecho emision</t>
  </si>
  <si>
    <t>iva</t>
  </si>
  <si>
    <t xml:space="preserve">pago por la negociación </t>
  </si>
  <si>
    <t xml:space="preserve">% deducible </t>
  </si>
  <si>
    <t>tomador</t>
  </si>
  <si>
    <t>solicita la polisa y paga costos</t>
  </si>
  <si>
    <t>veneficiario</t>
  </si>
  <si>
    <t xml:space="preserve">quien recibe el dinero </t>
  </si>
  <si>
    <t>aseguradora</t>
  </si>
  <si>
    <t xml:space="preserve">emite la polisa </t>
  </si>
  <si>
    <t>COVERTURA</t>
  </si>
  <si>
    <t xml:space="preserve">que cubre el seguro </t>
  </si>
  <si>
    <t>es negociable</t>
  </si>
  <si>
    <t>exclusiones</t>
  </si>
  <si>
    <t>hechos que no cubre la polisa</t>
  </si>
  <si>
    <t>deducible 20%</t>
  </si>
  <si>
    <t>deducible</t>
  </si>
  <si>
    <t xml:space="preserve">valor que paga el tomador </t>
  </si>
  <si>
    <t>suma asegurada</t>
  </si>
  <si>
    <t xml:space="preserve">valor que paga el seguro por la merc perrdida </t>
  </si>
  <si>
    <t xml:space="preserve">por lo general es igual al valor comercial de la mercqancia </t>
  </si>
  <si>
    <t>cualquier modo de transporte exige un seguro</t>
  </si>
  <si>
    <t>la suma asegurada es igual al CFR</t>
  </si>
  <si>
    <t xml:space="preserve">esto recupera tambien el valor del flete </t>
  </si>
  <si>
    <t xml:space="preserve">tambien se puede negociar para agregar el porcentaje de deducible </t>
  </si>
  <si>
    <t xml:space="preserve">CFR/%DE COVERTURA DE LA ASEGURADORA como decimal </t>
  </si>
  <si>
    <t xml:space="preserve">flete </t>
  </si>
  <si>
    <t>CFR</t>
  </si>
  <si>
    <t>VALOR USD</t>
  </si>
  <si>
    <t xml:space="preserve">SUMA ASEGURADA </t>
  </si>
  <si>
    <t>DEDUCIBLE</t>
  </si>
  <si>
    <t>CONVERSIÓN A USD</t>
  </si>
  <si>
    <t>MARITIMO</t>
  </si>
  <si>
    <t>AEREO</t>
  </si>
  <si>
    <t>CPT</t>
  </si>
  <si>
    <t>SA</t>
  </si>
  <si>
    <t xml:space="preserve">PRIMA BASICA </t>
  </si>
  <si>
    <t>DERECHO DE EMISION</t>
  </si>
  <si>
    <t>IVA</t>
  </si>
  <si>
    <t>BASE GRABABLE</t>
  </si>
  <si>
    <t>PB+DE</t>
  </si>
  <si>
    <t>VALOR DE LA POLISA</t>
  </si>
  <si>
    <t>TODOS LOS COSTOS EN ORIGEN + FLETE PARA CFR</t>
  </si>
  <si>
    <t>COSTOS DE ORIGEN+FLETE+SEGURO CIF</t>
  </si>
  <si>
    <t>COP</t>
  </si>
  <si>
    <t>DOC</t>
  </si>
  <si>
    <t>TOTAL</t>
  </si>
  <si>
    <t>TOTAL DE LOS CONTENE</t>
  </si>
  <si>
    <t>FOB</t>
  </si>
  <si>
    <t xml:space="preserve">VALOR SERVICIO </t>
  </si>
  <si>
    <t xml:space="preserve">FLETE AEREO </t>
  </si>
  <si>
    <t>MEDIDAS</t>
  </si>
  <si>
    <t>RECARGOS</t>
  </si>
  <si>
    <t xml:space="preserve">PESO VOLUMEN </t>
  </si>
  <si>
    <t xml:space="preserve">FLETE </t>
  </si>
  <si>
    <t>PESO BRUTO</t>
  </si>
  <si>
    <t>TOTAL FLETE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</si>
</sst>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.0_-;\-&quot;$&quot;* #,##0.0_-;_-&quot;$&quot;* &quot;-&quot;?_-;_-@_-"/>
    <numFmt numFmtId="165" formatCode="_-&quot;$&quot;* #,##0.000_-;\-&quot;$&quot;* #,##0.000_-;_-&quot;$&quot;* &quot;-&quot;???_-;_-@_-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44" fontId="0" fillId="0" borderId="0" xfId="0" applyNumberFormat="1"/>
    <xf numFmtId="42" fontId="0" fillId="0" borderId="0" xfId="0" applyNumberFormat="1"/>
    <xf numFmtId="44" fontId="0" fillId="3" borderId="0" xfId="0" applyNumberFormat="1" applyFill="1"/>
    <xf numFmtId="0" fontId="0" fillId="0" borderId="1" xfId="0" applyBorder="1"/>
    <xf numFmtId="44" fontId="0" fillId="0" borderId="1" xfId="0" applyNumberFormat="1" applyBorder="1"/>
    <xf numFmtId="10" fontId="0" fillId="0" borderId="1" xfId="0" applyNumberFormat="1" applyBorder="1"/>
    <xf numFmtId="44" fontId="0" fillId="0" borderId="5" xfId="0" applyNumberFormat="1" applyBorder="1"/>
    <xf numFmtId="9" fontId="0" fillId="0" borderId="0" xfId="0" applyNumberFormat="1"/>
    <xf numFmtId="0" fontId="0" fillId="3" borderId="0" xfId="0" applyFill="1"/>
    <xf numFmtId="0" fontId="0" fillId="4" borderId="1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9" fontId="0" fillId="2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2" fontId="0" fillId="0" borderId="0" xfId="1" applyNumberFormat="1" applyFont="1"/>
    <xf numFmtId="42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2" fontId="0" fillId="6" borderId="1" xfId="0" applyNumberFormat="1" applyFill="1" applyBorder="1"/>
    <xf numFmtId="0" fontId="0" fillId="0" borderId="4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31"/>
  <sheetViews>
    <sheetView tabSelected="1" topLeftCell="B61" zoomScale="91" zoomScaleNormal="91" workbookViewId="0">
      <selection activeCell="I68" sqref="I68"/>
    </sheetView>
  </sheetViews>
  <sheetFormatPr baseColWidth="10" defaultRowHeight="15" x14ac:dyDescent="0.25"/>
  <cols>
    <col min="1" max="1" width="110.140625" customWidth="1"/>
    <col min="3" max="3" width="14.28515625" customWidth="1"/>
    <col min="4" max="4" width="20.85546875" customWidth="1"/>
    <col min="5" max="5" width="20.5703125" customWidth="1"/>
    <col min="6" max="6" width="18.7109375" customWidth="1"/>
    <col min="7" max="7" width="19.42578125" customWidth="1"/>
    <col min="8" max="8" width="30.140625" customWidth="1"/>
    <col min="9" max="9" width="34.7109375" customWidth="1"/>
    <col min="12" max="12" width="18.85546875" customWidth="1"/>
  </cols>
  <sheetData>
    <row r="4" spans="3:6" x14ac:dyDescent="0.25">
      <c r="C4" s="1" t="s">
        <v>0</v>
      </c>
      <c r="E4" s="1" t="s">
        <v>1</v>
      </c>
    </row>
    <row r="6" spans="3:6" x14ac:dyDescent="0.25">
      <c r="D6" t="s">
        <v>2</v>
      </c>
      <c r="E6" s="2">
        <v>6570</v>
      </c>
      <c r="F6" t="s">
        <v>4</v>
      </c>
    </row>
    <row r="7" spans="3:6" x14ac:dyDescent="0.25">
      <c r="D7" t="s">
        <v>3</v>
      </c>
      <c r="E7" s="2">
        <v>8050</v>
      </c>
      <c r="F7" t="s">
        <v>5</v>
      </c>
    </row>
    <row r="13" spans="3:6" x14ac:dyDescent="0.25">
      <c r="C13" s="1" t="s">
        <v>6</v>
      </c>
      <c r="E13" t="s">
        <v>35</v>
      </c>
    </row>
    <row r="15" spans="3:6" x14ac:dyDescent="0.25">
      <c r="C15" t="s">
        <v>7</v>
      </c>
      <c r="D15" t="s">
        <v>8</v>
      </c>
    </row>
    <row r="16" spans="3:6" x14ac:dyDescent="0.25">
      <c r="C16" t="s">
        <v>10</v>
      </c>
      <c r="D16" t="s">
        <v>9</v>
      </c>
    </row>
    <row r="17" spans="3:19" x14ac:dyDescent="0.25">
      <c r="C17" t="s">
        <v>11</v>
      </c>
      <c r="D17" t="s">
        <v>12</v>
      </c>
    </row>
    <row r="20" spans="3:19" x14ac:dyDescent="0.25">
      <c r="C20" t="s">
        <v>15</v>
      </c>
      <c r="D20" t="s">
        <v>2</v>
      </c>
      <c r="F20" t="s">
        <v>14</v>
      </c>
      <c r="G20" s="4">
        <v>7300</v>
      </c>
      <c r="H20" t="s">
        <v>16</v>
      </c>
      <c r="J20" s="10" t="s">
        <v>36</v>
      </c>
      <c r="K20" s="9">
        <v>0.06</v>
      </c>
    </row>
    <row r="21" spans="3:19" x14ac:dyDescent="0.25">
      <c r="D21" t="s">
        <v>13</v>
      </c>
      <c r="E21" s="34" t="s">
        <v>17</v>
      </c>
      <c r="F21" s="36"/>
      <c r="G21" s="35"/>
    </row>
    <row r="22" spans="3:19" x14ac:dyDescent="0.25">
      <c r="E22" s="6">
        <f>G20*F22</f>
        <v>43.800000000000004</v>
      </c>
      <c r="F22" s="7">
        <v>6.0000000000000001E-3</v>
      </c>
      <c r="G22" s="5" t="s">
        <v>18</v>
      </c>
      <c r="I22" t="s">
        <v>23</v>
      </c>
      <c r="J22" t="s">
        <v>24</v>
      </c>
    </row>
    <row r="23" spans="3:19" x14ac:dyDescent="0.25">
      <c r="E23" s="6">
        <f>G20*F23</f>
        <v>51.1</v>
      </c>
      <c r="F23" s="7">
        <v>7.0000000000000001E-3</v>
      </c>
      <c r="G23" s="5" t="s">
        <v>19</v>
      </c>
      <c r="I23" t="s">
        <v>25</v>
      </c>
      <c r="J23" t="s">
        <v>26</v>
      </c>
    </row>
    <row r="24" spans="3:19" x14ac:dyDescent="0.25">
      <c r="E24" s="6">
        <f>G20*F24</f>
        <v>29.2</v>
      </c>
      <c r="F24" s="7">
        <v>4.0000000000000001E-3</v>
      </c>
      <c r="G24" s="5" t="s">
        <v>20</v>
      </c>
      <c r="I24" t="s">
        <v>27</v>
      </c>
      <c r="J24" t="s">
        <v>28</v>
      </c>
    </row>
    <row r="25" spans="3:19" x14ac:dyDescent="0.25">
      <c r="E25" s="6">
        <f>G20*F25</f>
        <v>21.900000000000002</v>
      </c>
      <c r="F25" s="7">
        <v>3.0000000000000001E-3</v>
      </c>
      <c r="G25" s="5" t="s">
        <v>21</v>
      </c>
      <c r="I25" t="s">
        <v>29</v>
      </c>
      <c r="J25" t="s">
        <v>30</v>
      </c>
    </row>
    <row r="26" spans="3:19" x14ac:dyDescent="0.25">
      <c r="E26" s="8">
        <f>G20*F26</f>
        <v>58.4</v>
      </c>
      <c r="F26" s="7">
        <v>8.0000000000000002E-3</v>
      </c>
      <c r="G26" s="5" t="s">
        <v>22</v>
      </c>
      <c r="I26" t="s">
        <v>31</v>
      </c>
      <c r="J26" t="s">
        <v>32</v>
      </c>
    </row>
    <row r="27" spans="3:19" x14ac:dyDescent="0.25">
      <c r="E27" s="6">
        <f>SUM(E22:E26)</f>
        <v>204.4</v>
      </c>
      <c r="F27" s="37" t="s">
        <v>33</v>
      </c>
      <c r="G27" s="37"/>
    </row>
    <row r="28" spans="3:19" x14ac:dyDescent="0.25">
      <c r="E28" s="6">
        <f>E27+G20</f>
        <v>7504.4</v>
      </c>
      <c r="F28" s="37" t="s">
        <v>34</v>
      </c>
      <c r="G28" s="37"/>
    </row>
    <row r="29" spans="3:19" x14ac:dyDescent="0.25">
      <c r="E29" s="37" t="s">
        <v>37</v>
      </c>
      <c r="F29" s="37"/>
      <c r="G29" s="37"/>
    </row>
    <row r="30" spans="3:19" x14ac:dyDescent="0.25">
      <c r="E30" s="38">
        <f>E28-6%</f>
        <v>7504.3399999999992</v>
      </c>
      <c r="F30" s="37"/>
      <c r="G30" s="37"/>
      <c r="H30" t="s">
        <v>41</v>
      </c>
      <c r="J30" t="s">
        <v>43</v>
      </c>
      <c r="K30">
        <v>98</v>
      </c>
      <c r="M30" t="s">
        <v>44</v>
      </c>
      <c r="S30" t="s">
        <v>46</v>
      </c>
    </row>
    <row r="31" spans="3:19" x14ac:dyDescent="0.25">
      <c r="J31" t="s">
        <v>45</v>
      </c>
      <c r="K31">
        <v>105</v>
      </c>
      <c r="M31" t="s">
        <v>44</v>
      </c>
    </row>
    <row r="34" spans="1:17" x14ac:dyDescent="0.25">
      <c r="J34" s="2"/>
    </row>
    <row r="35" spans="1:17" x14ac:dyDescent="0.25">
      <c r="C35" s="5" t="s">
        <v>38</v>
      </c>
      <c r="D35" s="11" t="s">
        <v>39</v>
      </c>
      <c r="E35" s="11"/>
      <c r="F35" s="11"/>
    </row>
    <row r="36" spans="1:17" x14ac:dyDescent="0.25">
      <c r="C36" s="5" t="s">
        <v>40</v>
      </c>
      <c r="D36" s="5"/>
      <c r="E36" s="34" t="s">
        <v>42</v>
      </c>
      <c r="F36" s="35"/>
    </row>
    <row r="39" spans="1:17" ht="30" x14ac:dyDescent="0.25">
      <c r="A39" s="12" t="s">
        <v>47</v>
      </c>
      <c r="C39" t="s">
        <v>53</v>
      </c>
    </row>
    <row r="40" spans="1:17" x14ac:dyDescent="0.25">
      <c r="A40" s="12" t="s">
        <v>48</v>
      </c>
    </row>
    <row r="41" spans="1:17" x14ac:dyDescent="0.25">
      <c r="A41" s="12" t="s">
        <v>49</v>
      </c>
      <c r="C41" t="s">
        <v>54</v>
      </c>
      <c r="D41" t="s">
        <v>55</v>
      </c>
    </row>
    <row r="42" spans="1:17" ht="30" x14ac:dyDescent="0.25">
      <c r="A42" s="12" t="s">
        <v>50</v>
      </c>
      <c r="C42" t="s">
        <v>57</v>
      </c>
      <c r="D42" t="s">
        <v>56</v>
      </c>
    </row>
    <row r="43" spans="1:17" x14ac:dyDescent="0.25">
      <c r="A43" s="13" t="s">
        <v>51</v>
      </c>
      <c r="C43" t="s">
        <v>58</v>
      </c>
      <c r="D43" t="s">
        <v>59</v>
      </c>
    </row>
    <row r="44" spans="1:17" ht="45" x14ac:dyDescent="0.25">
      <c r="A44" s="12" t="s">
        <v>52</v>
      </c>
      <c r="C44" s="14" t="s">
        <v>60</v>
      </c>
      <c r="D44" s="14"/>
    </row>
    <row r="45" spans="1:17" x14ac:dyDescent="0.25">
      <c r="D45" s="1" t="s">
        <v>61</v>
      </c>
      <c r="F45" s="1" t="s">
        <v>63</v>
      </c>
      <c r="H45" s="1" t="s">
        <v>65</v>
      </c>
      <c r="I45" s="1" t="s">
        <v>67</v>
      </c>
      <c r="K45" s="1" t="s">
        <v>70</v>
      </c>
      <c r="N45" s="1" t="s">
        <v>73</v>
      </c>
      <c r="O45" s="15">
        <v>0.2</v>
      </c>
      <c r="Q45" s="1" t="s">
        <v>75</v>
      </c>
    </row>
    <row r="46" spans="1:17" x14ac:dyDescent="0.25">
      <c r="D46" t="s">
        <v>62</v>
      </c>
      <c r="F46" t="s">
        <v>64</v>
      </c>
      <c r="H46" t="s">
        <v>66</v>
      </c>
      <c r="I46" t="s">
        <v>68</v>
      </c>
      <c r="K46" t="s">
        <v>71</v>
      </c>
      <c r="N46" t="s">
        <v>74</v>
      </c>
      <c r="Q46" t="s">
        <v>76</v>
      </c>
    </row>
    <row r="47" spans="1:17" x14ac:dyDescent="0.25">
      <c r="I47" t="s">
        <v>69</v>
      </c>
      <c r="Q47" t="s">
        <v>77</v>
      </c>
    </row>
    <row r="48" spans="1:17" x14ac:dyDescent="0.25">
      <c r="Q48" t="s">
        <v>78</v>
      </c>
    </row>
    <row r="49" spans="3:21" x14ac:dyDescent="0.25">
      <c r="C49" s="19" t="s">
        <v>89</v>
      </c>
      <c r="F49" s="10" t="s">
        <v>85</v>
      </c>
      <c r="G49" s="10" t="s">
        <v>88</v>
      </c>
      <c r="I49" s="17" t="s">
        <v>84</v>
      </c>
      <c r="Q49" t="s">
        <v>79</v>
      </c>
    </row>
    <row r="50" spans="3:21" x14ac:dyDescent="0.25">
      <c r="C50" s="3" t="s">
        <v>105</v>
      </c>
      <c r="D50" s="3">
        <v>200000000</v>
      </c>
      <c r="F50" s="3">
        <v>4045</v>
      </c>
      <c r="G50" s="2">
        <f>D50/F50</f>
        <v>49443.757725587144</v>
      </c>
      <c r="I50" s="2">
        <f>G50+H52</f>
        <v>56843.757725587144</v>
      </c>
      <c r="Q50" t="s">
        <v>80</v>
      </c>
    </row>
    <row r="51" spans="3:21" x14ac:dyDescent="0.25">
      <c r="C51" s="3"/>
      <c r="D51" s="3">
        <v>3200000000</v>
      </c>
      <c r="G51" s="3">
        <f>D51/F50</f>
        <v>791100.1236093943</v>
      </c>
      <c r="H51" s="17" t="s">
        <v>83</v>
      </c>
      <c r="I51" s="16" t="s">
        <v>86</v>
      </c>
      <c r="Q51" t="s">
        <v>81</v>
      </c>
    </row>
    <row r="52" spans="3:21" x14ac:dyDescent="0.25">
      <c r="D52" t="s">
        <v>72</v>
      </c>
      <c r="H52" s="3">
        <v>7400</v>
      </c>
      <c r="I52" s="2">
        <f>I50/I54</f>
        <v>71054.697156983922</v>
      </c>
      <c r="Q52" s="18" t="s">
        <v>82</v>
      </c>
      <c r="R52" s="18"/>
      <c r="S52" s="18"/>
      <c r="T52" s="18"/>
      <c r="U52" s="18"/>
    </row>
    <row r="53" spans="3:21" x14ac:dyDescent="0.25">
      <c r="D53" s="3">
        <v>8000000</v>
      </c>
      <c r="E53" s="3">
        <f>D53*20%</f>
        <v>1600000</v>
      </c>
      <c r="I53" s="17" t="s">
        <v>87</v>
      </c>
    </row>
    <row r="54" spans="3:21" x14ac:dyDescent="0.25">
      <c r="D54" s="3">
        <f>D53/F50</f>
        <v>1977.7503090234859</v>
      </c>
      <c r="E54" s="3">
        <f>E53/F50</f>
        <v>395.55006180469718</v>
      </c>
      <c r="H54" s="9">
        <v>0.8</v>
      </c>
      <c r="I54">
        <v>0.8</v>
      </c>
    </row>
    <row r="57" spans="3:21" x14ac:dyDescent="0.25">
      <c r="C57" s="19" t="s">
        <v>90</v>
      </c>
      <c r="D57" s="3"/>
      <c r="I57" s="17" t="s">
        <v>91</v>
      </c>
    </row>
    <row r="63" spans="3:21" x14ac:dyDescent="0.25">
      <c r="H63" s="21"/>
    </row>
    <row r="64" spans="3:21" x14ac:dyDescent="0.25">
      <c r="C64" s="23" t="s">
        <v>92</v>
      </c>
      <c r="D64" s="23" t="s">
        <v>93</v>
      </c>
      <c r="E64" s="23" t="s">
        <v>94</v>
      </c>
      <c r="F64" s="23" t="s">
        <v>95</v>
      </c>
      <c r="G64" s="23" t="s">
        <v>96</v>
      </c>
      <c r="H64" s="31"/>
      <c r="I64" s="23" t="s">
        <v>98</v>
      </c>
    </row>
    <row r="65" spans="3:9" x14ac:dyDescent="0.25">
      <c r="C65" s="30">
        <v>71053</v>
      </c>
      <c r="D65" s="7">
        <v>4.0000000000000001E-3</v>
      </c>
      <c r="E65" s="29">
        <v>0.05</v>
      </c>
      <c r="F65" s="29">
        <v>0.16</v>
      </c>
      <c r="G65" s="6">
        <f>D66+E66</f>
        <v>298.42259999999999</v>
      </c>
      <c r="H65" s="25">
        <v>31973</v>
      </c>
      <c r="I65" s="5">
        <v>37088</v>
      </c>
    </row>
    <row r="66" spans="3:9" x14ac:dyDescent="0.25">
      <c r="C66" s="5"/>
      <c r="D66" s="31">
        <f>C65*D65</f>
        <v>284.21199999999999</v>
      </c>
      <c r="E66" s="30">
        <f>D66*E65</f>
        <v>14.210599999999999</v>
      </c>
      <c r="F66" s="5">
        <v>0.16</v>
      </c>
      <c r="G66" s="5" t="s">
        <v>97</v>
      </c>
      <c r="H66" s="5">
        <v>5115</v>
      </c>
      <c r="I66" s="5"/>
    </row>
    <row r="67" spans="3:9" x14ac:dyDescent="0.25">
      <c r="H67" s="21">
        <f>D66+E66</f>
        <v>298.42259999999999</v>
      </c>
      <c r="I67" s="3">
        <f>H65+H66</f>
        <v>37088</v>
      </c>
    </row>
    <row r="68" spans="3:9" x14ac:dyDescent="0.25">
      <c r="D68">
        <f>71053*40%</f>
        <v>28421.200000000001</v>
      </c>
      <c r="E68">
        <f>71053*5%</f>
        <v>3552.65</v>
      </c>
      <c r="F68" s="2">
        <f>E66+D66+H66</f>
        <v>5413.4225999999999</v>
      </c>
      <c r="G68" s="2"/>
      <c r="H68" s="24">
        <f>H65+H66+F66</f>
        <v>37088.160000000003</v>
      </c>
    </row>
    <row r="69" spans="3:9" x14ac:dyDescent="0.25">
      <c r="E69">
        <f>D68+E68</f>
        <v>31973.850000000002</v>
      </c>
    </row>
    <row r="70" spans="3:9" x14ac:dyDescent="0.25">
      <c r="E70">
        <f>E69*16%</f>
        <v>5115.8160000000007</v>
      </c>
    </row>
    <row r="71" spans="3:9" x14ac:dyDescent="0.25">
      <c r="D71" s="2"/>
      <c r="E71" s="20"/>
      <c r="G71" s="2"/>
    </row>
    <row r="76" spans="3:9" x14ac:dyDescent="0.25">
      <c r="C76" t="s">
        <v>99</v>
      </c>
    </row>
    <row r="77" spans="3:9" x14ac:dyDescent="0.25">
      <c r="C77" t="s">
        <v>100</v>
      </c>
    </row>
    <row r="89" spans="5:8" x14ac:dyDescent="0.25">
      <c r="E89" s="5" t="s">
        <v>106</v>
      </c>
      <c r="F89" s="25">
        <v>4350</v>
      </c>
      <c r="G89" s="32"/>
      <c r="H89" s="32"/>
    </row>
    <row r="90" spans="5:8" x14ac:dyDescent="0.25">
      <c r="E90" s="5" t="s">
        <v>18</v>
      </c>
      <c r="F90" s="7">
        <v>4.0000000000000001E-3</v>
      </c>
      <c r="G90" s="6">
        <f>F89*F90</f>
        <v>17.400000000000002</v>
      </c>
      <c r="H90" s="32"/>
    </row>
    <row r="91" spans="5:8" x14ac:dyDescent="0.25">
      <c r="E91" s="5" t="s">
        <v>101</v>
      </c>
      <c r="F91" s="7">
        <v>6.0000000000000001E-3</v>
      </c>
      <c r="G91" s="6">
        <f>F89*F91</f>
        <v>26.1</v>
      </c>
      <c r="H91" s="32"/>
    </row>
    <row r="92" spans="5:8" x14ac:dyDescent="0.25">
      <c r="E92" s="5" t="s">
        <v>20</v>
      </c>
      <c r="F92" s="7">
        <v>4.0000000000000001E-3</v>
      </c>
      <c r="G92" s="6">
        <f>F89*F92</f>
        <v>17.400000000000002</v>
      </c>
      <c r="H92" s="32"/>
    </row>
    <row r="93" spans="5:8" x14ac:dyDescent="0.25">
      <c r="E93" s="5" t="s">
        <v>21</v>
      </c>
      <c r="F93" s="7">
        <v>6.0000000000000001E-3</v>
      </c>
      <c r="G93" s="6">
        <f>F89*F93</f>
        <v>26.1</v>
      </c>
      <c r="H93" s="32"/>
    </row>
    <row r="94" spans="5:8" x14ac:dyDescent="0.25">
      <c r="E94" s="5" t="s">
        <v>102</v>
      </c>
      <c r="F94" s="5">
        <v>105</v>
      </c>
      <c r="G94" s="6">
        <f>F94</f>
        <v>105</v>
      </c>
      <c r="H94" s="32"/>
    </row>
    <row r="95" spans="5:8" x14ac:dyDescent="0.25">
      <c r="E95" s="5" t="s">
        <v>22</v>
      </c>
      <c r="F95" s="7">
        <v>7.0000000000000001E-3</v>
      </c>
      <c r="G95" s="6">
        <f>F89*F95</f>
        <v>30.45</v>
      </c>
      <c r="H95" s="5" t="s">
        <v>104</v>
      </c>
    </row>
    <row r="96" spans="5:8" x14ac:dyDescent="0.25">
      <c r="E96" s="5" t="s">
        <v>103</v>
      </c>
      <c r="F96" s="5"/>
      <c r="G96" s="6">
        <f>SUM(G90:G95)</f>
        <v>222.45</v>
      </c>
      <c r="H96" s="6">
        <f>G96*6</f>
        <v>1334.6999999999998</v>
      </c>
    </row>
    <row r="100" spans="3:9" x14ac:dyDescent="0.25">
      <c r="D100" s="5" t="s">
        <v>105</v>
      </c>
      <c r="E100" s="6">
        <v>3454527.4</v>
      </c>
      <c r="F100" s="26" t="s">
        <v>85</v>
      </c>
      <c r="G100" s="26" t="s">
        <v>88</v>
      </c>
      <c r="H100" s="27" t="s">
        <v>83</v>
      </c>
      <c r="I100" s="27" t="s">
        <v>84</v>
      </c>
    </row>
    <row r="101" spans="3:9" x14ac:dyDescent="0.25">
      <c r="E101" s="25">
        <v>3200000000</v>
      </c>
      <c r="F101" s="6">
        <v>4007.44</v>
      </c>
      <c r="G101" s="6">
        <f>E100/F101</f>
        <v>862.02847703271914</v>
      </c>
      <c r="H101" s="6">
        <f>H96</f>
        <v>1334.6999999999998</v>
      </c>
      <c r="I101" s="6">
        <f>G101+H101</f>
        <v>2196.7284770327187</v>
      </c>
    </row>
    <row r="102" spans="3:9" x14ac:dyDescent="0.25">
      <c r="D102" s="5" t="s">
        <v>72</v>
      </c>
      <c r="E102" s="29">
        <v>0.2</v>
      </c>
      <c r="F102" s="32"/>
      <c r="G102" s="25">
        <f>E101/F101</f>
        <v>798514.76254167245</v>
      </c>
      <c r="H102" s="33" t="s">
        <v>87</v>
      </c>
      <c r="I102" s="28" t="s">
        <v>86</v>
      </c>
    </row>
    <row r="103" spans="3:9" x14ac:dyDescent="0.25">
      <c r="E103" s="25">
        <v>8000000</v>
      </c>
      <c r="F103" s="25">
        <f>E103*20%</f>
        <v>1600000</v>
      </c>
      <c r="G103" s="32"/>
      <c r="H103" s="5">
        <v>0.19</v>
      </c>
      <c r="I103" s="6">
        <f>I101/H103</f>
        <v>11561.728826487994</v>
      </c>
    </row>
    <row r="104" spans="3:9" x14ac:dyDescent="0.25">
      <c r="D104" s="32"/>
      <c r="E104" s="25">
        <f>E103/F101</f>
        <v>1996.2869063541812</v>
      </c>
      <c r="F104" s="25">
        <f>F103/F101</f>
        <v>399.25738127083622</v>
      </c>
      <c r="G104" s="32"/>
      <c r="H104" s="29">
        <v>0.19</v>
      </c>
    </row>
    <row r="105" spans="3:9" x14ac:dyDescent="0.25">
      <c r="C105" s="32"/>
      <c r="F105" s="32"/>
      <c r="G105" s="32"/>
    </row>
    <row r="110" spans="3:9" x14ac:dyDescent="0.25">
      <c r="C110" s="22" t="s">
        <v>92</v>
      </c>
      <c r="D110" s="22" t="s">
        <v>93</v>
      </c>
      <c r="E110" s="22" t="s">
        <v>94</v>
      </c>
      <c r="F110" s="22" t="s">
        <v>95</v>
      </c>
      <c r="G110" s="22" t="s">
        <v>96</v>
      </c>
      <c r="H110" s="5"/>
      <c r="I110" s="22" t="s">
        <v>98</v>
      </c>
    </row>
    <row r="111" spans="3:9" x14ac:dyDescent="0.25">
      <c r="C111" s="30">
        <f>I103</f>
        <v>11561.728826487994</v>
      </c>
      <c r="D111" s="7">
        <v>8.9999999999999993E-3</v>
      </c>
      <c r="E111" s="29">
        <v>0.05</v>
      </c>
      <c r="F111" s="29">
        <v>0.18</v>
      </c>
      <c r="G111" s="6">
        <f>D112+E112</f>
        <v>682.14200076279167</v>
      </c>
      <c r="H111" s="5">
        <v>31753</v>
      </c>
      <c r="I111" s="25">
        <f>H111+H112+F112</f>
        <v>36868.18</v>
      </c>
    </row>
    <row r="112" spans="3:9" x14ac:dyDescent="0.25">
      <c r="C112" s="5"/>
      <c r="D112" s="31">
        <f>C111*D111</f>
        <v>104.05555943839194</v>
      </c>
      <c r="E112" s="30">
        <f>C111*E111</f>
        <v>578.08644132439974</v>
      </c>
      <c r="F112" s="5">
        <v>0.18</v>
      </c>
      <c r="G112" s="5" t="s">
        <v>97</v>
      </c>
      <c r="H112" s="5">
        <v>5115</v>
      </c>
      <c r="I112" s="5"/>
    </row>
    <row r="113" spans="3:8" x14ac:dyDescent="0.25">
      <c r="H113" s="21">
        <f>D112+E112</f>
        <v>682.14200076279167</v>
      </c>
    </row>
    <row r="114" spans="3:8" x14ac:dyDescent="0.25">
      <c r="F114" s="2"/>
    </row>
    <row r="115" spans="3:8" x14ac:dyDescent="0.25">
      <c r="C115" s="37" t="s">
        <v>107</v>
      </c>
      <c r="D115" s="37"/>
      <c r="E115" s="37"/>
    </row>
    <row r="116" spans="3:8" x14ac:dyDescent="0.25">
      <c r="C116" s="5" t="s">
        <v>108</v>
      </c>
      <c r="D116" s="5" t="s">
        <v>109</v>
      </c>
      <c r="E116" s="5" t="s">
        <v>111</v>
      </c>
    </row>
    <row r="117" spans="3:8" x14ac:dyDescent="0.25">
      <c r="C117" s="5">
        <v>36</v>
      </c>
      <c r="D117" s="5">
        <v>1.1000000000000001</v>
      </c>
      <c r="E117" s="25">
        <f>D123*D117</f>
        <v>93139.200000000012</v>
      </c>
      <c r="F117" s="25">
        <f>E124*D117</f>
        <v>18627.840000000004</v>
      </c>
    </row>
    <row r="118" spans="3:8" x14ac:dyDescent="0.25">
      <c r="C118" s="5">
        <v>25</v>
      </c>
      <c r="D118" s="5">
        <v>0.45</v>
      </c>
      <c r="E118" s="25">
        <f>D123*D118</f>
        <v>38102.400000000001</v>
      </c>
      <c r="F118" s="25">
        <f>E124*D118</f>
        <v>7620.4800000000005</v>
      </c>
    </row>
    <row r="119" spans="3:8" x14ac:dyDescent="0.25">
      <c r="C119" s="5">
        <v>28</v>
      </c>
      <c r="D119" s="5">
        <v>0.1</v>
      </c>
      <c r="E119" s="25">
        <f>D123*D119</f>
        <v>8467.2000000000007</v>
      </c>
      <c r="F119" s="25">
        <f>E124*D119</f>
        <v>1693.4400000000003</v>
      </c>
    </row>
    <row r="120" spans="3:8" x14ac:dyDescent="0.25">
      <c r="C120" s="5">
        <v>14</v>
      </c>
      <c r="D120" s="5">
        <v>0.04</v>
      </c>
      <c r="E120" s="25">
        <f>D123*D120</f>
        <v>3386.88</v>
      </c>
      <c r="F120" s="25">
        <f>E124*D120</f>
        <v>677.37600000000009</v>
      </c>
    </row>
    <row r="121" spans="3:8" x14ac:dyDescent="0.25">
      <c r="C121" s="25">
        <v>6048</v>
      </c>
      <c r="D121" s="5"/>
    </row>
    <row r="122" spans="3:8" x14ac:dyDescent="0.25">
      <c r="C122" s="5" t="s">
        <v>110</v>
      </c>
      <c r="D122" s="5" t="s">
        <v>112</v>
      </c>
      <c r="E122" s="5" t="s">
        <v>113</v>
      </c>
    </row>
    <row r="123" spans="3:8" x14ac:dyDescent="0.25">
      <c r="C123" s="25">
        <f>C117*C118*C119*C121/6000</f>
        <v>25401.599999999999</v>
      </c>
      <c r="D123" s="25">
        <f>C121*C120</f>
        <v>84672</v>
      </c>
      <c r="E123" s="39">
        <f>SUM(E117:E120)</f>
        <v>143095.68000000002</v>
      </c>
      <c r="F123" s="39">
        <f>SUM(F117:F120)</f>
        <v>28619.136000000002</v>
      </c>
    </row>
    <row r="124" spans="3:8" x14ac:dyDescent="0.25">
      <c r="D124" s="5">
        <v>0.2</v>
      </c>
      <c r="E124" s="25">
        <f>C121*C120*D124</f>
        <v>16934.400000000001</v>
      </c>
    </row>
    <row r="127" spans="3:8" x14ac:dyDescent="0.25">
      <c r="C127" s="5" t="s">
        <v>105</v>
      </c>
      <c r="D127" s="6">
        <v>3454527.4</v>
      </c>
      <c r="E127" s="26" t="s">
        <v>85</v>
      </c>
      <c r="F127" s="26" t="s">
        <v>88</v>
      </c>
      <c r="G127" s="27" t="s">
        <v>83</v>
      </c>
      <c r="H127" s="27" t="s">
        <v>84</v>
      </c>
    </row>
    <row r="128" spans="3:8" x14ac:dyDescent="0.25">
      <c r="D128" s="25">
        <v>3200000000</v>
      </c>
      <c r="E128" s="6">
        <v>4007.44</v>
      </c>
      <c r="F128" s="6">
        <f>D127/E128</f>
        <v>862.02847703271914</v>
      </c>
      <c r="G128" s="6">
        <f>K111</f>
        <v>0</v>
      </c>
      <c r="H128" s="6">
        <f>F128+G128</f>
        <v>862.02847703271914</v>
      </c>
    </row>
    <row r="129" spans="3:8" x14ac:dyDescent="0.25">
      <c r="C129" s="40" t="s">
        <v>72</v>
      </c>
      <c r="D129" s="29">
        <v>0.2</v>
      </c>
      <c r="E129" s="32"/>
      <c r="F129" s="25">
        <f>D128/E128</f>
        <v>798514.76254167245</v>
      </c>
      <c r="G129" s="33" t="s">
        <v>87</v>
      </c>
      <c r="H129" s="28" t="s">
        <v>86</v>
      </c>
    </row>
    <row r="130" spans="3:8" x14ac:dyDescent="0.25">
      <c r="D130" s="25">
        <v>8000000</v>
      </c>
      <c r="E130" s="25">
        <f>D130*20%</f>
        <v>1600000</v>
      </c>
      <c r="F130" s="32"/>
      <c r="G130" s="5">
        <v>0.19</v>
      </c>
      <c r="H130" s="6">
        <f>H128/G130</f>
        <v>4536.991984382732</v>
      </c>
    </row>
    <row r="131" spans="3:8" x14ac:dyDescent="0.25">
      <c r="C131" s="32"/>
      <c r="D131" s="25">
        <f>D130/E128</f>
        <v>1996.2869063541812</v>
      </c>
      <c r="E131" s="25">
        <f>E130/E128</f>
        <v>399.25738127083622</v>
      </c>
      <c r="F131" s="32"/>
      <c r="G131" s="29">
        <v>0.19</v>
      </c>
    </row>
  </sheetData>
  <mergeCells count="7">
    <mergeCell ref="C115:E115"/>
    <mergeCell ref="E36:F36"/>
    <mergeCell ref="E21:G21"/>
    <mergeCell ref="F27:G27"/>
    <mergeCell ref="F28:G28"/>
    <mergeCell ref="E29:G29"/>
    <mergeCell ref="E30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WILMAR</cp:lastModifiedBy>
  <dcterms:created xsi:type="dcterms:W3CDTF">2023-09-08T18:07:10Z</dcterms:created>
  <dcterms:modified xsi:type="dcterms:W3CDTF">2023-09-12T23:57:20Z</dcterms:modified>
</cp:coreProperties>
</file>